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DE33BF45-E909-3440-926B-8F841F98DBB2}" xr6:coauthVersionLast="43" xr6:coauthVersionMax="43" xr10:uidLastSave="{00000000-0000-0000-0000-000000000000}"/>
  <bookViews>
    <workbookView xWindow="0" yWindow="0" windowWidth="27320" windowHeight="15360" activeTab="3" xr2:uid="{AE66FE3F-8D75-F549-9ECB-BAE381A2E5E5}"/>
  </bookViews>
  <sheets>
    <sheet name="Sheet1" sheetId="1" r:id="rId1"/>
    <sheet name="Sheet2" sheetId="2" r:id="rId2"/>
    <sheet name="모평균 비교.2" sheetId="4" r:id="rId3"/>
    <sheet name="모평균 비교.t-pair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5" l="1"/>
  <c r="P11" i="5"/>
  <c r="P10" i="5"/>
  <c r="P9" i="5"/>
  <c r="P8" i="5"/>
  <c r="P6" i="5"/>
  <c r="P5" i="5"/>
  <c r="P4" i="5"/>
  <c r="N5" i="5"/>
  <c r="N6" i="5"/>
  <c r="N7" i="5"/>
  <c r="N8" i="5"/>
  <c r="N9" i="5"/>
  <c r="N10" i="5"/>
  <c r="N11" i="5"/>
  <c r="N12" i="5"/>
  <c r="N13" i="5"/>
  <c r="N14" i="5"/>
  <c r="N15" i="5"/>
  <c r="N4" i="5"/>
  <c r="M6" i="5"/>
  <c r="L8" i="4" l="1"/>
  <c r="L19" i="4" s="1"/>
  <c r="K8" i="4"/>
  <c r="K9" i="4" s="1"/>
  <c r="L7" i="4"/>
  <c r="L18" i="4" s="1"/>
  <c r="K7" i="4"/>
  <c r="K18" i="4" s="1"/>
  <c r="L6" i="4"/>
  <c r="L17" i="4" s="1"/>
  <c r="K6" i="4"/>
  <c r="K17" i="4" s="1"/>
  <c r="K19" i="4" l="1"/>
  <c r="M21" i="4" s="1"/>
  <c r="M20" i="4"/>
  <c r="L9" i="4"/>
  <c r="K11" i="4" s="1"/>
  <c r="K10" i="4"/>
  <c r="K22" i="4" l="1"/>
  <c r="K21" i="4"/>
  <c r="P23" i="2"/>
  <c r="O20" i="2"/>
  <c r="O19" i="2"/>
  <c r="O18" i="2"/>
  <c r="O23" i="2" s="1"/>
  <c r="M23" i="2"/>
  <c r="L23" i="2"/>
  <c r="H20" i="2"/>
  <c r="I23" i="2" s="1"/>
  <c r="H19" i="2"/>
  <c r="H18" i="2"/>
  <c r="H23" i="2" s="1"/>
  <c r="E18" i="2"/>
  <c r="E23" i="2"/>
  <c r="E20" i="2"/>
  <c r="E19" i="2"/>
  <c r="F23" i="2" s="1"/>
  <c r="B20" i="2"/>
  <c r="B19" i="2"/>
  <c r="C23" i="2" s="1"/>
  <c r="B18" i="2"/>
  <c r="B23" i="2" s="1"/>
  <c r="E15" i="1"/>
  <c r="G15" i="1"/>
  <c r="M19" i="1"/>
  <c r="M18" i="1"/>
  <c r="M17" i="1"/>
  <c r="I14" i="1"/>
  <c r="G14" i="1"/>
  <c r="F14" i="1"/>
  <c r="K26" i="4" l="1"/>
  <c r="K24" i="4"/>
  <c r="K25" i="4"/>
  <c r="K23" i="4"/>
  <c r="I10" i="1"/>
  <c r="G10" i="1"/>
  <c r="E10" i="1"/>
  <c r="K19" i="1"/>
  <c r="K18" i="1"/>
  <c r="K20" i="1" s="1"/>
  <c r="G6" i="1" s="1"/>
  <c r="I6" i="1" s="1"/>
  <c r="K17" i="1"/>
  <c r="E6" i="1" s="1"/>
  <c r="I4" i="1"/>
  <c r="E5" i="1"/>
  <c r="J19" i="1"/>
  <c r="J18" i="1"/>
  <c r="J20" i="1" s="1"/>
  <c r="G5" i="1" s="1"/>
  <c r="I5" i="1" s="1"/>
  <c r="G4" i="1"/>
  <c r="E4" i="1"/>
  <c r="G3" i="1"/>
  <c r="I3" i="1" s="1"/>
  <c r="F3" i="1"/>
  <c r="C26" i="1"/>
  <c r="C24" i="1"/>
  <c r="B26" i="1"/>
  <c r="B24" i="1"/>
  <c r="B18" i="1"/>
  <c r="B17" i="1"/>
  <c r="E17" i="1" s="1"/>
  <c r="E20" i="1" s="1"/>
  <c r="E21" i="1" s="1"/>
  <c r="B25" i="1"/>
  <c r="B23" i="1"/>
  <c r="B19" i="1"/>
  <c r="F24" i="1" l="1"/>
  <c r="E23" i="1"/>
  <c r="E24" i="1"/>
  <c r="F21" i="1"/>
  <c r="E25" i="1"/>
  <c r="F26" i="1" s="1"/>
  <c r="E26" i="1" l="1"/>
</calcChain>
</file>

<file path=xl/sharedStrings.xml><?xml version="1.0" encoding="utf-8"?>
<sst xmlns="http://schemas.openxmlformats.org/spreadsheetml/2006/main" count="191" uniqueCount="142">
  <si>
    <t>t_(15-1),0.025</t>
    <phoneticPr fontId="1" type="noConversion"/>
  </si>
  <si>
    <t>X`</t>
    <phoneticPr fontId="1" type="noConversion"/>
  </si>
  <si>
    <t>X`(if 1)</t>
    <phoneticPr fontId="1" type="noConversion"/>
  </si>
  <si>
    <t>X`(if 2)</t>
    <phoneticPr fontId="1" type="noConversion"/>
  </si>
  <si>
    <t>Var(X`)</t>
    <phoneticPr fontId="1" type="noConversion"/>
  </si>
  <si>
    <t>[X` - t_... S/sqrt(n), X` + t_... S/sqrt(n)]</t>
    <phoneticPr fontId="1" type="noConversion"/>
  </si>
  <si>
    <t>t_... S/sqrt(n)</t>
    <phoneticPr fontId="1" type="noConversion"/>
  </si>
  <si>
    <t>[</t>
    <phoneticPr fontId="1" type="noConversion"/>
  </si>
  <si>
    <t>]</t>
    <phoneticPr fontId="1" type="noConversion"/>
  </si>
  <si>
    <t>Var(X` if 1)</t>
    <phoneticPr fontId="1" type="noConversion"/>
  </si>
  <si>
    <t>Var(X` if 2)</t>
    <phoneticPr fontId="1" type="noConversion"/>
  </si>
  <si>
    <t>P(|(X` - u)/S/sqrt(n)| &lt;= t_(15-1),0.025) = 1 - a = 0.95</t>
    <phoneticPr fontId="1" type="noConversion"/>
  </si>
  <si>
    <t>p(|(X` - u)/S/sqrt(n)| &lt;= t_(15-1),0.025) = 1 - a = 0.95</t>
    <phoneticPr fontId="1" type="noConversion"/>
  </si>
  <si>
    <t>T = (X` - u)/(S /sqrt(n))</t>
    <phoneticPr fontId="1" type="noConversion"/>
  </si>
  <si>
    <t>t_(n-1),a</t>
    <phoneticPr fontId="1" type="noConversion"/>
  </si>
  <si>
    <t>t_(n-1),a/2</t>
    <phoneticPr fontId="1" type="noConversion"/>
  </si>
  <si>
    <t>모평균 가설 검정</t>
    <phoneticPr fontId="1" type="noConversion"/>
  </si>
  <si>
    <t>통계적 추정 (모평균 추정)</t>
    <phoneticPr fontId="1" type="noConversion"/>
  </si>
  <si>
    <t>reject H0</t>
    <phoneticPr fontId="1" type="noConversion"/>
  </si>
  <si>
    <t>S^2</t>
    <phoneticPr fontId="1" type="noConversion"/>
  </si>
  <si>
    <t>T=(X`-u)/(S /sqrt(n))</t>
    <phoneticPr fontId="1" type="noConversion"/>
  </si>
  <si>
    <t>P(T &gt; t_(n-1),a)</t>
    <phoneticPr fontId="1" type="noConversion"/>
  </si>
  <si>
    <t>모비율 가설 검정</t>
    <phoneticPr fontId="1" type="noConversion"/>
  </si>
  <si>
    <t>Z = (p` - p0)/sqrt(p0(1-p0)/n)</t>
    <phoneticPr fontId="1" type="noConversion"/>
  </si>
  <si>
    <t>z_a</t>
    <phoneticPr fontId="1" type="noConversion"/>
  </si>
  <si>
    <t>z_a/2</t>
    <phoneticPr fontId="1" type="noConversion"/>
  </si>
  <si>
    <t>accept H0</t>
    <phoneticPr fontId="1" type="noConversion"/>
  </si>
  <si>
    <t>P(Z &gt; z_a)</t>
    <phoneticPr fontId="1" type="noConversion"/>
  </si>
  <si>
    <t>모분산 가설 검정</t>
    <phoneticPr fontId="1" type="noConversion"/>
  </si>
  <si>
    <t>Ka^2_n-1,a</t>
    <phoneticPr fontId="1" type="noConversion"/>
  </si>
  <si>
    <t>Ka^2 = (n-1) S^2/sigma_0^2</t>
    <phoneticPr fontId="1" type="noConversion"/>
  </si>
  <si>
    <t>P(Ka &gt; Ka^2_n-1,a)</t>
    <phoneticPr fontId="1" type="noConversion"/>
  </si>
  <si>
    <t>Ka^2_n-1,1-a</t>
    <phoneticPr fontId="1" type="noConversion"/>
  </si>
  <si>
    <t>n</t>
    <phoneticPr fontId="1" type="noConversion"/>
  </si>
  <si>
    <t>t_n-1,a</t>
    <phoneticPr fontId="1" type="noConversion"/>
  </si>
  <si>
    <t>T=(X`-u)/sqrt(S^2/n)</t>
    <phoneticPr fontId="1" type="noConversion"/>
  </si>
  <si>
    <t>H0: u = 5</t>
    <phoneticPr fontId="1" type="noConversion"/>
  </si>
  <si>
    <t>H1: u != 5</t>
    <phoneticPr fontId="1" type="noConversion"/>
  </si>
  <si>
    <t>H0: u = 160</t>
    <phoneticPr fontId="1" type="noConversion"/>
  </si>
  <si>
    <t>H1: u &gt; 160</t>
    <phoneticPr fontId="1" type="noConversion"/>
  </si>
  <si>
    <t>H0: u = 3</t>
    <phoneticPr fontId="1" type="noConversion"/>
  </si>
  <si>
    <t>H1: u &lt; 3</t>
    <phoneticPr fontId="1" type="noConversion"/>
  </si>
  <si>
    <t>t_n-1,a/2</t>
    <phoneticPr fontId="1" type="noConversion"/>
  </si>
  <si>
    <t>Q 11</t>
    <phoneticPr fontId="1" type="noConversion"/>
  </si>
  <si>
    <t>Q 12</t>
    <phoneticPr fontId="1" type="noConversion"/>
  </si>
  <si>
    <t>Q 13</t>
    <phoneticPr fontId="1" type="noConversion"/>
  </si>
  <si>
    <t>Q 14</t>
    <phoneticPr fontId="1" type="noConversion"/>
  </si>
  <si>
    <t>H0: p = 0.4</t>
    <phoneticPr fontId="1" type="noConversion"/>
  </si>
  <si>
    <t>H1: p &gt; 0.4</t>
    <phoneticPr fontId="1" type="noConversion"/>
  </si>
  <si>
    <t>(p`-p0)/sqrt(p0(1-p0)/n)</t>
    <phoneticPr fontId="1" type="noConversion"/>
  </si>
  <si>
    <t>Q 15</t>
    <phoneticPr fontId="1" type="noConversion"/>
  </si>
  <si>
    <t>H0: s = 1.5</t>
    <phoneticPr fontId="1" type="noConversion"/>
  </si>
  <si>
    <t>H1 : s &gt; 1.5</t>
    <phoneticPr fontId="1" type="noConversion"/>
  </si>
  <si>
    <t>Ka^2=(n-1)S^2/sigma^2</t>
    <phoneticPr fontId="1" type="noConversion"/>
  </si>
  <si>
    <t>두 독립표본 모평균 비교</t>
    <phoneticPr fontId="1" type="noConversion"/>
  </si>
  <si>
    <t>두 모집단의 분산이 다른 경우, (s_1^2 != s_2^2)</t>
    <phoneticPr fontId="1" type="noConversion"/>
  </si>
  <si>
    <t>1. 데이타 분석도구</t>
    <phoneticPr fontId="1" type="noConversion"/>
  </si>
  <si>
    <t>검정통계량</t>
    <phoneticPr fontId="1" type="noConversion"/>
  </si>
  <si>
    <t>(X_1` - X_2`)</t>
    <phoneticPr fontId="1" type="noConversion"/>
  </si>
  <si>
    <t>1.1 F 검정</t>
    <phoneticPr fontId="1" type="noConversion"/>
  </si>
  <si>
    <t>F-Test Two-Sample for Variances</t>
  </si>
  <si>
    <t>T_0 =</t>
    <phoneticPr fontId="1" type="noConversion"/>
  </si>
  <si>
    <t>--------------</t>
    <phoneticPr fontId="1" type="noConversion"/>
  </si>
  <si>
    <t>~ t(SS)</t>
    <phoneticPr fontId="1" type="noConversion"/>
  </si>
  <si>
    <t>자유도 SS</t>
    <phoneticPr fontId="1" type="noConversion"/>
  </si>
  <si>
    <t>sqrt((S_p^2)/n_1 + (S_p^2)/n_2)</t>
    <phoneticPr fontId="1" type="noConversion"/>
  </si>
  <si>
    <t>(n_1 - 1) S_1^2 + (n_2 - 1) S_2^2</t>
    <phoneticPr fontId="1" type="noConversion"/>
  </si>
  <si>
    <t>Mean</t>
  </si>
  <si>
    <t>Variance</t>
  </si>
  <si>
    <t>Satterthwaite 자유도</t>
    <phoneticPr fontId="1" type="noConversion"/>
  </si>
  <si>
    <t>(( S_1^2 / n_1 ) + (S_2^2 / n_2 ))^2</t>
    <phoneticPr fontId="1" type="noConversion"/>
  </si>
  <si>
    <t>Observations</t>
  </si>
  <si>
    <t>where SS =</t>
    <phoneticPr fontId="1" type="noConversion"/>
  </si>
  <si>
    <t>-----------------------------------------</t>
    <phoneticPr fontId="1" type="noConversion"/>
  </si>
  <si>
    <t>df</t>
  </si>
  <si>
    <t>( S_1^2 / n_1 )^2</t>
    <phoneticPr fontId="1" type="noConversion"/>
  </si>
  <si>
    <t>( S_2^2 / n_2 )^2</t>
    <phoneticPr fontId="1" type="noConversion"/>
  </si>
  <si>
    <t>F</t>
  </si>
  <si>
    <t>+</t>
    <phoneticPr fontId="1" type="noConversion"/>
  </si>
  <si>
    <t>n_1 - 1</t>
    <phoneticPr fontId="1" type="noConversion"/>
  </si>
  <si>
    <t>n_2 - 1</t>
    <phoneticPr fontId="1" type="noConversion"/>
  </si>
  <si>
    <t>두 모집단의 분산이 같은 경우, (s_1^2 = s_2^2 = s^2)</t>
    <phoneticPr fontId="1" type="noConversion"/>
  </si>
  <si>
    <t>1.2 t 검정</t>
    <phoneticPr fontId="1" type="noConversion"/>
  </si>
  <si>
    <t>~ t(n_1 + n_2 - 2)</t>
    <phoneticPr fontId="1" type="noConversion"/>
  </si>
  <si>
    <t>S_p sqrt(1/n_1 + 1/n_2)</t>
    <phoneticPr fontId="1" type="noConversion"/>
  </si>
  <si>
    <t>if S_p =</t>
    <phoneticPr fontId="1" type="noConversion"/>
  </si>
  <si>
    <t>--------------------------- (합동표본분산)</t>
    <phoneticPr fontId="1" type="noConversion"/>
  </si>
  <si>
    <t>(n_1 - 1) + (n_2 - 1)</t>
    <phoneticPr fontId="1" type="noConversion"/>
  </si>
  <si>
    <t>공분산</t>
    <phoneticPr fontId="1" type="noConversion"/>
  </si>
  <si>
    <t>Hypothesized Mean Difference</t>
  </si>
  <si>
    <t>자유도</t>
    <phoneticPr fontId="1" type="noConversion"/>
  </si>
  <si>
    <t>t Stat</t>
  </si>
  <si>
    <t>P(T&lt;=t) one-tail</t>
  </si>
  <si>
    <t>t Critical one-tail</t>
  </si>
  <si>
    <t>P(T&lt;=t) two-tail</t>
  </si>
  <si>
    <t>유의 확률</t>
    <phoneticPr fontId="1" type="noConversion"/>
  </si>
  <si>
    <t>t Critical two-tail</t>
  </si>
  <si>
    <t>2. 데이타 분석도구</t>
    <phoneticPr fontId="1" type="noConversion"/>
  </si>
  <si>
    <t>쌍체비교</t>
    <phoneticPr fontId="1" type="noConversion"/>
  </si>
  <si>
    <t>하나의 실험단위에 두개의 처리를 실시 (Data가 Pair로 나옴)</t>
    <phoneticPr fontId="1" type="noConversion"/>
  </si>
  <si>
    <t>2.1 t검정</t>
    <phoneticPr fontId="1" type="noConversion"/>
  </si>
  <si>
    <t>t-Test: Paired Two Sample for Means</t>
  </si>
  <si>
    <t>D_i = X_i - Y_i (I = 1,2,…,n)</t>
    <phoneticPr fontId="1" type="noConversion"/>
  </si>
  <si>
    <t>가설설정</t>
    <phoneticPr fontId="1" type="noConversion"/>
  </si>
  <si>
    <t xml:space="preserve">  귀무가설 H_0 : u_D = 0</t>
    <phoneticPr fontId="1" type="noConversion"/>
  </si>
  <si>
    <t>u_D == mean(D)</t>
    <phoneticPr fontId="1" type="noConversion"/>
  </si>
  <si>
    <t xml:space="preserve">  대립가설 H_1 : u_D != 0</t>
    <phoneticPr fontId="1" type="noConversion"/>
  </si>
  <si>
    <t xml:space="preserve">  T = D` / (S_D sqt(n) )</t>
    <phoneticPr fontId="1" type="noConversion"/>
  </si>
  <si>
    <t>Pearson Correlation</t>
  </si>
  <si>
    <t xml:space="preserve">   where D` = sum(D_i/n), S_D^2 = sum(D_i - D`)^2/(n-1)</t>
    <phoneticPr fontId="1" type="noConversion"/>
  </si>
  <si>
    <t>귀무가설이 참일 때, T ~ t(n - 1)</t>
    <phoneticPr fontId="1" type="noConversion"/>
  </si>
  <si>
    <t>t 검정통계량</t>
    <phoneticPr fontId="1" type="noConversion"/>
  </si>
  <si>
    <t>단측검증</t>
    <phoneticPr fontId="1" type="noConversion"/>
  </si>
  <si>
    <t>P-Value</t>
    <phoneticPr fontId="1" type="noConversion"/>
  </si>
  <si>
    <t xml:space="preserve">  귀무가설 H_0 : u_1 = u_2</t>
    <phoneticPr fontId="1" type="noConversion"/>
  </si>
  <si>
    <t xml:space="preserve">  대립가설 H_1 : u_1 &gt; u_2</t>
    <phoneticPr fontId="1" type="noConversion"/>
  </si>
  <si>
    <t>양측검증</t>
    <phoneticPr fontId="1" type="noConversion"/>
  </si>
  <si>
    <t xml:space="preserve">  대립가설 H_1 : u_1 != u_2</t>
    <phoneticPr fontId="1" type="noConversion"/>
  </si>
  <si>
    <t>Player A</t>
  </si>
  <si>
    <t>Player A</t>
    <phoneticPr fontId="1" type="noConversion"/>
  </si>
  <si>
    <t>Player B</t>
  </si>
  <si>
    <t>Player B</t>
    <phoneticPr fontId="1" type="noConversion"/>
  </si>
  <si>
    <t>따라서, H_1 : s_1 != s_2</t>
    <phoneticPr fontId="1" type="noConversion"/>
  </si>
  <si>
    <t>t-Test: Two-Sample Assuming Unequal Variances</t>
  </si>
  <si>
    <t>양측검증에 대한 유의확률(P-Value) 0.923 &gt; 0.05보다 크므로</t>
    <phoneticPr fontId="1" type="noConversion"/>
  </si>
  <si>
    <t>귀무가설(양쪽 점수에 대한 차이가 없다.) 받아들임</t>
    <phoneticPr fontId="1" type="noConversion"/>
  </si>
  <si>
    <t>F Right Side</t>
    <phoneticPr fontId="1" type="noConversion"/>
  </si>
  <si>
    <t>F &gt; 4.026</t>
    <phoneticPr fontId="1" type="noConversion"/>
  </si>
  <si>
    <t>before</t>
  </si>
  <si>
    <t>before</t>
    <phoneticPr fontId="1" type="noConversion"/>
  </si>
  <si>
    <t>after</t>
  </si>
  <si>
    <t>after</t>
    <phoneticPr fontId="1" type="noConversion"/>
  </si>
  <si>
    <t>Mean</t>
    <phoneticPr fontId="1" type="noConversion"/>
  </si>
  <si>
    <t>df</t>
    <phoneticPr fontId="1" type="noConversion"/>
  </si>
  <si>
    <t>t Stat</t>
    <phoneticPr fontId="1" type="noConversion"/>
  </si>
  <si>
    <t>D_i</t>
    <phoneticPr fontId="1" type="noConversion"/>
  </si>
  <si>
    <t>Variance</t>
    <phoneticPr fontId="1" type="noConversion"/>
  </si>
  <si>
    <t>Observations</t>
    <phoneticPr fontId="1" type="noConversion"/>
  </si>
  <si>
    <t>P(T&lt;=t)</t>
    <phoneticPr fontId="1" type="noConversion"/>
  </si>
  <si>
    <t>t  one-tail</t>
    <phoneticPr fontId="1" type="noConversion"/>
  </si>
  <si>
    <t>t two-side</t>
    <phoneticPr fontId="1" type="noConversion"/>
  </si>
  <si>
    <t>자동차 사고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</si>
</sst>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01FB-7376-2B41-B571-9F9FED697657}">
  <dimension ref="A1:M26"/>
  <sheetViews>
    <sheetView workbookViewId="0">
      <selection activeCell="F14" sqref="F14"/>
    </sheetView>
  </sheetViews>
  <sheetFormatPr baseColWidth="10" defaultRowHeight="18"/>
  <cols>
    <col min="5" max="5" width="10.7109375" customWidth="1"/>
  </cols>
  <sheetData>
    <row r="1" spans="1:13">
      <c r="A1" t="s">
        <v>17</v>
      </c>
      <c r="E1" t="s">
        <v>16</v>
      </c>
    </row>
    <row r="2" spans="1:13">
      <c r="B2">
        <v>163</v>
      </c>
      <c r="C2">
        <v>1</v>
      </c>
      <c r="E2" t="s">
        <v>14</v>
      </c>
      <c r="F2" t="s">
        <v>15</v>
      </c>
      <c r="G2" t="s">
        <v>13</v>
      </c>
      <c r="I2" t="s">
        <v>21</v>
      </c>
      <c r="J2">
        <v>5</v>
      </c>
      <c r="K2">
        <v>163</v>
      </c>
      <c r="L2">
        <v>1</v>
      </c>
      <c r="M2">
        <v>5</v>
      </c>
    </row>
    <row r="3" spans="1:13">
      <c r="B3">
        <v>162</v>
      </c>
      <c r="C3">
        <v>1</v>
      </c>
      <c r="F3">
        <f>_xlfn.T.INV(1-0.05/2, 10-1)</f>
        <v>2.2621571627982049</v>
      </c>
      <c r="G3">
        <f xml:space="preserve"> (12.2 - 12)/(0.2 / SQRT(10))</f>
        <v>3.1622776601683684</v>
      </c>
      <c r="H3" t="s">
        <v>18</v>
      </c>
      <c r="I3">
        <f>2*(1-_xlfn.T.DIST(G3,10-1,TRUE))</f>
        <v>1.1507985165943868E-2</v>
      </c>
      <c r="J3">
        <v>23</v>
      </c>
      <c r="K3">
        <v>162</v>
      </c>
      <c r="L3">
        <v>1</v>
      </c>
      <c r="M3">
        <v>23</v>
      </c>
    </row>
    <row r="4" spans="1:13">
      <c r="B4">
        <v>172</v>
      </c>
      <c r="C4">
        <v>1</v>
      </c>
      <c r="E4">
        <f>_xlfn.T.INV(1-0.05, 10-1)</f>
        <v>1.8331129326562368</v>
      </c>
      <c r="G4">
        <f xml:space="preserve"> (12.2 - 12)/(0.2 / SQRT(10))</f>
        <v>3.1622776601683684</v>
      </c>
      <c r="H4" t="s">
        <v>18</v>
      </c>
      <c r="I4">
        <f>1-_xlfn.T.DIST(G4,10-1, TRUE)</f>
        <v>5.7539925829719341E-3</v>
      </c>
      <c r="J4">
        <v>20</v>
      </c>
      <c r="K4">
        <v>157</v>
      </c>
      <c r="L4">
        <v>2</v>
      </c>
      <c r="M4">
        <v>20</v>
      </c>
    </row>
    <row r="5" spans="1:13">
      <c r="B5">
        <v>161</v>
      </c>
      <c r="C5">
        <v>1</v>
      </c>
      <c r="E5">
        <f>_xlfn.T.INV(1-0.05,16-1)</f>
        <v>1.7530503556925723</v>
      </c>
      <c r="G5">
        <f>J20</f>
        <v>2.0573054326815106</v>
      </c>
      <c r="H5" t="s">
        <v>18</v>
      </c>
      <c r="I5">
        <f>1-_xlfn.T.DIST(G5, 16-1, TRUE)</f>
        <v>2.8739001872579051E-2</v>
      </c>
      <c r="J5">
        <v>1</v>
      </c>
      <c r="K5">
        <v>172</v>
      </c>
      <c r="L5">
        <v>1</v>
      </c>
      <c r="M5">
        <v>1</v>
      </c>
    </row>
    <row r="6" spans="1:13">
      <c r="B6">
        <v>162</v>
      </c>
      <c r="C6">
        <v>1</v>
      </c>
      <c r="E6">
        <f>_xlfn.T.INV(1-0.05,K17-1)</f>
        <v>1.7613101357748921</v>
      </c>
      <c r="G6">
        <f>K20</f>
        <v>2.8627123416821774</v>
      </c>
      <c r="H6" t="s">
        <v>18</v>
      </c>
      <c r="I6">
        <f>1-_xlfn.T.DIST(G6,K17-1,TRUE)</f>
        <v>6.265828275223595E-3</v>
      </c>
      <c r="J6">
        <v>10</v>
      </c>
      <c r="K6">
        <v>161</v>
      </c>
      <c r="L6">
        <v>1</v>
      </c>
      <c r="M6">
        <v>10</v>
      </c>
    </row>
    <row r="7" spans="1:13">
      <c r="B7">
        <v>158</v>
      </c>
      <c r="C7">
        <v>1</v>
      </c>
      <c r="J7">
        <v>15</v>
      </c>
      <c r="K7">
        <v>165</v>
      </c>
      <c r="L7">
        <v>2</v>
      </c>
      <c r="M7">
        <v>15</v>
      </c>
    </row>
    <row r="8" spans="1:13">
      <c r="B8">
        <v>159</v>
      </c>
      <c r="C8">
        <v>1</v>
      </c>
      <c r="E8" t="s">
        <v>22</v>
      </c>
      <c r="J8">
        <v>15</v>
      </c>
      <c r="K8">
        <v>162</v>
      </c>
      <c r="L8">
        <v>1</v>
      </c>
      <c r="M8">
        <v>15</v>
      </c>
    </row>
    <row r="9" spans="1:13">
      <c r="B9">
        <v>168</v>
      </c>
      <c r="C9">
        <v>1</v>
      </c>
      <c r="E9" t="s">
        <v>24</v>
      </c>
      <c r="F9" t="s">
        <v>25</v>
      </c>
      <c r="G9" t="s">
        <v>23</v>
      </c>
      <c r="I9" t="s">
        <v>27</v>
      </c>
      <c r="J9">
        <v>10</v>
      </c>
      <c r="K9">
        <v>165</v>
      </c>
      <c r="L9">
        <v>2</v>
      </c>
      <c r="M9">
        <v>10</v>
      </c>
    </row>
    <row r="10" spans="1:13">
      <c r="B10">
        <v>170</v>
      </c>
      <c r="C10">
        <v>1</v>
      </c>
      <c r="E10">
        <f>_xlfn.NORM.INV(1-0.05,0,1)</f>
        <v>1.6448536269514715</v>
      </c>
      <c r="G10">
        <f>(0.7-0.6)/SQRT(0.6*(1-0.6)/50)</f>
        <v>1.4433756729740641</v>
      </c>
      <c r="H10" t="s">
        <v>26</v>
      </c>
      <c r="I10">
        <f>1-_xlfn.NORM.DIST(1.44,0,1,TRUE)</f>
        <v>7.4933699534327047E-2</v>
      </c>
      <c r="J10">
        <v>9</v>
      </c>
      <c r="K10">
        <v>158</v>
      </c>
      <c r="L10">
        <v>1</v>
      </c>
      <c r="M10">
        <v>9</v>
      </c>
    </row>
    <row r="11" spans="1:13">
      <c r="B11">
        <v>157</v>
      </c>
      <c r="C11">
        <v>2</v>
      </c>
      <c r="J11">
        <v>13</v>
      </c>
      <c r="K11">
        <v>159</v>
      </c>
      <c r="L11">
        <v>1</v>
      </c>
      <c r="M11">
        <v>13</v>
      </c>
    </row>
    <row r="12" spans="1:13">
      <c r="B12">
        <v>165</v>
      </c>
      <c r="C12">
        <v>2</v>
      </c>
      <c r="E12" t="s">
        <v>28</v>
      </c>
      <c r="J12">
        <v>18</v>
      </c>
      <c r="K12">
        <v>160</v>
      </c>
      <c r="L12">
        <v>2</v>
      </c>
      <c r="M12">
        <v>18</v>
      </c>
    </row>
    <row r="13" spans="1:13">
      <c r="B13">
        <v>165</v>
      </c>
      <c r="C13">
        <v>2</v>
      </c>
      <c r="E13" t="s">
        <v>29</v>
      </c>
      <c r="F13" t="s">
        <v>32</v>
      </c>
      <c r="G13" t="s">
        <v>30</v>
      </c>
      <c r="I13" t="s">
        <v>31</v>
      </c>
      <c r="J13">
        <v>11</v>
      </c>
      <c r="K13">
        <v>161</v>
      </c>
      <c r="L13">
        <v>2</v>
      </c>
      <c r="M13">
        <v>11</v>
      </c>
    </row>
    <row r="14" spans="1:13">
      <c r="B14">
        <v>160</v>
      </c>
      <c r="C14">
        <v>2</v>
      </c>
      <c r="F14">
        <f>_xlfn.CHISQ.INV.RT(1-0.05,10-1)</f>
        <v>3.3251128430668162</v>
      </c>
      <c r="G14">
        <f>(10-1) * 0.16 / 1</f>
        <v>1.44</v>
      </c>
      <c r="H14" t="s">
        <v>18</v>
      </c>
      <c r="I14">
        <f>1-_xlfn.CHISQ.DIST.RT(1.44, 10-1)</f>
        <v>2.4321150334607466E-3</v>
      </c>
      <c r="J14">
        <v>18</v>
      </c>
      <c r="K14">
        <v>165</v>
      </c>
      <c r="L14">
        <v>2</v>
      </c>
    </row>
    <row r="15" spans="1:13">
      <c r="B15">
        <v>161</v>
      </c>
      <c r="C15">
        <v>2</v>
      </c>
      <c r="E15">
        <f>_xlfn.CHISQ.INV.RT(0.05,12-1)</f>
        <v>19.675137572682498</v>
      </c>
      <c r="G15">
        <f>(12-1)*38.63/16</f>
        <v>26.558125</v>
      </c>
      <c r="H15" t="s">
        <v>18</v>
      </c>
      <c r="J15">
        <v>20</v>
      </c>
      <c r="K15">
        <v>168</v>
      </c>
      <c r="L15">
        <v>1</v>
      </c>
    </row>
    <row r="16" spans="1:13">
      <c r="B16">
        <v>165</v>
      </c>
      <c r="C16">
        <v>2</v>
      </c>
      <c r="J16">
        <v>19</v>
      </c>
      <c r="K16">
        <v>170</v>
      </c>
      <c r="L16">
        <v>1</v>
      </c>
    </row>
    <row r="17" spans="1:13">
      <c r="B17">
        <f>COUNT(B2:B16)</f>
        <v>15</v>
      </c>
      <c r="D17" t="s">
        <v>0</v>
      </c>
      <c r="E17">
        <f>_xlfn.T.INV(1-0.025, B17-1)</f>
        <v>2.1447866879178035</v>
      </c>
      <c r="J17">
        <v>19</v>
      </c>
      <c r="K17">
        <f>COUNT(K2:K16)</f>
        <v>15</v>
      </c>
      <c r="M17">
        <f>COUNT(M2:M13)</f>
        <v>12</v>
      </c>
    </row>
    <row r="18" spans="1:13">
      <c r="A18" t="s">
        <v>4</v>
      </c>
      <c r="B18">
        <f>_xlfn.VAR.S(B2:B16)</f>
        <v>18.74285714285714</v>
      </c>
      <c r="D18" t="s">
        <v>11</v>
      </c>
      <c r="I18" t="s">
        <v>1</v>
      </c>
      <c r="J18">
        <f>AVERAGE(J2:J17)</f>
        <v>14.125</v>
      </c>
      <c r="K18">
        <f>AVERAGE(K2:K16)</f>
        <v>163.19999999999999</v>
      </c>
      <c r="M18">
        <f>AVERAGE(M2:M13)</f>
        <v>12.5</v>
      </c>
    </row>
    <row r="19" spans="1:13">
      <c r="A19" t="s">
        <v>1</v>
      </c>
      <c r="B19">
        <f>AVERAGE(B2:B16)</f>
        <v>163.19999999999999</v>
      </c>
      <c r="D19" t="s">
        <v>5</v>
      </c>
      <c r="I19" t="s">
        <v>19</v>
      </c>
      <c r="J19">
        <f>_xlfn.VAR.S(J2:J17)</f>
        <v>36.916666666666664</v>
      </c>
      <c r="K19">
        <f>_xlfn.VAR.S(K2:K16)</f>
        <v>18.74285714285714</v>
      </c>
      <c r="M19">
        <f>_xlfn.VAR.S(M2:M13)</f>
        <v>38.636363636363633</v>
      </c>
    </row>
    <row r="20" spans="1:13">
      <c r="D20" t="s">
        <v>6</v>
      </c>
      <c r="E20">
        <f>E17*SQRT(B18) / SQRT(B17)</f>
        <v>2.3974876208847262</v>
      </c>
      <c r="I20" t="s">
        <v>20</v>
      </c>
      <c r="J20">
        <f>(J18-11)/SQRT(J19/16)</f>
        <v>2.0573054326815106</v>
      </c>
      <c r="K20">
        <f>(K18-160)/SQRT(K19/K17)</f>
        <v>2.8627123416821774</v>
      </c>
    </row>
    <row r="21" spans="1:13">
      <c r="D21" t="s">
        <v>7</v>
      </c>
      <c r="E21">
        <f>B19-E20</f>
        <v>160.80251237911526</v>
      </c>
      <c r="F21">
        <f>B19+E20</f>
        <v>165.59748762088472</v>
      </c>
      <c r="G21" t="s">
        <v>8</v>
      </c>
    </row>
    <row r="22" spans="1:13">
      <c r="D22" t="s">
        <v>12</v>
      </c>
    </row>
    <row r="23" spans="1:13">
      <c r="A23" t="s">
        <v>2</v>
      </c>
      <c r="B23">
        <f>AVERAGEIF(C$2:C$16, C23, B$2:B$16)</f>
        <v>163.88888888888889</v>
      </c>
      <c r="C23">
        <v>1</v>
      </c>
      <c r="D23" t="s">
        <v>6</v>
      </c>
      <c r="E23">
        <f>E17*SQRT(B24/C24)</f>
        <v>3.5286728586527016</v>
      </c>
    </row>
    <row r="24" spans="1:13">
      <c r="A24" t="s">
        <v>9</v>
      </c>
      <c r="B24">
        <f>_xlfn.VAR.S(B2:B10)</f>
        <v>24.361111111111114</v>
      </c>
      <c r="C24">
        <f>COUNT(C2:C10)</f>
        <v>9</v>
      </c>
      <c r="D24" t="s">
        <v>7</v>
      </c>
      <c r="E24">
        <f>B23-E23</f>
        <v>160.36021603023619</v>
      </c>
      <c r="F24">
        <f>B23+E23</f>
        <v>167.41756174754158</v>
      </c>
      <c r="G24" t="s">
        <v>8</v>
      </c>
    </row>
    <row r="25" spans="1:13">
      <c r="A25" t="s">
        <v>3</v>
      </c>
      <c r="B25">
        <f>AVERAGEIF(C$2:C$16, C25, B$2:B$16)</f>
        <v>162.16666666666666</v>
      </c>
      <c r="C25">
        <v>2</v>
      </c>
      <c r="D25" t="s">
        <v>6</v>
      </c>
      <c r="E25">
        <f>E17*SQRT(B26/C26)</f>
        <v>2.9520590633246262</v>
      </c>
    </row>
    <row r="26" spans="1:13">
      <c r="A26" t="s">
        <v>10</v>
      </c>
      <c r="B26">
        <f>_xlfn.VAR.S(B11:B16)</f>
        <v>11.366666666666665</v>
      </c>
      <c r="C26">
        <f>COUNT(C11:C16)</f>
        <v>6</v>
      </c>
      <c r="D26" t="s">
        <v>7</v>
      </c>
      <c r="E26">
        <f>B25-E25</f>
        <v>159.21460760334202</v>
      </c>
      <c r="F26">
        <f>B25+E25</f>
        <v>165.1187257299913</v>
      </c>
      <c r="G26" t="s">
        <v>8</v>
      </c>
    </row>
  </sheetData>
  <sortState xmlns:xlrd2="http://schemas.microsoft.com/office/spreadsheetml/2017/richdata2" ref="B2:C16">
    <sortCondition ref="C2:C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21E2-09F7-344D-9EED-FC693E69E739}">
  <dimension ref="A1:P24"/>
  <sheetViews>
    <sheetView workbookViewId="0">
      <selection activeCell="P25" sqref="P25"/>
    </sheetView>
  </sheetViews>
  <sheetFormatPr baseColWidth="10" defaultRowHeight="18"/>
  <sheetData>
    <row r="1" spans="2:15">
      <c r="B1" t="s">
        <v>43</v>
      </c>
      <c r="E1" t="s">
        <v>44</v>
      </c>
      <c r="H1" t="s">
        <v>45</v>
      </c>
      <c r="L1" t="s">
        <v>46</v>
      </c>
      <c r="O1" t="s">
        <v>50</v>
      </c>
    </row>
    <row r="2" spans="2:15">
      <c r="B2">
        <v>154</v>
      </c>
      <c r="E2">
        <v>3</v>
      </c>
      <c r="F2">
        <v>4</v>
      </c>
      <c r="H2">
        <v>5.2</v>
      </c>
      <c r="I2">
        <v>4.2</v>
      </c>
      <c r="J2">
        <v>5.2</v>
      </c>
      <c r="O2">
        <v>226</v>
      </c>
    </row>
    <row r="3" spans="2:15">
      <c r="B3">
        <v>154</v>
      </c>
      <c r="E3">
        <v>3</v>
      </c>
      <c r="F3">
        <v>1</v>
      </c>
      <c r="H3">
        <v>5</v>
      </c>
      <c r="I3">
        <v>5.4</v>
      </c>
      <c r="J3">
        <v>4.7</v>
      </c>
      <c r="O3">
        <v>228</v>
      </c>
    </row>
    <row r="4" spans="2:15">
      <c r="B4">
        <v>186</v>
      </c>
      <c r="E4">
        <v>1</v>
      </c>
      <c r="F4">
        <v>1</v>
      </c>
      <c r="H4">
        <v>4.8</v>
      </c>
      <c r="I4">
        <v>4.8</v>
      </c>
      <c r="J4">
        <v>4.8</v>
      </c>
      <c r="O4">
        <v>226</v>
      </c>
    </row>
    <row r="5" spans="2:15">
      <c r="B5">
        <v>243</v>
      </c>
      <c r="E5">
        <v>1</v>
      </c>
      <c r="F5">
        <v>4</v>
      </c>
      <c r="H5">
        <v>5.3</v>
      </c>
      <c r="I5">
        <v>5.2</v>
      </c>
      <c r="J5">
        <v>5</v>
      </c>
      <c r="O5">
        <v>225</v>
      </c>
    </row>
    <row r="6" spans="2:15">
      <c r="B6">
        <v>159</v>
      </c>
      <c r="E6">
        <v>0.5</v>
      </c>
      <c r="F6">
        <v>2</v>
      </c>
      <c r="H6">
        <v>5.0999999999999996</v>
      </c>
      <c r="I6">
        <v>5.0999999999999996</v>
      </c>
      <c r="J6">
        <v>4.9000000000000004</v>
      </c>
      <c r="O6">
        <v>232</v>
      </c>
    </row>
    <row r="7" spans="2:15">
      <c r="B7">
        <v>174</v>
      </c>
      <c r="E7">
        <v>2</v>
      </c>
      <c r="F7">
        <v>5</v>
      </c>
      <c r="H7">
        <v>4.7</v>
      </c>
      <c r="I7">
        <v>5.3</v>
      </c>
      <c r="O7">
        <v>228</v>
      </c>
    </row>
    <row r="8" spans="2:15">
      <c r="B8">
        <v>183</v>
      </c>
      <c r="E8">
        <v>2</v>
      </c>
      <c r="F8">
        <v>3</v>
      </c>
      <c r="H8">
        <v>4.9000000000000004</v>
      </c>
      <c r="I8">
        <v>4.7</v>
      </c>
      <c r="O8">
        <v>227</v>
      </c>
    </row>
    <row r="9" spans="2:15">
      <c r="B9">
        <v>163</v>
      </c>
      <c r="E9">
        <v>4</v>
      </c>
      <c r="F9">
        <v>1</v>
      </c>
      <c r="H9">
        <v>4.5999999999999996</v>
      </c>
      <c r="I9">
        <v>5.6</v>
      </c>
      <c r="O9">
        <v>229</v>
      </c>
    </row>
    <row r="10" spans="2:15">
      <c r="B10">
        <v>192</v>
      </c>
      <c r="E10">
        <v>5</v>
      </c>
      <c r="F10">
        <v>1</v>
      </c>
      <c r="H10">
        <v>4.5</v>
      </c>
      <c r="I10">
        <v>5.5</v>
      </c>
      <c r="O10">
        <v>225</v>
      </c>
    </row>
    <row r="11" spans="2:15">
      <c r="B11">
        <v>181</v>
      </c>
      <c r="E11">
        <v>4</v>
      </c>
      <c r="F11">
        <v>1</v>
      </c>
      <c r="H11">
        <v>5.2</v>
      </c>
      <c r="I11">
        <v>4.8</v>
      </c>
      <c r="O11">
        <v>230</v>
      </c>
    </row>
    <row r="12" spans="2:15">
      <c r="E12">
        <v>5</v>
      </c>
      <c r="F12">
        <v>0.75</v>
      </c>
    </row>
    <row r="13" spans="2:15">
      <c r="E13">
        <v>3</v>
      </c>
      <c r="F13">
        <v>1.5</v>
      </c>
    </row>
    <row r="14" spans="2:15">
      <c r="E14">
        <v>1</v>
      </c>
      <c r="F14">
        <v>3</v>
      </c>
    </row>
    <row r="15" spans="2:15">
      <c r="E15">
        <v>3</v>
      </c>
      <c r="F15">
        <v>3</v>
      </c>
    </row>
    <row r="16" spans="2:15">
      <c r="E16">
        <v>1</v>
      </c>
      <c r="F16">
        <v>2</v>
      </c>
    </row>
    <row r="18" spans="1:16">
      <c r="A18" t="s">
        <v>33</v>
      </c>
      <c r="B18">
        <f>COUNT(B2:B11)</f>
        <v>10</v>
      </c>
      <c r="E18">
        <f>COUNT(E2:F16)</f>
        <v>30</v>
      </c>
      <c r="H18">
        <f>COUNT(H2:J11)</f>
        <v>25</v>
      </c>
      <c r="O18">
        <f>COUNT(O2:O11)</f>
        <v>10</v>
      </c>
    </row>
    <row r="19" spans="1:16">
      <c r="A19" t="s">
        <v>1</v>
      </c>
      <c r="B19">
        <f>AVERAGE(B2:B11)</f>
        <v>178.9</v>
      </c>
      <c r="E19">
        <f>AVERAGE(E2:F16)</f>
        <v>2.3916666666666666</v>
      </c>
      <c r="H19">
        <f>AVERAGE(H2:J11)</f>
        <v>4.9799999999999995</v>
      </c>
      <c r="O19">
        <f>AVERAGE(O2:O11)</f>
        <v>227.6</v>
      </c>
    </row>
    <row r="20" spans="1:16">
      <c r="A20" t="s">
        <v>19</v>
      </c>
      <c r="B20">
        <f>_xlfn.VAR.S(B2:B11)</f>
        <v>696.10000000000264</v>
      </c>
      <c r="E20">
        <f>_xlfn.VAR.S(E2:F16)</f>
        <v>2.0158764367816095</v>
      </c>
      <c r="H20">
        <f>_xlfn.VAR.S(H2:J11)</f>
        <v>0.10916666666666668</v>
      </c>
      <c r="O20">
        <f>_xlfn.VAR.S(O2:O11)</f>
        <v>5.155555555555555</v>
      </c>
    </row>
    <row r="21" spans="1:16">
      <c r="B21" t="s">
        <v>38</v>
      </c>
      <c r="C21" t="s">
        <v>39</v>
      </c>
      <c r="E21" t="s">
        <v>40</v>
      </c>
      <c r="F21" t="s">
        <v>41</v>
      </c>
      <c r="H21" t="s">
        <v>36</v>
      </c>
      <c r="I21" t="s">
        <v>37</v>
      </c>
      <c r="L21" t="s">
        <v>47</v>
      </c>
      <c r="M21" t="s">
        <v>48</v>
      </c>
      <c r="O21" t="s">
        <v>51</v>
      </c>
      <c r="P21" t="s">
        <v>52</v>
      </c>
    </row>
    <row r="22" spans="1:16">
      <c r="B22" t="s">
        <v>34</v>
      </c>
      <c r="C22" t="s">
        <v>35</v>
      </c>
      <c r="E22" t="s">
        <v>34</v>
      </c>
      <c r="F22" t="s">
        <v>35</v>
      </c>
      <c r="H22" t="s">
        <v>42</v>
      </c>
      <c r="I22" t="s">
        <v>35</v>
      </c>
      <c r="L22" t="s">
        <v>24</v>
      </c>
      <c r="M22" t="s">
        <v>49</v>
      </c>
      <c r="O22" t="s">
        <v>29</v>
      </c>
      <c r="P22" t="s">
        <v>53</v>
      </c>
    </row>
    <row r="23" spans="1:16">
      <c r="B23">
        <f>_xlfn.T.INV(1-0.05, B18-1)</f>
        <v>1.8331129326562368</v>
      </c>
      <c r="C23">
        <f>(B19-160)/SQRT(B20/B18)</f>
        <v>2.2653013681962055</v>
      </c>
      <c r="E23">
        <f>_xlfn.T.INV(0.05, E18-1)</f>
        <v>-1.6991270265334986</v>
      </c>
      <c r="F23">
        <f>(E19-3)/SQRT(E20/E18)</f>
        <v>-2.3467687000030324</v>
      </c>
      <c r="H23">
        <f>_xlfn.T.INV(1-0.025,H18-1)</f>
        <v>2.0638985616280254</v>
      </c>
      <c r="I23">
        <f>(H19-5)/SQRT(H20/H18)</f>
        <v>-0.30265996338319795</v>
      </c>
      <c r="L23">
        <f>_xlfn.NORM.INV(1-0.05,0,1)</f>
        <v>1.6448536269514715</v>
      </c>
      <c r="M23">
        <f>(0.45-0.4)/SQRT(0.4*(1-0.4)/1000)</f>
        <v>3.2274861218395134</v>
      </c>
      <c r="O23">
        <f>_xlfn.CHISQ.INV.RT(0.05,O18-1)</f>
        <v>16.918977604620451</v>
      </c>
      <c r="P23">
        <f>(O18-1)*O20/(1.5^2)</f>
        <v>20.62222222222222</v>
      </c>
    </row>
    <row r="24" spans="1:16">
      <c r="C24" t="s">
        <v>18</v>
      </c>
      <c r="F24" t="s">
        <v>18</v>
      </c>
      <c r="I24" t="s">
        <v>26</v>
      </c>
      <c r="M24" t="s">
        <v>18</v>
      </c>
      <c r="P24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D0C-AB14-444C-9F94-F520338696ED}">
  <dimension ref="A1:M26"/>
  <sheetViews>
    <sheetView zoomScaleNormal="100" workbookViewId="0">
      <selection activeCell="G23" sqref="G23"/>
    </sheetView>
  </sheetViews>
  <sheetFormatPr baseColWidth="10" defaultRowHeight="18"/>
  <cols>
    <col min="14" max="14" width="12.7109375" bestFit="1" customWidth="1"/>
  </cols>
  <sheetData>
    <row r="1" spans="1:13">
      <c r="A1" t="s">
        <v>54</v>
      </c>
    </row>
    <row r="2" spans="1:13">
      <c r="B2" t="s">
        <v>55</v>
      </c>
      <c r="G2" t="s">
        <v>56</v>
      </c>
    </row>
    <row r="3" spans="1:13">
      <c r="B3" t="s">
        <v>57</v>
      </c>
      <c r="D3" s="1" t="s">
        <v>58</v>
      </c>
      <c r="G3" t="s">
        <v>59</v>
      </c>
      <c r="H3" t="s">
        <v>119</v>
      </c>
      <c r="I3" t="s">
        <v>121</v>
      </c>
      <c r="J3" t="s">
        <v>60</v>
      </c>
    </row>
    <row r="4" spans="1:13" ht="19" thickBot="1">
      <c r="C4" t="s">
        <v>61</v>
      </c>
      <c r="D4" s="2" t="s">
        <v>62</v>
      </c>
      <c r="E4" t="s">
        <v>63</v>
      </c>
      <c r="F4" t="s">
        <v>64</v>
      </c>
      <c r="H4">
        <v>198</v>
      </c>
      <c r="I4">
        <v>196</v>
      </c>
    </row>
    <row r="5" spans="1:13">
      <c r="D5" s="3" t="s">
        <v>65</v>
      </c>
      <c r="H5">
        <v>119</v>
      </c>
      <c r="I5">
        <v>159</v>
      </c>
      <c r="J5" s="9"/>
      <c r="K5" s="9" t="s">
        <v>118</v>
      </c>
      <c r="L5" s="9" t="s">
        <v>120</v>
      </c>
    </row>
    <row r="6" spans="1:13">
      <c r="D6" s="3"/>
      <c r="H6">
        <v>174</v>
      </c>
      <c r="I6">
        <v>162</v>
      </c>
      <c r="J6" s="7" t="s">
        <v>67</v>
      </c>
      <c r="K6" s="7">
        <f>AVERAGE(H4:H13)</f>
        <v>175.1</v>
      </c>
      <c r="L6" s="7">
        <f>AVERAGE(I4:I13)</f>
        <v>173.7</v>
      </c>
    </row>
    <row r="7" spans="1:13">
      <c r="H7">
        <v>235</v>
      </c>
      <c r="I7">
        <v>178</v>
      </c>
      <c r="J7" s="7" t="s">
        <v>68</v>
      </c>
      <c r="K7" s="7">
        <f>_xlfn.VAR.S(H4:H13)</f>
        <v>1831.4333333333359</v>
      </c>
      <c r="L7" s="7">
        <f>_xlfn.VAR.S(I4:I13)</f>
        <v>184.90000000000003</v>
      </c>
    </row>
    <row r="8" spans="1:13">
      <c r="B8" t="s">
        <v>69</v>
      </c>
      <c r="D8" s="3" t="s">
        <v>70</v>
      </c>
      <c r="H8">
        <v>134</v>
      </c>
      <c r="I8">
        <v>188</v>
      </c>
      <c r="J8" s="7" t="s">
        <v>71</v>
      </c>
      <c r="K8" s="7">
        <f>COUNT(H4:H13)</f>
        <v>10</v>
      </c>
      <c r="L8" s="7">
        <f>COUNT(I4:I13)</f>
        <v>10</v>
      </c>
    </row>
    <row r="9" spans="1:13">
      <c r="C9" t="s">
        <v>72</v>
      </c>
      <c r="D9" s="4" t="s">
        <v>73</v>
      </c>
      <c r="H9">
        <v>192</v>
      </c>
      <c r="I9">
        <v>169</v>
      </c>
      <c r="J9" s="7" t="s">
        <v>74</v>
      </c>
      <c r="K9" s="7">
        <f>K8-1</f>
        <v>9</v>
      </c>
      <c r="L9" s="7">
        <f>L8-1</f>
        <v>9</v>
      </c>
    </row>
    <row r="10" spans="1:13">
      <c r="D10" s="3" t="s">
        <v>75</v>
      </c>
      <c r="F10" s="3" t="s">
        <v>76</v>
      </c>
      <c r="H10">
        <v>124</v>
      </c>
      <c r="I10">
        <v>173</v>
      </c>
      <c r="J10" s="7" t="s">
        <v>77</v>
      </c>
      <c r="K10" s="7">
        <f>K7/L7</f>
        <v>9.9049936902830478</v>
      </c>
      <c r="L10" s="7"/>
    </row>
    <row r="11" spans="1:13" ht="19" thickBot="1">
      <c r="D11" s="2" t="s">
        <v>62</v>
      </c>
      <c r="E11" s="1" t="s">
        <v>78</v>
      </c>
      <c r="F11" s="2" t="s">
        <v>62</v>
      </c>
      <c r="H11">
        <v>241</v>
      </c>
      <c r="I11">
        <v>183</v>
      </c>
      <c r="J11" s="8" t="s">
        <v>126</v>
      </c>
      <c r="K11" s="8">
        <f>_xlfn.F.INV.RT(0.05/2,K9,L9)</f>
        <v>4.0259941582829777</v>
      </c>
      <c r="L11" s="8"/>
      <c r="M11" t="s">
        <v>127</v>
      </c>
    </row>
    <row r="12" spans="1:13">
      <c r="D12" s="1" t="s">
        <v>79</v>
      </c>
      <c r="F12" s="1" t="s">
        <v>80</v>
      </c>
      <c r="H12">
        <v>158</v>
      </c>
      <c r="I12">
        <v>177</v>
      </c>
      <c r="M12" t="s">
        <v>122</v>
      </c>
    </row>
    <row r="13" spans="1:13">
      <c r="D13" s="3"/>
      <c r="H13">
        <v>176</v>
      </c>
      <c r="I13">
        <v>152</v>
      </c>
    </row>
    <row r="14" spans="1:13">
      <c r="B14" t="s">
        <v>81</v>
      </c>
      <c r="G14" t="s">
        <v>82</v>
      </c>
      <c r="J14" t="s">
        <v>123</v>
      </c>
    </row>
    <row r="15" spans="1:13" ht="19" thickBot="1">
      <c r="B15" t="s">
        <v>57</v>
      </c>
      <c r="D15" s="1" t="s">
        <v>58</v>
      </c>
    </row>
    <row r="16" spans="1:13">
      <c r="C16" t="s">
        <v>61</v>
      </c>
      <c r="D16" s="2" t="s">
        <v>62</v>
      </c>
      <c r="E16" t="s">
        <v>83</v>
      </c>
      <c r="J16" s="9"/>
      <c r="K16" s="9" t="s">
        <v>118</v>
      </c>
      <c r="L16" s="9" t="s">
        <v>120</v>
      </c>
    </row>
    <row r="17" spans="3:13">
      <c r="D17" s="3" t="s">
        <v>84</v>
      </c>
      <c r="J17" s="7" t="s">
        <v>67</v>
      </c>
      <c r="K17" s="7">
        <f t="shared" ref="K17:L19" si="0">K6</f>
        <v>175.1</v>
      </c>
      <c r="L17" s="7">
        <f t="shared" si="0"/>
        <v>173.7</v>
      </c>
    </row>
    <row r="18" spans="3:13">
      <c r="D18" s="3" t="s">
        <v>66</v>
      </c>
      <c r="J18" s="7" t="s">
        <v>68</v>
      </c>
      <c r="K18" s="7">
        <f t="shared" si="0"/>
        <v>1831.4333333333359</v>
      </c>
      <c r="L18" s="7">
        <f t="shared" si="0"/>
        <v>184.90000000000003</v>
      </c>
    </row>
    <row r="19" spans="3:13">
      <c r="C19" t="s">
        <v>85</v>
      </c>
      <c r="D19" s="4" t="s">
        <v>86</v>
      </c>
      <c r="I19" t="s">
        <v>88</v>
      </c>
      <c r="J19" s="7" t="s">
        <v>71</v>
      </c>
      <c r="K19" s="7">
        <f t="shared" si="0"/>
        <v>10</v>
      </c>
      <c r="L19" s="7">
        <f t="shared" si="0"/>
        <v>10</v>
      </c>
    </row>
    <row r="20" spans="3:13">
      <c r="D20" s="3" t="s">
        <v>87</v>
      </c>
      <c r="J20" s="7" t="s">
        <v>89</v>
      </c>
      <c r="K20" s="7">
        <v>0</v>
      </c>
      <c r="L20" s="7"/>
      <c r="M20">
        <f>(K18/K19 + L18/L19)^2</f>
        <v>40656.001111111225</v>
      </c>
    </row>
    <row r="21" spans="3:13">
      <c r="I21" t="s">
        <v>90</v>
      </c>
      <c r="J21" s="7" t="s">
        <v>74</v>
      </c>
      <c r="K21">
        <f>ROUNDUP(M20/M21, 0)</f>
        <v>11</v>
      </c>
      <c r="L21" s="7"/>
      <c r="M21">
        <f>(K18/K19)^2/(K19-1) + (L18/L19)^2/(L19-1)</f>
        <v>3764.8178493827272</v>
      </c>
    </row>
    <row r="22" spans="3:13">
      <c r="I22" t="s">
        <v>57</v>
      </c>
      <c r="J22" s="7" t="s">
        <v>91</v>
      </c>
      <c r="K22">
        <f>(K17-L17)/SQRT(K18/K19+L18/L19)</f>
        <v>9.8593179164089884E-2</v>
      </c>
      <c r="L22" s="7"/>
    </row>
    <row r="23" spans="3:13">
      <c r="J23" s="7" t="s">
        <v>92</v>
      </c>
      <c r="K23">
        <f>_xlfn.T.DIST.RT(K22, K21)</f>
        <v>0.46161750063056384</v>
      </c>
      <c r="L23" s="7"/>
    </row>
    <row r="24" spans="3:13">
      <c r="J24" s="7" t="s">
        <v>93</v>
      </c>
      <c r="K24">
        <f>_xlfn.T.INV(1-0.05,K21)</f>
        <v>1.795884818704043</v>
      </c>
      <c r="L24" s="7"/>
    </row>
    <row r="25" spans="3:13">
      <c r="I25" t="s">
        <v>95</v>
      </c>
      <c r="J25" s="7" t="s">
        <v>94</v>
      </c>
      <c r="K25">
        <f>_xlfn.T.DIST.2T(K22,K21)</f>
        <v>0.92323500126112767</v>
      </c>
      <c r="L25" s="7"/>
      <c r="M25" t="s">
        <v>124</v>
      </c>
    </row>
    <row r="26" spans="3:13" ht="19" thickBot="1">
      <c r="J26" s="8" t="s">
        <v>96</v>
      </c>
      <c r="K26" s="8">
        <f>_xlfn.T.INV.2T(0.05,K21)</f>
        <v>2.2009851600916384</v>
      </c>
      <c r="L26" s="8"/>
      <c r="M26" t="s">
        <v>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55A5-E0FC-9447-86EA-4E728CB23BD7}">
  <dimension ref="A2:P17"/>
  <sheetViews>
    <sheetView tabSelected="1" zoomScaleNormal="100" workbookViewId="0">
      <selection activeCell="G4" sqref="G4"/>
    </sheetView>
  </sheetViews>
  <sheetFormatPr baseColWidth="10" defaultRowHeight="18"/>
  <cols>
    <col min="14" max="14" width="12.7109375" bestFit="1" customWidth="1"/>
  </cols>
  <sheetData>
    <row r="2" spans="1:16">
      <c r="G2" t="s">
        <v>97</v>
      </c>
      <c r="I2" t="s">
        <v>141</v>
      </c>
    </row>
    <row r="3" spans="1:16">
      <c r="A3" t="s">
        <v>98</v>
      </c>
      <c r="B3" t="s">
        <v>99</v>
      </c>
      <c r="G3" t="s">
        <v>100</v>
      </c>
      <c r="H3" t="s">
        <v>129</v>
      </c>
      <c r="I3" t="s">
        <v>131</v>
      </c>
      <c r="J3" t="s">
        <v>101</v>
      </c>
      <c r="N3" t="s">
        <v>135</v>
      </c>
    </row>
    <row r="4" spans="1:16" ht="19" thickBot="1">
      <c r="B4" t="s">
        <v>102</v>
      </c>
      <c r="H4" s="5">
        <v>8</v>
      </c>
      <c r="I4" s="5">
        <v>5</v>
      </c>
      <c r="N4" s="10">
        <f>H4-I4</f>
        <v>3</v>
      </c>
      <c r="O4" t="s">
        <v>132</v>
      </c>
      <c r="P4" s="10">
        <f>AVERAGE(N4:N15)</f>
        <v>2.5</v>
      </c>
    </row>
    <row r="5" spans="1:16">
      <c r="B5" s="6" t="s">
        <v>103</v>
      </c>
      <c r="H5" s="5">
        <v>12</v>
      </c>
      <c r="I5" s="5">
        <v>3</v>
      </c>
      <c r="J5" s="9"/>
      <c r="K5" s="9" t="s">
        <v>128</v>
      </c>
      <c r="L5" s="9" t="s">
        <v>130</v>
      </c>
      <c r="N5" s="10">
        <f t="shared" ref="N5:N15" si="0">H5-I5</f>
        <v>9</v>
      </c>
      <c r="O5" t="s">
        <v>136</v>
      </c>
      <c r="P5">
        <f>_xlfn.VAR.S(N4:N15)</f>
        <v>7.7272727272727275</v>
      </c>
    </row>
    <row r="6" spans="1:16">
      <c r="B6" t="s">
        <v>104</v>
      </c>
      <c r="D6" t="s">
        <v>105</v>
      </c>
      <c r="H6" s="5">
        <v>5</v>
      </c>
      <c r="I6" s="5">
        <v>2</v>
      </c>
      <c r="J6" s="7" t="s">
        <v>67</v>
      </c>
      <c r="K6" s="7">
        <v>5.666666666666667</v>
      </c>
      <c r="L6" s="7">
        <v>3.1666666666666665</v>
      </c>
      <c r="M6" s="5">
        <f>AVERAGE(H4:H15)</f>
        <v>5.666666666666667</v>
      </c>
      <c r="N6" s="10">
        <f t="shared" si="0"/>
        <v>3</v>
      </c>
      <c r="O6" t="s">
        <v>137</v>
      </c>
      <c r="P6">
        <f>COUNT(H4:H15)</f>
        <v>12</v>
      </c>
    </row>
    <row r="7" spans="1:16">
      <c r="B7" t="s">
        <v>106</v>
      </c>
      <c r="H7" s="5">
        <v>4</v>
      </c>
      <c r="I7" s="5">
        <v>1</v>
      </c>
      <c r="J7" s="7" t="s">
        <v>68</v>
      </c>
      <c r="K7" s="7">
        <v>8.242424242424244</v>
      </c>
      <c r="L7" s="7">
        <v>1.6060606060606064</v>
      </c>
      <c r="N7" s="10">
        <f t="shared" si="0"/>
        <v>3</v>
      </c>
    </row>
    <row r="8" spans="1:16">
      <c r="B8" t="s">
        <v>57</v>
      </c>
      <c r="H8" s="5">
        <v>6</v>
      </c>
      <c r="I8" s="5">
        <v>4</v>
      </c>
      <c r="J8" s="7" t="s">
        <v>71</v>
      </c>
      <c r="K8" s="7">
        <v>12</v>
      </c>
      <c r="L8" s="7">
        <v>12</v>
      </c>
      <c r="N8" s="10">
        <f t="shared" si="0"/>
        <v>2</v>
      </c>
      <c r="O8" t="s">
        <v>133</v>
      </c>
      <c r="P8">
        <f>P6-1</f>
        <v>11</v>
      </c>
    </row>
    <row r="9" spans="1:16">
      <c r="B9" t="s">
        <v>107</v>
      </c>
      <c r="H9" s="5">
        <v>3</v>
      </c>
      <c r="I9" s="5">
        <v>2</v>
      </c>
      <c r="J9" s="7" t="s">
        <v>108</v>
      </c>
      <c r="K9" s="7">
        <v>0.29150476453558666</v>
      </c>
      <c r="L9" s="7"/>
      <c r="N9" s="10">
        <f t="shared" si="0"/>
        <v>1</v>
      </c>
      <c r="O9" t="s">
        <v>134</v>
      </c>
      <c r="P9">
        <f>P4/SQRT(P5/P6)</f>
        <v>3.115426512203614</v>
      </c>
    </row>
    <row r="10" spans="1:16">
      <c r="B10" t="s">
        <v>109</v>
      </c>
      <c r="H10" s="5">
        <v>4</v>
      </c>
      <c r="I10" s="5">
        <v>2</v>
      </c>
      <c r="J10" s="7" t="s">
        <v>89</v>
      </c>
      <c r="K10" s="7">
        <v>0</v>
      </c>
      <c r="L10" s="7"/>
      <c r="N10" s="10">
        <f t="shared" si="0"/>
        <v>2</v>
      </c>
      <c r="O10" t="s">
        <v>138</v>
      </c>
      <c r="P10">
        <f>_xlfn.T.DIST.RT(P9,P8)</f>
        <v>4.914925644505231E-3</v>
      </c>
    </row>
    <row r="11" spans="1:16">
      <c r="B11" t="s">
        <v>110</v>
      </c>
      <c r="H11" s="5">
        <v>3</v>
      </c>
      <c r="I11" s="5">
        <v>4</v>
      </c>
      <c r="J11" s="7" t="s">
        <v>74</v>
      </c>
      <c r="K11" s="7">
        <v>11</v>
      </c>
      <c r="L11" s="7"/>
      <c r="M11" t="s">
        <v>90</v>
      </c>
      <c r="N11" s="10">
        <f t="shared" si="0"/>
        <v>-1</v>
      </c>
      <c r="O11" t="s">
        <v>139</v>
      </c>
      <c r="P11">
        <f>_xlfn.T.INV(1-0.05,P8)</f>
        <v>1.795884818704043</v>
      </c>
    </row>
    <row r="12" spans="1:16">
      <c r="H12" s="5">
        <v>2</v>
      </c>
      <c r="I12" s="5">
        <v>3</v>
      </c>
      <c r="J12" s="7" t="s">
        <v>91</v>
      </c>
      <c r="K12" s="7">
        <v>3.115426512203614</v>
      </c>
      <c r="L12" s="7"/>
      <c r="M12" t="s">
        <v>111</v>
      </c>
      <c r="N12" s="10">
        <f t="shared" si="0"/>
        <v>-1</v>
      </c>
      <c r="O12" t="s">
        <v>140</v>
      </c>
      <c r="P12">
        <f>_xlfn.T.INV.2T(0.05,P8)</f>
        <v>2.2009851600916384</v>
      </c>
    </row>
    <row r="13" spans="1:16">
      <c r="C13" t="s">
        <v>112</v>
      </c>
      <c r="H13" s="5">
        <v>6</v>
      </c>
      <c r="I13" s="5">
        <v>5</v>
      </c>
      <c r="J13" s="7" t="s">
        <v>92</v>
      </c>
      <c r="K13" s="7">
        <v>4.914925644505231E-3</v>
      </c>
      <c r="L13" s="7"/>
      <c r="M13" t="s">
        <v>113</v>
      </c>
      <c r="N13" s="10">
        <f t="shared" si="0"/>
        <v>1</v>
      </c>
    </row>
    <row r="14" spans="1:16">
      <c r="C14" t="s">
        <v>114</v>
      </c>
      <c r="H14" s="5">
        <v>6</v>
      </c>
      <c r="I14" s="5">
        <v>4</v>
      </c>
      <c r="J14" s="7" t="s">
        <v>93</v>
      </c>
      <c r="K14" s="7">
        <v>1.7958848187040437</v>
      </c>
      <c r="L14" s="7"/>
      <c r="N14" s="10">
        <f t="shared" si="0"/>
        <v>2</v>
      </c>
    </row>
    <row r="15" spans="1:16">
      <c r="C15" t="s">
        <v>115</v>
      </c>
      <c r="H15" s="5">
        <v>9</v>
      </c>
      <c r="I15" s="5">
        <v>3</v>
      </c>
      <c r="J15" s="7" t="s">
        <v>94</v>
      </c>
      <c r="K15" s="7">
        <v>9.829851289010462E-3</v>
      </c>
      <c r="L15" s="7"/>
      <c r="N15" s="10">
        <f t="shared" si="0"/>
        <v>6</v>
      </c>
    </row>
    <row r="16" spans="1:16" ht="19" thickBot="1">
      <c r="C16" t="s">
        <v>116</v>
      </c>
      <c r="J16" s="8" t="s">
        <v>96</v>
      </c>
      <c r="K16" s="8">
        <v>2.2009851600916384</v>
      </c>
      <c r="L16" s="8"/>
    </row>
    <row r="17" spans="3:3">
      <c r="C17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모평균 비교.2</vt:lpstr>
      <vt:lpstr>모평균 비교.t-paired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JohnSmith</cp:lastModifiedBy>
  <dcterms:created xsi:type="dcterms:W3CDTF">2019-04-20T02:47:04Z</dcterms:created>
  <dcterms:modified xsi:type="dcterms:W3CDTF">2019-06-04T14:42:54Z</dcterms:modified>
</cp:coreProperties>
</file>