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lkien/work/misc/R/"/>
    </mc:Choice>
  </mc:AlternateContent>
  <xr:revisionPtr revIDLastSave="0" documentId="13_ncr:1_{D0CF19F9-C62D-6C44-8DE7-DC9F23F011D5}" xr6:coauthVersionLast="43" xr6:coauthVersionMax="43" xr10:uidLastSave="{00000000-0000-0000-0000-000000000000}"/>
  <bookViews>
    <workbookView xWindow="960" yWindow="460" windowWidth="26360" windowHeight="14900" activeTab="9" xr2:uid="{67B1CA6F-5820-064F-AD42-D7A4C2160BED}"/>
  </bookViews>
  <sheets>
    <sheet name="Sheet1" sheetId="1" r:id="rId1"/>
    <sheet name="기술통계량" sheetId="2" r:id="rId2"/>
    <sheet name="Histogram" sheetId="3" r:id="rId3"/>
    <sheet name="고급필터" sheetId="5" r:id="rId4"/>
    <sheet name="해 찾기" sheetId="4" r:id="rId5"/>
    <sheet name="확률분포" sheetId="6" r:id="rId6"/>
    <sheet name="추정과 검정" sheetId="7" r:id="rId7"/>
    <sheet name="범주형 데이터 분석" sheetId="8" r:id="rId8"/>
    <sheet name="모평균 비교" sheetId="9" r:id="rId9"/>
    <sheet name="모평균 비교.2" sheetId="11" r:id="rId10"/>
    <sheet name="분산분석" sheetId="10" r:id="rId11"/>
  </sheets>
  <definedNames>
    <definedName name="_xlnm._FilterDatabase" localSheetId="3" hidden="1">고급필터!$A$5:$H$20</definedName>
    <definedName name="_xlnm.Criteria" localSheetId="3">고급필터!$B$2:$H$3</definedName>
    <definedName name="solver_adj" localSheetId="4" hidden="1">'해 찾기'!$B$7:$B$8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itr" localSheetId="4" hidden="1">2147483647</definedName>
    <definedName name="solver_lhs1" localSheetId="4" hidden="1">'해 찾기'!$B$10</definedName>
    <definedName name="solver_lhs2" localSheetId="4" hidden="1">'해 찾기'!$B$11</definedName>
    <definedName name="solver_lhs3" localSheetId="4" hidden="1">'해 찾기'!$B$7</definedName>
    <definedName name="solver_lhs4" localSheetId="4" hidden="1">'해 찾기'!$B$8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4</definedName>
    <definedName name="solver_opt" localSheetId="4" hidden="1">'해 찾기'!$B$13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1</definedName>
    <definedName name="solver_rel3" localSheetId="4" hidden="1">3</definedName>
    <definedName name="solver_rel4" localSheetId="4" hidden="1">3</definedName>
    <definedName name="solver_rhs1" localSheetId="4" hidden="1">'해 찾기'!$D$3</definedName>
    <definedName name="solver_rhs2" localSheetId="4" hidden="1">'해 찾기'!$D$4</definedName>
    <definedName name="solver_rhs3" localSheetId="4" hidden="1">0</definedName>
    <definedName name="solver_rhs4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91029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1" l="1"/>
  <c r="F19" i="11" s="1"/>
  <c r="E8" i="11"/>
  <c r="E19" i="11" s="1"/>
  <c r="F7" i="11"/>
  <c r="F18" i="11" s="1"/>
  <c r="E7" i="11"/>
  <c r="E18" i="11" s="1"/>
  <c r="F6" i="11"/>
  <c r="F17" i="11" s="1"/>
  <c r="E6" i="11"/>
  <c r="E17" i="11" s="1"/>
  <c r="K27" i="9"/>
  <c r="K26" i="9"/>
  <c r="K25" i="9"/>
  <c r="K24" i="9"/>
  <c r="K23" i="9"/>
  <c r="K22" i="9"/>
  <c r="K20" i="9"/>
  <c r="L17" i="9"/>
  <c r="L18" i="9"/>
  <c r="L19" i="9"/>
  <c r="K18" i="9"/>
  <c r="K19" i="9"/>
  <c r="K17" i="9"/>
  <c r="O12" i="9"/>
  <c r="O11" i="9"/>
  <c r="O10" i="9"/>
  <c r="L8" i="9"/>
  <c r="L9" i="9" s="1"/>
  <c r="K8" i="9"/>
  <c r="K9" i="9" s="1"/>
  <c r="K12" i="9" s="1"/>
  <c r="L7" i="9"/>
  <c r="K7" i="9"/>
  <c r="K10" i="9" s="1"/>
  <c r="K11" i="9" s="1"/>
  <c r="L6" i="9"/>
  <c r="K6" i="9"/>
  <c r="E22" i="11" l="1"/>
  <c r="G21" i="11"/>
  <c r="G20" i="11"/>
  <c r="E9" i="11"/>
  <c r="E10" i="11"/>
  <c r="F9" i="11"/>
  <c r="N20" i="10"/>
  <c r="E11" i="11" l="1"/>
  <c r="E21" i="11"/>
  <c r="E25" i="11"/>
  <c r="E23" i="1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" i="8"/>
  <c r="E26" i="11" l="1"/>
  <c r="E24" i="11"/>
  <c r="C27" i="6"/>
  <c r="C13" i="6"/>
  <c r="C7" i="6"/>
  <c r="G8" i="4" l="1"/>
  <c r="G4" i="4"/>
  <c r="G10" i="4" s="1"/>
  <c r="G11" i="4" s="1"/>
  <c r="H6" i="5"/>
  <c r="H7" i="5"/>
  <c r="H8" i="5"/>
  <c r="H16" i="5"/>
  <c r="H10" i="5"/>
  <c r="H14" i="5"/>
  <c r="H12" i="5"/>
  <c r="H19" i="5"/>
  <c r="H9" i="5"/>
  <c r="H17" i="5"/>
  <c r="H18" i="5"/>
  <c r="H13" i="5"/>
  <c r="H15" i="5"/>
  <c r="H11" i="5"/>
  <c r="H20" i="5"/>
  <c r="B13" i="4"/>
  <c r="B11" i="4"/>
  <c r="B10" i="4"/>
  <c r="J19" i="1"/>
  <c r="H23" i="1" l="1"/>
  <c r="F25" i="1"/>
  <c r="E25" i="1"/>
  <c r="F23" i="1"/>
  <c r="F22" i="1"/>
  <c r="E22" i="1"/>
  <c r="G21" i="1"/>
  <c r="E24" i="1" s="1"/>
  <c r="E21" i="1"/>
  <c r="E20" i="1"/>
  <c r="E19" i="1"/>
  <c r="G18" i="1"/>
  <c r="E18" i="1"/>
  <c r="E26" i="1" s="1"/>
  <c r="J3" i="1"/>
  <c r="J2" i="1"/>
  <c r="I3" i="1"/>
  <c r="I2" i="1"/>
  <c r="B2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B22" i="1"/>
  <c r="B21" i="1"/>
  <c r="B20" i="1"/>
  <c r="B19" i="1"/>
</calcChain>
</file>

<file path=xl/sharedStrings.xml><?xml version="1.0" encoding="utf-8"?>
<sst xmlns="http://schemas.openxmlformats.org/spreadsheetml/2006/main" count="705" uniqueCount="477">
  <si>
    <t>번호</t>
    <phoneticPr fontId="2" type="noConversion"/>
  </si>
  <si>
    <t>name</t>
    <phoneticPr fontId="2" type="noConversion"/>
  </si>
  <si>
    <t>kor</t>
  </si>
  <si>
    <t>kor</t>
    <phoneticPr fontId="2" type="noConversion"/>
  </si>
  <si>
    <t>eng</t>
  </si>
  <si>
    <t>eng</t>
    <phoneticPr fontId="2" type="noConversion"/>
  </si>
  <si>
    <t>math</t>
  </si>
  <si>
    <t>math</t>
    <phoneticPr fontId="2" type="noConversion"/>
  </si>
  <si>
    <t>society</t>
  </si>
  <si>
    <t>society</t>
    <phoneticPr fontId="2" type="noConversion"/>
  </si>
  <si>
    <t>science</t>
  </si>
  <si>
    <t>science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</si>
  <si>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</si>
  <si>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</si>
  <si>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</si>
  <si>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</si>
  <si>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</si>
  <si>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</si>
  <si>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</si>
  <si>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</si>
  <si>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</si>
  <si>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</si>
  <si>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</si>
  <si>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문자연산자</t>
    <phoneticPr fontId="2" type="noConversion"/>
  </si>
  <si>
    <t>비교연산자</t>
    <phoneticPr fontId="2" type="noConversion"/>
  </si>
  <si>
    <t xml:space="preserve">, (합집합) </t>
    <phoneticPr fontId="2" type="noConversion"/>
  </si>
  <si>
    <t>공백 (교집합)</t>
    <phoneticPr fontId="2" type="noConversion"/>
  </si>
  <si>
    <t>sum</t>
    <phoneticPr fontId="2" type="noConversion"/>
  </si>
  <si>
    <t>function</t>
    <phoneticPr fontId="2" type="noConversion"/>
  </si>
  <si>
    <t>avg</t>
    <phoneticPr fontId="2" type="noConversion"/>
  </si>
  <si>
    <t>합격?</t>
    <phoneticPr fontId="2" type="noConversion"/>
  </si>
  <si>
    <t>평균</t>
    <phoneticPr fontId="2" type="noConversion"/>
  </si>
  <si>
    <t>중앙값</t>
    <phoneticPr fontId="2" type="noConversion"/>
  </si>
  <si>
    <t>최빈값</t>
    <phoneticPr fontId="2" type="noConversion"/>
  </si>
  <si>
    <t>분산</t>
    <phoneticPr fontId="2" type="noConversion"/>
  </si>
  <si>
    <t>표준편차</t>
    <phoneticPr fontId="2" type="noConversion"/>
  </si>
  <si>
    <t>범위</t>
    <phoneticPr fontId="2" type="noConversion"/>
  </si>
  <si>
    <t>Q1</t>
    <phoneticPr fontId="2" type="noConversion"/>
  </si>
  <si>
    <t>사분위수(IQR)</t>
    <phoneticPr fontId="2" type="noConversion"/>
  </si>
  <si>
    <t>변동계수(CV)</t>
    <phoneticPr fontId="2" type="noConversion"/>
  </si>
  <si>
    <t>산포측도</t>
    <phoneticPr fontId="2" type="noConversion"/>
  </si>
  <si>
    <t>대표값</t>
    <phoneticPr fontId="2" type="noConversion"/>
  </si>
  <si>
    <t>상대적</t>
    <phoneticPr fontId="2" type="noConversion"/>
  </si>
  <si>
    <t>위치의 측도</t>
    <phoneticPr fontId="2" type="noConversion"/>
  </si>
  <si>
    <t>백분위수</t>
    <phoneticPr fontId="2" type="noConversion"/>
  </si>
  <si>
    <t>표준화 점수</t>
    <phoneticPr fontId="2" type="noConversion"/>
  </si>
  <si>
    <t>(데이타의 z-값)</t>
    <phoneticPr fontId="2" type="noConversion"/>
  </si>
  <si>
    <t>절사 평균</t>
    <phoneticPr fontId="2" type="noConversion"/>
  </si>
  <si>
    <t>기술통계량</t>
    <phoneticPr fontId="2" type="noConversion"/>
  </si>
  <si>
    <t>사분위수범위</t>
    <phoneticPr fontId="2" type="noConversion"/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</si>
  <si>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</si>
  <si>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</si>
  <si>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</si>
  <si>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</si>
  <si>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</si>
  <si>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</si>
  <si>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</si>
  <si>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</si>
  <si>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</si>
  <si>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</si>
  <si>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</si>
  <si>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</si>
  <si>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</si>
  <si>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데이터 -&gt; 분석 -&gt; 데이터분석 -&gt; 기술 통계법(Descriptive Statistics)</t>
    <phoneticPr fontId="2" type="noConversion"/>
  </si>
  <si>
    <t>stem-leaf plot</t>
    <phoneticPr fontId="2" type="noConversion"/>
  </si>
  <si>
    <t>box plot</t>
    <phoneticPr fontId="2" type="noConversion"/>
  </si>
  <si>
    <t>(min, Q1, Q2(median), Q3, max)</t>
    <phoneticPr fontId="2" type="noConversion"/>
  </si>
  <si>
    <t>Bin</t>
  </si>
  <si>
    <t>More</t>
  </si>
  <si>
    <t>Frequency</t>
  </si>
  <si>
    <t>KESS</t>
    <phoneticPr fontId="2" type="noConversion"/>
  </si>
  <si>
    <t>DataBase</t>
    <phoneticPr fontId="2" type="noConversion"/>
  </si>
  <si>
    <t>DSUM</t>
    <phoneticPr fontId="2" type="noConversion"/>
  </si>
  <si>
    <t>D+FnName</t>
    <phoneticPr fontId="2" type="noConversion"/>
  </si>
  <si>
    <t>데이터 -&gt; 가상도구 -&gt; 목표값</t>
    <phoneticPr fontId="2" type="noConversion"/>
  </si>
  <si>
    <t>목표값 찾기</t>
    <phoneticPr fontId="2" type="noConversion"/>
  </si>
  <si>
    <t>식탁용 의자</t>
    <phoneticPr fontId="2" type="noConversion"/>
  </si>
  <si>
    <t>식탁</t>
    <phoneticPr fontId="2" type="noConversion"/>
  </si>
  <si>
    <t>가용자원</t>
    <phoneticPr fontId="2" type="noConversion"/>
  </si>
  <si>
    <t>이익(천원/개)</t>
    <phoneticPr fontId="2" type="noConversion"/>
  </si>
  <si>
    <t>노동시간(시간)</t>
    <phoneticPr fontId="2" type="noConversion"/>
  </si>
  <si>
    <t>목재(board feet)</t>
    <phoneticPr fontId="2" type="noConversion"/>
  </si>
  <si>
    <t>생산한 의자의 갯수</t>
    <phoneticPr fontId="2" type="noConversion"/>
  </si>
  <si>
    <t>생산한 식탁의 갯수</t>
    <phoneticPr fontId="2" type="noConversion"/>
  </si>
  <si>
    <t>사용한 목재의 총량</t>
    <phoneticPr fontId="2" type="noConversion"/>
  </si>
  <si>
    <t>사용한 노동시간의 총량</t>
    <phoneticPr fontId="2" type="noConversion"/>
  </si>
  <si>
    <t>총 이익</t>
    <phoneticPr fontId="2" type="noConversion"/>
  </si>
  <si>
    <t>도구 -&gt; 추가기능 -&gt; Solver 추가</t>
    <phoneticPr fontId="2" type="noConversion"/>
  </si>
  <si>
    <t>데이터 -&gt; 해 찾기</t>
    <phoneticPr fontId="2" type="noConversion"/>
  </si>
  <si>
    <t>&gt;= 50</t>
    <phoneticPr fontId="2" type="noConversion"/>
  </si>
  <si>
    <t>판매가</t>
    <phoneticPr fontId="2" type="noConversion"/>
  </si>
  <si>
    <t>판매대수</t>
    <phoneticPr fontId="2" type="noConversion"/>
  </si>
  <si>
    <t>이익</t>
    <phoneticPr fontId="2" type="noConversion"/>
  </si>
  <si>
    <t>이익율</t>
    <phoneticPr fontId="2" type="noConversion"/>
  </si>
  <si>
    <t>판매원가</t>
    <phoneticPr fontId="2" type="noConversion"/>
  </si>
  <si>
    <t>고정비용</t>
    <phoneticPr fontId="2" type="noConversion"/>
  </si>
  <si>
    <t>총 비용</t>
    <phoneticPr fontId="2" type="noConversion"/>
  </si>
  <si>
    <t>총 수입</t>
    <phoneticPr fontId="2" type="noConversion"/>
  </si>
  <si>
    <t>데이터 -&gt; 가상분석 -&gt; 목표값</t>
    <phoneticPr fontId="2" type="noConversion"/>
  </si>
  <si>
    <t>이항분포</t>
    <phoneticPr fontId="2" type="noConversion"/>
  </si>
  <si>
    <t>X ~ B(n, p)</t>
    <phoneticPr fontId="2" type="noConversion"/>
  </si>
  <si>
    <t>E(X) = np</t>
    <phoneticPr fontId="2" type="noConversion"/>
  </si>
  <si>
    <t>Var(X) = np(1-p)</t>
    <phoneticPr fontId="2" type="noConversion"/>
  </si>
  <si>
    <t>BINOMDIST(x,n,p,1) == P(X &lt;= x)</t>
    <phoneticPr fontId="2" type="noConversion"/>
  </si>
  <si>
    <t>BINOMDIST(x,n,p,0) == P(X = x)</t>
    <phoneticPr fontId="2" type="noConversion"/>
  </si>
  <si>
    <t>포아송 분포</t>
    <phoneticPr fontId="2" type="noConversion"/>
  </si>
  <si>
    <t>시행횟수, 성공율로 표현하기 힘든 사건</t>
    <phoneticPr fontId="2" type="noConversion"/>
  </si>
  <si>
    <t>X ~ Poisson(m)</t>
    <phoneticPr fontId="2" type="noConversion"/>
  </si>
  <si>
    <t>n번 시행, x번 발생, 확률 p</t>
    <phoneticPr fontId="2" type="noConversion"/>
  </si>
  <si>
    <t>단위당 평균발생 m</t>
    <phoneticPr fontId="2" type="noConversion"/>
  </si>
  <si>
    <t>P(X = x) = (e^(-m)m^x)/x!</t>
    <phoneticPr fontId="2" type="noConversion"/>
  </si>
  <si>
    <t>(발생확률이 아주 작은 경우)</t>
    <phoneticPr fontId="2" type="noConversion"/>
  </si>
  <si>
    <t>이산 확률 분포</t>
    <phoneticPr fontId="2" type="noConversion"/>
  </si>
  <si>
    <t>p(x) = P(X = x) = (n x)p^x(1-p)^(n-x)</t>
    <phoneticPr fontId="2" type="noConversion"/>
  </si>
  <si>
    <t>POISSON(x, m, 1) == P(X &lt;= x)</t>
    <phoneticPr fontId="2" type="noConversion"/>
  </si>
  <si>
    <t>POISSON(x, m, 0) == P(X = x)</t>
    <phoneticPr fontId="2" type="noConversion"/>
  </si>
  <si>
    <t>연속 확률 분포</t>
    <phoneticPr fontId="2" type="noConversion"/>
  </si>
  <si>
    <t>균등분포</t>
    <phoneticPr fontId="2" type="noConversion"/>
  </si>
  <si>
    <t>정규분포</t>
    <phoneticPr fontId="2" type="noConversion"/>
  </si>
  <si>
    <t>X ~ U(a, b)</t>
    <phoneticPr fontId="2" type="noConversion"/>
  </si>
  <si>
    <t>f(x) = 1 / (b - a) if a &lt;= x &lt;= b</t>
    <phoneticPr fontId="2" type="noConversion"/>
  </si>
  <si>
    <t>=(b - a) * RAND() + a</t>
    <phoneticPr fontId="2" type="noConversion"/>
  </si>
  <si>
    <t>X ~ N(u, s^2)</t>
    <phoneticPr fontId="2" type="noConversion"/>
  </si>
  <si>
    <t>평균 u, 표준편차 sigma</t>
    <phoneticPr fontId="2" type="noConversion"/>
  </si>
  <si>
    <t>f(x) - sqrt(2 pi s)^(-1) exp(-(x - u)^2/(2 s^2))</t>
    <phoneticPr fontId="2" type="noConversion"/>
  </si>
  <si>
    <t>P(|u-s| &lt; X) = 0.683</t>
    <phoneticPr fontId="2" type="noConversion"/>
  </si>
  <si>
    <t>P(|u-2s| &lt; X) = 0.954</t>
    <phoneticPr fontId="2" type="noConversion"/>
  </si>
  <si>
    <t>P(|u-3s| &lt; X) = 0.997</t>
    <phoneticPr fontId="2" type="noConversion"/>
  </si>
  <si>
    <t>Z = (X - u) / sigma</t>
    <phoneticPr fontId="2" type="noConversion"/>
  </si>
  <si>
    <t>정규분포의</t>
    <phoneticPr fontId="2" type="noConversion"/>
  </si>
  <si>
    <t>표준화</t>
    <phoneticPr fontId="2" type="noConversion"/>
  </si>
  <si>
    <t>P(X &lt; x) = P(Z &lt; (x -u)/sigma)</t>
    <phoneticPr fontId="2" type="noConversion"/>
  </si>
  <si>
    <t>Z ~ N(0, 1)</t>
    <phoneticPr fontId="2" type="noConversion"/>
  </si>
  <si>
    <t>P(Z &lt;= -a) = P(Z &lt;= a)</t>
    <phoneticPr fontId="2" type="noConversion"/>
  </si>
  <si>
    <t>P(Z &gt;= a) = 1 - P(Z &lt; a)</t>
    <phoneticPr fontId="2" type="noConversion"/>
  </si>
  <si>
    <t>P(a &lt;= Z &lt;= b) = P(Z &lt;= b) - P(Z &lt; a)</t>
    <phoneticPr fontId="2" type="noConversion"/>
  </si>
  <si>
    <t xml:space="preserve">Z_a == P(Z &gt;= Z_a) = a를 만족하는 값 </t>
    <phoneticPr fontId="2" type="noConversion"/>
  </si>
  <si>
    <t>NORMDIST(x, u, sigma, 1) == P(X &lt;= x)</t>
    <phoneticPr fontId="2" type="noConversion"/>
  </si>
  <si>
    <t>NORMDIST(x, u, sigma, 0) == P(X = x)</t>
    <phoneticPr fontId="2" type="noConversion"/>
  </si>
  <si>
    <t>== P(X &gt;= 50) if N(40, 5^2)</t>
    <phoneticPr fontId="2" type="noConversion"/>
  </si>
  <si>
    <t>== P(X &gt;= 3) if m = 2</t>
    <phoneticPr fontId="2" type="noConversion"/>
  </si>
  <si>
    <t>== P(X &gt;= 3) if B(10, 0.05)</t>
    <phoneticPr fontId="2" type="noConversion"/>
  </si>
  <si>
    <t>NORM.INV(P(X = x), u, sigma) == x</t>
    <phoneticPr fontId="2" type="noConversion"/>
  </si>
  <si>
    <t>t-분포</t>
    <phoneticPr fontId="2" type="noConversion"/>
  </si>
  <si>
    <t>표본추출변동</t>
    <phoneticPr fontId="2" type="noConversion"/>
  </si>
  <si>
    <t>표집분포</t>
    <phoneticPr fontId="2" type="noConversion"/>
  </si>
  <si>
    <t>Random Sampling</t>
    <phoneticPr fontId="2" type="noConversion"/>
  </si>
  <si>
    <t>Sampling variabiity</t>
    <phoneticPr fontId="2" type="noConversion"/>
  </si>
  <si>
    <t>랜덤표본</t>
    <phoneticPr fontId="2" type="noConversion"/>
  </si>
  <si>
    <t>추출된 표본에서 구한 표본평균이 달라지는 현상</t>
    <phoneticPr fontId="2" type="noConversion"/>
  </si>
  <si>
    <t>X`의 표본분포</t>
    <phoneticPr fontId="2" type="noConversion"/>
  </si>
  <si>
    <t>Sampling distribution</t>
    <phoneticPr fontId="2" type="noConversion"/>
  </si>
  <si>
    <t>or 표집분포</t>
    <phoneticPr fontId="2" type="noConversion"/>
  </si>
  <si>
    <t>통계량</t>
    <phoneticPr fontId="2" type="noConversion"/>
  </si>
  <si>
    <t>Statistic</t>
    <phoneticPr fontId="2" type="noConversion"/>
  </si>
  <si>
    <t>랜덤표본의 함수</t>
    <phoneticPr fontId="2" type="noConversion"/>
  </si>
  <si>
    <t>표본분포</t>
    <phoneticPr fontId="2" type="noConversion"/>
  </si>
  <si>
    <t>표본추출에 따른 통계량의 분포</t>
    <phoneticPr fontId="2" type="noConversion"/>
  </si>
  <si>
    <t>X`의 개념상 분포 if 무한 sampling</t>
    <phoneticPr fontId="2" type="noConversion"/>
  </si>
  <si>
    <t>표본평균 X`의 표본분포</t>
    <phoneticPr fontId="2" type="noConversion"/>
  </si>
  <si>
    <t>중심극한정리</t>
    <phoneticPr fontId="2" type="noConversion"/>
  </si>
  <si>
    <t>Central Limit Theorem</t>
    <phoneticPr fontId="2" type="noConversion"/>
  </si>
  <si>
    <t>if X` is not from N(u, s^2)</t>
    <phoneticPr fontId="2" type="noConversion"/>
  </si>
  <si>
    <t>이항분포의 정규근사</t>
    <phoneticPr fontId="2" type="noConversion"/>
  </si>
  <si>
    <t>N(np, np(1-p))</t>
    <phoneticPr fontId="2" type="noConversion"/>
  </si>
  <si>
    <t>X` ~ N(u, s^2/n), i.e. (X` - u)/(s / sqrt(n)) ~ N(0, 1)</t>
    <phoneticPr fontId="2" type="noConversion"/>
  </si>
  <si>
    <t>if sigma^2 is unknown, use below as sigma</t>
    <phoneticPr fontId="2" type="noConversion"/>
  </si>
  <si>
    <t>t ~ t(n - 1)</t>
    <phoneticPr fontId="2" type="noConversion"/>
  </si>
  <si>
    <t>(X` is a mean of sampling)</t>
    <phoneticPr fontId="2" type="noConversion"/>
  </si>
  <si>
    <t>TDIST(x, df, tails)</t>
    <phoneticPr fontId="2" type="noConversion"/>
  </si>
  <si>
    <t>tails = number of tails</t>
    <phoneticPr fontId="2" type="noConversion"/>
  </si>
  <si>
    <t>카이제곱분포</t>
    <phoneticPr fontId="2" type="noConversion"/>
  </si>
  <si>
    <t>Ka^2(n)</t>
    <phoneticPr fontId="2" type="noConversion"/>
  </si>
  <si>
    <t>Z_1^2 + … + Z_n^2 ~ Ka^2(n)</t>
    <phoneticPr fontId="2" type="noConversion"/>
  </si>
  <si>
    <t>S = sqrt( sum(X_i - X`)^2 / (n - 1) ).</t>
    <phoneticPr fontId="2" type="noConversion"/>
  </si>
  <si>
    <t>n = 자유도</t>
    <phoneticPr fontId="2" type="noConversion"/>
  </si>
  <si>
    <t>X_1, …, X_n is random sample from N(u, s^2)</t>
    <phoneticPr fontId="2" type="noConversion"/>
  </si>
  <si>
    <t>Ka^2 = ( (n-1) S^2 ) / s^2 ~ Ka^2(n - 1)</t>
    <phoneticPr fontId="2" type="noConversion"/>
  </si>
  <si>
    <t>where S^2 = sum(X_i - X`)^2 / (n - 1) is Var(X`)</t>
    <phoneticPr fontId="2" type="noConversion"/>
  </si>
  <si>
    <t>표본분산S의 표준분포</t>
    <phoneticPr fontId="2" type="noConversion"/>
  </si>
  <si>
    <t>X` ~ N(u, sigma^2/n)</t>
    <phoneticPr fontId="2" type="noConversion"/>
  </si>
  <si>
    <t>Then t = (X` - u) / (S / sqrt(n)) ~ t(tn - 1)</t>
    <phoneticPr fontId="2" type="noConversion"/>
  </si>
  <si>
    <t>두 정규 모집단의 비교시 유용한 분포</t>
    <phoneticPr fontId="2" type="noConversion"/>
  </si>
  <si>
    <t>X`-Y` ~ N(u_1 - u_2, (s_1^2/n_1) + (s_2^2/n_2))</t>
    <phoneticPr fontId="2" type="noConversion"/>
  </si>
  <si>
    <t>모평균의 비교</t>
    <phoneticPr fontId="2" type="noConversion"/>
  </si>
  <si>
    <t>공통분산 s^2의 합동표본분산 추정량</t>
    <phoneticPr fontId="2" type="noConversion"/>
  </si>
  <si>
    <t>( (X`-Y`) - (u_1 - u_2) ) / ( S_p sqrt(1/n_1 + 1/n_2) ) ~ t(n_1 + n_2 - 2)</t>
    <phoneticPr fontId="2" type="noConversion"/>
  </si>
  <si>
    <t>where S_p^2 = ( (n_1 - 1) S_1^2 + (n_2 - 1) S_2^2 ) / ( n_1 + n_2 - 2 )</t>
    <phoneticPr fontId="2" type="noConversion"/>
  </si>
  <si>
    <t>i.e. if s_1^2 = s_2^2</t>
    <phoneticPr fontId="2" type="noConversion"/>
  </si>
  <si>
    <t>F-분포</t>
    <phoneticPr fontId="2" type="noConversion"/>
  </si>
  <si>
    <t>F ~ F(v_1, v_2)</t>
    <phoneticPr fontId="2" type="noConversion"/>
  </si>
  <si>
    <t>V_1 ~ Ka^2(v_1), V_2 ~ Ka^2(v_2)</t>
    <phoneticPr fontId="2" type="noConversion"/>
  </si>
  <si>
    <t>df : 자유도(degree of freedom)</t>
    <phoneticPr fontId="2" type="noConversion"/>
  </si>
  <si>
    <t>Z_1, …, X_n is random samples from N(0, 1)</t>
    <phoneticPr fontId="2" type="noConversion"/>
  </si>
  <si>
    <t>F = ( V_1/v_1 )/( V_2/v_2 )</t>
    <phoneticPr fontId="2" type="noConversion"/>
  </si>
  <si>
    <t>where df is v_1, v_2</t>
    <phoneticPr fontId="2" type="noConversion"/>
  </si>
  <si>
    <t>https://yeominc.tistory.com/5</t>
  </si>
  <si>
    <t>자료의 측도</t>
    <phoneticPr fontId="2" type="noConversion"/>
  </si>
  <si>
    <t>이산형</t>
    <phoneticPr fontId="2" type="noConversion"/>
  </si>
  <si>
    <t>명목형 (nominal scale variable)</t>
    <phoneticPr fontId="2" type="noConversion"/>
  </si>
  <si>
    <t>순서형 (ordinal …)</t>
    <phoneticPr fontId="2" type="noConversion"/>
  </si>
  <si>
    <t>연속형</t>
    <phoneticPr fontId="2" type="noConversion"/>
  </si>
  <si>
    <t>구간형 (interval …)</t>
    <phoneticPr fontId="2" type="noConversion"/>
  </si>
  <si>
    <t>비율형 (ratio …)</t>
    <phoneticPr fontId="2" type="noConversion"/>
  </si>
  <si>
    <t>성별, 지역</t>
    <phoneticPr fontId="2" type="noConversion"/>
  </si>
  <si>
    <t>온도, IQ</t>
    <phoneticPr fontId="2" type="noConversion"/>
  </si>
  <si>
    <t>키, 몸무게</t>
    <phoneticPr fontId="2" type="noConversion"/>
  </si>
  <si>
    <t>표준 평균</t>
    <phoneticPr fontId="2" type="noConversion"/>
  </si>
  <si>
    <t>X` = sum(X_1 + … + X_n) / n</t>
    <phoneticPr fontId="2" type="noConversion"/>
  </si>
  <si>
    <t>X_a = a mean of sampling trial</t>
    <phoneticPr fontId="2" type="noConversion"/>
  </si>
  <si>
    <t>표준 분산</t>
    <phoneticPr fontId="2" type="noConversion"/>
  </si>
  <si>
    <t>S^2 = sum(X_i - X` ) / (n - 1)</t>
    <phoneticPr fontId="2" type="noConversion"/>
  </si>
  <si>
    <t>표준 오차</t>
    <phoneticPr fontId="2" type="noConversion"/>
  </si>
  <si>
    <t>S / sqrt(n)</t>
    <phoneticPr fontId="2" type="noConversion"/>
  </si>
  <si>
    <t>신뢰구간</t>
    <phoneticPr fontId="2" type="noConversion"/>
  </si>
  <si>
    <t>if X_i ~ N(u, sigma^2), i = 1, …, n</t>
    <phoneticPr fontId="2" type="noConversion"/>
  </si>
  <si>
    <t xml:space="preserve"> then X` ~ N(u, sigma^2/n), Z = (X` - u) / (sigma / sqrt(n)) ~ N(0, 1)</t>
    <phoneticPr fontId="2" type="noConversion"/>
  </si>
  <si>
    <t>( X` - Z_(a/2) sigma/sqrt(n) , X` + Z_(a/2) sigma/sqrt(n) )</t>
    <phoneticPr fontId="2" type="noConversion"/>
  </si>
  <si>
    <t>because sigma is unknown usually,</t>
    <phoneticPr fontId="2" type="noConversion"/>
  </si>
  <si>
    <t xml:space="preserve"> we estimate Sigma with Standard Variation S</t>
    <phoneticPr fontId="2" type="noConversion"/>
  </si>
  <si>
    <t>in that case, we use t-dist</t>
    <phoneticPr fontId="2" type="noConversion"/>
  </si>
  <si>
    <t>( X` - t_(n-1, a/2) S / sqrt(n), X` + t_(n-1, a/2) S /sqrt(n) )</t>
    <phoneticPr fontId="2" type="noConversion"/>
  </si>
  <si>
    <t>T.INV(a/2, n-1) == t_(n-1, a/2)</t>
    <phoneticPr fontId="2" type="noConversion"/>
  </si>
  <si>
    <t>모분산 추정</t>
    <phoneticPr fontId="2" type="noConversion"/>
  </si>
  <si>
    <t>CHI.INV</t>
    <phoneticPr fontId="2" type="noConversion"/>
  </si>
  <si>
    <t>( X` - Ka^2(n-1, a/2) , X` + Ka^2(n-1, a/2) )</t>
    <phoneticPr fontId="2" type="noConversion"/>
  </si>
  <si>
    <t>모비율 추정</t>
    <phoneticPr fontId="2" type="noConversion"/>
  </si>
  <si>
    <t>표본 추정</t>
    <phoneticPr fontId="2" type="noConversion"/>
  </si>
  <si>
    <t>p` = X / n</t>
    <phoneticPr fontId="2" type="noConversion"/>
  </si>
  <si>
    <t>Var(p`) = Var( X/n ) = ( p (1 - p) )/n</t>
    <phoneticPr fontId="2" type="noConversion"/>
  </si>
  <si>
    <t>연속데이터(ex, 나이)를 범주형 데이터(ex, 50대)로 변환</t>
    <phoneticPr fontId="2" type="noConversion"/>
  </si>
  <si>
    <t>=if(…)</t>
    <phoneticPr fontId="2" type="noConversion"/>
  </si>
  <si>
    <t>-&gt; 빈도표</t>
    <phoneticPr fontId="2" type="noConversion"/>
  </si>
  <si>
    <t>Menu -&gt; Insert -&gt; Pivot Table</t>
    <phoneticPr fontId="2" type="noConversion"/>
  </si>
  <si>
    <t>No</t>
    <phoneticPr fontId="2" type="noConversion"/>
  </si>
  <si>
    <t>Gender</t>
    <phoneticPr fontId="2" type="noConversion"/>
  </si>
  <si>
    <t>education</t>
    <phoneticPr fontId="2" type="noConversion"/>
  </si>
  <si>
    <t>age</t>
    <phoneticPr fontId="2" type="noConversion"/>
  </si>
  <si>
    <t>나이범주</t>
    <phoneticPr fontId="2" type="noConversion"/>
  </si>
  <si>
    <t>열 레이블</t>
  </si>
  <si>
    <t>행 레이블</t>
  </si>
  <si>
    <t>총합계</t>
  </si>
  <si>
    <t>합계 : Gender</t>
  </si>
  <si>
    <t>*</t>
    <phoneticPr fontId="2" type="noConversion"/>
  </si>
  <si>
    <t>결측치가 있는 경우.</t>
    <phoneticPr fontId="2" type="noConversion"/>
  </si>
  <si>
    <t>개수 : education</t>
  </si>
  <si>
    <t>교육정도 나이</t>
    <phoneticPr fontId="2" type="noConversion"/>
  </si>
  <si>
    <t>중졸</t>
    <phoneticPr fontId="2" type="noConversion"/>
  </si>
  <si>
    <t>고졸</t>
    <phoneticPr fontId="2" type="noConversion"/>
  </si>
  <si>
    <t>대졸</t>
    <phoneticPr fontId="2" type="noConversion"/>
  </si>
  <si>
    <t>10대</t>
    <phoneticPr fontId="2" type="noConversion"/>
  </si>
  <si>
    <t>20대</t>
    <phoneticPr fontId="2" type="noConversion"/>
  </si>
  <si>
    <t>30대</t>
    <phoneticPr fontId="2" type="noConversion"/>
  </si>
  <si>
    <t>40대</t>
    <phoneticPr fontId="2" type="noConversion"/>
  </si>
  <si>
    <t>50대</t>
    <phoneticPr fontId="2" type="noConversion"/>
  </si>
  <si>
    <t>적합도 검정</t>
    <phoneticPr fontId="2" type="noConversion"/>
  </si>
  <si>
    <t>ex) 멘델의 법칙: 콩 교잡실험</t>
    <phoneticPr fontId="2" type="noConversion"/>
  </si>
  <si>
    <t>동노</t>
    <phoneticPr fontId="2" type="noConversion"/>
  </si>
  <si>
    <t>동녹</t>
    <phoneticPr fontId="2" type="noConversion"/>
  </si>
  <si>
    <t>모노</t>
    <phoneticPr fontId="2" type="noConversion"/>
  </si>
  <si>
    <t>모녹</t>
    <phoneticPr fontId="2" type="noConversion"/>
  </si>
  <si>
    <t>-&gt; 관측도수</t>
    <phoneticPr fontId="2" type="noConversion"/>
  </si>
  <si>
    <t>sum ((관측도수 - 기대도수)^2/기대도수 ) ~ Ka^2(3)</t>
    <phoneticPr fontId="2" type="noConversion"/>
  </si>
  <si>
    <t>KESS 실행 -&gt; 범주형 자료분석 -&gt; 적합도검정</t>
    <phoneticPr fontId="2" type="noConversion"/>
  </si>
  <si>
    <t>유의확률 = p-값 = p( Ka^2 &gt;= X_0^2 )</t>
    <phoneticPr fontId="2" type="noConversion"/>
  </si>
  <si>
    <t>=CHIDIST(0.6313, 3)</t>
    <phoneticPr fontId="2" type="noConversion"/>
  </si>
  <si>
    <t>두 독립표본 모평균 비교</t>
    <phoneticPr fontId="2" type="noConversion"/>
  </si>
  <si>
    <t>사료1</t>
  </si>
  <si>
    <t>사료1</t>
    <phoneticPr fontId="2" type="noConversion"/>
  </si>
  <si>
    <t>사료2</t>
  </si>
  <si>
    <t>사료2</t>
    <phoneticPr fontId="2" type="noConversion"/>
  </si>
  <si>
    <t>우유 생산량</t>
    <phoneticPr fontId="2" type="noConversion"/>
  </si>
  <si>
    <t>검정통계량</t>
    <phoneticPr fontId="2" type="noConversion"/>
  </si>
  <si>
    <t>두 모집단의 분산이 같은 경우, (s_1^2 = s_2^2 = s^2)</t>
    <phoneticPr fontId="2" type="noConversion"/>
  </si>
  <si>
    <t>(X_1` - X_2`)</t>
    <phoneticPr fontId="2" type="noConversion"/>
  </si>
  <si>
    <t>--------------</t>
    <phoneticPr fontId="2" type="noConversion"/>
  </si>
  <si>
    <t>S_p sqrt(1/n_1 + 1/n_2)</t>
    <phoneticPr fontId="2" type="noConversion"/>
  </si>
  <si>
    <t>(p` - p)</t>
    <phoneticPr fontId="2" type="noConversion"/>
  </si>
  <si>
    <t>sqrt( p(1-p) / n )</t>
    <phoneticPr fontId="2" type="noConversion"/>
  </si>
  <si>
    <t>~ N(0, 1)</t>
    <phoneticPr fontId="2" type="noConversion"/>
  </si>
  <si>
    <t>Ka^2 =</t>
    <phoneticPr fontId="2" type="noConversion"/>
  </si>
  <si>
    <t>T_0 =</t>
    <phoneticPr fontId="2" type="noConversion"/>
  </si>
  <si>
    <t>(n-1) S^2</t>
    <phoneticPr fontId="2" type="noConversion"/>
  </si>
  <si>
    <t>sigma^2</t>
    <phoneticPr fontId="2" type="noConversion"/>
  </si>
  <si>
    <t>~ Ka^2(n - 1)</t>
    <phoneticPr fontId="2" type="noConversion"/>
  </si>
  <si>
    <t>의 분포는?</t>
  </si>
  <si>
    <t>S^2 = sum</t>
    <phoneticPr fontId="2" type="noConversion"/>
  </si>
  <si>
    <t>X_i - X`</t>
    <phoneticPr fontId="2" type="noConversion"/>
  </si>
  <si>
    <t>n - 1</t>
    <phoneticPr fontId="2" type="noConversion"/>
  </si>
  <si>
    <t>t =</t>
    <phoneticPr fontId="2" type="noConversion"/>
  </si>
  <si>
    <t>~ t(n - 1)</t>
    <phoneticPr fontId="2" type="noConversion"/>
  </si>
  <si>
    <t>X` - u</t>
    <phoneticPr fontId="2" type="noConversion"/>
  </si>
  <si>
    <t>if S_p =</t>
    <phoneticPr fontId="2" type="noConversion"/>
  </si>
  <si>
    <t>(n_1 - 1) S_1^2 + (n_2 - 1) S_2^2</t>
    <phoneticPr fontId="2" type="noConversion"/>
  </si>
  <si>
    <t>(n_1 - 1) + (n_2 - 1)</t>
    <phoneticPr fontId="2" type="noConversion"/>
  </si>
  <si>
    <t>--------------------------- (합동표본분산)</t>
    <phoneticPr fontId="2" type="noConversion"/>
  </si>
  <si>
    <t>sqrt((S_p^2)/n_1 + (S_p^2)/n_2)</t>
    <phoneticPr fontId="2" type="noConversion"/>
  </si>
  <si>
    <t>~ t(n_1 + n_2 - 2)</t>
    <phoneticPr fontId="2" type="noConversion"/>
  </si>
  <si>
    <t>두 모집단의 분산이 다른 경우, (s_1^2 != s_2^2)</t>
    <phoneticPr fontId="2" type="noConversion"/>
  </si>
  <si>
    <t>~ t(SS)</t>
    <phoneticPr fontId="2" type="noConversion"/>
  </si>
  <si>
    <t>자유도 SS</t>
    <phoneticPr fontId="2" type="noConversion"/>
  </si>
  <si>
    <t>( S_1^2 / n_1 )^2</t>
    <phoneticPr fontId="2" type="noConversion"/>
  </si>
  <si>
    <t>+</t>
    <phoneticPr fontId="2" type="noConversion"/>
  </si>
  <si>
    <t>( S_2^2 / n_2 )^2</t>
    <phoneticPr fontId="2" type="noConversion"/>
  </si>
  <si>
    <t>n_1 - 1</t>
    <phoneticPr fontId="2" type="noConversion"/>
  </si>
  <si>
    <t>n_2 - 1</t>
    <phoneticPr fontId="2" type="noConversion"/>
  </si>
  <si>
    <t>-----------------------------------------</t>
    <phoneticPr fontId="2" type="noConversion"/>
  </si>
  <si>
    <t>(( S_1^2 / n_1 ) + (S_2^2 / n_2 ))^2</t>
    <phoneticPr fontId="2" type="noConversion"/>
  </si>
  <si>
    <t>Satterthwaite 자유도</t>
    <phoneticPr fontId="2" type="noConversion"/>
  </si>
  <si>
    <t>1. 데이타 분석도구</t>
    <phoneticPr fontId="2" type="noConversion"/>
  </si>
  <si>
    <t>where SS =</t>
    <phoneticPr fontId="2" type="noConversion"/>
  </si>
  <si>
    <t>1.1 F 검정</t>
    <phoneticPr fontId="2" type="noConversion"/>
  </si>
  <si>
    <t>F-Test Two-Sample for Variances</t>
  </si>
  <si>
    <t>Variance</t>
  </si>
  <si>
    <t>Observations</t>
  </si>
  <si>
    <t>df</t>
  </si>
  <si>
    <t>F</t>
  </si>
  <si>
    <t>P(F&lt;=f) one-tail</t>
  </si>
  <si>
    <t>F Critical one-tail</t>
  </si>
  <si>
    <t>단측검증에 대한 P-Value</t>
    <phoneticPr fontId="2" type="noConversion"/>
  </si>
  <si>
    <t>1.2 t 검정</t>
    <phoneticPr fontId="2" type="noConversion"/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</si>
  <si>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</si>
  <si>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</si>
  <si>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</si>
  <si>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</si>
  <si>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</si>
  <si>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</si>
  <si>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</si>
  <si>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</si>
  <si>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공분산</t>
    <phoneticPr fontId="2" type="noConversion"/>
  </si>
  <si>
    <t>자유도</t>
    <phoneticPr fontId="2" type="noConversion"/>
  </si>
  <si>
    <t>유의 확률</t>
    <phoneticPr fontId="2" type="noConversion"/>
  </si>
  <si>
    <t>양측검증에 대한 유의확률(P-Value) 0.415 &gt; 0.05보다 크므로</t>
    <phoneticPr fontId="2" type="noConversion"/>
  </si>
  <si>
    <t>귀무가설(양쪽 사료에 대한 차이가 없다.) 받아들임</t>
    <phoneticPr fontId="2" type="noConversion"/>
  </si>
  <si>
    <t>따라서, H_0 : s_1 == s_2 (Equal Var)</t>
    <phoneticPr fontId="2" type="noConversion"/>
  </si>
  <si>
    <t>쌍체비교</t>
    <phoneticPr fontId="2" type="noConversion"/>
  </si>
  <si>
    <t>하나의 실험단위에 두개의 처리를 실시 (Data가 Pair로 나옴)</t>
    <phoneticPr fontId="2" type="noConversion"/>
  </si>
  <si>
    <t>가설설정</t>
    <phoneticPr fontId="2" type="noConversion"/>
  </si>
  <si>
    <t xml:space="preserve">  귀무가설 H_0 : u_D = 0</t>
    <phoneticPr fontId="2" type="noConversion"/>
  </si>
  <si>
    <t xml:space="preserve">  대립가설 H_1 : u_D != 0</t>
    <phoneticPr fontId="2" type="noConversion"/>
  </si>
  <si>
    <t>D_i = X_i - Y_i (I = 1,2,…,n)</t>
    <phoneticPr fontId="2" type="noConversion"/>
  </si>
  <si>
    <t xml:space="preserve">  T = D` / (S_D sqt(n) )</t>
    <phoneticPr fontId="2" type="noConversion"/>
  </si>
  <si>
    <t xml:space="preserve">   where D` = sum(D_i/n), S_D^2 = sum(D_i - D`)^2/(n-1)</t>
    <phoneticPr fontId="2" type="noConversion"/>
  </si>
  <si>
    <t>귀무가설이 참일 때, T ~ t(n - 1)</t>
    <phoneticPr fontId="2" type="noConversion"/>
  </si>
  <si>
    <t>u_D == mean(D)</t>
    <phoneticPr fontId="2" type="noConversion"/>
  </si>
  <si>
    <t>불소농도</t>
    <phoneticPr fontId="2" type="noConversion"/>
  </si>
  <si>
    <t>방목초기</t>
  </si>
  <si>
    <t>방목초기</t>
    <phoneticPr fontId="2" type="noConversion"/>
  </si>
  <si>
    <t>일정기간후</t>
  </si>
  <si>
    <t>일정기간후</t>
    <phoneticPr fontId="2" type="noConversion"/>
  </si>
  <si>
    <t>2. 데이타 분석도구</t>
    <phoneticPr fontId="2" type="noConversion"/>
  </si>
  <si>
    <t>2.1 t검정</t>
    <phoneticPr fontId="2" type="noConversion"/>
  </si>
  <si>
    <t>t-Test: Paired Two Sample for Means</t>
  </si>
  <si>
    <t>Pearson Correlation</t>
  </si>
  <si>
    <t>t 검정통계량</t>
    <phoneticPr fontId="2" type="noConversion"/>
  </si>
  <si>
    <t>P-Value</t>
    <phoneticPr fontId="2" type="noConversion"/>
  </si>
  <si>
    <t>양측검증</t>
    <phoneticPr fontId="2" type="noConversion"/>
  </si>
  <si>
    <t xml:space="preserve">  귀무가설 H_0 : u_1 = u_2</t>
    <phoneticPr fontId="2" type="noConversion"/>
  </si>
  <si>
    <t>단측검증</t>
    <phoneticPr fontId="2" type="noConversion"/>
  </si>
  <si>
    <t xml:space="preserve">  대립가설 H_1 : u_1 &gt; u_2</t>
    <phoneticPr fontId="2" type="noConversion"/>
  </si>
  <si>
    <t xml:space="preserve">  대립가설 H_1 : u_1 != u_2</t>
    <phoneticPr fontId="2" type="noConversion"/>
  </si>
  <si>
    <t>따라서, 일정기간후 불소농도가 감소하였나 -&gt; 단측검증</t>
    <phoneticPr fontId="2" type="noConversion"/>
  </si>
  <si>
    <t>단측검증 P-Value 0.000113은 작으므로 대립가설(불소농도 감소) 채택</t>
    <phoneticPr fontId="2" type="noConversion"/>
  </si>
  <si>
    <t>분산분석</t>
    <phoneticPr fontId="2" type="noConversion"/>
  </si>
  <si>
    <t>셋이상 표본</t>
    <phoneticPr fontId="2" type="noConversion"/>
  </si>
  <si>
    <t>인자 A_1, A_2, A_3</t>
    <phoneticPr fontId="2" type="noConversion"/>
  </si>
  <si>
    <t>표본평균 Y`_1, Y`_2, Y`_3</t>
    <phoneticPr fontId="2" type="noConversion"/>
  </si>
  <si>
    <t>표본 Y_11, Y_12, …, Y_21, Y_22, …, Y_31, Y_32, …</t>
    <phoneticPr fontId="2" type="noConversion"/>
  </si>
  <si>
    <t>용어: 특성값, 일원배치, 이원배치, 인자의 수준(처리)</t>
    <phoneticPr fontId="2" type="noConversion"/>
  </si>
  <si>
    <t>(Y_ij - Y`_. ) = (Y_ij - Y`_i) + (Y`_i - Y`_.)</t>
    <phoneticPr fontId="2" type="noConversion"/>
  </si>
  <si>
    <t>Y`_. = mean (Y`_i)</t>
    <phoneticPr fontId="2" type="noConversion"/>
  </si>
  <si>
    <t>sum (Y_ij - Y`_. )^2 = sum (Y_ij - Y`_i)^2 + sum (Y`_i - Y`_.)^2</t>
    <phoneticPr fontId="2" type="noConversion"/>
  </si>
  <si>
    <t>(이건, 총제곱합 = 급내 변동 + 급간 변동 으로 해석할 수 있다.)</t>
    <phoneticPr fontId="2" type="noConversion"/>
  </si>
  <si>
    <t>Y_ij = u_i + err_ij</t>
    <phoneticPr fontId="2" type="noConversion"/>
  </si>
  <si>
    <t xml:space="preserve">     = (u + alpah_i) + err_ij</t>
    <phoneticPr fontId="2" type="noConversion"/>
  </si>
  <si>
    <t>귀무가설 H_0 : u_1 = u_2 = U_3</t>
    <phoneticPr fontId="2" type="noConversion"/>
  </si>
  <si>
    <t>따라서, H_0 : alpha_1 = alpha_2 = alpha_3 = 0 이라고 바꿔 말할 수 있다.</t>
    <phoneticPr fontId="2" type="noConversion"/>
  </si>
  <si>
    <t>분산분석표</t>
    <phoneticPr fontId="2" type="noConversion"/>
  </si>
  <si>
    <t>전체</t>
    <phoneticPr fontId="2" type="noConversion"/>
  </si>
  <si>
    <t>제곱합</t>
    <phoneticPr fontId="2" type="noConversion"/>
  </si>
  <si>
    <t>SS_a</t>
    <phoneticPr fontId="2" type="noConversion"/>
  </si>
  <si>
    <t>잔차</t>
    <phoneticPr fontId="2" type="noConversion"/>
  </si>
  <si>
    <t>SS_e</t>
    <phoneticPr fontId="2" type="noConversion"/>
  </si>
  <si>
    <t>SS_T</t>
    <phoneticPr fontId="2" type="noConversion"/>
  </si>
  <si>
    <t>K - 1</t>
    <phoneticPr fontId="2" type="noConversion"/>
  </si>
  <si>
    <t>n - k</t>
    <phoneticPr fontId="2" type="noConversion"/>
  </si>
  <si>
    <t>제곱평균</t>
    <phoneticPr fontId="2" type="noConversion"/>
  </si>
  <si>
    <t>MS_a</t>
    <phoneticPr fontId="2" type="noConversion"/>
  </si>
  <si>
    <t>MS_e</t>
    <phoneticPr fontId="2" type="noConversion"/>
  </si>
  <si>
    <t>F_0</t>
    <phoneticPr fontId="2" type="noConversion"/>
  </si>
  <si>
    <t>MS_a/MS_e</t>
    <phoneticPr fontId="2" type="noConversion"/>
  </si>
  <si>
    <t>reject H_0</t>
    <phoneticPr fontId="2" type="noConversion"/>
  </si>
  <si>
    <t>alpha : 유의수준</t>
    <phoneticPr fontId="2" type="noConversion"/>
  </si>
  <si>
    <t>therefore, If P-Value &lt; alpha, reject H_0</t>
    <phoneticPr fontId="2" type="noConversion"/>
  </si>
  <si>
    <t>인자의 수준</t>
    <phoneticPr fontId="2" type="noConversion"/>
  </si>
  <si>
    <t>A1</t>
  </si>
  <si>
    <t>A1</t>
    <phoneticPr fontId="2" type="noConversion"/>
  </si>
  <si>
    <t>A2</t>
  </si>
  <si>
    <t>A2</t>
    <phoneticPr fontId="2" type="noConversion"/>
  </si>
  <si>
    <t>A3</t>
  </si>
  <si>
    <t>A3</t>
    <phoneticPr fontId="2" type="noConversion"/>
  </si>
  <si>
    <t>A4</t>
  </si>
  <si>
    <t>A4</t>
    <phoneticPr fontId="2" type="noConversion"/>
  </si>
  <si>
    <t>실험의 반복</t>
    <phoneticPr fontId="2" type="noConversion"/>
  </si>
  <si>
    <t>타이어 원주</t>
    <phoneticPr fontId="2" type="noConversion"/>
  </si>
  <si>
    <t>A_n이 균형에</t>
    <phoneticPr fontId="2" type="noConversion"/>
  </si>
  <si>
    <t>미치는 영향</t>
    <phoneticPr fontId="2" type="noConversion"/>
  </si>
  <si>
    <t>일원배치법</t>
    <phoneticPr fontId="2" type="noConversion"/>
  </si>
  <si>
    <t>MS_a = SS_a/(k - 1)</t>
    <phoneticPr fontId="2" type="noConversion"/>
  </si>
  <si>
    <t>MS_e = SS_e/(n - k)</t>
    <phoneticPr fontId="2" type="noConversion"/>
  </si>
  <si>
    <t xml:space="preserve">   P-Value : P_r(F&gt;F_0) under H_0</t>
    <phoneticPr fontId="2" type="noConversion"/>
  </si>
  <si>
    <t>if F_0 &gt; F(k-1, n-k, alpha), reject H_0</t>
    <phoneticPr fontId="2" type="noConversion"/>
  </si>
  <si>
    <t>1. 데이터 분석</t>
    <phoneticPr fontId="2" type="noConversion"/>
  </si>
  <si>
    <t xml:space="preserve">  : 일원배치법</t>
    <phoneticPr fontId="2" type="noConversion"/>
  </si>
  <si>
    <t>Anova: Single Factor</t>
  </si>
  <si>
    <t>SUMMARY</t>
  </si>
  <si>
    <t>Groups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</si>
  <si>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</si>
  <si>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</si>
  <si>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</si>
  <si>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</si>
  <si>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</si>
  <si>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</si>
  <si>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</si>
  <si>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</si>
  <si>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</si>
  <si>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</si>
  <si>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처리</t>
    <phoneticPr fontId="2" type="noConversion"/>
  </si>
  <si>
    <t>변동의 요인</t>
    <phoneticPr fontId="2" type="noConversion"/>
  </si>
  <si>
    <t>H_0 : 영향 없다.</t>
    <phoneticPr fontId="2" type="noConversion"/>
  </si>
  <si>
    <t>P-Value &lt; 유의수준 0.05보다 작으므로 reject H_0</t>
    <phoneticPr fontId="2" type="noConversion"/>
  </si>
  <si>
    <t>(or F &gt; F_crit 이므로 reject H_0)</t>
    <phoneticPr fontId="2" type="noConversion"/>
  </si>
  <si>
    <t>F(3, 15; 0.05)</t>
    <phoneticPr fontId="2" type="noConversion"/>
  </si>
  <si>
    <t>기각역</t>
    <phoneticPr fontId="2" type="noConversion"/>
  </si>
  <si>
    <t>Pr(F &gt; 3.736)</t>
    <phoneticPr fontId="2" type="noConversion"/>
  </si>
  <si>
    <t>이원배치</t>
    <phoneticPr fontId="2" type="noConversion"/>
  </si>
  <si>
    <t xml:space="preserve">  반복이 있는 경우,</t>
    <phoneticPr fontId="2" type="noConversion"/>
  </si>
  <si>
    <t>Y_ij = u + alpha_i + beta_j + err_ij</t>
    <phoneticPr fontId="2" type="noConversion"/>
  </si>
  <si>
    <t>Y_ijk = u + alpha_i + beta_j + (alpha beta)_ij + err_ijk</t>
    <phoneticPr fontId="2" type="noConversion"/>
  </si>
  <si>
    <t xml:space="preserve">  반복이 없는 경우, (잘 안씀)</t>
    <phoneticPr fontId="2" type="noConversion"/>
  </si>
  <si>
    <t>H_0 : alpha_1 = alpha_2 = … = 0</t>
    <phoneticPr fontId="2" type="noConversion"/>
  </si>
  <si>
    <t>H_0 : beta_1 = beta_2 = … = 0</t>
    <phoneticPr fontId="2" type="noConversion"/>
  </si>
  <si>
    <t>H_0 : (alpha beta)_ij = … = 0</t>
    <phoneticPr fontId="2" type="noConversion"/>
  </si>
  <si>
    <t>시멘트 강도</t>
    <phoneticPr fontId="2" type="noConversion"/>
  </si>
  <si>
    <t>석고의 종류</t>
    <phoneticPr fontId="2" type="noConversion"/>
  </si>
  <si>
    <t>B1</t>
  </si>
  <si>
    <t>B1</t>
    <phoneticPr fontId="2" type="noConversion"/>
  </si>
  <si>
    <t>B2</t>
  </si>
  <si>
    <t>B2</t>
    <phoneticPr fontId="2" type="noConversion"/>
  </si>
  <si>
    <t>B3</t>
  </si>
  <si>
    <t>B3</t>
    <phoneticPr fontId="2" type="noConversion"/>
  </si>
  <si>
    <t>B4</t>
  </si>
  <si>
    <t>B4</t>
    <phoneticPr fontId="2" type="noConversion"/>
  </si>
  <si>
    <t>B5</t>
  </si>
  <si>
    <t>B5</t>
    <phoneticPr fontId="2" type="noConversion"/>
  </si>
  <si>
    <t>B6</t>
  </si>
  <si>
    <t>B6</t>
    <phoneticPr fontId="2" type="noConversion"/>
  </si>
  <si>
    <t>석고첨가량</t>
    <phoneticPr fontId="2" type="noConversion"/>
  </si>
  <si>
    <t>Anova: Two-Factor With Replication</t>
  </si>
  <si>
    <t>Sample</t>
  </si>
  <si>
    <t>Columns</t>
  </si>
  <si>
    <t>Interaction</t>
  </si>
  <si>
    <t>Within</t>
  </si>
  <si>
    <t xml:space="preserve">  : 이원배치법</t>
    <phoneticPr fontId="2" type="noConversion"/>
  </si>
  <si>
    <t>데이터 분석</t>
    <phoneticPr fontId="2" type="noConversion"/>
  </si>
  <si>
    <t>즉, 석고종류, 함유량에 따라서 영향이 있다.</t>
    <phoneticPr fontId="2" type="noConversion"/>
  </si>
  <si>
    <t>F &gt; 0.368</t>
    <phoneticPr fontId="2" type="noConversion"/>
  </si>
  <si>
    <t>Player A</t>
    <phoneticPr fontId="2" type="noConversion"/>
  </si>
  <si>
    <t>Player B</t>
    <phoneticPr fontId="2" type="noConversion"/>
  </si>
  <si>
    <t>Player A</t>
  </si>
  <si>
    <t>Player B</t>
  </si>
  <si>
    <t>F Right Side</t>
    <phoneticPr fontId="2" type="noConversion"/>
  </si>
  <si>
    <t>F &gt; 4.026</t>
    <phoneticPr fontId="2" type="noConversion"/>
  </si>
  <si>
    <t>따라서, H_1 : s_1 != s_2</t>
    <phoneticPr fontId="2" type="noConversion"/>
  </si>
  <si>
    <t>t-Test: Two-Sample Assuming Unequal Variances</t>
  </si>
  <si>
    <t>양측검증에 대한 유의확률(P-Value) 0.923 &gt; 0.05보다 크므로</t>
    <phoneticPr fontId="2" type="noConversion"/>
  </si>
  <si>
    <t>귀무가설(양쪽 점수에 대한 차이가 없다.) 받아들임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</si>
</sst>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 tint="0.1499984740745262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41" fontId="0" fillId="0" borderId="0" xfId="2" applyFont="1">
      <alignment vertical="center"/>
    </xf>
    <xf numFmtId="0" fontId="0" fillId="0" borderId="0" xfId="0" quotePrefix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3" fontId="0" fillId="0" borderId="0" xfId="0" applyNumberFormat="1">
      <alignment vertical="center"/>
    </xf>
    <xf numFmtId="0" fontId="0" fillId="0" borderId="3" xfId="0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Histogram!$A$2:$A$5</c:f>
              <c:strCache>
                <c:ptCount val="4"/>
                <c:pt idx="0">
                  <c:v>34</c:v>
                </c:pt>
                <c:pt idx="1">
                  <c:v>54</c:v>
                </c:pt>
                <c:pt idx="2">
                  <c:v>74</c:v>
                </c:pt>
                <c:pt idx="3">
                  <c:v>More</c:v>
                </c:pt>
              </c:strCache>
            </c:strRef>
          </c:cat>
          <c:val>
            <c:numRef>
              <c:f>Histogram!$B$2:$B$5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3-EF4B-9401-6BE1B991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03554367"/>
        <c:axId val="903556047"/>
      </c:barChart>
      <c:catAx>
        <c:axId val="90355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556047"/>
        <c:crosses val="autoZero"/>
        <c:auto val="1"/>
        <c:lblAlgn val="ctr"/>
        <c:lblOffset val="100"/>
        <c:noMultiLvlLbl val="0"/>
      </c:catAx>
      <c:valAx>
        <c:axId val="903556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5543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교육정도 나이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'범주형 데이터 분석'!$O$4</c:f>
              <c:strCache>
                <c:ptCount val="1"/>
                <c:pt idx="0">
                  <c:v>중졸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'범주형 데이터 분석'!$P$3:$T$3</c:f>
              <c:strCache>
                <c:ptCount val="5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</c:strCache>
            </c:strRef>
          </c:cat>
          <c:val>
            <c:numRef>
              <c:f>'범주형 데이터 분석'!$P$4:$T$4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C-524E-AB21-115DE95E2E95}"/>
            </c:ext>
          </c:extLst>
        </c:ser>
        <c:ser>
          <c:idx val="1"/>
          <c:order val="1"/>
          <c:tx>
            <c:strRef>
              <c:f>'범주형 데이터 분석'!$O$5</c:f>
              <c:strCache>
                <c:ptCount val="1"/>
                <c:pt idx="0">
                  <c:v>고졸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'범주형 데이터 분석'!$P$3:$T$3</c:f>
              <c:strCache>
                <c:ptCount val="5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</c:strCache>
            </c:strRef>
          </c:cat>
          <c:val>
            <c:numRef>
              <c:f>'범주형 데이터 분석'!$P$5:$T$5</c:f>
              <c:numCache>
                <c:formatCode>General</c:formatCode>
                <c:ptCount val="5"/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C-524E-AB21-115DE95E2E95}"/>
            </c:ext>
          </c:extLst>
        </c:ser>
        <c:ser>
          <c:idx val="2"/>
          <c:order val="2"/>
          <c:tx>
            <c:strRef>
              <c:f>'범주형 데이터 분석'!$O$6</c:f>
              <c:strCache>
                <c:ptCount val="1"/>
                <c:pt idx="0">
                  <c:v>대졸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'범주형 데이터 분석'!$P$3:$T$3</c:f>
              <c:strCache>
                <c:ptCount val="5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</c:strCache>
            </c:strRef>
          </c:cat>
          <c:val>
            <c:numRef>
              <c:f>'범주형 데이터 분석'!$P$6:$T$6</c:f>
              <c:numCache>
                <c:formatCode>General</c:formatCode>
                <c:ptCount val="5"/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C-524E-AB21-115DE95E2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0595199"/>
        <c:axId val="2115333583"/>
      </c:barChart>
      <c:catAx>
        <c:axId val="212059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33583"/>
        <c:crosses val="autoZero"/>
        <c:auto val="1"/>
        <c:lblAlgn val="ctr"/>
        <c:lblOffset val="100"/>
        <c:noMultiLvlLbl val="0"/>
      </c:catAx>
      <c:valAx>
        <c:axId val="21153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05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</xdr:row>
      <xdr:rowOff>38100</xdr:rowOff>
    </xdr:from>
    <xdr:to>
      <xdr:col>9</xdr:col>
      <xdr:colOff>317500</xdr:colOff>
      <xdr:row>11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8A8BA4-9DFC-3542-915D-310F36AA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7</xdr:row>
      <xdr:rowOff>0</xdr:rowOff>
    </xdr:from>
    <xdr:to>
      <xdr:col>18</xdr:col>
      <xdr:colOff>787400</xdr:colOff>
      <xdr:row>19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38DDA77-EE98-F845-B2EA-FAC0087D8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ng-iL Joh" refreshedDate="43533.982395949075" createdVersion="6" refreshedVersion="6" minRefreshableVersion="3" recordCount="25" xr:uid="{43107A1E-F9D0-4640-A4CC-E3DD959EF976}">
  <cacheSource type="worksheet">
    <worksheetSource ref="A1:E26" sheet="범주형 데이터 분석"/>
  </cacheSource>
  <cacheFields count="5">
    <cacheField name="No" numFmtId="0">
      <sharedItems containsSemiMixedTypes="0" containsString="0" containsNumber="1" containsInteger="1" minValue="1" maxValue="25"/>
    </cacheField>
    <cacheField name="Gender" numFmtId="0">
      <sharedItems containsSemiMixedTypes="0" containsString="0" containsNumber="1" containsInteger="1" minValue="1" maxValue="2" count="2">
        <n v="1"/>
        <n v="2"/>
      </sharedItems>
    </cacheField>
    <cacheField name="education" numFmtId="0">
      <sharedItems containsSemiMixedTypes="0" containsString="0" containsNumber="1" containsInteger="1" minValue="1" maxValue="3" count="3">
        <n v="1"/>
        <n v="2"/>
        <n v="3"/>
      </sharedItems>
    </cacheField>
    <cacheField name="age" numFmtId="0">
      <sharedItems containsSemiMixedTypes="0" containsString="0" containsNumber="1" containsInteger="1" minValue="19" maxValue="51"/>
    </cacheField>
    <cacheField name="나이범주" numFmtId="0">
      <sharedItems containsSemiMixedTypes="0" containsString="0" containsNumber="1" containsInteger="1" minValue="1" maxValue="5" count="5">
        <n v="3"/>
        <n v="2"/>
        <n v="4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x v="0"/>
    <x v="0"/>
    <n v="35"/>
    <x v="0"/>
  </r>
  <r>
    <n v="2"/>
    <x v="1"/>
    <x v="1"/>
    <n v="30"/>
    <x v="0"/>
  </r>
  <r>
    <n v="3"/>
    <x v="0"/>
    <x v="1"/>
    <n v="28"/>
    <x v="1"/>
  </r>
  <r>
    <n v="4"/>
    <x v="1"/>
    <x v="1"/>
    <n v="40"/>
    <x v="2"/>
  </r>
  <r>
    <n v="5"/>
    <x v="1"/>
    <x v="0"/>
    <n v="41"/>
    <x v="2"/>
  </r>
  <r>
    <n v="6"/>
    <x v="0"/>
    <x v="0"/>
    <n v="19"/>
    <x v="3"/>
  </r>
  <r>
    <n v="7"/>
    <x v="1"/>
    <x v="2"/>
    <n v="25"/>
    <x v="1"/>
  </r>
  <r>
    <n v="8"/>
    <x v="0"/>
    <x v="2"/>
    <n v="37"/>
    <x v="0"/>
  </r>
  <r>
    <n v="9"/>
    <x v="1"/>
    <x v="2"/>
    <n v="48"/>
    <x v="2"/>
  </r>
  <r>
    <n v="10"/>
    <x v="0"/>
    <x v="2"/>
    <n v="42"/>
    <x v="2"/>
  </r>
  <r>
    <n v="11"/>
    <x v="1"/>
    <x v="2"/>
    <n v="30"/>
    <x v="0"/>
  </r>
  <r>
    <n v="12"/>
    <x v="0"/>
    <x v="2"/>
    <n v="28"/>
    <x v="1"/>
  </r>
  <r>
    <n v="13"/>
    <x v="0"/>
    <x v="2"/>
    <n v="27"/>
    <x v="1"/>
  </r>
  <r>
    <n v="14"/>
    <x v="1"/>
    <x v="0"/>
    <n v="26"/>
    <x v="1"/>
  </r>
  <r>
    <n v="15"/>
    <x v="1"/>
    <x v="2"/>
    <n v="33"/>
    <x v="0"/>
  </r>
  <r>
    <n v="16"/>
    <x v="0"/>
    <x v="1"/>
    <n v="35"/>
    <x v="0"/>
  </r>
  <r>
    <n v="17"/>
    <x v="0"/>
    <x v="1"/>
    <n v="23"/>
    <x v="1"/>
  </r>
  <r>
    <n v="18"/>
    <x v="0"/>
    <x v="1"/>
    <n v="29"/>
    <x v="1"/>
  </r>
  <r>
    <n v="19"/>
    <x v="1"/>
    <x v="0"/>
    <n v="34"/>
    <x v="0"/>
  </r>
  <r>
    <n v="20"/>
    <x v="1"/>
    <x v="0"/>
    <n v="38"/>
    <x v="0"/>
  </r>
  <r>
    <n v="21"/>
    <x v="0"/>
    <x v="2"/>
    <n v="41"/>
    <x v="2"/>
  </r>
  <r>
    <n v="22"/>
    <x v="1"/>
    <x v="1"/>
    <n v="50"/>
    <x v="4"/>
  </r>
  <r>
    <n v="23"/>
    <x v="0"/>
    <x v="1"/>
    <n v="51"/>
    <x v="4"/>
  </r>
  <r>
    <n v="24"/>
    <x v="1"/>
    <x v="1"/>
    <n v="49"/>
    <x v="2"/>
  </r>
  <r>
    <n v="25"/>
    <x v="1"/>
    <x v="1"/>
    <n v="2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CCEA4-703E-F24D-B476-F7A11AFE5C39}" name="피벗 테이블8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15:M20" firstHeaderRow="1" firstDataRow="2" firstDataCol="1"/>
  <pivotFields count="5"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axis="axisCol" showAll="0">
      <items count="6">
        <item x="3"/>
        <item x="1"/>
        <item x="0"/>
        <item x="2"/>
        <item x="4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개수 : educa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BBE9B-40A9-9046-AC24-88C4564A3DC0}" name="피벗 테이블3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10:H13" firstHeaderRow="1" firstDataRow="1" firstDataCol="1"/>
  <pivotFields count="5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합계 : Gender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DFCAB-D9A5-9C44-A551-E814858011D8}" name="피벗 테이블2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5:H8" firstHeaderRow="1" firstDataRow="1" firstDataCol="1"/>
  <pivotFields count="5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합계 : Gend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605B-CCB8-5542-B3DA-DB1BD542F7D0}">
  <dimension ref="A1:J28"/>
  <sheetViews>
    <sheetView zoomScale="99" workbookViewId="0">
      <selection activeCell="I23" sqref="I23"/>
    </sheetView>
  </sheetViews>
  <sheetFormatPr baseColWidth="10" defaultRowHeight="18"/>
  <cols>
    <col min="2" max="2" width="10.7109375" style="1"/>
    <col min="10" max="10" width="10.7109375" style="1"/>
  </cols>
  <sheetData>
    <row r="1" spans="1:10" s="2" customFormat="1">
      <c r="A1" s="2" t="s">
        <v>0</v>
      </c>
      <c r="B1" s="3" t="s">
        <v>1</v>
      </c>
      <c r="C1" s="2" t="s">
        <v>3</v>
      </c>
      <c r="D1" s="2" t="s">
        <v>5</v>
      </c>
      <c r="E1" s="2" t="s">
        <v>7</v>
      </c>
      <c r="F1" s="2" t="s">
        <v>9</v>
      </c>
      <c r="G1" s="2" t="s">
        <v>11</v>
      </c>
      <c r="H1" s="3" t="s">
        <v>27</v>
      </c>
      <c r="I1" s="3" t="s">
        <v>29</v>
      </c>
      <c r="J1" s="3" t="s">
        <v>30</v>
      </c>
    </row>
    <row r="2" spans="1:10">
      <c r="A2">
        <v>1</v>
      </c>
      <c r="B2" s="1" t="s">
        <v>12</v>
      </c>
      <c r="C2">
        <v>84</v>
      </c>
      <c r="D2">
        <v>75</v>
      </c>
      <c r="E2">
        <v>91</v>
      </c>
      <c r="F2">
        <v>84</v>
      </c>
      <c r="G2">
        <v>94</v>
      </c>
      <c r="H2">
        <f>SUM(C2:G2)</f>
        <v>428</v>
      </c>
      <c r="I2">
        <f>AVERAGE(C2:G2)</f>
        <v>85.6</v>
      </c>
      <c r="J2" s="1" t="str">
        <f>IF(C2&gt;70, "합격", "불합격")</f>
        <v>합격</v>
      </c>
    </row>
    <row r="3" spans="1:10">
      <c r="A3">
        <v>2</v>
      </c>
      <c r="B3" s="1" t="s">
        <v>13</v>
      </c>
      <c r="C3">
        <v>64</v>
      </c>
      <c r="D3">
        <v>45</v>
      </c>
      <c r="E3">
        <v>55</v>
      </c>
      <c r="F3">
        <v>70</v>
      </c>
      <c r="G3">
        <v>60</v>
      </c>
      <c r="H3">
        <f t="shared" ref="H3:H16" si="0">SUM(C3:G3)</f>
        <v>294</v>
      </c>
      <c r="I3">
        <f t="shared" ref="I3" si="1">AVERAGE(C3:G3)</f>
        <v>58.8</v>
      </c>
      <c r="J3" s="1" t="str">
        <f t="shared" ref="J3" si="2">IF(C3&gt;70, "합격", "불합격")</f>
        <v>불합격</v>
      </c>
    </row>
    <row r="4" spans="1:10">
      <c r="A4">
        <v>3</v>
      </c>
      <c r="B4" s="1" t="s">
        <v>14</v>
      </c>
      <c r="C4">
        <v>69</v>
      </c>
      <c r="D4">
        <v>57</v>
      </c>
      <c r="E4">
        <v>61</v>
      </c>
      <c r="F4">
        <v>67</v>
      </c>
      <c r="G4">
        <v>76</v>
      </c>
      <c r="H4">
        <f t="shared" si="0"/>
        <v>330</v>
      </c>
    </row>
    <row r="5" spans="1:10">
      <c r="A5">
        <v>4</v>
      </c>
      <c r="B5" s="1" t="s">
        <v>15</v>
      </c>
      <c r="C5">
        <v>84</v>
      </c>
      <c r="D5">
        <v>57</v>
      </c>
      <c r="E5">
        <v>70</v>
      </c>
      <c r="F5">
        <v>55</v>
      </c>
      <c r="G5">
        <v>70</v>
      </c>
      <c r="H5">
        <f t="shared" si="0"/>
        <v>336</v>
      </c>
    </row>
    <row r="6" spans="1:10">
      <c r="A6">
        <v>5</v>
      </c>
      <c r="B6" s="1" t="s">
        <v>16</v>
      </c>
      <c r="C6">
        <v>76</v>
      </c>
      <c r="D6">
        <v>37</v>
      </c>
      <c r="E6">
        <v>65</v>
      </c>
      <c r="F6">
        <v>70</v>
      </c>
      <c r="G6">
        <v>55</v>
      </c>
      <c r="H6">
        <f t="shared" si="0"/>
        <v>303</v>
      </c>
    </row>
    <row r="7" spans="1:10">
      <c r="A7">
        <v>6</v>
      </c>
      <c r="B7" s="1" t="s">
        <v>17</v>
      </c>
      <c r="C7">
        <v>92</v>
      </c>
      <c r="D7">
        <v>67</v>
      </c>
      <c r="E7">
        <v>80</v>
      </c>
      <c r="F7">
        <v>85</v>
      </c>
      <c r="G7">
        <v>80</v>
      </c>
      <c r="H7">
        <f t="shared" si="0"/>
        <v>404</v>
      </c>
    </row>
    <row r="8" spans="1:10">
      <c r="A8">
        <v>7</v>
      </c>
      <c r="B8" s="1" t="s">
        <v>12</v>
      </c>
      <c r="C8">
        <v>94</v>
      </c>
      <c r="D8">
        <v>85</v>
      </c>
      <c r="E8">
        <v>75</v>
      </c>
      <c r="F8">
        <v>86</v>
      </c>
      <c r="G8">
        <v>85</v>
      </c>
      <c r="H8">
        <f t="shared" si="0"/>
        <v>425</v>
      </c>
    </row>
    <row r="9" spans="1:10">
      <c r="A9">
        <v>8</v>
      </c>
      <c r="B9" s="1" t="s">
        <v>12</v>
      </c>
      <c r="C9">
        <v>62</v>
      </c>
      <c r="D9">
        <v>92</v>
      </c>
      <c r="E9">
        <v>58</v>
      </c>
      <c r="F9">
        <v>80</v>
      </c>
      <c r="G9">
        <v>60</v>
      </c>
      <c r="H9">
        <f t="shared" si="0"/>
        <v>352</v>
      </c>
    </row>
    <row r="10" spans="1:10">
      <c r="A10">
        <v>9</v>
      </c>
      <c r="B10" s="1" t="s">
        <v>16</v>
      </c>
      <c r="C10">
        <v>35</v>
      </c>
      <c r="D10">
        <v>38</v>
      </c>
      <c r="E10">
        <v>80</v>
      </c>
      <c r="F10">
        <v>85</v>
      </c>
      <c r="G10">
        <v>75</v>
      </c>
      <c r="H10">
        <f t="shared" si="0"/>
        <v>313</v>
      </c>
    </row>
    <row r="11" spans="1:10">
      <c r="A11">
        <v>10</v>
      </c>
      <c r="B11" s="1" t="s">
        <v>15</v>
      </c>
      <c r="C11">
        <v>75</v>
      </c>
      <c r="D11">
        <v>36</v>
      </c>
      <c r="E11">
        <v>44</v>
      </c>
      <c r="F11">
        <v>55</v>
      </c>
      <c r="G11">
        <v>76</v>
      </c>
      <c r="H11">
        <f t="shared" si="0"/>
        <v>286</v>
      </c>
    </row>
    <row r="12" spans="1:10">
      <c r="A12">
        <v>11</v>
      </c>
      <c r="B12" s="1" t="s">
        <v>18</v>
      </c>
      <c r="C12">
        <v>42</v>
      </c>
      <c r="D12">
        <v>29</v>
      </c>
      <c r="E12">
        <v>64</v>
      </c>
      <c r="F12">
        <v>70</v>
      </c>
      <c r="G12">
        <v>80</v>
      </c>
      <c r="H12">
        <f t="shared" si="0"/>
        <v>285</v>
      </c>
    </row>
    <row r="13" spans="1:10">
      <c r="A13">
        <v>12</v>
      </c>
      <c r="B13" s="1" t="s">
        <v>19</v>
      </c>
      <c r="C13">
        <v>34</v>
      </c>
      <c r="D13">
        <v>31</v>
      </c>
      <c r="E13">
        <v>35</v>
      </c>
      <c r="F13">
        <v>66</v>
      </c>
      <c r="G13">
        <v>60</v>
      </c>
      <c r="H13">
        <f t="shared" si="0"/>
        <v>226</v>
      </c>
    </row>
    <row r="14" spans="1:10">
      <c r="A14">
        <v>13</v>
      </c>
      <c r="B14" s="1" t="s">
        <v>20</v>
      </c>
      <c r="C14">
        <v>84</v>
      </c>
      <c r="D14">
        <v>54</v>
      </c>
      <c r="E14">
        <v>68</v>
      </c>
      <c r="F14">
        <v>86</v>
      </c>
      <c r="G14">
        <v>85</v>
      </c>
      <c r="H14">
        <f t="shared" si="0"/>
        <v>377</v>
      </c>
    </row>
    <row r="15" spans="1:10">
      <c r="A15">
        <v>14</v>
      </c>
      <c r="B15" s="1" t="s">
        <v>21</v>
      </c>
      <c r="C15">
        <v>63</v>
      </c>
      <c r="D15">
        <v>40</v>
      </c>
      <c r="E15">
        <v>60</v>
      </c>
      <c r="F15">
        <v>75</v>
      </c>
      <c r="G15">
        <v>65</v>
      </c>
      <c r="H15">
        <f t="shared" si="0"/>
        <v>303</v>
      </c>
    </row>
    <row r="16" spans="1:10">
      <c r="A16">
        <v>15</v>
      </c>
      <c r="B16" s="1" t="s">
        <v>22</v>
      </c>
      <c r="C16">
        <v>42</v>
      </c>
      <c r="D16">
        <v>55</v>
      </c>
      <c r="E16">
        <v>70</v>
      </c>
      <c r="F16">
        <v>75</v>
      </c>
      <c r="G16">
        <v>70</v>
      </c>
      <c r="H16">
        <f t="shared" si="0"/>
        <v>312</v>
      </c>
    </row>
    <row r="18" spans="1:10">
      <c r="C18" t="s">
        <v>41</v>
      </c>
      <c r="D18" t="s">
        <v>31</v>
      </c>
      <c r="E18">
        <f>AVERAGE(E3:E16)</f>
        <v>63.214285714285715</v>
      </c>
      <c r="F18" t="s">
        <v>47</v>
      </c>
      <c r="G18">
        <f>TRIMMEAN(E2:E16, 0.2)</f>
        <v>65.384615384615387</v>
      </c>
      <c r="I18" t="s">
        <v>71</v>
      </c>
      <c r="J18" s="1" t="s">
        <v>73</v>
      </c>
    </row>
    <row r="19" spans="1:10">
      <c r="A19" t="s">
        <v>23</v>
      </c>
      <c r="B19" s="1" t="str">
        <f>B16&amp;B15</f>
        <v>ON</v>
      </c>
      <c r="D19" t="s">
        <v>32</v>
      </c>
      <c r="E19">
        <f>MEDIAN(E2:E16)</f>
        <v>65</v>
      </c>
      <c r="I19" s="8" t="s">
        <v>72</v>
      </c>
      <c r="J19" s="1">
        <f>DSUM(B1:G16,E1,B1:B2)</f>
        <v>224</v>
      </c>
    </row>
    <row r="20" spans="1:10">
      <c r="A20" t="s">
        <v>24</v>
      </c>
      <c r="B20" s="1" t="b">
        <f>A16&lt;A15</f>
        <v>0</v>
      </c>
      <c r="D20" t="s">
        <v>33</v>
      </c>
      <c r="E20">
        <f>MODE(E2:E16)</f>
        <v>70</v>
      </c>
      <c r="I20" t="s">
        <v>75</v>
      </c>
      <c r="J20" s="9" t="s">
        <v>74</v>
      </c>
    </row>
    <row r="21" spans="1:10">
      <c r="A21" t="s">
        <v>25</v>
      </c>
      <c r="B21" s="1">
        <f>SUM(C2:C3,C6:C9)</f>
        <v>472</v>
      </c>
      <c r="C21" t="s">
        <v>40</v>
      </c>
      <c r="D21" t="s">
        <v>34</v>
      </c>
      <c r="E21">
        <f>VAR(E2:E16)</f>
        <v>201.20952380952389</v>
      </c>
      <c r="F21" t="s">
        <v>35</v>
      </c>
      <c r="G21">
        <f>STDEV(E2:E16)</f>
        <v>14.184834289110462</v>
      </c>
    </row>
    <row r="22" spans="1:10">
      <c r="A22" t="s">
        <v>26</v>
      </c>
      <c r="B22" s="1">
        <f>SUM(C2:C8 C6:C12)</f>
        <v>262</v>
      </c>
      <c r="D22" t="s">
        <v>36</v>
      </c>
      <c r="E22">
        <f>MIN(E2:E16)</f>
        <v>35</v>
      </c>
      <c r="F22">
        <f>MAX(E2:E16)</f>
        <v>91</v>
      </c>
    </row>
    <row r="23" spans="1:10">
      <c r="A23" t="s">
        <v>28</v>
      </c>
      <c r="B23" s="1">
        <f>SUM(D2:D4, 3, 4)</f>
        <v>184</v>
      </c>
      <c r="D23" t="s">
        <v>38</v>
      </c>
      <c r="E23" t="s">
        <v>37</v>
      </c>
      <c r="F23">
        <f>_xlfn.QUARTILE.INC(E2:E16, 1)</f>
        <v>59</v>
      </c>
      <c r="G23" t="s">
        <v>49</v>
      </c>
      <c r="H23">
        <f>_xlfn.QUARTILE.INC(E2:E16,3)-_xlfn.QUARTILE.INC(E2:E16,1)</f>
        <v>13.5</v>
      </c>
    </row>
    <row r="24" spans="1:10">
      <c r="D24" t="s">
        <v>39</v>
      </c>
      <c r="E24" s="4">
        <f>G21/E18</f>
        <v>0.22439285881078697</v>
      </c>
    </row>
    <row r="25" spans="1:10">
      <c r="C25" t="s">
        <v>42</v>
      </c>
      <c r="D25" t="s">
        <v>44</v>
      </c>
      <c r="E25">
        <f>_xlfn.PERCENTILE.INC(E2:E16,0.8)</f>
        <v>76</v>
      </c>
      <c r="F25">
        <f>_xlfn.PERCENTRANK.INC(E2:E16,E10,2)</f>
        <v>0.85</v>
      </c>
    </row>
    <row r="26" spans="1:10">
      <c r="C26" t="s">
        <v>43</v>
      </c>
      <c r="D26" t="s">
        <v>45</v>
      </c>
      <c r="E26">
        <f>STANDARDIZE(E10,E18,G21)</f>
        <v>1.1833563891966288</v>
      </c>
      <c r="F26" t="s">
        <v>46</v>
      </c>
    </row>
    <row r="27" spans="1:10">
      <c r="C27" t="s">
        <v>70</v>
      </c>
      <c r="D27" t="s">
        <v>64</v>
      </c>
    </row>
    <row r="28" spans="1:10">
      <c r="D28" t="s">
        <v>65</v>
      </c>
      <c r="E28" t="s">
        <v>66</v>
      </c>
    </row>
  </sheetData>
  <phoneticPr fontId="2" type="noConversion"/>
  <pageMargins left="0.7" right="0.7" top="0.75" bottom="0.75" header="0.3" footer="0.3"/>
  <ignoredErrors>
    <ignoredError sqref="B23 E18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327F-C231-D549-A63F-13BCEE8A135C}">
  <dimension ref="A2:G43"/>
  <sheetViews>
    <sheetView tabSelected="1" zoomScaleNormal="100" workbookViewId="0">
      <selection activeCell="G4" sqref="G4"/>
    </sheetView>
  </sheetViews>
  <sheetFormatPr baseColWidth="10" defaultRowHeight="18"/>
  <cols>
    <col min="8" max="8" width="12.7109375" bestFit="1" customWidth="1"/>
  </cols>
  <sheetData>
    <row r="2" spans="1:7">
      <c r="A2" t="s">
        <v>309</v>
      </c>
    </row>
    <row r="3" spans="1:7">
      <c r="A3" t="s">
        <v>311</v>
      </c>
      <c r="B3" t="s">
        <v>467</v>
      </c>
      <c r="C3" t="s">
        <v>468</v>
      </c>
      <c r="D3" t="s">
        <v>312</v>
      </c>
    </row>
    <row r="4" spans="1:7" ht="19" thickBot="1">
      <c r="B4">
        <v>198</v>
      </c>
      <c r="C4">
        <v>196</v>
      </c>
    </row>
    <row r="5" spans="1:7">
      <c r="B5">
        <v>119</v>
      </c>
      <c r="C5">
        <v>159</v>
      </c>
      <c r="D5" s="21"/>
      <c r="E5" s="21" t="s">
        <v>469</v>
      </c>
      <c r="F5" s="21" t="s">
        <v>470</v>
      </c>
    </row>
    <row r="6" spans="1:7">
      <c r="B6">
        <v>174</v>
      </c>
      <c r="C6">
        <v>162</v>
      </c>
      <c r="D6" t="s">
        <v>50</v>
      </c>
      <c r="E6">
        <f>AVERAGE(B4:B13)</f>
        <v>175.1</v>
      </c>
      <c r="F6">
        <f>AVERAGE(C4:C13)</f>
        <v>173.7</v>
      </c>
    </row>
    <row r="7" spans="1:7">
      <c r="B7">
        <v>235</v>
      </c>
      <c r="C7">
        <v>178</v>
      </c>
      <c r="D7" t="s">
        <v>313</v>
      </c>
      <c r="E7">
        <f>_xlfn.VAR.S(B4:B13)</f>
        <v>1831.4333333333359</v>
      </c>
      <c r="F7">
        <f>_xlfn.VAR.S(C4:C13)</f>
        <v>184.90000000000003</v>
      </c>
    </row>
    <row r="8" spans="1:7">
      <c r="B8">
        <v>134</v>
      </c>
      <c r="C8">
        <v>188</v>
      </c>
      <c r="D8" t="s">
        <v>314</v>
      </c>
      <c r="E8">
        <f>COUNT(B4:B13)</f>
        <v>10</v>
      </c>
      <c r="F8">
        <f>COUNT(C4:C13)</f>
        <v>10</v>
      </c>
    </row>
    <row r="9" spans="1:7">
      <c r="B9">
        <v>192</v>
      </c>
      <c r="C9">
        <v>169</v>
      </c>
      <c r="D9" t="s">
        <v>315</v>
      </c>
      <c r="E9">
        <f>E8-1</f>
        <v>9</v>
      </c>
      <c r="F9">
        <f>F8-1</f>
        <v>9</v>
      </c>
    </row>
    <row r="10" spans="1:7">
      <c r="B10">
        <v>124</v>
      </c>
      <c r="C10">
        <v>173</v>
      </c>
      <c r="D10" t="s">
        <v>316</v>
      </c>
      <c r="E10">
        <f>E7/F7</f>
        <v>9.9049936902830478</v>
      </c>
    </row>
    <row r="11" spans="1:7" ht="19" thickBot="1">
      <c r="B11">
        <v>241</v>
      </c>
      <c r="C11">
        <v>183</v>
      </c>
      <c r="D11" s="22" t="s">
        <v>471</v>
      </c>
      <c r="E11" s="22">
        <f>_xlfn.F.INV.RT(0.05/2,E9,F9)</f>
        <v>4.0259941582829777</v>
      </c>
      <c r="F11" s="22"/>
      <c r="G11" t="s">
        <v>472</v>
      </c>
    </row>
    <row r="12" spans="1:7">
      <c r="B12">
        <v>158</v>
      </c>
      <c r="C12">
        <v>177</v>
      </c>
      <c r="G12" t="s">
        <v>473</v>
      </c>
    </row>
    <row r="13" spans="1:7">
      <c r="B13">
        <v>176</v>
      </c>
      <c r="C13">
        <v>152</v>
      </c>
    </row>
    <row r="14" spans="1:7">
      <c r="A14" t="s">
        <v>320</v>
      </c>
      <c r="D14" t="s">
        <v>474</v>
      </c>
    </row>
    <row r="15" spans="1:7" ht="19" thickBot="1"/>
    <row r="16" spans="1:7">
      <c r="D16" s="21"/>
      <c r="E16" s="21" t="s">
        <v>469</v>
      </c>
      <c r="F16" s="21" t="s">
        <v>470</v>
      </c>
    </row>
    <row r="17" spans="1:7">
      <c r="D17" t="s">
        <v>50</v>
      </c>
      <c r="E17">
        <f>E6</f>
        <v>175.1</v>
      </c>
      <c r="F17">
        <f>F6</f>
        <v>173.7</v>
      </c>
    </row>
    <row r="18" spans="1:7">
      <c r="D18" t="s">
        <v>313</v>
      </c>
      <c r="E18">
        <f>E7</f>
        <v>1831.4333333333359</v>
      </c>
      <c r="F18">
        <f>F7</f>
        <v>184.90000000000003</v>
      </c>
    </row>
    <row r="19" spans="1:7">
      <c r="C19" t="s">
        <v>329</v>
      </c>
      <c r="D19" t="s">
        <v>314</v>
      </c>
      <c r="E19">
        <f>E8</f>
        <v>10</v>
      </c>
      <c r="F19">
        <f>F8</f>
        <v>10</v>
      </c>
    </row>
    <row r="20" spans="1:7">
      <c r="D20" t="s">
        <v>323</v>
      </c>
      <c r="E20">
        <v>0</v>
      </c>
      <c r="G20">
        <f>(E18/E19 + F18/F19)^2</f>
        <v>40656.001111111225</v>
      </c>
    </row>
    <row r="21" spans="1:7">
      <c r="C21" t="s">
        <v>330</v>
      </c>
      <c r="D21" t="s">
        <v>315</v>
      </c>
      <c r="E21">
        <f>ROUNDUP(G20/G21, 0)</f>
        <v>11</v>
      </c>
      <c r="G21">
        <f>(E18/E19)^2/(E19-1) + (F18/F19)^2/(F19-1)</f>
        <v>3764.8178493827272</v>
      </c>
    </row>
    <row r="22" spans="1:7">
      <c r="C22" t="s">
        <v>272</v>
      </c>
      <c r="D22" t="s">
        <v>324</v>
      </c>
      <c r="E22">
        <f>(E17-F17)/SQRT(E18/E19+F18/F19)</f>
        <v>9.8593179164089884E-2</v>
      </c>
    </row>
    <row r="23" spans="1:7">
      <c r="D23" t="s">
        <v>325</v>
      </c>
      <c r="E23">
        <f>_xlfn.T.DIST.RT(E22, E21)</f>
        <v>0.46161750063056384</v>
      </c>
    </row>
    <row r="24" spans="1:7">
      <c r="D24" t="s">
        <v>326</v>
      </c>
      <c r="E24">
        <f>_xlfn.T.INV(1-0.05,E21)</f>
        <v>1.795884818704043</v>
      </c>
    </row>
    <row r="25" spans="1:7">
      <c r="C25" t="s">
        <v>331</v>
      </c>
      <c r="D25" t="s">
        <v>327</v>
      </c>
      <c r="E25">
        <f>_xlfn.T.DIST.2T(E22,E21)</f>
        <v>0.92323500126112767</v>
      </c>
      <c r="G25" t="s">
        <v>475</v>
      </c>
    </row>
    <row r="26" spans="1:7" ht="19" thickBot="1">
      <c r="D26" s="22" t="s">
        <v>328</v>
      </c>
      <c r="E26" s="22">
        <f>_xlfn.T.INV.2T(0.05,E21)</f>
        <v>2.2009851600916384</v>
      </c>
      <c r="F26" s="22"/>
      <c r="G26" t="s">
        <v>476</v>
      </c>
    </row>
    <row r="29" spans="1:7">
      <c r="A29" t="s">
        <v>350</v>
      </c>
      <c r="C29" t="s">
        <v>345</v>
      </c>
    </row>
    <row r="30" spans="1:7">
      <c r="A30" t="s">
        <v>351</v>
      </c>
      <c r="B30" t="s">
        <v>347</v>
      </c>
      <c r="C30" t="s">
        <v>349</v>
      </c>
      <c r="D30" t="s">
        <v>352</v>
      </c>
    </row>
    <row r="31" spans="1:7" ht="19" thickBot="1">
      <c r="B31" s="17">
        <v>24.7</v>
      </c>
      <c r="C31" s="17">
        <v>12.4</v>
      </c>
    </row>
    <row r="32" spans="1:7">
      <c r="B32" s="17">
        <v>46.1</v>
      </c>
      <c r="C32" s="17">
        <v>14.1</v>
      </c>
      <c r="D32" s="21"/>
      <c r="E32" s="21" t="s">
        <v>346</v>
      </c>
      <c r="F32" s="21" t="s">
        <v>348</v>
      </c>
    </row>
    <row r="33" spans="2:7">
      <c r="B33" s="17">
        <v>18.5</v>
      </c>
      <c r="C33" s="17">
        <v>7.6</v>
      </c>
      <c r="D33" t="s">
        <v>50</v>
      </c>
      <c r="E33">
        <v>25.736363636363635</v>
      </c>
      <c r="F33">
        <v>11.899999999999999</v>
      </c>
    </row>
    <row r="34" spans="2:7">
      <c r="B34" s="17">
        <v>29.5</v>
      </c>
      <c r="C34" s="17">
        <v>9.5</v>
      </c>
      <c r="D34" t="s">
        <v>313</v>
      </c>
      <c r="E34">
        <v>69.03254545454547</v>
      </c>
      <c r="F34">
        <v>12.460000000000104</v>
      </c>
    </row>
    <row r="35" spans="2:7">
      <c r="B35" s="17">
        <v>26.3</v>
      </c>
      <c r="C35" s="17">
        <v>19.7</v>
      </c>
      <c r="D35" t="s">
        <v>314</v>
      </c>
      <c r="E35">
        <v>11</v>
      </c>
      <c r="F35">
        <v>11</v>
      </c>
    </row>
    <row r="36" spans="2:7">
      <c r="B36" s="17">
        <v>33.9</v>
      </c>
      <c r="C36" s="17">
        <v>10.6</v>
      </c>
      <c r="D36" t="s">
        <v>353</v>
      </c>
      <c r="E36">
        <v>0.25371453001499245</v>
      </c>
    </row>
    <row r="37" spans="2:7">
      <c r="B37" s="17">
        <v>23.1</v>
      </c>
      <c r="C37" s="17">
        <v>9.1</v>
      </c>
      <c r="D37" t="s">
        <v>323</v>
      </c>
      <c r="E37">
        <v>0</v>
      </c>
    </row>
    <row r="38" spans="2:7">
      <c r="B38" s="17">
        <v>20.7</v>
      </c>
      <c r="C38" s="17">
        <v>11.3</v>
      </c>
      <c r="D38" t="s">
        <v>315</v>
      </c>
      <c r="E38">
        <v>10</v>
      </c>
      <c r="G38" t="s">
        <v>330</v>
      </c>
    </row>
    <row r="39" spans="2:7">
      <c r="B39" s="17">
        <v>18</v>
      </c>
      <c r="C39" s="17">
        <v>13.3</v>
      </c>
      <c r="D39" t="s">
        <v>324</v>
      </c>
      <c r="E39">
        <v>5.622724632312992</v>
      </c>
      <c r="G39" t="s">
        <v>354</v>
      </c>
    </row>
    <row r="40" spans="2:7">
      <c r="B40" s="17">
        <v>19.3</v>
      </c>
      <c r="C40" s="17">
        <v>8.3000000000000007</v>
      </c>
      <c r="D40" t="s">
        <v>325</v>
      </c>
      <c r="E40">
        <v>1.1031198475000419E-4</v>
      </c>
      <c r="G40" t="s">
        <v>355</v>
      </c>
    </row>
    <row r="41" spans="2:7">
      <c r="B41" s="17">
        <v>23</v>
      </c>
      <c r="C41" s="17">
        <v>15</v>
      </c>
      <c r="D41" t="s">
        <v>326</v>
      </c>
      <c r="E41">
        <v>1.812461122811676</v>
      </c>
    </row>
    <row r="42" spans="2:7">
      <c r="D42" t="s">
        <v>327</v>
      </c>
      <c r="E42">
        <v>2.2062396950000838E-4</v>
      </c>
    </row>
    <row r="43" spans="2:7" ht="19" thickBot="1">
      <c r="D43" s="22" t="s">
        <v>328</v>
      </c>
      <c r="E43" s="22">
        <v>2.2281388519862744</v>
      </c>
      <c r="F43" s="22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4125-A539-F745-BA50-841E57E9F490}">
  <dimension ref="A1:P96"/>
  <sheetViews>
    <sheetView workbookViewId="0">
      <selection activeCell="D43" sqref="D43"/>
    </sheetView>
  </sheetViews>
  <sheetFormatPr baseColWidth="10" defaultRowHeight="18"/>
  <sheetData>
    <row r="1" spans="1:12">
      <c r="A1" t="s">
        <v>363</v>
      </c>
      <c r="B1" t="s">
        <v>368</v>
      </c>
      <c r="H1" s="18" t="s">
        <v>407</v>
      </c>
    </row>
    <row r="2" spans="1:12">
      <c r="B2" t="s">
        <v>364</v>
      </c>
      <c r="H2" t="s">
        <v>404</v>
      </c>
      <c r="I2" t="s">
        <v>394</v>
      </c>
      <c r="K2" t="s">
        <v>429</v>
      </c>
    </row>
    <row r="3" spans="1:12">
      <c r="B3" t="s">
        <v>375</v>
      </c>
      <c r="H3" t="s">
        <v>405</v>
      </c>
      <c r="I3" t="s">
        <v>396</v>
      </c>
      <c r="J3" t="s">
        <v>398</v>
      </c>
      <c r="K3" t="s">
        <v>400</v>
      </c>
      <c r="L3" t="s">
        <v>402</v>
      </c>
    </row>
    <row r="4" spans="1:12">
      <c r="H4" t="s">
        <v>406</v>
      </c>
      <c r="I4">
        <v>49</v>
      </c>
      <c r="J4">
        <v>31</v>
      </c>
      <c r="K4">
        <v>46</v>
      </c>
      <c r="L4">
        <v>45</v>
      </c>
    </row>
    <row r="5" spans="1:12">
      <c r="B5" t="s">
        <v>365</v>
      </c>
      <c r="I5">
        <v>73</v>
      </c>
      <c r="J5">
        <v>40</v>
      </c>
      <c r="K5">
        <v>41</v>
      </c>
      <c r="L5">
        <v>73</v>
      </c>
    </row>
    <row r="6" spans="1:12">
      <c r="B6" t="s">
        <v>367</v>
      </c>
      <c r="H6" t="s">
        <v>403</v>
      </c>
      <c r="I6">
        <v>58</v>
      </c>
      <c r="J6">
        <v>43</v>
      </c>
      <c r="K6">
        <v>58</v>
      </c>
      <c r="L6">
        <v>76</v>
      </c>
    </row>
    <row r="7" spans="1:12">
      <c r="B7" t="s">
        <v>366</v>
      </c>
      <c r="I7">
        <v>38</v>
      </c>
      <c r="J7">
        <v>44</v>
      </c>
      <c r="K7">
        <v>31</v>
      </c>
    </row>
    <row r="8" spans="1:12">
      <c r="B8" t="s">
        <v>370</v>
      </c>
      <c r="I8">
        <v>42</v>
      </c>
      <c r="J8">
        <v>34</v>
      </c>
      <c r="K8">
        <v>65</v>
      </c>
    </row>
    <row r="9" spans="1:12">
      <c r="J9">
        <v>20</v>
      </c>
    </row>
    <row r="10" spans="1:12">
      <c r="B10" t="s">
        <v>369</v>
      </c>
      <c r="G10" t="s">
        <v>412</v>
      </c>
    </row>
    <row r="11" spans="1:12">
      <c r="B11" t="s">
        <v>371</v>
      </c>
      <c r="G11" t="s">
        <v>363</v>
      </c>
      <c r="H11" t="s">
        <v>414</v>
      </c>
      <c r="J11" t="s">
        <v>430</v>
      </c>
    </row>
    <row r="12" spans="1:12">
      <c r="B12" t="s">
        <v>372</v>
      </c>
      <c r="G12" t="s">
        <v>413</v>
      </c>
      <c r="J12" t="s">
        <v>431</v>
      </c>
    </row>
    <row r="13" spans="1:12" ht="19" thickBot="1">
      <c r="H13" t="s">
        <v>415</v>
      </c>
    </row>
    <row r="14" spans="1:12">
      <c r="B14" t="s">
        <v>373</v>
      </c>
      <c r="H14" s="7" t="s">
        <v>416</v>
      </c>
      <c r="I14" s="7" t="s">
        <v>62</v>
      </c>
      <c r="J14" s="7" t="s">
        <v>61</v>
      </c>
      <c r="K14" s="7" t="s">
        <v>417</v>
      </c>
      <c r="L14" s="7" t="s">
        <v>313</v>
      </c>
    </row>
    <row r="15" spans="1:12">
      <c r="B15" t="s">
        <v>374</v>
      </c>
      <c r="H15" s="5" t="s">
        <v>395</v>
      </c>
      <c r="I15" s="5">
        <v>5</v>
      </c>
      <c r="J15" s="5">
        <v>260</v>
      </c>
      <c r="K15" s="5">
        <v>52</v>
      </c>
      <c r="L15" s="5">
        <v>195.5</v>
      </c>
    </row>
    <row r="16" spans="1:12">
      <c r="B16" t="s">
        <v>376</v>
      </c>
      <c r="H16" s="5" t="s">
        <v>397</v>
      </c>
      <c r="I16" s="5">
        <v>6</v>
      </c>
      <c r="J16" s="5">
        <v>212</v>
      </c>
      <c r="K16" s="5">
        <v>35.333333333333336</v>
      </c>
      <c r="L16" s="5">
        <v>82.266666666666609</v>
      </c>
    </row>
    <row r="17" spans="2:16">
      <c r="H17" s="5" t="s">
        <v>399</v>
      </c>
      <c r="I17" s="5">
        <v>5</v>
      </c>
      <c r="J17" s="5">
        <v>241</v>
      </c>
      <c r="K17" s="5">
        <v>48.2</v>
      </c>
      <c r="L17" s="5">
        <v>182.69999999999982</v>
      </c>
    </row>
    <row r="18" spans="2:16" ht="19" thickBot="1">
      <c r="B18" t="s">
        <v>377</v>
      </c>
      <c r="H18" s="6" t="s">
        <v>401</v>
      </c>
      <c r="I18" s="6">
        <v>3</v>
      </c>
      <c r="J18" s="6">
        <v>194</v>
      </c>
      <c r="K18" s="6">
        <v>64.666666666666671</v>
      </c>
      <c r="L18" s="6">
        <v>292.33333333333303</v>
      </c>
    </row>
    <row r="19" spans="2:16">
      <c r="B19" s="1" t="s">
        <v>428</v>
      </c>
      <c r="C19" t="s">
        <v>379</v>
      </c>
      <c r="D19" t="s">
        <v>330</v>
      </c>
      <c r="E19" t="s">
        <v>386</v>
      </c>
      <c r="F19" t="s">
        <v>389</v>
      </c>
      <c r="N19" t="s">
        <v>433</v>
      </c>
    </row>
    <row r="20" spans="2:16">
      <c r="B20" s="1" t="s">
        <v>427</v>
      </c>
      <c r="C20" t="s">
        <v>380</v>
      </c>
      <c r="D20" t="s">
        <v>384</v>
      </c>
      <c r="E20" t="s">
        <v>387</v>
      </c>
      <c r="F20" t="s">
        <v>390</v>
      </c>
      <c r="N20">
        <f>_xlfn.F.INV(0.95, 3, 15)</f>
        <v>3.2873821046365075</v>
      </c>
    </row>
    <row r="21" spans="2:16" ht="19" thickBot="1">
      <c r="B21" s="1" t="s">
        <v>381</v>
      </c>
      <c r="C21" t="s">
        <v>382</v>
      </c>
      <c r="D21" t="s">
        <v>385</v>
      </c>
      <c r="E21" t="s">
        <v>388</v>
      </c>
      <c r="H21" t="s">
        <v>418</v>
      </c>
      <c r="M21" t="s">
        <v>434</v>
      </c>
      <c r="N21" t="s">
        <v>432</v>
      </c>
    </row>
    <row r="22" spans="2:16">
      <c r="B22" s="1" t="s">
        <v>378</v>
      </c>
      <c r="C22" t="s">
        <v>383</v>
      </c>
      <c r="D22" t="s">
        <v>288</v>
      </c>
      <c r="H22" s="7" t="s">
        <v>419</v>
      </c>
      <c r="I22" s="7" t="s">
        <v>420</v>
      </c>
      <c r="J22" s="7" t="s">
        <v>315</v>
      </c>
      <c r="K22" s="7" t="s">
        <v>421</v>
      </c>
      <c r="L22" s="7" t="s">
        <v>316</v>
      </c>
      <c r="M22" s="7" t="s">
        <v>422</v>
      </c>
      <c r="N22" s="7" t="s">
        <v>423</v>
      </c>
    </row>
    <row r="23" spans="2:16">
      <c r="F23" t="s">
        <v>392</v>
      </c>
      <c r="H23" s="5" t="s">
        <v>424</v>
      </c>
      <c r="I23" s="5">
        <v>1874.8842105263161</v>
      </c>
      <c r="J23" s="5">
        <v>3</v>
      </c>
      <c r="K23" s="5">
        <v>624.96140350877204</v>
      </c>
      <c r="L23" s="5">
        <v>3.7366155343716447</v>
      </c>
      <c r="M23" s="5">
        <v>3.4638152053647252E-2</v>
      </c>
      <c r="N23" s="5">
        <v>3.2873821046365093</v>
      </c>
    </row>
    <row r="24" spans="2:16">
      <c r="C24" t="s">
        <v>411</v>
      </c>
      <c r="F24" t="s">
        <v>408</v>
      </c>
      <c r="H24" s="5" t="s">
        <v>425</v>
      </c>
      <c r="I24" s="5">
        <v>2508.7999999999997</v>
      </c>
      <c r="J24" s="5">
        <v>15</v>
      </c>
      <c r="K24" s="5">
        <v>167.2533333333333</v>
      </c>
      <c r="L24" s="5"/>
      <c r="M24" s="5"/>
      <c r="N24" s="5"/>
    </row>
    <row r="25" spans="2:16">
      <c r="C25" t="s">
        <v>410</v>
      </c>
      <c r="F25" t="s">
        <v>409</v>
      </c>
      <c r="H25" s="5"/>
      <c r="I25" s="5"/>
      <c r="J25" s="5"/>
      <c r="K25" s="5"/>
      <c r="L25" s="5"/>
      <c r="M25" s="5"/>
      <c r="N25" s="5"/>
    </row>
    <row r="26" spans="2:16" ht="19" thickBot="1">
      <c r="C26" t="s">
        <v>393</v>
      </c>
      <c r="H26" s="6" t="s">
        <v>426</v>
      </c>
      <c r="I26" s="6">
        <v>4383.6842105263158</v>
      </c>
      <c r="J26" s="6">
        <v>18</v>
      </c>
      <c r="K26" s="6"/>
      <c r="L26" s="6"/>
      <c r="M26" s="6"/>
      <c r="N26" s="6"/>
    </row>
    <row r="28" spans="2:16">
      <c r="B28" s="18" t="s">
        <v>435</v>
      </c>
    </row>
    <row r="29" spans="2:16">
      <c r="B29" t="s">
        <v>439</v>
      </c>
      <c r="H29" t="s">
        <v>443</v>
      </c>
      <c r="I29" t="s">
        <v>444</v>
      </c>
      <c r="K29" t="s">
        <v>429</v>
      </c>
    </row>
    <row r="30" spans="2:16">
      <c r="C30" t="s">
        <v>437</v>
      </c>
      <c r="H30" t="s">
        <v>457</v>
      </c>
      <c r="I30" t="s">
        <v>396</v>
      </c>
      <c r="J30" t="s">
        <v>398</v>
      </c>
      <c r="K30" t="s">
        <v>400</v>
      </c>
    </row>
    <row r="31" spans="2:16">
      <c r="B31" t="s">
        <v>436</v>
      </c>
      <c r="H31" t="s">
        <v>446</v>
      </c>
      <c r="I31" s="19">
        <v>305</v>
      </c>
      <c r="J31">
        <v>322</v>
      </c>
      <c r="K31">
        <v>320</v>
      </c>
      <c r="O31" s="19"/>
      <c r="P31" s="19"/>
    </row>
    <row r="32" spans="2:16">
      <c r="C32" t="s">
        <v>438</v>
      </c>
      <c r="I32">
        <v>302</v>
      </c>
      <c r="J32">
        <v>325</v>
      </c>
      <c r="K32">
        <v>322</v>
      </c>
      <c r="O32" s="19"/>
      <c r="P32" s="19"/>
    </row>
    <row r="33" spans="3:16">
      <c r="C33" t="s">
        <v>440</v>
      </c>
      <c r="H33" t="s">
        <v>448</v>
      </c>
      <c r="I33">
        <v>335</v>
      </c>
      <c r="J33">
        <v>350</v>
      </c>
      <c r="K33">
        <v>342</v>
      </c>
      <c r="O33" s="19"/>
      <c r="P33" s="19"/>
    </row>
    <row r="34" spans="3:16">
      <c r="C34" t="s">
        <v>441</v>
      </c>
      <c r="I34">
        <v>337</v>
      </c>
      <c r="J34">
        <v>348</v>
      </c>
      <c r="K34">
        <v>344</v>
      </c>
      <c r="O34" s="19"/>
      <c r="P34" s="19"/>
    </row>
    <row r="35" spans="3:16">
      <c r="C35" t="s">
        <v>442</v>
      </c>
      <c r="H35" t="s">
        <v>450</v>
      </c>
      <c r="I35">
        <v>366</v>
      </c>
      <c r="J35">
        <v>326</v>
      </c>
      <c r="K35">
        <v>333</v>
      </c>
      <c r="O35" s="19"/>
      <c r="P35" s="19"/>
    </row>
    <row r="36" spans="3:16">
      <c r="I36">
        <v>364</v>
      </c>
      <c r="J36">
        <v>324</v>
      </c>
      <c r="K36">
        <v>336</v>
      </c>
      <c r="O36" s="19"/>
      <c r="P36" s="19"/>
    </row>
    <row r="37" spans="3:16">
      <c r="H37" t="s">
        <v>452</v>
      </c>
      <c r="I37">
        <v>372</v>
      </c>
      <c r="J37">
        <v>330</v>
      </c>
      <c r="K37">
        <v>348</v>
      </c>
    </row>
    <row r="38" spans="3:16">
      <c r="I38">
        <v>374</v>
      </c>
      <c r="J38">
        <v>330</v>
      </c>
      <c r="K38">
        <v>348</v>
      </c>
    </row>
    <row r="39" spans="3:16">
      <c r="H39" t="s">
        <v>454</v>
      </c>
      <c r="I39">
        <v>376</v>
      </c>
      <c r="J39">
        <v>327</v>
      </c>
      <c r="K39">
        <v>350</v>
      </c>
    </row>
    <row r="40" spans="3:16">
      <c r="I40">
        <v>373</v>
      </c>
      <c r="J40">
        <v>330</v>
      </c>
      <c r="K40">
        <v>350</v>
      </c>
    </row>
    <row r="41" spans="3:16">
      <c r="H41" t="s">
        <v>456</v>
      </c>
      <c r="I41">
        <v>348</v>
      </c>
      <c r="J41">
        <v>310</v>
      </c>
      <c r="K41">
        <v>330</v>
      </c>
    </row>
    <row r="42" spans="3:16">
      <c r="I42">
        <v>350</v>
      </c>
      <c r="J42">
        <v>308</v>
      </c>
      <c r="K42">
        <v>328</v>
      </c>
    </row>
    <row r="43" spans="3:16">
      <c r="G43" t="s">
        <v>464</v>
      </c>
      <c r="H43" t="s">
        <v>458</v>
      </c>
    </row>
    <row r="44" spans="3:16">
      <c r="G44" t="s">
        <v>363</v>
      </c>
    </row>
    <row r="45" spans="3:16">
      <c r="G45" t="s">
        <v>463</v>
      </c>
      <c r="H45" t="s">
        <v>415</v>
      </c>
      <c r="I45" t="s">
        <v>395</v>
      </c>
      <c r="J45" t="s">
        <v>397</v>
      </c>
      <c r="K45" t="s">
        <v>399</v>
      </c>
      <c r="L45" t="s">
        <v>426</v>
      </c>
    </row>
    <row r="46" spans="3:16" ht="19" thickBot="1">
      <c r="H46" s="20" t="s">
        <v>445</v>
      </c>
      <c r="I46" s="20"/>
      <c r="J46" s="20"/>
      <c r="K46" s="20"/>
      <c r="L46" s="20"/>
    </row>
    <row r="47" spans="3:16">
      <c r="H47" s="5" t="s">
        <v>62</v>
      </c>
      <c r="I47" s="5">
        <v>2</v>
      </c>
      <c r="J47" s="5">
        <v>2</v>
      </c>
      <c r="K47" s="5">
        <v>2</v>
      </c>
      <c r="L47" s="5">
        <v>6</v>
      </c>
    </row>
    <row r="48" spans="3:16">
      <c r="H48" s="5" t="s">
        <v>61</v>
      </c>
      <c r="I48" s="5">
        <v>607</v>
      </c>
      <c r="J48" s="5">
        <v>647</v>
      </c>
      <c r="K48" s="5">
        <v>642</v>
      </c>
      <c r="L48" s="5">
        <v>1896</v>
      </c>
    </row>
    <row r="49" spans="8:12">
      <c r="H49" s="5" t="s">
        <v>417</v>
      </c>
      <c r="I49" s="5">
        <v>303.5</v>
      </c>
      <c r="J49" s="5">
        <v>323.5</v>
      </c>
      <c r="K49" s="5">
        <v>321</v>
      </c>
      <c r="L49" s="5">
        <v>316</v>
      </c>
    </row>
    <row r="50" spans="8:12">
      <c r="H50" s="5" t="s">
        <v>313</v>
      </c>
      <c r="I50" s="5">
        <v>4.5</v>
      </c>
      <c r="J50" s="5">
        <v>4.5</v>
      </c>
      <c r="K50" s="5">
        <v>2</v>
      </c>
      <c r="L50" s="5">
        <v>97.2</v>
      </c>
    </row>
    <row r="51" spans="8:12" hidden="1">
      <c r="H51" s="5"/>
      <c r="I51" s="5"/>
      <c r="J51" s="5"/>
      <c r="K51" s="5"/>
      <c r="L51" s="5"/>
    </row>
    <row r="52" spans="8:12" ht="19" hidden="1" thickBot="1">
      <c r="H52" s="20" t="s">
        <v>447</v>
      </c>
      <c r="I52" s="20"/>
      <c r="J52" s="20"/>
      <c r="K52" s="20"/>
      <c r="L52" s="20"/>
    </row>
    <row r="53" spans="8:12" hidden="1">
      <c r="H53" s="5" t="s">
        <v>62</v>
      </c>
      <c r="I53" s="5">
        <v>2</v>
      </c>
      <c r="J53" s="5">
        <v>2</v>
      </c>
      <c r="K53" s="5">
        <v>2</v>
      </c>
      <c r="L53" s="5">
        <v>6</v>
      </c>
    </row>
    <row r="54" spans="8:12" hidden="1">
      <c r="H54" s="5" t="s">
        <v>61</v>
      </c>
      <c r="I54" s="5">
        <v>672</v>
      </c>
      <c r="J54" s="5">
        <v>698</v>
      </c>
      <c r="K54" s="5">
        <v>686</v>
      </c>
      <c r="L54" s="5">
        <v>2056</v>
      </c>
    </row>
    <row r="55" spans="8:12" hidden="1">
      <c r="H55" s="5" t="s">
        <v>417</v>
      </c>
      <c r="I55" s="5">
        <v>336</v>
      </c>
      <c r="J55" s="5">
        <v>349</v>
      </c>
      <c r="K55" s="5">
        <v>343</v>
      </c>
      <c r="L55" s="5">
        <v>342.66666666666669</v>
      </c>
    </row>
    <row r="56" spans="8:12" hidden="1">
      <c r="H56" s="5" t="s">
        <v>313</v>
      </c>
      <c r="I56" s="5">
        <v>2</v>
      </c>
      <c r="J56" s="5">
        <v>2</v>
      </c>
      <c r="K56" s="5">
        <v>2</v>
      </c>
      <c r="L56" s="5">
        <v>35.066666666666663</v>
      </c>
    </row>
    <row r="57" spans="8:12" hidden="1">
      <c r="H57" s="5"/>
      <c r="I57" s="5"/>
      <c r="J57" s="5"/>
      <c r="K57" s="5"/>
      <c r="L57" s="5"/>
    </row>
    <row r="58" spans="8:12" ht="19" hidden="1" thickBot="1">
      <c r="H58" s="20" t="s">
        <v>449</v>
      </c>
      <c r="I58" s="20"/>
      <c r="J58" s="20"/>
      <c r="K58" s="20"/>
      <c r="L58" s="20"/>
    </row>
    <row r="59" spans="8:12" hidden="1">
      <c r="H59" s="5" t="s">
        <v>62</v>
      </c>
      <c r="I59" s="5">
        <v>2</v>
      </c>
      <c r="J59" s="5">
        <v>2</v>
      </c>
      <c r="K59" s="5">
        <v>2</v>
      </c>
      <c r="L59" s="5">
        <v>6</v>
      </c>
    </row>
    <row r="60" spans="8:12" hidden="1">
      <c r="H60" s="5" t="s">
        <v>61</v>
      </c>
      <c r="I60" s="5">
        <v>730</v>
      </c>
      <c r="J60" s="5">
        <v>650</v>
      </c>
      <c r="K60" s="5">
        <v>669</v>
      </c>
      <c r="L60" s="5">
        <v>2049</v>
      </c>
    </row>
    <row r="61" spans="8:12" hidden="1">
      <c r="H61" s="5" t="s">
        <v>417</v>
      </c>
      <c r="I61" s="5">
        <v>365</v>
      </c>
      <c r="J61" s="5">
        <v>325</v>
      </c>
      <c r="K61" s="5">
        <v>334.5</v>
      </c>
      <c r="L61" s="5">
        <v>341.5</v>
      </c>
    </row>
    <row r="62" spans="8:12" hidden="1">
      <c r="H62" s="5" t="s">
        <v>313</v>
      </c>
      <c r="I62" s="5">
        <v>2</v>
      </c>
      <c r="J62" s="5">
        <v>2</v>
      </c>
      <c r="K62" s="5">
        <v>4.5</v>
      </c>
      <c r="L62" s="5">
        <v>351.1</v>
      </c>
    </row>
    <row r="63" spans="8:12" hidden="1">
      <c r="H63" s="5"/>
      <c r="I63" s="5"/>
      <c r="J63" s="5"/>
      <c r="K63" s="5"/>
      <c r="L63" s="5"/>
    </row>
    <row r="64" spans="8:12" ht="19" hidden="1" thickBot="1">
      <c r="H64" s="20" t="s">
        <v>451</v>
      </c>
      <c r="I64" s="20"/>
      <c r="J64" s="20"/>
      <c r="K64" s="20"/>
      <c r="L64" s="20"/>
    </row>
    <row r="65" spans="8:12" hidden="1">
      <c r="H65" s="5" t="s">
        <v>62</v>
      </c>
      <c r="I65" s="5">
        <v>2</v>
      </c>
      <c r="J65" s="5">
        <v>2</v>
      </c>
      <c r="K65" s="5">
        <v>2</v>
      </c>
      <c r="L65" s="5">
        <v>6</v>
      </c>
    </row>
    <row r="66" spans="8:12" hidden="1">
      <c r="H66" s="5" t="s">
        <v>61</v>
      </c>
      <c r="I66" s="5">
        <v>746</v>
      </c>
      <c r="J66" s="5">
        <v>660</v>
      </c>
      <c r="K66" s="5">
        <v>696</v>
      </c>
      <c r="L66" s="5">
        <v>2102</v>
      </c>
    </row>
    <row r="67" spans="8:12" hidden="1">
      <c r="H67" s="5" t="s">
        <v>417</v>
      </c>
      <c r="I67" s="5">
        <v>373</v>
      </c>
      <c r="J67" s="5">
        <v>330</v>
      </c>
      <c r="K67" s="5">
        <v>348</v>
      </c>
      <c r="L67" s="5">
        <v>350.33333333333331</v>
      </c>
    </row>
    <row r="68" spans="8:12" hidden="1">
      <c r="H68" s="5" t="s">
        <v>313</v>
      </c>
      <c r="I68" s="5">
        <v>2</v>
      </c>
      <c r="J68" s="5">
        <v>0</v>
      </c>
      <c r="K68" s="5">
        <v>0</v>
      </c>
      <c r="L68" s="5">
        <v>373.46666666666664</v>
      </c>
    </row>
    <row r="69" spans="8:12" hidden="1">
      <c r="H69" s="5"/>
      <c r="I69" s="5"/>
      <c r="J69" s="5"/>
      <c r="K69" s="5"/>
      <c r="L69" s="5"/>
    </row>
    <row r="70" spans="8:12" ht="19" hidden="1" thickBot="1">
      <c r="H70" s="20" t="s">
        <v>453</v>
      </c>
      <c r="I70" s="20"/>
      <c r="J70" s="20"/>
      <c r="K70" s="20"/>
      <c r="L70" s="20"/>
    </row>
    <row r="71" spans="8:12" hidden="1">
      <c r="H71" s="5" t="s">
        <v>62</v>
      </c>
      <c r="I71" s="5">
        <v>2</v>
      </c>
      <c r="J71" s="5">
        <v>2</v>
      </c>
      <c r="K71" s="5">
        <v>2</v>
      </c>
      <c r="L71" s="5">
        <v>6</v>
      </c>
    </row>
    <row r="72" spans="8:12" hidden="1">
      <c r="H72" s="5" t="s">
        <v>61</v>
      </c>
      <c r="I72" s="5">
        <v>749</v>
      </c>
      <c r="J72" s="5">
        <v>657</v>
      </c>
      <c r="K72" s="5">
        <v>700</v>
      </c>
      <c r="L72" s="5">
        <v>2106</v>
      </c>
    </row>
    <row r="73" spans="8:12" hidden="1">
      <c r="H73" s="5" t="s">
        <v>417</v>
      </c>
      <c r="I73" s="5">
        <v>374.5</v>
      </c>
      <c r="J73" s="5">
        <v>328.5</v>
      </c>
      <c r="K73" s="5">
        <v>350</v>
      </c>
      <c r="L73" s="5">
        <v>351</v>
      </c>
    </row>
    <row r="74" spans="8:12" hidden="1">
      <c r="H74" s="5" t="s">
        <v>313</v>
      </c>
      <c r="I74" s="5">
        <v>4.5</v>
      </c>
      <c r="J74" s="5">
        <v>4.5</v>
      </c>
      <c r="K74" s="5">
        <v>0</v>
      </c>
      <c r="L74" s="5">
        <v>425.6</v>
      </c>
    </row>
    <row r="75" spans="8:12" hidden="1">
      <c r="H75" s="5"/>
      <c r="I75" s="5"/>
      <c r="J75" s="5"/>
      <c r="K75" s="5"/>
      <c r="L75" s="5"/>
    </row>
    <row r="76" spans="8:12" ht="19" hidden="1" thickBot="1">
      <c r="H76" s="20" t="s">
        <v>455</v>
      </c>
      <c r="I76" s="20"/>
      <c r="J76" s="20"/>
      <c r="K76" s="20"/>
      <c r="L76" s="20"/>
    </row>
    <row r="77" spans="8:12" hidden="1">
      <c r="H77" s="5" t="s">
        <v>62</v>
      </c>
      <c r="I77" s="5">
        <v>2</v>
      </c>
      <c r="J77" s="5">
        <v>2</v>
      </c>
      <c r="K77" s="5">
        <v>2</v>
      </c>
      <c r="L77" s="5">
        <v>6</v>
      </c>
    </row>
    <row r="78" spans="8:12" hidden="1">
      <c r="H78" s="5" t="s">
        <v>61</v>
      </c>
      <c r="I78" s="5">
        <v>698</v>
      </c>
      <c r="J78" s="5">
        <v>618</v>
      </c>
      <c r="K78" s="5">
        <v>658</v>
      </c>
      <c r="L78" s="5">
        <v>1974</v>
      </c>
    </row>
    <row r="79" spans="8:12" hidden="1">
      <c r="H79" s="5" t="s">
        <v>417</v>
      </c>
      <c r="I79" s="5">
        <v>349</v>
      </c>
      <c r="J79" s="5">
        <v>309</v>
      </c>
      <c r="K79" s="5">
        <v>329</v>
      </c>
      <c r="L79" s="5">
        <v>329</v>
      </c>
    </row>
    <row r="80" spans="8:12" hidden="1">
      <c r="H80" s="5" t="s">
        <v>313</v>
      </c>
      <c r="I80" s="5">
        <v>2</v>
      </c>
      <c r="J80" s="5">
        <v>2</v>
      </c>
      <c r="K80" s="5">
        <v>2</v>
      </c>
      <c r="L80" s="5">
        <v>321.2</v>
      </c>
    </row>
    <row r="81" spans="4:15">
      <c r="H81" s="5"/>
      <c r="I81" s="5"/>
      <c r="J81" s="5"/>
      <c r="K81" s="5"/>
      <c r="L81" s="5"/>
    </row>
    <row r="82" spans="4:15" ht="19" thickBot="1">
      <c r="H82" s="20" t="s">
        <v>426</v>
      </c>
      <c r="I82" s="20"/>
      <c r="J82" s="20"/>
      <c r="K82" s="20"/>
      <c r="L82" s="20"/>
      <c r="M82" s="20"/>
      <c r="N82" s="20"/>
      <c r="O82" s="20"/>
    </row>
    <row r="83" spans="4:15">
      <c r="H83" s="5" t="s">
        <v>62</v>
      </c>
      <c r="I83" s="5">
        <v>12</v>
      </c>
      <c r="J83" s="5">
        <v>12</v>
      </c>
      <c r="K83" s="5">
        <v>12</v>
      </c>
      <c r="L83" s="5"/>
      <c r="M83" s="5"/>
      <c r="N83" s="5"/>
      <c r="O83" s="5"/>
    </row>
    <row r="84" spans="4:15">
      <c r="H84" s="5" t="s">
        <v>61</v>
      </c>
      <c r="I84" s="5">
        <v>4202</v>
      </c>
      <c r="J84" s="5">
        <v>3930</v>
      </c>
      <c r="K84" s="5">
        <v>4051</v>
      </c>
      <c r="L84" s="5"/>
      <c r="M84" s="5"/>
      <c r="N84" s="5"/>
      <c r="O84" s="5"/>
    </row>
    <row r="85" spans="4:15">
      <c r="H85" s="5" t="s">
        <v>417</v>
      </c>
      <c r="I85" s="5">
        <v>350.16666666666669</v>
      </c>
      <c r="J85" s="5">
        <v>327.5</v>
      </c>
      <c r="K85" s="5">
        <v>337.58333333333331</v>
      </c>
      <c r="L85" s="5"/>
      <c r="M85" s="5"/>
      <c r="N85" s="5"/>
      <c r="O85" s="5"/>
    </row>
    <row r="86" spans="4:15">
      <c r="H86" s="5" t="s">
        <v>313</v>
      </c>
      <c r="I86" s="5">
        <v>676.69696969696952</v>
      </c>
      <c r="J86" s="5">
        <v>153</v>
      </c>
      <c r="K86" s="5">
        <v>119.17424242424239</v>
      </c>
      <c r="L86" s="5"/>
      <c r="M86" s="5"/>
      <c r="N86" s="5"/>
      <c r="O86" s="5"/>
    </row>
    <row r="87" spans="4:15">
      <c r="H87" s="5"/>
      <c r="I87" s="5"/>
      <c r="J87" s="5"/>
      <c r="K87" s="5"/>
      <c r="L87" s="5"/>
      <c r="M87" s="5"/>
      <c r="N87" s="5"/>
      <c r="O87" s="5"/>
    </row>
    <row r="89" spans="4:15" ht="19" thickBot="1">
      <c r="D89" t="s">
        <v>391</v>
      </c>
      <c r="H89" t="s">
        <v>418</v>
      </c>
    </row>
    <row r="90" spans="4:15">
      <c r="D90" t="s">
        <v>465</v>
      </c>
      <c r="H90" s="7" t="s">
        <v>419</v>
      </c>
      <c r="I90" s="7" t="s">
        <v>420</v>
      </c>
      <c r="J90" s="7" t="s">
        <v>315</v>
      </c>
      <c r="K90" s="7" t="s">
        <v>421</v>
      </c>
      <c r="L90" s="7" t="s">
        <v>316</v>
      </c>
      <c r="M90" s="7" t="s">
        <v>422</v>
      </c>
      <c r="N90" s="7" t="s">
        <v>423</v>
      </c>
    </row>
    <row r="91" spans="4:15">
      <c r="H91" s="5" t="s">
        <v>459</v>
      </c>
      <c r="I91" s="5">
        <v>5514.5833333333339</v>
      </c>
      <c r="J91" s="5">
        <v>5</v>
      </c>
      <c r="K91" s="5">
        <v>1102.9166666666667</v>
      </c>
      <c r="L91" s="5">
        <v>467.11764705882354</v>
      </c>
      <c r="M91" s="5">
        <v>2.1852719527371638E-18</v>
      </c>
      <c r="N91" s="5">
        <v>2.77285315299783</v>
      </c>
    </row>
    <row r="92" spans="4:15">
      <c r="H92" s="5" t="s">
        <v>460</v>
      </c>
      <c r="I92" s="5">
        <v>3095.1666666666697</v>
      </c>
      <c r="J92" s="5">
        <v>2</v>
      </c>
      <c r="K92" s="5">
        <v>1547.5833333333348</v>
      </c>
      <c r="L92" s="5">
        <v>655.44705882353003</v>
      </c>
      <c r="M92" s="5">
        <v>1.5347552749979913E-17</v>
      </c>
      <c r="N92" s="5">
        <v>3.5545571456617879</v>
      </c>
    </row>
    <row r="93" spans="4:15">
      <c r="H93" s="5" t="s">
        <v>461</v>
      </c>
      <c r="I93" s="5">
        <v>4880.4999999999964</v>
      </c>
      <c r="J93" s="5">
        <v>10</v>
      </c>
      <c r="K93" s="5">
        <v>488.04999999999961</v>
      </c>
      <c r="L93" s="5">
        <v>206.70352941176455</v>
      </c>
      <c r="M93" s="5">
        <v>1.8458207702998265E-16</v>
      </c>
      <c r="N93" s="5">
        <v>2.4117020398339202</v>
      </c>
    </row>
    <row r="94" spans="4:15">
      <c r="H94" s="5" t="s">
        <v>462</v>
      </c>
      <c r="I94" s="5">
        <v>42.5</v>
      </c>
      <c r="J94" s="5">
        <v>18</v>
      </c>
      <c r="K94" s="5">
        <v>2.3611111111111112</v>
      </c>
      <c r="L94" s="5"/>
      <c r="M94" s="5"/>
      <c r="N94" s="5"/>
    </row>
    <row r="95" spans="4:15">
      <c r="H95" s="5"/>
      <c r="I95" s="5"/>
      <c r="J95" s="5"/>
      <c r="K95" s="5"/>
      <c r="L95" s="5"/>
      <c r="M95" s="5"/>
      <c r="N95" s="5"/>
    </row>
    <row r="96" spans="4:15" ht="19" thickBot="1">
      <c r="H96" s="6" t="s">
        <v>426</v>
      </c>
      <c r="I96" s="6">
        <v>13532.75</v>
      </c>
      <c r="J96" s="6">
        <v>35</v>
      </c>
      <c r="K96" s="6"/>
      <c r="L96" s="6"/>
      <c r="M96" s="6"/>
      <c r="N96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5B68-47F2-964B-8A36-ACE178FD105B}">
  <dimension ref="A1:J18"/>
  <sheetViews>
    <sheetView workbookViewId="0">
      <selection activeCell="C19" sqref="C19"/>
    </sheetView>
  </sheetViews>
  <sheetFormatPr baseColWidth="10" defaultRowHeight="18"/>
  <sheetData>
    <row r="1" spans="1:10">
      <c r="A1" s="7" t="s">
        <v>2</v>
      </c>
      <c r="B1" s="7"/>
      <c r="C1" s="7" t="s">
        <v>4</v>
      </c>
      <c r="D1" s="7"/>
      <c r="E1" s="7" t="s">
        <v>6</v>
      </c>
      <c r="F1" s="7"/>
      <c r="G1" s="7" t="s">
        <v>8</v>
      </c>
      <c r="H1" s="7"/>
      <c r="I1" s="7" t="s">
        <v>10</v>
      </c>
      <c r="J1" s="7"/>
    </row>
    <row r="2" spans="1:10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>
      <c r="A3" s="5" t="s">
        <v>50</v>
      </c>
      <c r="B3" s="5">
        <v>66.666666666666671</v>
      </c>
      <c r="C3" s="5" t="s">
        <v>50</v>
      </c>
      <c r="D3" s="5">
        <v>53.2</v>
      </c>
      <c r="E3" s="5" t="s">
        <v>50</v>
      </c>
      <c r="F3" s="5">
        <v>65.066666666666663</v>
      </c>
      <c r="G3" s="5" t="s">
        <v>50</v>
      </c>
      <c r="H3" s="5">
        <v>73.933333333333337</v>
      </c>
      <c r="I3" s="5" t="s">
        <v>50</v>
      </c>
      <c r="J3" s="5">
        <v>72.733333333333334</v>
      </c>
    </row>
    <row r="4" spans="1:10">
      <c r="A4" s="5" t="s">
        <v>51</v>
      </c>
      <c r="B4" s="5">
        <v>5.2469189749946308</v>
      </c>
      <c r="C4" s="5" t="s">
        <v>51</v>
      </c>
      <c r="D4" s="5">
        <v>5.0353039346484065</v>
      </c>
      <c r="E4" s="5" t="s">
        <v>51</v>
      </c>
      <c r="F4" s="5">
        <v>3.6625084646957826</v>
      </c>
      <c r="G4" s="5" t="s">
        <v>51</v>
      </c>
      <c r="H4" s="5">
        <v>2.7176086593541813</v>
      </c>
      <c r="I4" s="5" t="s">
        <v>51</v>
      </c>
      <c r="J4" s="5">
        <v>2.895754966394227</v>
      </c>
    </row>
    <row r="5" spans="1:10">
      <c r="A5" s="5" t="s">
        <v>52</v>
      </c>
      <c r="B5" s="5">
        <v>69</v>
      </c>
      <c r="C5" s="5" t="s">
        <v>52</v>
      </c>
      <c r="D5" s="5">
        <v>54</v>
      </c>
      <c r="E5" s="5" t="s">
        <v>52</v>
      </c>
      <c r="F5" s="5">
        <v>65</v>
      </c>
      <c r="G5" s="5" t="s">
        <v>52</v>
      </c>
      <c r="H5" s="5">
        <v>75</v>
      </c>
      <c r="I5" s="5" t="s">
        <v>52</v>
      </c>
      <c r="J5" s="5">
        <v>75</v>
      </c>
    </row>
    <row r="6" spans="1:10">
      <c r="A6" s="5" t="s">
        <v>53</v>
      </c>
      <c r="B6" s="5">
        <v>84</v>
      </c>
      <c r="C6" s="5" t="s">
        <v>53</v>
      </c>
      <c r="D6" s="5">
        <v>57</v>
      </c>
      <c r="E6" s="5" t="s">
        <v>53</v>
      </c>
      <c r="F6" s="5">
        <v>70</v>
      </c>
      <c r="G6" s="5" t="s">
        <v>53</v>
      </c>
      <c r="H6" s="5">
        <v>70</v>
      </c>
      <c r="I6" s="5" t="s">
        <v>53</v>
      </c>
      <c r="J6" s="5">
        <v>60</v>
      </c>
    </row>
    <row r="7" spans="1:10">
      <c r="A7" s="5" t="s">
        <v>54</v>
      </c>
      <c r="B7" s="5">
        <v>20.321229809053897</v>
      </c>
      <c r="C7" s="5" t="s">
        <v>54</v>
      </c>
      <c r="D7" s="5">
        <v>19.501648281985958</v>
      </c>
      <c r="E7" s="5" t="s">
        <v>54</v>
      </c>
      <c r="F7" s="5">
        <v>14.184834289110462</v>
      </c>
      <c r="G7" s="5" t="s">
        <v>54</v>
      </c>
      <c r="H7" s="5">
        <v>10.525253079187809</v>
      </c>
      <c r="I7" s="5" t="s">
        <v>54</v>
      </c>
      <c r="J7" s="5">
        <v>11.215210759542259</v>
      </c>
    </row>
    <row r="8" spans="1:10">
      <c r="A8" s="5" t="s">
        <v>55</v>
      </c>
      <c r="B8" s="5">
        <v>412.95238095238062</v>
      </c>
      <c r="C8" s="5" t="s">
        <v>55</v>
      </c>
      <c r="D8" s="5">
        <v>380.3142857142858</v>
      </c>
      <c r="E8" s="5" t="s">
        <v>55</v>
      </c>
      <c r="F8" s="5">
        <v>201.20952380952389</v>
      </c>
      <c r="G8" s="5" t="s">
        <v>55</v>
      </c>
      <c r="H8" s="5">
        <v>110.78095238095246</v>
      </c>
      <c r="I8" s="5" t="s">
        <v>55</v>
      </c>
      <c r="J8" s="5">
        <v>125.78095238095246</v>
      </c>
    </row>
    <row r="9" spans="1:10">
      <c r="A9" s="5" t="s">
        <v>56</v>
      </c>
      <c r="B9" s="5">
        <v>-1.1022338591653367</v>
      </c>
      <c r="C9" s="5" t="s">
        <v>56</v>
      </c>
      <c r="D9" s="5">
        <v>-0.43996632805885261</v>
      </c>
      <c r="E9" s="5" t="s">
        <v>56</v>
      </c>
      <c r="F9" s="5">
        <v>0.54829925386289791</v>
      </c>
      <c r="G9" s="5" t="s">
        <v>56</v>
      </c>
      <c r="H9" s="5">
        <v>-0.65298473724678763</v>
      </c>
      <c r="I9" s="5" t="s">
        <v>56</v>
      </c>
      <c r="J9" s="5">
        <v>-0.73311107224706928</v>
      </c>
    </row>
    <row r="10" spans="1:10">
      <c r="A10" s="5" t="s">
        <v>57</v>
      </c>
      <c r="B10" s="5">
        <v>-0.423231280645535</v>
      </c>
      <c r="C10" s="5" t="s">
        <v>57</v>
      </c>
      <c r="D10" s="5">
        <v>0.69848053976334068</v>
      </c>
      <c r="E10" s="5" t="s">
        <v>57</v>
      </c>
      <c r="F10" s="5">
        <v>-0.36830431042726713</v>
      </c>
      <c r="G10" s="5" t="s">
        <v>57</v>
      </c>
      <c r="H10" s="5">
        <v>-0.50318717496545351</v>
      </c>
      <c r="I10" s="5" t="s">
        <v>57</v>
      </c>
      <c r="J10" s="5">
        <v>0.11013264643536842</v>
      </c>
    </row>
    <row r="11" spans="1:10">
      <c r="A11" s="5" t="s">
        <v>58</v>
      </c>
      <c r="B11" s="5">
        <v>60</v>
      </c>
      <c r="C11" s="5" t="s">
        <v>58</v>
      </c>
      <c r="D11" s="5">
        <v>63</v>
      </c>
      <c r="E11" s="5" t="s">
        <v>58</v>
      </c>
      <c r="F11" s="5">
        <v>56</v>
      </c>
      <c r="G11" s="5" t="s">
        <v>58</v>
      </c>
      <c r="H11" s="5">
        <v>31</v>
      </c>
      <c r="I11" s="5" t="s">
        <v>58</v>
      </c>
      <c r="J11" s="5">
        <v>39</v>
      </c>
    </row>
    <row r="12" spans="1:10">
      <c r="A12" s="5" t="s">
        <v>59</v>
      </c>
      <c r="B12" s="5">
        <v>34</v>
      </c>
      <c r="C12" s="5" t="s">
        <v>59</v>
      </c>
      <c r="D12" s="5">
        <v>29</v>
      </c>
      <c r="E12" s="5" t="s">
        <v>59</v>
      </c>
      <c r="F12" s="5">
        <v>35</v>
      </c>
      <c r="G12" s="5" t="s">
        <v>59</v>
      </c>
      <c r="H12" s="5">
        <v>55</v>
      </c>
      <c r="I12" s="5" t="s">
        <v>59</v>
      </c>
      <c r="J12" s="5">
        <v>55</v>
      </c>
    </row>
    <row r="13" spans="1:10">
      <c r="A13" s="5" t="s">
        <v>60</v>
      </c>
      <c r="B13" s="5">
        <v>94</v>
      </c>
      <c r="C13" s="5" t="s">
        <v>60</v>
      </c>
      <c r="D13" s="5">
        <v>92</v>
      </c>
      <c r="E13" s="5" t="s">
        <v>60</v>
      </c>
      <c r="F13" s="5">
        <v>91</v>
      </c>
      <c r="G13" s="5" t="s">
        <v>60</v>
      </c>
      <c r="H13" s="5">
        <v>86</v>
      </c>
      <c r="I13" s="5" t="s">
        <v>60</v>
      </c>
      <c r="J13" s="5">
        <v>94</v>
      </c>
    </row>
    <row r="14" spans="1:10">
      <c r="A14" s="5" t="s">
        <v>61</v>
      </c>
      <c r="B14" s="5">
        <v>1000</v>
      </c>
      <c r="C14" s="5" t="s">
        <v>61</v>
      </c>
      <c r="D14" s="5">
        <v>798</v>
      </c>
      <c r="E14" s="5" t="s">
        <v>61</v>
      </c>
      <c r="F14" s="5">
        <v>976</v>
      </c>
      <c r="G14" s="5" t="s">
        <v>61</v>
      </c>
      <c r="H14" s="5">
        <v>1109</v>
      </c>
      <c r="I14" s="5" t="s">
        <v>61</v>
      </c>
      <c r="J14" s="5">
        <v>1091</v>
      </c>
    </row>
    <row r="15" spans="1:10" ht="19" thickBot="1">
      <c r="A15" s="6" t="s">
        <v>62</v>
      </c>
      <c r="B15" s="6">
        <v>15</v>
      </c>
      <c r="C15" s="6" t="s">
        <v>62</v>
      </c>
      <c r="D15" s="6">
        <v>15</v>
      </c>
      <c r="E15" s="6" t="s">
        <v>62</v>
      </c>
      <c r="F15" s="6">
        <v>15</v>
      </c>
      <c r="G15" s="6" t="s">
        <v>62</v>
      </c>
      <c r="H15" s="6">
        <v>15</v>
      </c>
      <c r="I15" s="6" t="s">
        <v>62</v>
      </c>
      <c r="J15" s="6">
        <v>15</v>
      </c>
    </row>
    <row r="18" spans="2:3">
      <c r="B18" t="s">
        <v>48</v>
      </c>
      <c r="C18" t="s">
        <v>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CC79-CD40-6949-851B-0AEB10B95BCA}">
  <dimension ref="A1:B5"/>
  <sheetViews>
    <sheetView workbookViewId="0">
      <selection activeCell="B9" sqref="B9"/>
    </sheetView>
  </sheetViews>
  <sheetFormatPr baseColWidth="10" defaultRowHeight="18"/>
  <sheetData>
    <row r="1" spans="1:2">
      <c r="A1" s="7" t="s">
        <v>67</v>
      </c>
      <c r="B1" s="7" t="s">
        <v>69</v>
      </c>
    </row>
    <row r="2" spans="1:2">
      <c r="A2" s="5">
        <v>34</v>
      </c>
      <c r="B2" s="5">
        <v>1</v>
      </c>
    </row>
    <row r="3" spans="1:2">
      <c r="A3" s="5">
        <v>54</v>
      </c>
      <c r="B3" s="5">
        <v>3</v>
      </c>
    </row>
    <row r="4" spans="1:2">
      <c r="A4" s="5">
        <v>74</v>
      </c>
      <c r="B4" s="5">
        <v>4</v>
      </c>
    </row>
    <row r="5" spans="1:2" ht="19" thickBot="1">
      <c r="A5" s="6" t="s">
        <v>68</v>
      </c>
      <c r="B5" s="6">
        <v>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DFDE-B121-7A41-B22C-F2502A638BC5}">
  <sheetPr filterMode="1"/>
  <dimension ref="A2:H20"/>
  <sheetViews>
    <sheetView zoomScale="99" workbookViewId="0">
      <selection activeCell="A3" sqref="A3"/>
    </sheetView>
  </sheetViews>
  <sheetFormatPr baseColWidth="10" defaultRowHeight="18"/>
  <cols>
    <col min="2" max="2" width="10.7109375" style="1"/>
  </cols>
  <sheetData>
    <row r="2" spans="1:8">
      <c r="B2" s="1" t="s">
        <v>1</v>
      </c>
      <c r="E2" t="s">
        <v>7</v>
      </c>
    </row>
    <row r="3" spans="1:8">
      <c r="B3" s="1" t="s">
        <v>12</v>
      </c>
      <c r="E3" t="s">
        <v>89</v>
      </c>
    </row>
    <row r="5" spans="1:8" s="2" customFormat="1">
      <c r="A5" s="2" t="s">
        <v>0</v>
      </c>
      <c r="B5" s="3" t="s">
        <v>1</v>
      </c>
      <c r="C5" s="2" t="s">
        <v>3</v>
      </c>
      <c r="D5" s="2" t="s">
        <v>5</v>
      </c>
      <c r="E5" s="2" t="s">
        <v>7</v>
      </c>
      <c r="F5" s="2" t="s">
        <v>9</v>
      </c>
      <c r="G5" s="2" t="s">
        <v>11</v>
      </c>
      <c r="H5" s="3" t="s">
        <v>27</v>
      </c>
    </row>
    <row r="6" spans="1:8" hidden="1">
      <c r="A6">
        <v>12</v>
      </c>
      <c r="B6" s="1" t="s">
        <v>19</v>
      </c>
      <c r="C6">
        <v>34</v>
      </c>
      <c r="D6">
        <v>31</v>
      </c>
      <c r="E6">
        <v>35</v>
      </c>
      <c r="F6">
        <v>66</v>
      </c>
      <c r="G6">
        <v>60</v>
      </c>
      <c r="H6">
        <f t="shared" ref="H6:H20" si="0">SUM(C6:G6)</f>
        <v>226</v>
      </c>
    </row>
    <row r="7" spans="1:8" hidden="1">
      <c r="A7">
        <v>10</v>
      </c>
      <c r="B7" s="1" t="s">
        <v>15</v>
      </c>
      <c r="C7">
        <v>75</v>
      </c>
      <c r="D7">
        <v>36</v>
      </c>
      <c r="E7">
        <v>44</v>
      </c>
      <c r="F7">
        <v>55</v>
      </c>
      <c r="G7">
        <v>76</v>
      </c>
      <c r="H7">
        <f t="shared" si="0"/>
        <v>286</v>
      </c>
    </row>
    <row r="8" spans="1:8" hidden="1">
      <c r="A8">
        <v>2</v>
      </c>
      <c r="B8" s="1" t="s">
        <v>13</v>
      </c>
      <c r="C8">
        <v>64</v>
      </c>
      <c r="D8">
        <v>45</v>
      </c>
      <c r="E8">
        <v>55</v>
      </c>
      <c r="F8">
        <v>70</v>
      </c>
      <c r="G8">
        <v>60</v>
      </c>
      <c r="H8">
        <f t="shared" si="0"/>
        <v>294</v>
      </c>
    </row>
    <row r="9" spans="1:8">
      <c r="A9">
        <v>8</v>
      </c>
      <c r="B9" s="1" t="s">
        <v>12</v>
      </c>
      <c r="C9">
        <v>62</v>
      </c>
      <c r="D9">
        <v>92</v>
      </c>
      <c r="E9">
        <v>58</v>
      </c>
      <c r="F9">
        <v>80</v>
      </c>
      <c r="G9">
        <v>60</v>
      </c>
      <c r="H9">
        <f t="shared" si="0"/>
        <v>352</v>
      </c>
    </row>
    <row r="10" spans="1:8" hidden="1">
      <c r="A10">
        <v>14</v>
      </c>
      <c r="B10" s="1" t="s">
        <v>21</v>
      </c>
      <c r="C10">
        <v>63</v>
      </c>
      <c r="D10">
        <v>40</v>
      </c>
      <c r="E10">
        <v>60</v>
      </c>
      <c r="F10">
        <v>75</v>
      </c>
      <c r="G10">
        <v>65</v>
      </c>
      <c r="H10">
        <f t="shared" si="0"/>
        <v>303</v>
      </c>
    </row>
    <row r="11" spans="1:8" hidden="1">
      <c r="A11">
        <v>3</v>
      </c>
      <c r="B11" s="1" t="s">
        <v>14</v>
      </c>
      <c r="C11">
        <v>69</v>
      </c>
      <c r="D11">
        <v>57</v>
      </c>
      <c r="E11">
        <v>61</v>
      </c>
      <c r="F11">
        <v>67</v>
      </c>
      <c r="G11">
        <v>76</v>
      </c>
      <c r="H11">
        <f t="shared" si="0"/>
        <v>330</v>
      </c>
    </row>
    <row r="12" spans="1:8" hidden="1">
      <c r="A12">
        <v>11</v>
      </c>
      <c r="B12" s="1" t="s">
        <v>18</v>
      </c>
      <c r="C12">
        <v>42</v>
      </c>
      <c r="D12">
        <v>29</v>
      </c>
      <c r="E12">
        <v>64</v>
      </c>
      <c r="F12">
        <v>70</v>
      </c>
      <c r="G12">
        <v>80</v>
      </c>
      <c r="H12">
        <f t="shared" si="0"/>
        <v>285</v>
      </c>
    </row>
    <row r="13" spans="1:8" hidden="1">
      <c r="A13">
        <v>5</v>
      </c>
      <c r="B13" s="1" t="s">
        <v>16</v>
      </c>
      <c r="C13">
        <v>76</v>
      </c>
      <c r="D13">
        <v>37</v>
      </c>
      <c r="E13">
        <v>65</v>
      </c>
      <c r="F13">
        <v>70</v>
      </c>
      <c r="G13">
        <v>55</v>
      </c>
      <c r="H13">
        <f t="shared" si="0"/>
        <v>303</v>
      </c>
    </row>
    <row r="14" spans="1:8" hidden="1">
      <c r="A14">
        <v>13</v>
      </c>
      <c r="B14" s="1" t="s">
        <v>20</v>
      </c>
      <c r="C14">
        <v>84</v>
      </c>
      <c r="D14">
        <v>54</v>
      </c>
      <c r="E14">
        <v>68</v>
      </c>
      <c r="F14">
        <v>86</v>
      </c>
      <c r="G14">
        <v>85</v>
      </c>
      <c r="H14">
        <f t="shared" si="0"/>
        <v>377</v>
      </c>
    </row>
    <row r="15" spans="1:8" hidden="1">
      <c r="A15">
        <v>4</v>
      </c>
      <c r="B15" s="1" t="s">
        <v>15</v>
      </c>
      <c r="C15">
        <v>84</v>
      </c>
      <c r="D15">
        <v>57</v>
      </c>
      <c r="E15">
        <v>70</v>
      </c>
      <c r="F15">
        <v>55</v>
      </c>
      <c r="G15">
        <v>70</v>
      </c>
      <c r="H15">
        <f t="shared" si="0"/>
        <v>336</v>
      </c>
    </row>
    <row r="16" spans="1:8" hidden="1">
      <c r="A16">
        <v>15</v>
      </c>
      <c r="B16" s="1" t="s">
        <v>22</v>
      </c>
      <c r="C16">
        <v>42</v>
      </c>
      <c r="D16">
        <v>55</v>
      </c>
      <c r="E16">
        <v>70</v>
      </c>
      <c r="F16">
        <v>75</v>
      </c>
      <c r="G16">
        <v>70</v>
      </c>
      <c r="H16">
        <f t="shared" si="0"/>
        <v>312</v>
      </c>
    </row>
    <row r="17" spans="1:8">
      <c r="A17">
        <v>7</v>
      </c>
      <c r="B17" s="1" t="s">
        <v>12</v>
      </c>
      <c r="C17">
        <v>94</v>
      </c>
      <c r="D17">
        <v>85</v>
      </c>
      <c r="E17">
        <v>75</v>
      </c>
      <c r="F17">
        <v>86</v>
      </c>
      <c r="G17">
        <v>85</v>
      </c>
      <c r="H17">
        <f t="shared" si="0"/>
        <v>425</v>
      </c>
    </row>
    <row r="18" spans="1:8" hidden="1">
      <c r="A18">
        <v>6</v>
      </c>
      <c r="B18" s="1" t="s">
        <v>17</v>
      </c>
      <c r="C18">
        <v>92</v>
      </c>
      <c r="D18">
        <v>67</v>
      </c>
      <c r="E18">
        <v>80</v>
      </c>
      <c r="F18">
        <v>85</v>
      </c>
      <c r="G18">
        <v>80</v>
      </c>
      <c r="H18">
        <f t="shared" si="0"/>
        <v>404</v>
      </c>
    </row>
    <row r="19" spans="1:8" hidden="1">
      <c r="A19">
        <v>9</v>
      </c>
      <c r="B19" s="1" t="s">
        <v>16</v>
      </c>
      <c r="C19">
        <v>35</v>
      </c>
      <c r="D19">
        <v>38</v>
      </c>
      <c r="E19">
        <v>80</v>
      </c>
      <c r="F19">
        <v>85</v>
      </c>
      <c r="G19">
        <v>75</v>
      </c>
      <c r="H19">
        <f t="shared" si="0"/>
        <v>313</v>
      </c>
    </row>
    <row r="20" spans="1:8">
      <c r="A20">
        <v>1</v>
      </c>
      <c r="B20" s="1" t="s">
        <v>12</v>
      </c>
      <c r="C20">
        <v>84</v>
      </c>
      <c r="D20">
        <v>75</v>
      </c>
      <c r="E20">
        <v>91</v>
      </c>
      <c r="F20">
        <v>84</v>
      </c>
      <c r="G20">
        <v>94</v>
      </c>
      <c r="H20">
        <f t="shared" si="0"/>
        <v>428</v>
      </c>
    </row>
  </sheetData>
  <sortState xmlns:xlrd2="http://schemas.microsoft.com/office/spreadsheetml/2017/richdata2" ref="A6:J20">
    <sortCondition ref="E6:E20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A5D-7001-B440-836A-2834C9406FC0}">
  <dimension ref="A2:G16"/>
  <sheetViews>
    <sheetView workbookViewId="0">
      <selection activeCell="D8" sqref="D8"/>
    </sheetView>
  </sheetViews>
  <sheetFormatPr baseColWidth="10" defaultRowHeight="18"/>
  <cols>
    <col min="1" max="1" width="20.7109375" bestFit="1" customWidth="1"/>
  </cols>
  <sheetData>
    <row r="2" spans="1:7">
      <c r="B2" s="1" t="s">
        <v>76</v>
      </c>
      <c r="C2" s="1" t="s">
        <v>77</v>
      </c>
      <c r="D2" s="1" t="s">
        <v>78</v>
      </c>
      <c r="F2" s="1" t="s">
        <v>90</v>
      </c>
      <c r="G2" s="10">
        <v>433.18059171597633</v>
      </c>
    </row>
    <row r="3" spans="1:7">
      <c r="A3" t="s">
        <v>81</v>
      </c>
      <c r="B3">
        <v>5</v>
      </c>
      <c r="C3">
        <v>20</v>
      </c>
      <c r="D3">
        <v>400</v>
      </c>
      <c r="F3" t="s">
        <v>91</v>
      </c>
      <c r="G3" s="10">
        <v>10000</v>
      </c>
    </row>
    <row r="4" spans="1:7">
      <c r="A4" t="s">
        <v>80</v>
      </c>
      <c r="B4">
        <v>10</v>
      </c>
      <c r="C4">
        <v>15</v>
      </c>
      <c r="D4">
        <v>450</v>
      </c>
      <c r="F4" t="s">
        <v>97</v>
      </c>
      <c r="G4" s="10">
        <f>G2*G3</f>
        <v>4331805.9171597632</v>
      </c>
    </row>
    <row r="5" spans="1:7">
      <c r="A5" t="s">
        <v>79</v>
      </c>
      <c r="B5">
        <v>45</v>
      </c>
      <c r="C5">
        <v>80</v>
      </c>
      <c r="G5" s="10"/>
    </row>
    <row r="6" spans="1:7">
      <c r="F6" t="s">
        <v>94</v>
      </c>
      <c r="G6" s="10">
        <v>300</v>
      </c>
    </row>
    <row r="7" spans="1:7">
      <c r="A7" t="s">
        <v>82</v>
      </c>
      <c r="B7">
        <v>23.999999999999979</v>
      </c>
      <c r="F7" t="s">
        <v>95</v>
      </c>
      <c r="G7" s="10">
        <v>250000</v>
      </c>
    </row>
    <row r="8" spans="1:7">
      <c r="A8" t="s">
        <v>83</v>
      </c>
      <c r="B8">
        <v>14.000000000000014</v>
      </c>
      <c r="F8" t="s">
        <v>96</v>
      </c>
      <c r="G8" s="10">
        <f>G3*G6+G7</f>
        <v>3250000</v>
      </c>
    </row>
    <row r="9" spans="1:7">
      <c r="G9" s="10"/>
    </row>
    <row r="10" spans="1:7">
      <c r="A10" t="s">
        <v>84</v>
      </c>
      <c r="B10">
        <f>B7*B3+B8*C3</f>
        <v>400.00000000000017</v>
      </c>
      <c r="F10" t="s">
        <v>92</v>
      </c>
      <c r="G10" s="10">
        <f>G4-G8</f>
        <v>1081805.9171597632</v>
      </c>
    </row>
    <row r="11" spans="1:7">
      <c r="A11" t="s">
        <v>85</v>
      </c>
      <c r="B11">
        <f>B7*B4+B8*C4</f>
        <v>450</v>
      </c>
      <c r="F11" t="s">
        <v>93</v>
      </c>
      <c r="G11" s="4">
        <f>G10/G4</f>
        <v>0.24973554629360478</v>
      </c>
    </row>
    <row r="13" spans="1:7">
      <c r="A13" t="s">
        <v>86</v>
      </c>
      <c r="B13">
        <f>B5*B7+C5*B8</f>
        <v>2200</v>
      </c>
      <c r="F13" t="s">
        <v>75</v>
      </c>
    </row>
    <row r="14" spans="1:7">
      <c r="F14" s="9" t="s">
        <v>98</v>
      </c>
    </row>
    <row r="15" spans="1:7">
      <c r="B15" t="s">
        <v>87</v>
      </c>
    </row>
    <row r="16" spans="1:7">
      <c r="B16" t="s">
        <v>88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B05A-970C-EC41-B9B2-1331878E555D}">
  <dimension ref="A1:G69"/>
  <sheetViews>
    <sheetView workbookViewId="0">
      <selection activeCell="E71" sqref="E71"/>
    </sheetView>
  </sheetViews>
  <sheetFormatPr baseColWidth="10" defaultRowHeight="18"/>
  <cols>
    <col min="1" max="1" width="11.7109375" customWidth="1"/>
    <col min="2" max="2" width="13.7109375" bestFit="1" customWidth="1"/>
  </cols>
  <sheetData>
    <row r="1" spans="1:7">
      <c r="A1" t="s">
        <v>112</v>
      </c>
    </row>
    <row r="2" spans="1:7">
      <c r="B2" t="s">
        <v>99</v>
      </c>
      <c r="C2" t="s">
        <v>108</v>
      </c>
      <c r="G2" t="s">
        <v>135</v>
      </c>
    </row>
    <row r="3" spans="1:7">
      <c r="B3" t="s">
        <v>100</v>
      </c>
      <c r="C3" t="s">
        <v>113</v>
      </c>
      <c r="G3" t="s">
        <v>133</v>
      </c>
    </row>
    <row r="4" spans="1:7">
      <c r="C4" t="s">
        <v>101</v>
      </c>
      <c r="D4" t="s">
        <v>102</v>
      </c>
      <c r="G4" t="s">
        <v>134</v>
      </c>
    </row>
    <row r="5" spans="1:7">
      <c r="C5" t="s">
        <v>103</v>
      </c>
    </row>
    <row r="6" spans="1:7">
      <c r="C6" t="s">
        <v>104</v>
      </c>
    </row>
    <row r="7" spans="1:7">
      <c r="C7" s="1">
        <f>1-BINOMDIST(2,10,0.05,1)</f>
        <v>1.150355737929698E-2</v>
      </c>
      <c r="D7" s="11" t="s">
        <v>141</v>
      </c>
    </row>
    <row r="9" spans="1:7">
      <c r="B9" t="s">
        <v>105</v>
      </c>
      <c r="C9" t="s">
        <v>109</v>
      </c>
      <c r="E9" t="s">
        <v>111</v>
      </c>
    </row>
    <row r="10" spans="1:7">
      <c r="B10" t="s">
        <v>107</v>
      </c>
      <c r="C10" t="s">
        <v>110</v>
      </c>
      <c r="E10" t="s">
        <v>106</v>
      </c>
    </row>
    <row r="11" spans="1:7">
      <c r="C11" t="s">
        <v>114</v>
      </c>
    </row>
    <row r="12" spans="1:7">
      <c r="C12" t="s">
        <v>115</v>
      </c>
    </row>
    <row r="13" spans="1:7">
      <c r="C13">
        <f>1-POISSON(2, 2, 1)</f>
        <v>0.3233235838169366</v>
      </c>
      <c r="D13" s="11" t="s">
        <v>140</v>
      </c>
    </row>
    <row r="15" spans="1:7">
      <c r="A15" t="s">
        <v>116</v>
      </c>
    </row>
    <row r="16" spans="1:7">
      <c r="B16" t="s">
        <v>117</v>
      </c>
    </row>
    <row r="17" spans="2:7">
      <c r="B17" t="s">
        <v>119</v>
      </c>
      <c r="C17" t="s">
        <v>120</v>
      </c>
    </row>
    <row r="18" spans="2:7">
      <c r="C18" s="11" t="s">
        <v>121</v>
      </c>
    </row>
    <row r="20" spans="2:7">
      <c r="B20" t="s">
        <v>118</v>
      </c>
      <c r="C20" t="s">
        <v>123</v>
      </c>
    </row>
    <row r="21" spans="2:7">
      <c r="B21" t="s">
        <v>122</v>
      </c>
      <c r="C21" t="s">
        <v>124</v>
      </c>
    </row>
    <row r="22" spans="2:7">
      <c r="C22" t="s">
        <v>125</v>
      </c>
    </row>
    <row r="23" spans="2:7">
      <c r="C23" t="s">
        <v>126</v>
      </c>
    </row>
    <row r="24" spans="2:7">
      <c r="C24" t="s">
        <v>127</v>
      </c>
    </row>
    <row r="25" spans="2:7">
      <c r="C25" t="s">
        <v>137</v>
      </c>
      <c r="G25" t="s">
        <v>142</v>
      </c>
    </row>
    <row r="26" spans="2:7">
      <c r="C26" t="s">
        <v>138</v>
      </c>
    </row>
    <row r="27" spans="2:7">
      <c r="C27">
        <f>1-NORMDIST(50,40,5,1)</f>
        <v>2.2750131948179209E-2</v>
      </c>
      <c r="D27" s="11" t="s">
        <v>139</v>
      </c>
    </row>
    <row r="29" spans="2:7">
      <c r="B29" t="s">
        <v>129</v>
      </c>
      <c r="C29" t="s">
        <v>128</v>
      </c>
    </row>
    <row r="30" spans="2:7">
      <c r="B30" t="s">
        <v>130</v>
      </c>
      <c r="C30" t="s">
        <v>131</v>
      </c>
    </row>
    <row r="31" spans="2:7">
      <c r="B31" t="s">
        <v>132</v>
      </c>
      <c r="C31" t="s">
        <v>136</v>
      </c>
    </row>
    <row r="33" spans="1:5">
      <c r="A33" t="s">
        <v>145</v>
      </c>
    </row>
    <row r="34" spans="1:5">
      <c r="B34" t="s">
        <v>148</v>
      </c>
      <c r="C34" t="s">
        <v>146</v>
      </c>
      <c r="E34" t="s">
        <v>168</v>
      </c>
    </row>
    <row r="35" spans="1:5">
      <c r="B35" t="s">
        <v>144</v>
      </c>
      <c r="C35" t="s">
        <v>147</v>
      </c>
      <c r="E35" t="s">
        <v>149</v>
      </c>
    </row>
    <row r="36" spans="1:5">
      <c r="B36" t="s">
        <v>150</v>
      </c>
      <c r="C36" t="s">
        <v>152</v>
      </c>
      <c r="E36" t="s">
        <v>158</v>
      </c>
    </row>
    <row r="37" spans="1:5">
      <c r="B37" t="s">
        <v>153</v>
      </c>
      <c r="C37" t="s">
        <v>154</v>
      </c>
      <c r="E37" t="s">
        <v>155</v>
      </c>
    </row>
    <row r="38" spans="1:5">
      <c r="B38" t="s">
        <v>156</v>
      </c>
      <c r="C38" t="s">
        <v>151</v>
      </c>
      <c r="E38" t="s">
        <v>157</v>
      </c>
    </row>
    <row r="40" spans="1:5">
      <c r="A40" t="s">
        <v>159</v>
      </c>
      <c r="C40" t="s">
        <v>176</v>
      </c>
    </row>
    <row r="41" spans="1:5">
      <c r="B41" t="s">
        <v>180</v>
      </c>
    </row>
    <row r="43" spans="1:5">
      <c r="A43" t="s">
        <v>160</v>
      </c>
      <c r="B43" t="s">
        <v>161</v>
      </c>
      <c r="D43" t="s">
        <v>162</v>
      </c>
    </row>
    <row r="44" spans="1:5">
      <c r="B44" t="s">
        <v>163</v>
      </c>
      <c r="D44" t="s">
        <v>164</v>
      </c>
    </row>
    <row r="46" spans="1:5">
      <c r="B46" t="s">
        <v>143</v>
      </c>
      <c r="C46" t="s">
        <v>176</v>
      </c>
    </row>
    <row r="47" spans="1:5">
      <c r="B47" t="s">
        <v>167</v>
      </c>
      <c r="C47" t="s">
        <v>165</v>
      </c>
    </row>
    <row r="48" spans="1:5">
      <c r="C48" t="s">
        <v>166</v>
      </c>
    </row>
    <row r="49" spans="1:7">
      <c r="C49" t="s">
        <v>174</v>
      </c>
      <c r="F49" t="s">
        <v>175</v>
      </c>
    </row>
    <row r="50" spans="1:7">
      <c r="D50" t="s">
        <v>181</v>
      </c>
    </row>
    <row r="51" spans="1:7">
      <c r="C51" t="s">
        <v>169</v>
      </c>
      <c r="E51" t="s">
        <v>192</v>
      </c>
    </row>
    <row r="52" spans="1:7">
      <c r="E52" t="s">
        <v>170</v>
      </c>
      <c r="G52" t="s">
        <v>196</v>
      </c>
    </row>
    <row r="54" spans="1:7">
      <c r="B54" t="s">
        <v>171</v>
      </c>
      <c r="C54" t="s">
        <v>193</v>
      </c>
    </row>
    <row r="55" spans="1:7">
      <c r="B55" t="s">
        <v>172</v>
      </c>
      <c r="C55" t="s">
        <v>173</v>
      </c>
    </row>
    <row r="57" spans="1:7">
      <c r="A57" t="s">
        <v>179</v>
      </c>
      <c r="C57" t="s">
        <v>176</v>
      </c>
    </row>
    <row r="58" spans="1:7">
      <c r="B58" t="s">
        <v>177</v>
      </c>
    </row>
    <row r="59" spans="1:7">
      <c r="C59" t="s">
        <v>178</v>
      </c>
    </row>
    <row r="61" spans="1:7">
      <c r="A61" t="s">
        <v>182</v>
      </c>
    </row>
    <row r="62" spans="1:7">
      <c r="B62" t="s">
        <v>184</v>
      </c>
    </row>
    <row r="63" spans="1:7">
      <c r="C63" t="s">
        <v>183</v>
      </c>
    </row>
    <row r="64" spans="1:7">
      <c r="B64" t="s">
        <v>185</v>
      </c>
      <c r="E64" t="s">
        <v>188</v>
      </c>
    </row>
    <row r="65" spans="2:5">
      <c r="C65" t="s">
        <v>186</v>
      </c>
    </row>
    <row r="66" spans="2:5">
      <c r="C66" t="s">
        <v>187</v>
      </c>
    </row>
    <row r="68" spans="2:5">
      <c r="B68" t="s">
        <v>189</v>
      </c>
      <c r="C68" t="s">
        <v>191</v>
      </c>
    </row>
    <row r="69" spans="2:5">
      <c r="B69" t="s">
        <v>190</v>
      </c>
      <c r="C69" t="s">
        <v>194</v>
      </c>
      <c r="E69" t="s">
        <v>195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23DB-2418-DE49-A230-EAD3D0ADD3F5}">
  <dimension ref="A1:I41"/>
  <sheetViews>
    <sheetView workbookViewId="0">
      <selection activeCell="B22" sqref="B22"/>
    </sheetView>
  </sheetViews>
  <sheetFormatPr baseColWidth="10" defaultRowHeight="18"/>
  <sheetData>
    <row r="1" spans="1:9">
      <c r="A1" t="s">
        <v>197</v>
      </c>
    </row>
    <row r="2" spans="1:9">
      <c r="B2" t="s">
        <v>198</v>
      </c>
      <c r="C2" t="s">
        <v>199</v>
      </c>
      <c r="E2" t="s">
        <v>204</v>
      </c>
    </row>
    <row r="3" spans="1:9">
      <c r="C3" t="s">
        <v>200</v>
      </c>
      <c r="H3" s="11"/>
      <c r="I3" s="11"/>
    </row>
    <row r="4" spans="1:9">
      <c r="B4" t="s">
        <v>201</v>
      </c>
      <c r="C4" t="s">
        <v>202</v>
      </c>
      <c r="E4" t="s">
        <v>205</v>
      </c>
    </row>
    <row r="5" spans="1:9">
      <c r="C5" t="s">
        <v>203</v>
      </c>
      <c r="E5" t="s">
        <v>206</v>
      </c>
    </row>
    <row r="7" spans="1:9">
      <c r="A7" t="s">
        <v>207</v>
      </c>
      <c r="B7" t="s">
        <v>208</v>
      </c>
    </row>
    <row r="8" spans="1:9">
      <c r="C8" t="s">
        <v>209</v>
      </c>
    </row>
    <row r="9" spans="1:9">
      <c r="A9" t="s">
        <v>210</v>
      </c>
      <c r="B9" t="s">
        <v>211</v>
      </c>
    </row>
    <row r="10" spans="1:9">
      <c r="A10" t="s">
        <v>212</v>
      </c>
      <c r="B10" t="s">
        <v>213</v>
      </c>
    </row>
    <row r="12" spans="1:9">
      <c r="A12" t="s">
        <v>227</v>
      </c>
      <c r="B12" t="s">
        <v>215</v>
      </c>
    </row>
    <row r="13" spans="1:9">
      <c r="B13" t="s">
        <v>216</v>
      </c>
    </row>
    <row r="14" spans="1:9">
      <c r="A14" t="s">
        <v>214</v>
      </c>
      <c r="B14" t="s">
        <v>217</v>
      </c>
    </row>
    <row r="16" spans="1:9">
      <c r="B16" t="s">
        <v>218</v>
      </c>
    </row>
    <row r="17" spans="1:4">
      <c r="B17" t="s">
        <v>219</v>
      </c>
    </row>
    <row r="18" spans="1:4">
      <c r="B18" t="s">
        <v>220</v>
      </c>
    </row>
    <row r="19" spans="1:4">
      <c r="C19" s="1" t="s">
        <v>291</v>
      </c>
    </row>
    <row r="20" spans="1:4">
      <c r="B20" t="s">
        <v>289</v>
      </c>
      <c r="C20" s="15" t="s">
        <v>275</v>
      </c>
      <c r="D20" s="11" t="s">
        <v>290</v>
      </c>
    </row>
    <row r="21" spans="1:4">
      <c r="C21" s="1" t="s">
        <v>213</v>
      </c>
    </row>
    <row r="23" spans="1:4">
      <c r="A23" t="s">
        <v>214</v>
      </c>
      <c r="B23" t="s">
        <v>221</v>
      </c>
    </row>
    <row r="24" spans="1:4">
      <c r="B24" s="11" t="s">
        <v>222</v>
      </c>
    </row>
    <row r="26" spans="1:4">
      <c r="A26" t="s">
        <v>223</v>
      </c>
      <c r="C26" s="1" t="s">
        <v>287</v>
      </c>
    </row>
    <row r="27" spans="1:4">
      <c r="B27" t="s">
        <v>286</v>
      </c>
      <c r="C27" s="15" t="s">
        <v>275</v>
      </c>
      <c r="D27" t="s">
        <v>285</v>
      </c>
    </row>
    <row r="28" spans="1:4">
      <c r="C28" s="1" t="s">
        <v>288</v>
      </c>
    </row>
    <row r="29" spans="1:4">
      <c r="C29" s="1" t="s">
        <v>282</v>
      </c>
    </row>
    <row r="30" spans="1:4">
      <c r="B30" t="s">
        <v>280</v>
      </c>
      <c r="C30" s="15" t="s">
        <v>275</v>
      </c>
      <c r="D30" t="s">
        <v>284</v>
      </c>
    </row>
    <row r="31" spans="1:4">
      <c r="C31" s="1" t="s">
        <v>283</v>
      </c>
    </row>
    <row r="33" spans="1:3">
      <c r="A33" t="s">
        <v>214</v>
      </c>
      <c r="B33" t="s">
        <v>225</v>
      </c>
    </row>
    <row r="34" spans="1:3">
      <c r="B34" t="s">
        <v>224</v>
      </c>
    </row>
    <row r="36" spans="1:3">
      <c r="A36" t="s">
        <v>226</v>
      </c>
      <c r="B36" t="s">
        <v>100</v>
      </c>
    </row>
    <row r="37" spans="1:3">
      <c r="B37" t="s">
        <v>228</v>
      </c>
    </row>
    <row r="38" spans="1:3">
      <c r="B38" t="s">
        <v>229</v>
      </c>
    </row>
    <row r="39" spans="1:3">
      <c r="B39" s="1" t="s">
        <v>277</v>
      </c>
    </row>
    <row r="40" spans="1:3">
      <c r="B40" s="15" t="s">
        <v>275</v>
      </c>
      <c r="C40" t="s">
        <v>279</v>
      </c>
    </row>
    <row r="41" spans="1:3">
      <c r="B41" s="1" t="s">
        <v>278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0057-1417-9C44-8EFE-169F315DE364}">
  <dimension ref="A1:T34"/>
  <sheetViews>
    <sheetView workbookViewId="0">
      <selection activeCell="A36" sqref="A36"/>
    </sheetView>
  </sheetViews>
  <sheetFormatPr baseColWidth="10" defaultRowHeight="18"/>
  <cols>
    <col min="7" max="7" width="15.140625" bestFit="1" customWidth="1"/>
    <col min="8" max="8" width="11.28515625" bestFit="1" customWidth="1"/>
    <col min="9" max="12" width="2.7109375" bestFit="1" customWidth="1"/>
    <col min="13" max="13" width="6.85546875" bestFit="1" customWidth="1"/>
    <col min="14" max="18" width="10.7109375" customWidth="1"/>
  </cols>
  <sheetData>
    <row r="1" spans="1:20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G1" t="s">
        <v>230</v>
      </c>
    </row>
    <row r="2" spans="1:20">
      <c r="A2">
        <v>1</v>
      </c>
      <c r="B2">
        <v>1</v>
      </c>
      <c r="C2">
        <v>1</v>
      </c>
      <c r="D2">
        <v>35</v>
      </c>
      <c r="E2">
        <f>INT(D2/10)</f>
        <v>3</v>
      </c>
      <c r="G2" s="11" t="s">
        <v>231</v>
      </c>
      <c r="H2" s="11" t="s">
        <v>232</v>
      </c>
      <c r="I2" t="s">
        <v>244</v>
      </c>
    </row>
    <row r="3" spans="1:20">
      <c r="A3">
        <v>2</v>
      </c>
      <c r="B3">
        <v>2</v>
      </c>
      <c r="C3">
        <v>2</v>
      </c>
      <c r="D3">
        <v>30</v>
      </c>
      <c r="E3">
        <f t="shared" ref="E3:E26" si="0">INT(D3/10)</f>
        <v>3</v>
      </c>
      <c r="G3" t="s">
        <v>233</v>
      </c>
      <c r="O3" t="s">
        <v>246</v>
      </c>
      <c r="P3" s="1" t="s">
        <v>250</v>
      </c>
      <c r="Q3" s="1" t="s">
        <v>251</v>
      </c>
      <c r="R3" s="1" t="s">
        <v>252</v>
      </c>
      <c r="S3" s="1" t="s">
        <v>253</v>
      </c>
      <c r="T3" s="1" t="s">
        <v>254</v>
      </c>
    </row>
    <row r="4" spans="1:20">
      <c r="A4">
        <v>3</v>
      </c>
      <c r="B4">
        <v>1</v>
      </c>
      <c r="C4">
        <v>2</v>
      </c>
      <c r="D4">
        <v>28</v>
      </c>
      <c r="E4">
        <f t="shared" si="0"/>
        <v>2</v>
      </c>
      <c r="O4" t="s">
        <v>247</v>
      </c>
      <c r="P4">
        <v>1</v>
      </c>
      <c r="Q4">
        <v>1</v>
      </c>
      <c r="R4">
        <v>3</v>
      </c>
      <c r="S4">
        <v>1</v>
      </c>
    </row>
    <row r="5" spans="1:20">
      <c r="A5">
        <v>4</v>
      </c>
      <c r="B5">
        <v>2</v>
      </c>
      <c r="C5">
        <v>2</v>
      </c>
      <c r="D5">
        <v>40</v>
      </c>
      <c r="E5">
        <f t="shared" si="0"/>
        <v>4</v>
      </c>
      <c r="G5" s="12" t="s">
        <v>240</v>
      </c>
      <c r="H5" t="s">
        <v>242</v>
      </c>
      <c r="O5" t="s">
        <v>248</v>
      </c>
      <c r="Q5">
        <v>4</v>
      </c>
      <c r="R5">
        <v>2</v>
      </c>
      <c r="S5">
        <v>2</v>
      </c>
      <c r="T5">
        <v>2</v>
      </c>
    </row>
    <row r="6" spans="1:20">
      <c r="A6">
        <v>5</v>
      </c>
      <c r="B6">
        <v>2</v>
      </c>
      <c r="C6">
        <v>1</v>
      </c>
      <c r="D6">
        <v>41</v>
      </c>
      <c r="E6">
        <f t="shared" si="0"/>
        <v>4</v>
      </c>
      <c r="G6" s="9">
        <v>1</v>
      </c>
      <c r="H6" s="13">
        <v>12</v>
      </c>
      <c r="O6" t="s">
        <v>249</v>
      </c>
      <c r="Q6">
        <v>3</v>
      </c>
      <c r="R6">
        <v>3</v>
      </c>
      <c r="S6">
        <v>3</v>
      </c>
    </row>
    <row r="7" spans="1:20">
      <c r="A7">
        <v>6</v>
      </c>
      <c r="B7">
        <v>1</v>
      </c>
      <c r="C7">
        <v>1</v>
      </c>
      <c r="D7">
        <v>19</v>
      </c>
      <c r="E7">
        <f t="shared" si="0"/>
        <v>1</v>
      </c>
      <c r="G7" s="9">
        <v>2</v>
      </c>
      <c r="H7" s="13">
        <v>26</v>
      </c>
    </row>
    <row r="8" spans="1:20">
      <c r="A8">
        <v>7</v>
      </c>
      <c r="B8">
        <v>2</v>
      </c>
      <c r="C8">
        <v>3</v>
      </c>
      <c r="D8">
        <v>25</v>
      </c>
      <c r="E8">
        <f t="shared" si="0"/>
        <v>2</v>
      </c>
      <c r="G8" s="9" t="s">
        <v>241</v>
      </c>
      <c r="H8" s="13">
        <v>38</v>
      </c>
    </row>
    <row r="9" spans="1:20">
      <c r="A9">
        <v>8</v>
      </c>
      <c r="B9">
        <v>1</v>
      </c>
      <c r="C9">
        <v>3</v>
      </c>
      <c r="D9">
        <v>37</v>
      </c>
      <c r="E9">
        <f t="shared" si="0"/>
        <v>3</v>
      </c>
    </row>
    <row r="10" spans="1:20">
      <c r="A10">
        <v>9</v>
      </c>
      <c r="B10">
        <v>2</v>
      </c>
      <c r="C10">
        <v>3</v>
      </c>
      <c r="D10">
        <v>48</v>
      </c>
      <c r="E10">
        <f t="shared" si="0"/>
        <v>4</v>
      </c>
      <c r="G10" s="12" t="s">
        <v>240</v>
      </c>
      <c r="H10" t="s">
        <v>242</v>
      </c>
    </row>
    <row r="11" spans="1:20">
      <c r="A11">
        <v>10</v>
      </c>
      <c r="B11" t="s">
        <v>243</v>
      </c>
      <c r="C11">
        <v>3</v>
      </c>
      <c r="D11">
        <v>42</v>
      </c>
      <c r="E11">
        <f t="shared" si="0"/>
        <v>4</v>
      </c>
      <c r="G11" s="9">
        <v>1</v>
      </c>
      <c r="H11" s="14">
        <v>0.31578947368421051</v>
      </c>
    </row>
    <row r="12" spans="1:20">
      <c r="A12">
        <v>11</v>
      </c>
      <c r="B12">
        <v>2</v>
      </c>
      <c r="C12">
        <v>3</v>
      </c>
      <c r="D12">
        <v>30</v>
      </c>
      <c r="E12">
        <f t="shared" si="0"/>
        <v>3</v>
      </c>
      <c r="G12" s="9">
        <v>2</v>
      </c>
      <c r="H12" s="14">
        <v>0.68421052631578949</v>
      </c>
    </row>
    <row r="13" spans="1:20">
      <c r="A13">
        <v>12</v>
      </c>
      <c r="B13">
        <v>1</v>
      </c>
      <c r="C13">
        <v>3</v>
      </c>
      <c r="D13">
        <v>28</v>
      </c>
      <c r="E13">
        <f t="shared" si="0"/>
        <v>2</v>
      </c>
      <c r="G13" s="9" t="s">
        <v>241</v>
      </c>
      <c r="H13" s="14">
        <v>1</v>
      </c>
    </row>
    <row r="14" spans="1:20">
      <c r="A14">
        <v>13</v>
      </c>
      <c r="B14">
        <v>1</v>
      </c>
      <c r="C14">
        <v>3</v>
      </c>
      <c r="D14">
        <v>27</v>
      </c>
      <c r="E14">
        <f t="shared" si="0"/>
        <v>2</v>
      </c>
    </row>
    <row r="15" spans="1:20">
      <c r="A15">
        <v>14</v>
      </c>
      <c r="B15">
        <v>2</v>
      </c>
      <c r="C15">
        <v>1</v>
      </c>
      <c r="D15">
        <v>26</v>
      </c>
      <c r="E15">
        <f t="shared" si="0"/>
        <v>2</v>
      </c>
      <c r="G15" s="12" t="s">
        <v>245</v>
      </c>
      <c r="H15" s="12" t="s">
        <v>239</v>
      </c>
    </row>
    <row r="16" spans="1:20">
      <c r="A16">
        <v>15</v>
      </c>
      <c r="B16">
        <v>2</v>
      </c>
      <c r="C16">
        <v>3</v>
      </c>
      <c r="D16">
        <v>33</v>
      </c>
      <c r="E16">
        <f t="shared" si="0"/>
        <v>3</v>
      </c>
      <c r="G16" s="12" t="s">
        <v>240</v>
      </c>
      <c r="H16">
        <v>1</v>
      </c>
      <c r="I16">
        <v>2</v>
      </c>
      <c r="J16">
        <v>3</v>
      </c>
      <c r="K16">
        <v>4</v>
      </c>
      <c r="L16">
        <v>5</v>
      </c>
      <c r="M16" t="s">
        <v>241</v>
      </c>
    </row>
    <row r="17" spans="1:13">
      <c r="A17">
        <v>16</v>
      </c>
      <c r="B17">
        <v>1</v>
      </c>
      <c r="C17">
        <v>2</v>
      </c>
      <c r="D17">
        <v>35</v>
      </c>
      <c r="E17">
        <f t="shared" si="0"/>
        <v>3</v>
      </c>
      <c r="G17" s="9">
        <v>1</v>
      </c>
      <c r="H17" s="13">
        <v>1</v>
      </c>
      <c r="I17" s="13">
        <v>1</v>
      </c>
      <c r="J17" s="13">
        <v>3</v>
      </c>
      <c r="K17" s="13">
        <v>1</v>
      </c>
      <c r="L17" s="13"/>
      <c r="M17" s="13">
        <v>6</v>
      </c>
    </row>
    <row r="18" spans="1:13">
      <c r="A18">
        <v>17</v>
      </c>
      <c r="B18">
        <v>1</v>
      </c>
      <c r="C18">
        <v>2</v>
      </c>
      <c r="D18">
        <v>23</v>
      </c>
      <c r="E18">
        <f t="shared" si="0"/>
        <v>2</v>
      </c>
      <c r="G18" s="9">
        <v>2</v>
      </c>
      <c r="H18" s="13"/>
      <c r="I18" s="13">
        <v>4</v>
      </c>
      <c r="J18" s="13">
        <v>2</v>
      </c>
      <c r="K18" s="13">
        <v>2</v>
      </c>
      <c r="L18" s="13">
        <v>2</v>
      </c>
      <c r="M18" s="13">
        <v>10</v>
      </c>
    </row>
    <row r="19" spans="1:13">
      <c r="A19">
        <v>18</v>
      </c>
      <c r="B19">
        <v>1</v>
      </c>
      <c r="C19">
        <v>2</v>
      </c>
      <c r="D19">
        <v>29</v>
      </c>
      <c r="E19">
        <f t="shared" si="0"/>
        <v>2</v>
      </c>
      <c r="G19" s="9">
        <v>3</v>
      </c>
      <c r="H19" s="13"/>
      <c r="I19" s="13">
        <v>3</v>
      </c>
      <c r="J19" s="13">
        <v>3</v>
      </c>
      <c r="K19" s="13">
        <v>3</v>
      </c>
      <c r="L19" s="13"/>
      <c r="M19" s="13">
        <v>9</v>
      </c>
    </row>
    <row r="20" spans="1:13">
      <c r="A20">
        <v>19</v>
      </c>
      <c r="B20">
        <v>2</v>
      </c>
      <c r="C20">
        <v>1</v>
      </c>
      <c r="D20">
        <v>34</v>
      </c>
      <c r="E20">
        <f t="shared" si="0"/>
        <v>3</v>
      </c>
      <c r="G20" s="9" t="s">
        <v>241</v>
      </c>
      <c r="H20" s="13">
        <v>1</v>
      </c>
      <c r="I20" s="13">
        <v>8</v>
      </c>
      <c r="J20" s="13">
        <v>8</v>
      </c>
      <c r="K20" s="13">
        <v>6</v>
      </c>
      <c r="L20" s="13">
        <v>2</v>
      </c>
      <c r="M20" s="13">
        <v>25</v>
      </c>
    </row>
    <row r="21" spans="1:13">
      <c r="A21">
        <v>20</v>
      </c>
      <c r="B21">
        <v>2</v>
      </c>
      <c r="C21">
        <v>1</v>
      </c>
      <c r="D21">
        <v>38</v>
      </c>
      <c r="E21">
        <f t="shared" si="0"/>
        <v>3</v>
      </c>
    </row>
    <row r="22" spans="1:13">
      <c r="A22">
        <v>21</v>
      </c>
      <c r="B22">
        <v>1</v>
      </c>
      <c r="C22">
        <v>3</v>
      </c>
      <c r="D22">
        <v>41</v>
      </c>
      <c r="E22">
        <f t="shared" si="0"/>
        <v>4</v>
      </c>
    </row>
    <row r="23" spans="1:13">
      <c r="A23">
        <v>22</v>
      </c>
      <c r="B23">
        <v>2</v>
      </c>
      <c r="C23">
        <v>2</v>
      </c>
      <c r="D23">
        <v>50</v>
      </c>
      <c r="E23">
        <f t="shared" si="0"/>
        <v>5</v>
      </c>
    </row>
    <row r="24" spans="1:13">
      <c r="A24">
        <v>23</v>
      </c>
      <c r="B24">
        <v>1</v>
      </c>
      <c r="C24">
        <v>2</v>
      </c>
      <c r="D24">
        <v>51</v>
      </c>
      <c r="E24">
        <f t="shared" si="0"/>
        <v>5</v>
      </c>
    </row>
    <row r="25" spans="1:13">
      <c r="A25">
        <v>24</v>
      </c>
      <c r="B25">
        <v>2</v>
      </c>
      <c r="C25">
        <v>2</v>
      </c>
      <c r="D25">
        <v>49</v>
      </c>
      <c r="E25">
        <f t="shared" si="0"/>
        <v>4</v>
      </c>
    </row>
    <row r="26" spans="1:13">
      <c r="A26">
        <v>25</v>
      </c>
      <c r="B26">
        <v>2</v>
      </c>
      <c r="C26">
        <v>2</v>
      </c>
      <c r="D26">
        <v>20</v>
      </c>
      <c r="E26">
        <f t="shared" si="0"/>
        <v>2</v>
      </c>
    </row>
    <row r="28" spans="1:13">
      <c r="A28" t="s">
        <v>255</v>
      </c>
    </row>
    <row r="29" spans="1:13">
      <c r="A29" t="s">
        <v>262</v>
      </c>
    </row>
    <row r="30" spans="1:13">
      <c r="A30" t="s">
        <v>264</v>
      </c>
    </row>
    <row r="31" spans="1:13">
      <c r="A31" t="s">
        <v>256</v>
      </c>
      <c r="D31" t="s">
        <v>257</v>
      </c>
      <c r="E31" t="s">
        <v>258</v>
      </c>
      <c r="F31" t="s">
        <v>259</v>
      </c>
      <c r="G31" t="s">
        <v>260</v>
      </c>
    </row>
    <row r="32" spans="1:13">
      <c r="D32">
        <v>322</v>
      </c>
      <c r="E32">
        <v>108</v>
      </c>
      <c r="F32">
        <v>101</v>
      </c>
      <c r="G32">
        <v>32</v>
      </c>
      <c r="H32" s="11" t="s">
        <v>261</v>
      </c>
    </row>
    <row r="33" spans="1:7">
      <c r="A33" s="11" t="s">
        <v>265</v>
      </c>
      <c r="D33">
        <v>9</v>
      </c>
      <c r="E33">
        <v>3</v>
      </c>
      <c r="F33">
        <v>3</v>
      </c>
      <c r="G33">
        <v>2</v>
      </c>
    </row>
    <row r="34" spans="1:7">
      <c r="A34" t="s">
        <v>263</v>
      </c>
    </row>
  </sheetData>
  <phoneticPr fontId="2" type="noConversion"/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9346-FDFE-254D-AD15-0E551765C04C}">
  <dimension ref="A1:O45"/>
  <sheetViews>
    <sheetView zoomScaleNormal="100" workbookViewId="0">
      <selection activeCell="N27" sqref="N27"/>
    </sheetView>
  </sheetViews>
  <sheetFormatPr baseColWidth="10" defaultRowHeight="18"/>
  <sheetData>
    <row r="1" spans="1:15">
      <c r="A1" t="s">
        <v>266</v>
      </c>
    </row>
    <row r="2" spans="1:15">
      <c r="B2" t="s">
        <v>298</v>
      </c>
      <c r="G2" t="s">
        <v>309</v>
      </c>
      <c r="I2" t="s">
        <v>271</v>
      </c>
    </row>
    <row r="3" spans="1:15">
      <c r="B3" t="s">
        <v>272</v>
      </c>
      <c r="D3" s="1" t="s">
        <v>274</v>
      </c>
      <c r="G3" t="s">
        <v>311</v>
      </c>
      <c r="H3" t="s">
        <v>268</v>
      </c>
      <c r="I3" t="s">
        <v>270</v>
      </c>
      <c r="J3" t="s">
        <v>312</v>
      </c>
    </row>
    <row r="4" spans="1:15" ht="19" thickBot="1">
      <c r="C4" t="s">
        <v>281</v>
      </c>
      <c r="D4" s="15" t="s">
        <v>275</v>
      </c>
      <c r="E4" t="s">
        <v>299</v>
      </c>
      <c r="F4" t="s">
        <v>300</v>
      </c>
      <c r="H4">
        <v>44</v>
      </c>
      <c r="I4">
        <v>35</v>
      </c>
    </row>
    <row r="5" spans="1:15">
      <c r="D5" s="9" t="s">
        <v>296</v>
      </c>
      <c r="H5">
        <v>44</v>
      </c>
      <c r="I5">
        <v>47</v>
      </c>
      <c r="J5" s="7"/>
      <c r="K5" s="7" t="s">
        <v>267</v>
      </c>
      <c r="L5" s="7" t="s">
        <v>269</v>
      </c>
    </row>
    <row r="6" spans="1:15">
      <c r="D6" s="9"/>
      <c r="H6">
        <v>56</v>
      </c>
      <c r="I6">
        <v>55</v>
      </c>
      <c r="J6" s="5" t="s">
        <v>50</v>
      </c>
      <c r="K6" s="5">
        <f>AVERAGE(H4:H16)</f>
        <v>45</v>
      </c>
      <c r="L6" s="5">
        <f>AVERAGE(I4:I15)</f>
        <v>42.25</v>
      </c>
    </row>
    <row r="7" spans="1:15">
      <c r="H7">
        <v>46</v>
      </c>
      <c r="I7">
        <v>29</v>
      </c>
      <c r="J7" s="5" t="s">
        <v>313</v>
      </c>
      <c r="K7" s="5">
        <f>_xlfn.VAR.S(H4:H16)</f>
        <v>61.666666666666664</v>
      </c>
      <c r="L7" s="5">
        <f>_xlfn.VAR.S(I4:I15)</f>
        <v>76.38636363636364</v>
      </c>
    </row>
    <row r="8" spans="1:15">
      <c r="B8" t="s">
        <v>308</v>
      </c>
      <c r="D8" s="9" t="s">
        <v>307</v>
      </c>
      <c r="H8">
        <v>47</v>
      </c>
      <c r="I8">
        <v>40</v>
      </c>
      <c r="J8" s="5" t="s">
        <v>314</v>
      </c>
      <c r="K8" s="5">
        <f>COUNT(H4:H16)</f>
        <v>13</v>
      </c>
      <c r="L8" s="5">
        <f>COUNT(I4:I15)</f>
        <v>12</v>
      </c>
    </row>
    <row r="9" spans="1:15">
      <c r="C9" t="s">
        <v>310</v>
      </c>
      <c r="D9" s="16" t="s">
        <v>306</v>
      </c>
      <c r="H9">
        <v>38</v>
      </c>
      <c r="I9">
        <v>39</v>
      </c>
      <c r="J9" s="5" t="s">
        <v>315</v>
      </c>
      <c r="K9" s="5">
        <f>K8-1</f>
        <v>12</v>
      </c>
      <c r="L9" s="5">
        <f>L8-1</f>
        <v>11</v>
      </c>
    </row>
    <row r="10" spans="1:15">
      <c r="D10" s="9" t="s">
        <v>301</v>
      </c>
      <c r="F10" s="9" t="s">
        <v>303</v>
      </c>
      <c r="H10">
        <v>58</v>
      </c>
      <c r="I10">
        <v>32</v>
      </c>
      <c r="J10" s="5" t="s">
        <v>316</v>
      </c>
      <c r="K10" s="5">
        <f>K7/L7</f>
        <v>0.80729941485668943</v>
      </c>
      <c r="L10" s="5"/>
      <c r="O10">
        <f>L7/K7</f>
        <v>1.2386977886977888</v>
      </c>
    </row>
    <row r="11" spans="1:15">
      <c r="D11" s="15" t="s">
        <v>275</v>
      </c>
      <c r="E11" s="1" t="s">
        <v>302</v>
      </c>
      <c r="F11" s="15" t="s">
        <v>275</v>
      </c>
      <c r="H11">
        <v>51</v>
      </c>
      <c r="I11">
        <v>41</v>
      </c>
      <c r="J11" s="5" t="s">
        <v>317</v>
      </c>
      <c r="K11" s="5">
        <f>_xlfn.F.DIST(K10,K9,L9,1)</f>
        <v>0.35804524123463966</v>
      </c>
      <c r="L11" s="5"/>
      <c r="M11" t="s">
        <v>319</v>
      </c>
      <c r="O11">
        <f>_xlfn.F.DIST.RT(O10,L9,K9)</f>
        <v>0.35804524123463966</v>
      </c>
    </row>
    <row r="12" spans="1:15" ht="19" thickBot="1">
      <c r="D12" s="1" t="s">
        <v>304</v>
      </c>
      <c r="F12" s="1" t="s">
        <v>305</v>
      </c>
      <c r="H12">
        <v>49</v>
      </c>
      <c r="I12">
        <v>42</v>
      </c>
      <c r="J12" s="6" t="s">
        <v>318</v>
      </c>
      <c r="K12" s="6">
        <f>_xlfn.F.INV(0.05,K9,L9)</f>
        <v>0.36800810711628412</v>
      </c>
      <c r="L12" s="6"/>
      <c r="M12" t="s">
        <v>466</v>
      </c>
      <c r="O12">
        <f>_xlfn.F.INV.RT(0.05,L9,K9)</f>
        <v>2.7173314409728953</v>
      </c>
    </row>
    <row r="13" spans="1:15">
      <c r="D13" s="9"/>
      <c r="H13">
        <v>35</v>
      </c>
      <c r="I13">
        <v>57</v>
      </c>
      <c r="M13" t="s">
        <v>334</v>
      </c>
    </row>
    <row r="14" spans="1:15">
      <c r="B14" t="s">
        <v>273</v>
      </c>
      <c r="G14" t="s">
        <v>320</v>
      </c>
      <c r="H14">
        <v>46</v>
      </c>
      <c r="I14">
        <v>51</v>
      </c>
      <c r="J14" t="s">
        <v>321</v>
      </c>
    </row>
    <row r="15" spans="1:15" ht="19" thickBot="1">
      <c r="B15" t="s">
        <v>272</v>
      </c>
      <c r="D15" s="1" t="s">
        <v>274</v>
      </c>
      <c r="H15">
        <v>30</v>
      </c>
      <c r="I15">
        <v>39</v>
      </c>
    </row>
    <row r="16" spans="1:15">
      <c r="C16" t="s">
        <v>281</v>
      </c>
      <c r="D16" s="15" t="s">
        <v>275</v>
      </c>
      <c r="E16" t="s">
        <v>297</v>
      </c>
      <c r="H16">
        <v>41</v>
      </c>
      <c r="J16" s="7"/>
      <c r="K16" s="7" t="s">
        <v>267</v>
      </c>
      <c r="L16" s="7" t="s">
        <v>269</v>
      </c>
    </row>
    <row r="17" spans="1:13">
      <c r="D17" s="9" t="s">
        <v>276</v>
      </c>
      <c r="J17" s="5" t="s">
        <v>50</v>
      </c>
      <c r="K17" s="5">
        <f>K6</f>
        <v>45</v>
      </c>
      <c r="L17" s="5">
        <f>L6</f>
        <v>42.25</v>
      </c>
    </row>
    <row r="18" spans="1:13">
      <c r="D18" s="9" t="s">
        <v>293</v>
      </c>
      <c r="J18" s="5" t="s">
        <v>313</v>
      </c>
      <c r="K18" s="5">
        <f t="shared" ref="K18:L19" si="0">K7</f>
        <v>61.666666666666664</v>
      </c>
      <c r="L18" s="5">
        <f t="shared" si="0"/>
        <v>76.38636363636364</v>
      </c>
    </row>
    <row r="19" spans="1:13">
      <c r="C19" t="s">
        <v>292</v>
      </c>
      <c r="D19" s="16" t="s">
        <v>295</v>
      </c>
      <c r="J19" s="5" t="s">
        <v>314</v>
      </c>
      <c r="K19" s="5">
        <f t="shared" si="0"/>
        <v>13</v>
      </c>
      <c r="L19" s="5">
        <f t="shared" si="0"/>
        <v>12</v>
      </c>
    </row>
    <row r="20" spans="1:13">
      <c r="D20" s="9" t="s">
        <v>294</v>
      </c>
      <c r="J20" s="5" t="s">
        <v>322</v>
      </c>
      <c r="K20">
        <f>((K19-1)*K18+(L19-1)*L18)/K22</f>
        <v>68.706521739130437</v>
      </c>
      <c r="L20" s="5"/>
      <c r="M20" t="s">
        <v>329</v>
      </c>
    </row>
    <row r="21" spans="1:13">
      <c r="J21" s="5" t="s">
        <v>323</v>
      </c>
      <c r="K21" s="5">
        <v>0</v>
      </c>
      <c r="L21" s="5"/>
    </row>
    <row r="22" spans="1:13">
      <c r="J22" s="5" t="s">
        <v>315</v>
      </c>
      <c r="K22" s="5">
        <f>K19+L19-2</f>
        <v>23</v>
      </c>
      <c r="L22" s="5"/>
      <c r="M22" t="s">
        <v>330</v>
      </c>
    </row>
    <row r="23" spans="1:13">
      <c r="J23" s="5" t="s">
        <v>324</v>
      </c>
      <c r="K23">
        <f>(K17-L17)/SQRT(K20/K19+K20/L19)</f>
        <v>0.82875470535716256</v>
      </c>
      <c r="L23" s="5"/>
      <c r="M23" t="s">
        <v>272</v>
      </c>
    </row>
    <row r="24" spans="1:13">
      <c r="J24" s="5" t="s">
        <v>325</v>
      </c>
      <c r="K24">
        <f>_xlfn.T.DIST.RT(K23,K22)</f>
        <v>0.20788062599047208</v>
      </c>
      <c r="L24" s="5"/>
    </row>
    <row r="25" spans="1:13">
      <c r="J25" s="5" t="s">
        <v>326</v>
      </c>
      <c r="K25">
        <f>_xlfn.T.INV(1-0.05,K22)</f>
        <v>1.7138715277470482</v>
      </c>
      <c r="L25" s="5"/>
    </row>
    <row r="26" spans="1:13">
      <c r="E26" t="s">
        <v>332</v>
      </c>
      <c r="J26" s="5" t="s">
        <v>327</v>
      </c>
      <c r="K26">
        <f>_xlfn.T.DIST.2T(K23,K22)</f>
        <v>0.41576125198094416</v>
      </c>
      <c r="L26" s="5"/>
      <c r="M26" t="s">
        <v>331</v>
      </c>
    </row>
    <row r="27" spans="1:13" ht="19" thickBot="1">
      <c r="E27" t="s">
        <v>333</v>
      </c>
      <c r="J27" s="6" t="s">
        <v>328</v>
      </c>
      <c r="K27" s="6">
        <f>_xlfn.T.INV.2T(0.05,K22)</f>
        <v>2.0686576104190491</v>
      </c>
      <c r="L27" s="6"/>
    </row>
    <row r="29" spans="1:13">
      <c r="G29" t="s">
        <v>350</v>
      </c>
      <c r="I29" t="s">
        <v>345</v>
      </c>
    </row>
    <row r="30" spans="1:13">
      <c r="A30" t="s">
        <v>335</v>
      </c>
      <c r="B30" t="s">
        <v>336</v>
      </c>
      <c r="G30" t="s">
        <v>351</v>
      </c>
      <c r="H30" t="s">
        <v>347</v>
      </c>
      <c r="I30" t="s">
        <v>349</v>
      </c>
      <c r="J30" t="s">
        <v>352</v>
      </c>
    </row>
    <row r="31" spans="1:13" ht="19" thickBot="1">
      <c r="B31" t="s">
        <v>340</v>
      </c>
      <c r="H31" s="17">
        <v>24.7</v>
      </c>
      <c r="I31" s="17">
        <v>12.4</v>
      </c>
    </row>
    <row r="32" spans="1:13">
      <c r="B32" s="11" t="s">
        <v>337</v>
      </c>
      <c r="H32" s="17">
        <v>46.1</v>
      </c>
      <c r="I32" s="17">
        <v>14.1</v>
      </c>
      <c r="J32" s="7"/>
      <c r="K32" s="7" t="s">
        <v>346</v>
      </c>
      <c r="L32" s="7" t="s">
        <v>348</v>
      </c>
    </row>
    <row r="33" spans="2:13">
      <c r="B33" t="s">
        <v>338</v>
      </c>
      <c r="D33" t="s">
        <v>344</v>
      </c>
      <c r="H33" s="17">
        <v>18.5</v>
      </c>
      <c r="I33" s="17">
        <v>7.6</v>
      </c>
      <c r="J33" s="5" t="s">
        <v>50</v>
      </c>
      <c r="K33" s="5">
        <v>25.736363636363635</v>
      </c>
      <c r="L33" s="5">
        <v>11.899999999999999</v>
      </c>
    </row>
    <row r="34" spans="2:13">
      <c r="B34" t="s">
        <v>339</v>
      </c>
      <c r="H34" s="17">
        <v>29.5</v>
      </c>
      <c r="I34" s="17">
        <v>9.5</v>
      </c>
      <c r="J34" s="5" t="s">
        <v>313</v>
      </c>
      <c r="K34" s="5">
        <v>69.03254545454547</v>
      </c>
      <c r="L34" s="5">
        <v>12.460000000000104</v>
      </c>
    </row>
    <row r="35" spans="2:13">
      <c r="B35" t="s">
        <v>272</v>
      </c>
      <c r="H35" s="17">
        <v>26.3</v>
      </c>
      <c r="I35" s="17">
        <v>19.7</v>
      </c>
      <c r="J35" s="5" t="s">
        <v>314</v>
      </c>
      <c r="K35" s="5">
        <v>11</v>
      </c>
      <c r="L35" s="5">
        <v>11</v>
      </c>
    </row>
    <row r="36" spans="2:13">
      <c r="B36" t="s">
        <v>341</v>
      </c>
      <c r="H36" s="17">
        <v>33.9</v>
      </c>
      <c r="I36" s="17">
        <v>10.6</v>
      </c>
      <c r="J36" s="5" t="s">
        <v>353</v>
      </c>
      <c r="K36" s="5">
        <v>0.25371453001499245</v>
      </c>
      <c r="L36" s="5"/>
    </row>
    <row r="37" spans="2:13">
      <c r="B37" t="s">
        <v>342</v>
      </c>
      <c r="H37" s="17">
        <v>23.1</v>
      </c>
      <c r="I37" s="17">
        <v>9.1</v>
      </c>
      <c r="J37" s="5" t="s">
        <v>323</v>
      </c>
      <c r="K37" s="5">
        <v>0</v>
      </c>
      <c r="L37" s="5"/>
    </row>
    <row r="38" spans="2:13">
      <c r="B38" t="s">
        <v>343</v>
      </c>
      <c r="H38" s="17">
        <v>20.7</v>
      </c>
      <c r="I38" s="17">
        <v>11.3</v>
      </c>
      <c r="J38" s="5" t="s">
        <v>315</v>
      </c>
      <c r="K38" s="5">
        <v>10</v>
      </c>
      <c r="L38" s="5"/>
      <c r="M38" t="s">
        <v>330</v>
      </c>
    </row>
    <row r="39" spans="2:13">
      <c r="H39" s="17">
        <v>18</v>
      </c>
      <c r="I39" s="17">
        <v>13.3</v>
      </c>
      <c r="J39" s="5" t="s">
        <v>324</v>
      </c>
      <c r="K39" s="5">
        <v>5.622724632312992</v>
      </c>
      <c r="L39" s="5"/>
      <c r="M39" t="s">
        <v>354</v>
      </c>
    </row>
    <row r="40" spans="2:13">
      <c r="C40" t="s">
        <v>358</v>
      </c>
      <c r="H40" s="17">
        <v>19.3</v>
      </c>
      <c r="I40" s="17">
        <v>8.3000000000000007</v>
      </c>
      <c r="J40" s="5" t="s">
        <v>325</v>
      </c>
      <c r="K40" s="5">
        <v>1.1031198475000419E-4</v>
      </c>
      <c r="L40" s="5"/>
      <c r="M40" t="s">
        <v>355</v>
      </c>
    </row>
    <row r="41" spans="2:13">
      <c r="C41" t="s">
        <v>357</v>
      </c>
      <c r="H41" s="17">
        <v>23</v>
      </c>
      <c r="I41" s="17">
        <v>15</v>
      </c>
      <c r="J41" s="5" t="s">
        <v>326</v>
      </c>
      <c r="K41" s="5">
        <v>1.812461122811676</v>
      </c>
      <c r="L41" s="5"/>
    </row>
    <row r="42" spans="2:13">
      <c r="C42" t="s">
        <v>359</v>
      </c>
      <c r="J42" s="5" t="s">
        <v>327</v>
      </c>
      <c r="K42" s="5">
        <v>2.2062396950000838E-4</v>
      </c>
      <c r="L42" s="5"/>
    </row>
    <row r="43" spans="2:13" ht="19" thickBot="1">
      <c r="C43" t="s">
        <v>356</v>
      </c>
      <c r="J43" s="6" t="s">
        <v>328</v>
      </c>
      <c r="K43" s="6">
        <v>2.2281388519862744</v>
      </c>
      <c r="L43" s="6"/>
    </row>
    <row r="44" spans="2:13">
      <c r="C44" t="s">
        <v>360</v>
      </c>
      <c r="F44" t="s">
        <v>361</v>
      </c>
    </row>
    <row r="45" spans="2:13">
      <c r="F45" t="s">
        <v>362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</vt:i4>
      </vt:variant>
    </vt:vector>
  </HeadingPairs>
  <TitlesOfParts>
    <vt:vector size="12" baseType="lpstr">
      <vt:lpstr>Sheet1</vt:lpstr>
      <vt:lpstr>기술통계량</vt:lpstr>
      <vt:lpstr>Histogram</vt:lpstr>
      <vt:lpstr>고급필터</vt:lpstr>
      <vt:lpstr>해 찾기</vt:lpstr>
      <vt:lpstr>확률분포</vt:lpstr>
      <vt:lpstr>추정과 검정</vt:lpstr>
      <vt:lpstr>범주형 데이터 분석</vt:lpstr>
      <vt:lpstr>모평균 비교</vt:lpstr>
      <vt:lpstr>모평균 비교.2</vt:lpstr>
      <vt:lpstr>분산분석</vt:lpstr>
      <vt:lpstr>고급필터!Criteria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Yong-iL Joh</dc:creator>
  <cp:lastModifiedBy>JohnSmith</cp:lastModifiedBy>
  <dcterms:created xsi:type="dcterms:W3CDTF">2019-03-01T13:17:29Z</dcterms:created>
  <dcterms:modified xsi:type="dcterms:W3CDTF">2019-06-03T18:10:55Z</dcterms:modified>
</cp:coreProperties>
</file>