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1EB6D1C2-566B-1A49-A3B9-01C96CFF4E3F}" xr6:coauthVersionLast="41" xr6:coauthVersionMax="41" xr10:uidLastSave="{00000000-0000-0000-0000-000000000000}"/>
  <bookViews>
    <workbookView xWindow="0" yWindow="0" windowWidth="27320" windowHeight="15360" xr2:uid="{BB9AA306-BFAC-9B4F-B17D-065F60A1BE26}"/>
  </bookViews>
  <sheets>
    <sheet name="Chapter 4" sheetId="3" r:id="rId1"/>
    <sheet name="Chapter 5" sheetId="2" r:id="rId2"/>
    <sheet name="Chapter 6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3" l="1"/>
  <c r="M24" i="3"/>
  <c r="L24" i="3"/>
  <c r="K24" i="3"/>
  <c r="I27" i="3"/>
  <c r="I26" i="3"/>
  <c r="I25" i="3"/>
  <c r="I24" i="3"/>
  <c r="H24" i="3"/>
  <c r="H27" i="3"/>
  <c r="H26" i="3"/>
  <c r="F25" i="3"/>
  <c r="D28" i="3"/>
  <c r="E27" i="3"/>
  <c r="B26" i="3"/>
  <c r="C26" i="3"/>
  <c r="C25" i="3"/>
  <c r="C24" i="3"/>
  <c r="B25" i="3"/>
  <c r="B24" i="3"/>
  <c r="M15" i="3" l="1"/>
  <c r="M22" i="3"/>
  <c r="M21" i="3"/>
  <c r="M18" i="3"/>
  <c r="M20" i="3"/>
  <c r="M19" i="3"/>
  <c r="M17" i="3"/>
  <c r="M16" i="3"/>
  <c r="K16" i="3"/>
  <c r="K14" i="3"/>
  <c r="I19" i="3"/>
  <c r="I18" i="3"/>
  <c r="I17" i="3"/>
  <c r="I16" i="3"/>
  <c r="F17" i="3"/>
  <c r="H19" i="3"/>
  <c r="H18" i="3"/>
  <c r="H16" i="3"/>
  <c r="E17" i="3"/>
  <c r="E16" i="3"/>
  <c r="E19" i="3" s="1"/>
  <c r="F16" i="3"/>
  <c r="C16" i="3"/>
  <c r="C15" i="3"/>
  <c r="C13" i="3"/>
  <c r="K7" i="3"/>
  <c r="I9" i="3"/>
  <c r="I8" i="3"/>
  <c r="I7" i="3"/>
  <c r="I6" i="3"/>
  <c r="I5" i="3"/>
  <c r="G9" i="3"/>
  <c r="G8" i="3"/>
  <c r="G7" i="3"/>
  <c r="C9" i="3"/>
  <c r="C7" i="3"/>
  <c r="C6" i="3"/>
  <c r="C8" i="3"/>
  <c r="E8" i="3"/>
  <c r="E7" i="3"/>
  <c r="E6" i="3"/>
  <c r="J30" i="2" l="1"/>
  <c r="I30" i="2"/>
  <c r="H30" i="2"/>
  <c r="G30" i="2"/>
  <c r="I28" i="2"/>
  <c r="I27" i="2"/>
  <c r="G28" i="2"/>
  <c r="G27" i="2"/>
  <c r="E28" i="2"/>
  <c r="F30" i="2"/>
  <c r="E30" i="2"/>
  <c r="D30" i="2"/>
  <c r="C30" i="2"/>
  <c r="C27" i="2"/>
  <c r="C26" i="2"/>
  <c r="M15" i="2" l="1"/>
  <c r="N17" i="2" s="1"/>
  <c r="M14" i="2"/>
  <c r="M17" i="2" s="1"/>
  <c r="N7" i="2"/>
  <c r="M7" i="2"/>
  <c r="M5" i="2"/>
  <c r="M4" i="2"/>
  <c r="K8" i="2"/>
  <c r="J8" i="2"/>
  <c r="J6" i="2"/>
  <c r="J5" i="2"/>
  <c r="J4" i="2"/>
  <c r="J3" i="2"/>
  <c r="H22" i="2"/>
  <c r="G22" i="2"/>
  <c r="H15" i="2"/>
  <c r="G15" i="2"/>
  <c r="G20" i="2"/>
  <c r="G19" i="2"/>
  <c r="G18" i="2"/>
  <c r="G17" i="2"/>
  <c r="G12" i="2"/>
  <c r="G10" i="2"/>
  <c r="G13" i="2"/>
  <c r="G11" i="2"/>
  <c r="G6" i="2"/>
  <c r="H8" i="2" s="1"/>
  <c r="G5" i="2"/>
  <c r="G4" i="2"/>
  <c r="G3" i="2"/>
  <c r="G8" i="2" s="1"/>
  <c r="D13" i="2"/>
  <c r="D12" i="2"/>
  <c r="C12" i="2"/>
  <c r="D9" i="2"/>
  <c r="C9" i="2"/>
  <c r="C13" i="2"/>
  <c r="C7" i="2"/>
  <c r="C10" i="2"/>
  <c r="A7" i="2"/>
  <c r="A5" i="2"/>
  <c r="O25" i="1" l="1"/>
  <c r="O26" i="1"/>
  <c r="O28" i="1" s="1"/>
  <c r="O24" i="1"/>
  <c r="G7" i="1"/>
  <c r="L26" i="1"/>
  <c r="L24" i="1"/>
  <c r="J31" i="1"/>
  <c r="J33" i="1" s="1"/>
  <c r="J30" i="1"/>
  <c r="J29" i="1"/>
  <c r="J32" i="1" s="1"/>
  <c r="F26" i="1"/>
  <c r="F28" i="1" s="1"/>
  <c r="F25" i="1"/>
  <c r="F24" i="1"/>
  <c r="F27" i="1" s="1"/>
  <c r="B26" i="1"/>
  <c r="B28" i="1" s="1"/>
  <c r="B25" i="1"/>
  <c r="B27" i="1" s="1"/>
  <c r="B24" i="1"/>
  <c r="O27" i="1" l="1"/>
  <c r="M6" i="1"/>
  <c r="M7" i="1"/>
  <c r="M9" i="1" s="1"/>
  <c r="M5" i="1"/>
  <c r="J6" i="1"/>
  <c r="J5" i="1"/>
  <c r="G10" i="1"/>
  <c r="G5" i="1"/>
  <c r="M8" i="1" l="1"/>
  <c r="E7" i="1"/>
  <c r="E9" i="1" s="1"/>
  <c r="E6" i="1"/>
  <c r="E5" i="1"/>
  <c r="E8" i="1" s="1"/>
  <c r="B7" i="1"/>
  <c r="B9" i="1" s="1"/>
  <c r="B6" i="1"/>
  <c r="B5" i="1"/>
  <c r="B8" i="1" l="1"/>
</calcChain>
</file>

<file path=xl/sharedStrings.xml><?xml version="1.0" encoding="utf-8"?>
<sst xmlns="http://schemas.openxmlformats.org/spreadsheetml/2006/main" count="259" uniqueCount="163">
  <si>
    <t>T</t>
    <phoneticPr fontId="1" type="noConversion"/>
  </si>
  <si>
    <t>검정통계량 T</t>
    <phoneticPr fontId="1" type="noConversion"/>
  </si>
  <si>
    <t>X`</t>
    <phoneticPr fontId="1" type="noConversion"/>
  </si>
  <si>
    <t>sigma</t>
    <phoneticPr fontId="1" type="noConversion"/>
  </si>
  <si>
    <t>df</t>
    <phoneticPr fontId="1" type="noConversion"/>
  </si>
  <si>
    <t>t_15,0.05</t>
    <phoneticPr fontId="1" type="noConversion"/>
  </si>
  <si>
    <t>t_14,0.05</t>
    <phoneticPr fontId="1" type="noConversion"/>
  </si>
  <si>
    <t>EX 6-9</t>
    <phoneticPr fontId="1" type="noConversion"/>
  </si>
  <si>
    <t>EX 6-8</t>
    <phoneticPr fontId="1" type="noConversion"/>
  </si>
  <si>
    <t>H_0 : u = 160</t>
    <phoneticPr fontId="1" type="noConversion"/>
  </si>
  <si>
    <t>H_1 : u &gt; 160</t>
    <phoneticPr fontId="1" type="noConversion"/>
  </si>
  <si>
    <t>EX 6-10</t>
    <phoneticPr fontId="1" type="noConversion"/>
  </si>
  <si>
    <t>H_0 : p = 0.6</t>
    <phoneticPr fontId="1" type="noConversion"/>
  </si>
  <si>
    <t>H_1 : p &gt; 0.6</t>
    <phoneticPr fontId="1" type="noConversion"/>
  </si>
  <si>
    <t>검정통계량 Z</t>
    <phoneticPr fontId="1" type="noConversion"/>
  </si>
  <si>
    <t>~ N(0,1)</t>
    <phoneticPr fontId="1" type="noConversion"/>
  </si>
  <si>
    <t>Z_0.05</t>
    <phoneticPr fontId="1" type="noConversion"/>
  </si>
  <si>
    <t>since T &gt; t_14,0.05</t>
    <phoneticPr fontId="1" type="noConversion"/>
  </si>
  <si>
    <t xml:space="preserve">  reject H_0</t>
    <phoneticPr fontId="1" type="noConversion"/>
  </si>
  <si>
    <t>since Z &lt; Z_0.05</t>
    <phoneticPr fontId="1" type="noConversion"/>
  </si>
  <si>
    <t xml:space="preserve">  accept H_0</t>
    <phoneticPr fontId="1" type="noConversion"/>
  </si>
  <si>
    <t xml:space="preserve">P(Z &gt; 1.44) </t>
    <phoneticPr fontId="1" type="noConversion"/>
  </si>
  <si>
    <t>= 1 - P(Z &lt;= 1.44)</t>
    <phoneticPr fontId="1" type="noConversion"/>
  </si>
  <si>
    <t>since P &gt; 0.05</t>
    <phoneticPr fontId="1" type="noConversion"/>
  </si>
  <si>
    <t>모비율 가설검정</t>
    <phoneticPr fontId="1" type="noConversion"/>
  </si>
  <si>
    <t>모평균 가설검정</t>
    <phoneticPr fontId="1" type="noConversion"/>
  </si>
  <si>
    <t>모분산 가설검정</t>
    <phoneticPr fontId="1" type="noConversion"/>
  </si>
  <si>
    <t>EX 6-11</t>
    <phoneticPr fontId="1" type="noConversion"/>
  </si>
  <si>
    <t>H_0 : s^2 = 1</t>
    <phoneticPr fontId="1" type="noConversion"/>
  </si>
  <si>
    <t>H_1 : s^2 &lt; 1</t>
    <phoneticPr fontId="1" type="noConversion"/>
  </si>
  <si>
    <t>검정통계량 Ka^2</t>
    <phoneticPr fontId="1" type="noConversion"/>
  </si>
  <si>
    <t>Ka^2_9,0.95</t>
    <phoneticPr fontId="1" type="noConversion"/>
  </si>
  <si>
    <t>since Ka^2 &lt; Ka^2_9,0.95</t>
    <phoneticPr fontId="1" type="noConversion"/>
  </si>
  <si>
    <t>EX 6-12</t>
    <phoneticPr fontId="1" type="noConversion"/>
  </si>
  <si>
    <t>sigma^2</t>
    <phoneticPr fontId="1" type="noConversion"/>
  </si>
  <si>
    <t>H_0 : s^2 = 16</t>
    <phoneticPr fontId="1" type="noConversion"/>
  </si>
  <si>
    <t>H_1 : s^2 &gt; 16</t>
    <phoneticPr fontId="1" type="noConversion"/>
  </si>
  <si>
    <t>Ka^2_11,0.05</t>
    <phoneticPr fontId="1" type="noConversion"/>
  </si>
  <si>
    <t>since Ka^2 &gt; Ka^2_11,0.05</t>
    <phoneticPr fontId="1" type="noConversion"/>
  </si>
  <si>
    <t>H_0 : u = 11</t>
    <phoneticPr fontId="1" type="noConversion"/>
  </si>
  <si>
    <t>H_1 : u &gt; 11</t>
    <phoneticPr fontId="1" type="noConversion"/>
  </si>
  <si>
    <t>since T &gt; t_15,0.05</t>
    <phoneticPr fontId="1" type="noConversion"/>
  </si>
  <si>
    <t>가설검정과 구간추정</t>
    <phoneticPr fontId="1" type="noConversion"/>
  </si>
  <si>
    <t>Q 11</t>
    <phoneticPr fontId="1" type="noConversion"/>
  </si>
  <si>
    <t>t_9,0.05</t>
    <phoneticPr fontId="1" type="noConversion"/>
  </si>
  <si>
    <t>since T &gt; t_9,0.05</t>
    <phoneticPr fontId="1" type="noConversion"/>
  </si>
  <si>
    <t>Q 12</t>
    <phoneticPr fontId="1" type="noConversion"/>
  </si>
  <si>
    <t>H_0 : u = 3</t>
    <phoneticPr fontId="1" type="noConversion"/>
  </si>
  <si>
    <t>H_1 : u &lt; 3</t>
    <phoneticPr fontId="1" type="noConversion"/>
  </si>
  <si>
    <t>t_29,0.95</t>
    <phoneticPr fontId="1" type="noConversion"/>
  </si>
  <si>
    <t>since T &lt; t_29,0.95</t>
    <phoneticPr fontId="1" type="noConversion"/>
  </si>
  <si>
    <t>Q 13</t>
    <phoneticPr fontId="1" type="noConversion"/>
  </si>
  <si>
    <t>H_0 : u = 5</t>
    <phoneticPr fontId="1" type="noConversion"/>
  </si>
  <si>
    <t>H_1 : u != 5</t>
    <phoneticPr fontId="1" type="noConversion"/>
  </si>
  <si>
    <t>t_24,0.025</t>
    <phoneticPr fontId="1" type="noConversion"/>
  </si>
  <si>
    <t>since |T| &lt; t_24,0.025</t>
    <phoneticPr fontId="1" type="noConversion"/>
  </si>
  <si>
    <t>Q14</t>
    <phoneticPr fontId="1" type="noConversion"/>
  </si>
  <si>
    <t>H_0 : p = 0.4</t>
    <phoneticPr fontId="1" type="noConversion"/>
  </si>
  <si>
    <t>H_1 : p &gt; 0.4</t>
    <phoneticPr fontId="1" type="noConversion"/>
  </si>
  <si>
    <t>~ N(0, 1)</t>
    <phoneticPr fontId="1" type="noConversion"/>
  </si>
  <si>
    <t>since Z &gt; Z_0.05</t>
    <phoneticPr fontId="1" type="noConversion"/>
  </si>
  <si>
    <t>Q15</t>
    <phoneticPr fontId="1" type="noConversion"/>
  </si>
  <si>
    <t>H_0 : s^2 = 1.5^2</t>
    <phoneticPr fontId="1" type="noConversion"/>
  </si>
  <si>
    <t>H_1 : s^2 &gt; 1.5^2</t>
    <phoneticPr fontId="1" type="noConversion"/>
  </si>
  <si>
    <t>s^2</t>
    <phoneticPr fontId="1" type="noConversion"/>
  </si>
  <si>
    <t>Ka^2_9,0.05</t>
    <phoneticPr fontId="1" type="noConversion"/>
  </si>
  <si>
    <t>since Ka^2 &gt; Ka^2_9,0.05</t>
    <phoneticPr fontId="1" type="noConversion"/>
  </si>
  <si>
    <t>EX 5-2</t>
    <phoneticPr fontId="1" type="noConversion"/>
  </si>
  <si>
    <t>H_1 : p &lt; 0.35</t>
    <phoneticPr fontId="1" type="noConversion"/>
  </si>
  <si>
    <t>H_0 : p = 0.35</t>
    <phoneticPr fontId="1" type="noConversion"/>
  </si>
  <si>
    <t>since Z &lt; -Z_0.05</t>
    <phoneticPr fontId="1" type="noConversion"/>
  </si>
  <si>
    <t>EX 5-3</t>
    <phoneticPr fontId="1" type="noConversion"/>
  </si>
  <si>
    <t>S</t>
    <phoneticPr fontId="1" type="noConversion"/>
  </si>
  <si>
    <t>u</t>
    <phoneticPr fontId="1" type="noConversion"/>
  </si>
  <si>
    <t>S^2</t>
    <phoneticPr fontId="1" type="noConversion"/>
  </si>
  <si>
    <t>95% 신뢰구간</t>
    <phoneticPr fontId="1" type="noConversion"/>
  </si>
  <si>
    <t>99% 신뢰구간</t>
    <phoneticPr fontId="1" type="noConversion"/>
  </si>
  <si>
    <t>EX 5-4</t>
    <phoneticPr fontId="1" type="noConversion"/>
  </si>
  <si>
    <t>모평균의 추정</t>
    <phoneticPr fontId="1" type="noConversion"/>
  </si>
  <si>
    <t>count</t>
    <phoneticPr fontId="1" type="noConversion"/>
  </si>
  <si>
    <t>t_15,0.025</t>
    <phoneticPr fontId="1" type="noConversion"/>
  </si>
  <si>
    <t>t_15,0.005</t>
    <phoneticPr fontId="1" type="noConversion"/>
  </si>
  <si>
    <t>t_14,0.025</t>
    <phoneticPr fontId="1" type="noConversion"/>
  </si>
  <si>
    <t>X`_M</t>
    <phoneticPr fontId="1" type="noConversion"/>
  </si>
  <si>
    <t>S_M</t>
    <phoneticPr fontId="1" type="noConversion"/>
  </si>
  <si>
    <t>t_8,0.025</t>
    <phoneticPr fontId="1" type="noConversion"/>
  </si>
  <si>
    <t>X`_F</t>
    <phoneticPr fontId="1" type="noConversion"/>
  </si>
  <si>
    <t>S_F</t>
    <phoneticPr fontId="1" type="noConversion"/>
  </si>
  <si>
    <t>count_F</t>
    <phoneticPr fontId="1" type="noConversion"/>
  </si>
  <si>
    <t>count_M</t>
    <phoneticPr fontId="1" type="noConversion"/>
  </si>
  <si>
    <t>t_5,0.025</t>
    <phoneticPr fontId="1" type="noConversion"/>
  </si>
  <si>
    <t>EX 5-5</t>
    <phoneticPr fontId="1" type="noConversion"/>
  </si>
  <si>
    <t>t_11,0.025</t>
    <phoneticPr fontId="1" type="noConversion"/>
  </si>
  <si>
    <t>모비율의 추정</t>
    <phoneticPr fontId="1" type="noConversion"/>
  </si>
  <si>
    <t>EX 5-6</t>
    <phoneticPr fontId="1" type="noConversion"/>
  </si>
  <si>
    <t>p"</t>
    <phoneticPr fontId="1" type="noConversion"/>
  </si>
  <si>
    <t>Z_0.025</t>
    <phoneticPr fontId="1" type="noConversion"/>
  </si>
  <si>
    <t>모분산의 추정</t>
    <phoneticPr fontId="1" type="noConversion"/>
  </si>
  <si>
    <t>EX 5-7</t>
    <phoneticPr fontId="1" type="noConversion"/>
  </si>
  <si>
    <t>Ka^2_24,0.025</t>
    <phoneticPr fontId="1" type="noConversion"/>
  </si>
  <si>
    <t>Ka^2_24,0.975</t>
    <phoneticPr fontId="1" type="noConversion"/>
  </si>
  <si>
    <t>Q 8</t>
    <phoneticPr fontId="1" type="noConversion"/>
  </si>
  <si>
    <t>Q 9</t>
    <phoneticPr fontId="1" type="noConversion"/>
  </si>
  <si>
    <t>t_59,0.005</t>
    <phoneticPr fontId="1" type="noConversion"/>
  </si>
  <si>
    <t>Q 10</t>
    <phoneticPr fontId="1" type="noConversion"/>
  </si>
  <si>
    <t>Ka^2_24,0.005</t>
    <phoneticPr fontId="1" type="noConversion"/>
  </si>
  <si>
    <t>Ka^2_24,0.995</t>
    <phoneticPr fontId="1" type="noConversion"/>
  </si>
  <si>
    <t>이항분포</t>
    <phoneticPr fontId="1" type="noConversion"/>
  </si>
  <si>
    <t>EX 4-1</t>
    <phoneticPr fontId="1" type="noConversion"/>
  </si>
  <si>
    <t>EX 4-2</t>
    <phoneticPr fontId="1" type="noConversion"/>
  </si>
  <si>
    <t>n</t>
    <phoneticPr fontId="1" type="noConversion"/>
  </si>
  <si>
    <t>p</t>
    <phoneticPr fontId="1" type="noConversion"/>
  </si>
  <si>
    <t>x=3</t>
    <phoneticPr fontId="1" type="noConversion"/>
  </si>
  <si>
    <t>3 &lt;= x &lt;= 7</t>
    <phoneticPr fontId="1" type="noConversion"/>
  </si>
  <si>
    <t>x &gt;= 6</t>
    <phoneticPr fontId="1" type="noConversion"/>
  </si>
  <si>
    <t>x &gt;= 2</t>
    <phoneticPr fontId="1" type="noConversion"/>
  </si>
  <si>
    <t>E(X)</t>
    <phoneticPr fontId="1" type="noConversion"/>
  </si>
  <si>
    <t>STDDEV(X)</t>
    <phoneticPr fontId="1" type="noConversion"/>
  </si>
  <si>
    <t>초기하분포</t>
    <phoneticPr fontId="1" type="noConversion"/>
  </si>
  <si>
    <t>EX 4-3</t>
    <phoneticPr fontId="1" type="noConversion"/>
  </si>
  <si>
    <t>N</t>
    <phoneticPr fontId="1" type="noConversion"/>
  </si>
  <si>
    <t>D</t>
    <phoneticPr fontId="1" type="noConversion"/>
  </si>
  <si>
    <t>x = 0</t>
    <phoneticPr fontId="1" type="noConversion"/>
  </si>
  <si>
    <t>x = 1</t>
    <phoneticPr fontId="1" type="noConversion"/>
  </si>
  <si>
    <t>x = 2</t>
    <phoneticPr fontId="1" type="noConversion"/>
  </si>
  <si>
    <t>포아송분포</t>
    <phoneticPr fontId="1" type="noConversion"/>
  </si>
  <si>
    <t>EX 4-4</t>
    <phoneticPr fontId="1" type="noConversion"/>
  </si>
  <si>
    <t>m</t>
    <phoneticPr fontId="1" type="noConversion"/>
  </si>
  <si>
    <t>m = np =</t>
    <phoneticPr fontId="1" type="noConversion"/>
  </si>
  <si>
    <t>EX 4-5</t>
    <phoneticPr fontId="1" type="noConversion"/>
  </si>
  <si>
    <t>x = 4</t>
    <phoneticPr fontId="1" type="noConversion"/>
  </si>
  <si>
    <t>정규분포</t>
    <phoneticPr fontId="1" type="noConversion"/>
  </si>
  <si>
    <t>EX 4-6</t>
    <phoneticPr fontId="1" type="noConversion"/>
  </si>
  <si>
    <t>P(Z &lt; 1.96)</t>
    <phoneticPr fontId="1" type="noConversion"/>
  </si>
  <si>
    <t>P(-1.96 &lt; Z &lt; 1.96)</t>
    <phoneticPr fontId="1" type="noConversion"/>
  </si>
  <si>
    <t>P(Z &gt; 1.96)</t>
    <phoneticPr fontId="1" type="noConversion"/>
  </si>
  <si>
    <t>EX 4-7</t>
    <phoneticPr fontId="1" type="noConversion"/>
  </si>
  <si>
    <t>P(X &lt; 94.3)</t>
    <phoneticPr fontId="1" type="noConversion"/>
  </si>
  <si>
    <t>s</t>
    <phoneticPr fontId="1" type="noConversion"/>
  </si>
  <si>
    <t>Z = (X - u)/s</t>
    <phoneticPr fontId="1" type="noConversion"/>
  </si>
  <si>
    <t>P(X &gt; 57.7)</t>
    <phoneticPr fontId="1" type="noConversion"/>
  </si>
  <si>
    <t>EX 4-8</t>
    <phoneticPr fontId="1" type="noConversion"/>
  </si>
  <si>
    <t>P(X &lt; 90)</t>
    <phoneticPr fontId="1" type="noConversion"/>
  </si>
  <si>
    <t>P(100 &lt; X &lt; 115)</t>
    <phoneticPr fontId="1" type="noConversion"/>
  </si>
  <si>
    <t>P(X &gt; 120)</t>
    <phoneticPr fontId="1" type="noConversion"/>
  </si>
  <si>
    <t>P(57.7 &lt; X &lt; 94.3)</t>
    <phoneticPr fontId="1" type="noConversion"/>
  </si>
  <si>
    <t>표본분포</t>
    <phoneticPr fontId="1" type="noConversion"/>
  </si>
  <si>
    <t>EX 4-9</t>
    <phoneticPr fontId="1" type="noConversion"/>
  </si>
  <si>
    <t>EX 4-10</t>
    <phoneticPr fontId="1" type="noConversion"/>
  </si>
  <si>
    <t>Z=(X - u)/s</t>
    <phoneticPr fontId="1" type="noConversion"/>
  </si>
  <si>
    <t>P(X &lt;= 2)</t>
    <phoneticPr fontId="1" type="noConversion"/>
  </si>
  <si>
    <t>P(Z &lt;= -1.376)</t>
    <phoneticPr fontId="1" type="noConversion"/>
  </si>
  <si>
    <t>P(3&lt;=X&lt;=7)</t>
    <phoneticPr fontId="1" type="noConversion"/>
  </si>
  <si>
    <t>P(X &lt;= 2)_BIN</t>
    <phoneticPr fontId="1" type="noConversion"/>
  </si>
  <si>
    <t>(확인 필요)</t>
    <phoneticPr fontId="1" type="noConversion"/>
  </si>
  <si>
    <t>Q 2</t>
    <phoneticPr fontId="1" type="noConversion"/>
  </si>
  <si>
    <t>Q 3</t>
    <phoneticPr fontId="1" type="noConversion"/>
  </si>
  <si>
    <t>Q 4</t>
    <phoneticPr fontId="1" type="noConversion"/>
  </si>
  <si>
    <t>Q 5</t>
    <phoneticPr fontId="1" type="noConversion"/>
  </si>
  <si>
    <t>Z</t>
    <phoneticPr fontId="1" type="noConversion"/>
  </si>
  <si>
    <t>P(71 , 82)</t>
    <phoneticPr fontId="1" type="noConversion"/>
  </si>
  <si>
    <t>P(P &lt; 78)</t>
    <phoneticPr fontId="1" type="noConversion"/>
  </si>
  <si>
    <t>P(P &gt; 75)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</si>
</sst>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00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1A78-FF86-A140-B68A-20B361CF6422}">
  <dimension ref="B2:M28"/>
  <sheetViews>
    <sheetView tabSelected="1" zoomScaleNormal="100" workbookViewId="0">
      <selection activeCell="B27" sqref="B27"/>
    </sheetView>
  </sheetViews>
  <sheetFormatPr baseColWidth="10" defaultRowHeight="18"/>
  <cols>
    <col min="15" max="15" width="10.7109375" customWidth="1"/>
  </cols>
  <sheetData>
    <row r="2" spans="2:13">
      <c r="B2" t="s">
        <v>107</v>
      </c>
      <c r="F2" t="s">
        <v>118</v>
      </c>
      <c r="H2" t="s">
        <v>125</v>
      </c>
    </row>
    <row r="3" spans="2:13">
      <c r="B3" t="s">
        <v>108</v>
      </c>
      <c r="D3" t="s">
        <v>109</v>
      </c>
      <c r="F3" t="s">
        <v>119</v>
      </c>
      <c r="H3" t="s">
        <v>126</v>
      </c>
      <c r="J3" t="s">
        <v>129</v>
      </c>
    </row>
    <row r="4" spans="2:13">
      <c r="B4" t="s">
        <v>110</v>
      </c>
      <c r="C4">
        <v>10</v>
      </c>
      <c r="D4" t="s">
        <v>110</v>
      </c>
      <c r="E4">
        <v>8</v>
      </c>
      <c r="F4" t="s">
        <v>120</v>
      </c>
      <c r="G4">
        <v>5</v>
      </c>
      <c r="H4" t="s">
        <v>110</v>
      </c>
      <c r="I4">
        <v>1860</v>
      </c>
    </row>
    <row r="5" spans="2:13">
      <c r="B5" t="s">
        <v>111</v>
      </c>
      <c r="C5">
        <v>0.2</v>
      </c>
      <c r="D5" t="s">
        <v>111</v>
      </c>
      <c r="E5">
        <v>0.3</v>
      </c>
      <c r="F5" t="s">
        <v>121</v>
      </c>
      <c r="G5">
        <v>2</v>
      </c>
      <c r="H5" t="s">
        <v>111</v>
      </c>
      <c r="I5" s="4">
        <f>1/600</f>
        <v>1.6666666666666668E-3</v>
      </c>
    </row>
    <row r="6" spans="2:13">
      <c r="B6" t="s">
        <v>112</v>
      </c>
      <c r="C6" s="2">
        <f>_xlfn.BINOM.DIST(3,10,0.2,FALSE)</f>
        <v>0.20132659200000003</v>
      </c>
      <c r="D6" t="s">
        <v>112</v>
      </c>
      <c r="E6" s="2">
        <f>_xlfn.BINOM.DIST(4,8,0.3,FALSE)</f>
        <v>0.1361367</v>
      </c>
      <c r="F6" t="s">
        <v>110</v>
      </c>
      <c r="G6">
        <v>2</v>
      </c>
      <c r="H6" t="s">
        <v>128</v>
      </c>
      <c r="I6">
        <f>I4*I5</f>
        <v>3.1</v>
      </c>
      <c r="J6" t="s">
        <v>127</v>
      </c>
      <c r="K6">
        <v>6</v>
      </c>
    </row>
    <row r="7" spans="2:13">
      <c r="B7" t="s">
        <v>115</v>
      </c>
      <c r="C7" s="2">
        <f>1-_xlfn.BINOM.DIST(1,10,0.2,TRUE)</f>
        <v>0.62419036159999974</v>
      </c>
      <c r="D7" t="s">
        <v>113</v>
      </c>
      <c r="E7" s="2">
        <f>_xlfn.BINOM.DIST(7,8,0.3,TRUE)-_xlfn.BINOM.DIST(2,8,0.3,TRUE)</f>
        <v>0.44816057999999992</v>
      </c>
      <c r="F7" t="s">
        <v>122</v>
      </c>
      <c r="G7">
        <f>_xlfn.HYPGEOM.DIST(0, 2, 2, 5, FALSE)</f>
        <v>0.30000000000000004</v>
      </c>
      <c r="H7" t="s">
        <v>122</v>
      </c>
      <c r="I7" s="2">
        <f>_xlfn.POISSON.DIST(0, I$6, FALSE)</f>
        <v>4.5049202393557801E-2</v>
      </c>
      <c r="J7" t="s">
        <v>130</v>
      </c>
      <c r="K7" s="2">
        <f>_xlfn.POISSON.DIST(4, K6, FALSE)</f>
        <v>0.13385261753998337</v>
      </c>
    </row>
    <row r="8" spans="2:13">
      <c r="B8" t="s">
        <v>116</v>
      </c>
      <c r="C8">
        <f>C4*C5</f>
        <v>2</v>
      </c>
      <c r="D8" t="s">
        <v>114</v>
      </c>
      <c r="E8" s="2">
        <f>1-_xlfn.BINOM.DIST(5,8,0.3,TRUE)</f>
        <v>1.1292210000000025E-2</v>
      </c>
      <c r="F8" t="s">
        <v>123</v>
      </c>
      <c r="G8">
        <f>_xlfn.HYPGEOM.DIST(1, G6, G5, G4, FALSE)</f>
        <v>0.6</v>
      </c>
      <c r="H8" t="s">
        <v>123</v>
      </c>
      <c r="I8" s="2">
        <f>_xlfn.POISSON.DIST(1, I$6, FALSE)</f>
        <v>0.1396525274200292</v>
      </c>
    </row>
    <row r="9" spans="2:13">
      <c r="B9" t="s">
        <v>117</v>
      </c>
      <c r="C9" s="2">
        <f>SQRT(C4*C5*(1-C5))</f>
        <v>1.2649110640673518</v>
      </c>
      <c r="F9" t="s">
        <v>124</v>
      </c>
      <c r="G9">
        <f>_xlfn.HYPGEOM.DIST(2, 2, 2, 5, FALSE)</f>
        <v>0.1</v>
      </c>
      <c r="H9" t="s">
        <v>124</v>
      </c>
      <c r="I9" s="2">
        <f>_xlfn.POISSON.DIST(2, I$6, FALSE)</f>
        <v>0.21646141750104531</v>
      </c>
    </row>
    <row r="11" spans="2:13">
      <c r="B11" t="s">
        <v>131</v>
      </c>
      <c r="J11" t="s">
        <v>146</v>
      </c>
    </row>
    <row r="12" spans="2:13">
      <c r="B12" t="s">
        <v>132</v>
      </c>
      <c r="D12" t="s">
        <v>136</v>
      </c>
      <c r="G12" t="s">
        <v>141</v>
      </c>
      <c r="J12" t="s">
        <v>147</v>
      </c>
      <c r="L12" t="s">
        <v>148</v>
      </c>
      <c r="M12" t="s">
        <v>154</v>
      </c>
    </row>
    <row r="13" spans="2:13">
      <c r="B13" t="s">
        <v>133</v>
      </c>
      <c r="C13" s="2">
        <f>_xlfn.NORM.DIST(1.96, 0, 1, TRUE)</f>
        <v>0.97500210485177952</v>
      </c>
      <c r="D13" t="s">
        <v>73</v>
      </c>
      <c r="E13">
        <v>70</v>
      </c>
      <c r="G13" t="s">
        <v>73</v>
      </c>
      <c r="H13">
        <v>110</v>
      </c>
      <c r="J13">
        <v>6</v>
      </c>
      <c r="K13" t="s">
        <v>73</v>
      </c>
      <c r="L13" t="s">
        <v>110</v>
      </c>
      <c r="M13">
        <v>100</v>
      </c>
    </row>
    <row r="14" spans="2:13">
      <c r="B14" t="s">
        <v>134</v>
      </c>
      <c r="D14" t="s">
        <v>138</v>
      </c>
      <c r="E14">
        <v>10</v>
      </c>
      <c r="G14" t="s">
        <v>138</v>
      </c>
      <c r="H14">
        <v>10</v>
      </c>
      <c r="J14">
        <v>2</v>
      </c>
      <c r="K14">
        <f>AVERAGE(J13:J17)</f>
        <v>6</v>
      </c>
      <c r="L14" t="s">
        <v>111</v>
      </c>
      <c r="M14">
        <v>0.05</v>
      </c>
    </row>
    <row r="15" spans="2:13">
      <c r="C15" s="2">
        <f>_xlfn.NORM.DIST(1.96,0,1,TRUE)-_xlfn.NORM.DIST(-1.96,0,1,TRUE)</f>
        <v>0.95000420970355903</v>
      </c>
      <c r="F15" t="s">
        <v>139</v>
      </c>
      <c r="I15" t="s">
        <v>139</v>
      </c>
      <c r="J15">
        <v>4</v>
      </c>
      <c r="K15" t="s">
        <v>64</v>
      </c>
      <c r="L15" t="s">
        <v>153</v>
      </c>
      <c r="M15" s="4">
        <f>_xlfn.BINOM.DIST(2,M13,M14,TRUE)</f>
        <v>0.11826298118512098</v>
      </c>
    </row>
    <row r="16" spans="2:13">
      <c r="B16" t="s">
        <v>135</v>
      </c>
      <c r="C16" s="2">
        <f>1-_xlfn.NORM.DIST(1.96,0,1,TRUE)</f>
        <v>2.4997895148220484E-2</v>
      </c>
      <c r="D16" t="s">
        <v>137</v>
      </c>
      <c r="E16" s="4">
        <f>_xlfn.NORM.DIST(94.3, E13, E14, TRUE)</f>
        <v>0.99245058858369084</v>
      </c>
      <c r="F16" s="3">
        <f>(94.3 - $E$13)/$E$14</f>
        <v>2.4299999999999997</v>
      </c>
      <c r="G16" t="s">
        <v>142</v>
      </c>
      <c r="H16" s="4">
        <f>_xlfn.NORM.DIST(90,H13,H14,TRUE)</f>
        <v>2.2750131948179191E-2</v>
      </c>
      <c r="I16">
        <f>(90-H13)/H14</f>
        <v>-2</v>
      </c>
      <c r="J16">
        <v>8</v>
      </c>
      <c r="K16">
        <f>_xlfn.VAR.P(J13:J17)</f>
        <v>8</v>
      </c>
      <c r="L16" t="s">
        <v>2</v>
      </c>
      <c r="M16">
        <f>M13*M14</f>
        <v>5</v>
      </c>
    </row>
    <row r="17" spans="2:13">
      <c r="D17" t="s">
        <v>140</v>
      </c>
      <c r="E17" s="4">
        <f>1-_xlfn.NORM.DIST((57.7-E13)/E14,0,1,TRUE)</f>
        <v>0.89065144757430803</v>
      </c>
      <c r="F17">
        <f>(57.7-E13)/E14</f>
        <v>-1.2299999999999998</v>
      </c>
      <c r="G17" t="s">
        <v>143</v>
      </c>
      <c r="I17">
        <f>(100-H13)/H14</f>
        <v>-1</v>
      </c>
      <c r="J17">
        <v>10</v>
      </c>
      <c r="L17" t="s">
        <v>64</v>
      </c>
      <c r="M17">
        <f>M13*M14*(1-M14)</f>
        <v>4.75</v>
      </c>
    </row>
    <row r="18" spans="2:13">
      <c r="D18" t="s">
        <v>145</v>
      </c>
      <c r="H18" s="4">
        <f>_xlfn.NORM.DIST(115,H13,H14,TRUE)-_xlfn.NORM.DIST(100,H13,H14,TRUE)</f>
        <v>0.53280720734255616</v>
      </c>
      <c r="I18">
        <f>(115-H13)/H14</f>
        <v>0.5</v>
      </c>
      <c r="L18" t="s">
        <v>150</v>
      </c>
      <c r="M18" s="4">
        <f>_xlfn.NORM.DIST(2,M16,SQRT(M17),TRUE)</f>
        <v>8.4334309443907546E-2</v>
      </c>
    </row>
    <row r="19" spans="2:13">
      <c r="E19" s="5">
        <f>E16-(1-E17)</f>
        <v>0.88310203615799887</v>
      </c>
      <c r="G19" t="s">
        <v>144</v>
      </c>
      <c r="H19" s="4">
        <f>1-_xlfn.NORM.DIST(120,H13,H14,TRUE)</f>
        <v>0.15865525393145696</v>
      </c>
      <c r="I19">
        <f>(120-H13)/H14</f>
        <v>1</v>
      </c>
      <c r="L19" t="s">
        <v>149</v>
      </c>
      <c r="M19" s="4">
        <f>(2-M16)/SQRT(M17)</f>
        <v>-1.3764944032233704</v>
      </c>
    </row>
    <row r="20" spans="2:13">
      <c r="L20" t="s">
        <v>151</v>
      </c>
      <c r="M20" s="4">
        <f>_xlfn.NORM.DIST(M19,0,1,TRUE)</f>
        <v>8.4334309443907546E-2</v>
      </c>
    </row>
    <row r="21" spans="2:13">
      <c r="L21" t="s">
        <v>152</v>
      </c>
      <c r="M21" s="4">
        <f>_xlfn.NORM.DIST((7-5)/SQRT(M17),0,1,TRUE)-_xlfn.NORM.DIST((3-5)/SQRT(M17),0,1,TRUE)</f>
        <v>0.64120464211305839</v>
      </c>
    </row>
    <row r="22" spans="2:13">
      <c r="M22" s="4">
        <f>_xlfn.BINOM.DIST(7,100,0.05,TRUE)-_xlfn.BINOM.DIST(3,100,0.05,TRUE)</f>
        <v>0.6142008622636046</v>
      </c>
    </row>
    <row r="23" spans="2:13">
      <c r="B23" t="s">
        <v>155</v>
      </c>
      <c r="C23" t="s">
        <v>156</v>
      </c>
      <c r="D23" t="s">
        <v>157</v>
      </c>
      <c r="E23" t="s">
        <v>146</v>
      </c>
      <c r="F23" t="s">
        <v>158</v>
      </c>
      <c r="G23" t="s">
        <v>101</v>
      </c>
      <c r="I23" t="s">
        <v>159</v>
      </c>
      <c r="K23" t="s">
        <v>102</v>
      </c>
      <c r="L23" t="s">
        <v>104</v>
      </c>
      <c r="M23" t="s">
        <v>43</v>
      </c>
    </row>
    <row r="24" spans="2:13">
      <c r="B24" s="4">
        <f>_xlfn.NORM.DIST(450,400,50,TRUE)</f>
        <v>0.84134474606854304</v>
      </c>
      <c r="C24" s="4">
        <f>_xlfn.BINOM.DIST(315,1200, 0.25, TRUE)</f>
        <v>0.84920156486350951</v>
      </c>
      <c r="D24" t="s">
        <v>73</v>
      </c>
      <c r="E24">
        <v>3.25</v>
      </c>
      <c r="F24" t="s">
        <v>159</v>
      </c>
      <c r="G24" t="s">
        <v>160</v>
      </c>
      <c r="H24" s="4">
        <f>_xlfn.NORM.DIST(82,76,10,TRUE)-_xlfn.NORM.DIST(71,76,10,TRUE)</f>
        <v>0.41720934352393957</v>
      </c>
      <c r="I24">
        <f>(71-76)/10</f>
        <v>-0.5</v>
      </c>
      <c r="J24">
        <v>0.3085</v>
      </c>
      <c r="K24" s="4">
        <f>_xlfn.BINOM.DIST(3,4,1/9,FALSE)</f>
        <v>4.8773052888279201E-3</v>
      </c>
      <c r="L24" s="4">
        <f>1-_xlfn.BINOM.DIST(0,5,0.1,TRUE)</f>
        <v>0.40951000000000004</v>
      </c>
      <c r="M24" s="4">
        <f>_xlfn.POISSON.DIST(5,2.5,FALSE)</f>
        <v>6.6800942890542642E-2</v>
      </c>
    </row>
    <row r="25" spans="2:13">
      <c r="B25" s="4">
        <f>_xlfn.NORM.DIST(500,400,50,TRUE)</f>
        <v>0.97724986805182079</v>
      </c>
      <c r="C25" s="4">
        <f>_xlfn.BINOM.DIST(285,1200,0.25,TRUE)</f>
        <v>0.16693786411820402</v>
      </c>
      <c r="D25" t="s">
        <v>138</v>
      </c>
      <c r="E25">
        <v>0.5</v>
      </c>
      <c r="F25">
        <f>(380-250)/20</f>
        <v>6.5</v>
      </c>
      <c r="I25">
        <f>(82-76)/10</f>
        <v>0.6</v>
      </c>
      <c r="J25">
        <v>0.72570000000000001</v>
      </c>
      <c r="M25" s="4">
        <f>1-_xlfn.POISSON.DIST(4,2.5,TRUE)</f>
        <v>0.10882198108584873</v>
      </c>
    </row>
    <row r="26" spans="2:13">
      <c r="B26" s="3">
        <f>B25-B24</f>
        <v>0.13590512198327775</v>
      </c>
      <c r="C26" s="4">
        <f>C24-C25</f>
        <v>0.68226370074530551</v>
      </c>
      <c r="D26" t="s">
        <v>2</v>
      </c>
      <c r="E26">
        <v>3.25</v>
      </c>
      <c r="G26" t="s">
        <v>162</v>
      </c>
      <c r="H26" s="4">
        <f>1-_xlfn.NORM.DIST(75,76,10,TRUE)</f>
        <v>0.53982783727702899</v>
      </c>
      <c r="I26">
        <f>(75-76)/10</f>
        <v>-0.1</v>
      </c>
      <c r="J26">
        <v>0.4602</v>
      </c>
    </row>
    <row r="27" spans="2:13">
      <c r="D27" t="s">
        <v>72</v>
      </c>
      <c r="E27">
        <f>E25/SQRT(25)</f>
        <v>0.1</v>
      </c>
      <c r="G27" t="s">
        <v>161</v>
      </c>
      <c r="H27" s="4">
        <f>_xlfn.NORM.DIST(78,76,10,TRUE)</f>
        <v>0.57925970943910299</v>
      </c>
      <c r="I27">
        <f>(78-76)/10</f>
        <v>0.2</v>
      </c>
      <c r="J27">
        <v>0.57930000000000004</v>
      </c>
    </row>
    <row r="28" spans="2:13">
      <c r="D28" s="4">
        <f>_xlfn.NORM.DIST(3,3.25,0.1,TRUE)</f>
        <v>6.2096653257761331E-3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12E1-B235-5E41-9501-7B0B02A011F3}">
  <dimension ref="A1:N30"/>
  <sheetViews>
    <sheetView topLeftCell="A13" workbookViewId="0">
      <selection activeCell="D31" sqref="D31"/>
    </sheetView>
  </sheetViews>
  <sheetFormatPr baseColWidth="10" defaultRowHeight="18"/>
  <cols>
    <col min="4" max="4" width="10.7109375" customWidth="1"/>
  </cols>
  <sheetData>
    <row r="1" spans="1:14">
      <c r="C1" t="s">
        <v>78</v>
      </c>
      <c r="M1" t="s">
        <v>93</v>
      </c>
    </row>
    <row r="2" spans="1:14">
      <c r="A2" t="s">
        <v>67</v>
      </c>
      <c r="C2" t="s">
        <v>71</v>
      </c>
      <c r="E2" t="s">
        <v>77</v>
      </c>
      <c r="I2" t="s">
        <v>91</v>
      </c>
      <c r="M2" t="s">
        <v>94</v>
      </c>
    </row>
    <row r="3" spans="1:14">
      <c r="A3" t="s">
        <v>69</v>
      </c>
      <c r="C3">
        <v>16</v>
      </c>
      <c r="D3" t="s">
        <v>79</v>
      </c>
      <c r="E3">
        <v>1</v>
      </c>
      <c r="F3">
        <v>163</v>
      </c>
      <c r="G3">
        <f>AVERAGE(F3:F17)</f>
        <v>163.19999999999999</v>
      </c>
      <c r="H3" t="s">
        <v>2</v>
      </c>
      <c r="I3">
        <v>13</v>
      </c>
      <c r="J3">
        <f>AVERAGE(I4:I14)</f>
        <v>12.454545454545455</v>
      </c>
      <c r="K3" t="s">
        <v>2</v>
      </c>
      <c r="M3">
        <v>500</v>
      </c>
      <c r="N3" t="s">
        <v>79</v>
      </c>
    </row>
    <row r="4" spans="1:14">
      <c r="A4" t="s">
        <v>68</v>
      </c>
      <c r="C4">
        <v>175</v>
      </c>
      <c r="D4" t="s">
        <v>2</v>
      </c>
      <c r="E4">
        <v>1</v>
      </c>
      <c r="F4">
        <v>162</v>
      </c>
      <c r="G4">
        <f>_xlfn.STDEV.S(F3:F17)</f>
        <v>4.329302154257328</v>
      </c>
      <c r="H4" t="s">
        <v>72</v>
      </c>
      <c r="I4">
        <v>18</v>
      </c>
      <c r="J4">
        <f>_xlfn.STDEV.S(I4:I14)</f>
        <v>6.5171103468275939</v>
      </c>
      <c r="K4" t="s">
        <v>72</v>
      </c>
      <c r="M4">
        <f>400/500</f>
        <v>0.8</v>
      </c>
      <c r="N4" t="s">
        <v>95</v>
      </c>
    </row>
    <row r="5" spans="1:14">
      <c r="A5">
        <f>(0.2-0.35)/SQRT(0.35*(1-0.35)/120)</f>
        <v>-3.445015510579287</v>
      </c>
      <c r="B5" t="s">
        <v>14</v>
      </c>
      <c r="C5">
        <v>25</v>
      </c>
      <c r="D5" t="s">
        <v>74</v>
      </c>
      <c r="E5">
        <v>1</v>
      </c>
      <c r="F5">
        <v>172</v>
      </c>
      <c r="G5">
        <f>COUNT(F3:F17)</f>
        <v>15</v>
      </c>
      <c r="H5" t="s">
        <v>79</v>
      </c>
      <c r="I5">
        <v>1</v>
      </c>
      <c r="J5">
        <f>COUNT(I3:I14)</f>
        <v>12</v>
      </c>
      <c r="K5" t="s">
        <v>79</v>
      </c>
      <c r="M5">
        <f>_xlfn.NORM.INV(1-0.025,0,1)</f>
        <v>1.9599639845400536</v>
      </c>
      <c r="N5" t="s">
        <v>96</v>
      </c>
    </row>
    <row r="6" spans="1:14">
      <c r="B6" t="s">
        <v>59</v>
      </c>
      <c r="C6">
        <v>175</v>
      </c>
      <c r="D6" t="s">
        <v>73</v>
      </c>
      <c r="E6">
        <v>1</v>
      </c>
      <c r="F6">
        <v>161</v>
      </c>
      <c r="G6">
        <f>_xlfn.T.INV(1-0.025,$G$5-1)</f>
        <v>2.1447866879178035</v>
      </c>
      <c r="H6" t="s">
        <v>82</v>
      </c>
      <c r="I6">
        <v>10</v>
      </c>
      <c r="J6">
        <f>_xlfn.T.INV(1-0.025,J5-1)</f>
        <v>2.2009851600916384</v>
      </c>
      <c r="K6" t="s">
        <v>92</v>
      </c>
      <c r="M6" t="s">
        <v>75</v>
      </c>
    </row>
    <row r="7" spans="1:14">
      <c r="A7">
        <f>_xlfn.NORM.INV(1-0.05,0,1)</f>
        <v>1.6448536269514715</v>
      </c>
      <c r="B7" t="s">
        <v>16</v>
      </c>
      <c r="C7">
        <f>_xlfn.T.INV(1-0.025,$C$3-1)</f>
        <v>2.1314495455597742</v>
      </c>
      <c r="D7" t="s">
        <v>80</v>
      </c>
      <c r="E7">
        <v>1</v>
      </c>
      <c r="F7">
        <v>162</v>
      </c>
      <c r="G7" t="s">
        <v>75</v>
      </c>
      <c r="I7">
        <v>15</v>
      </c>
      <c r="J7" t="s">
        <v>75</v>
      </c>
      <c r="M7">
        <f>$M4-$M5*SQRT($M4*(1-$M4)/$M3)</f>
        <v>0.76493909837693674</v>
      </c>
      <c r="N7">
        <f>$M4+$M5*SQRT($M4*(1-$M4)/$M3)</f>
        <v>0.83506090162306335</v>
      </c>
    </row>
    <row r="8" spans="1:14">
      <c r="A8" t="s">
        <v>70</v>
      </c>
      <c r="C8" t="s">
        <v>75</v>
      </c>
      <c r="E8">
        <v>1</v>
      </c>
      <c r="F8">
        <v>158</v>
      </c>
      <c r="G8">
        <f>$G$3-$G6*$G$4/SQRT($G$5)</f>
        <v>160.80251237911526</v>
      </c>
      <c r="H8">
        <f>$G$3+$G6*$G$4/SQRT($G$5)</f>
        <v>165.59748762088472</v>
      </c>
      <c r="I8">
        <v>15</v>
      </c>
      <c r="J8">
        <f>$J3-$J6*$J4/SQRT($J5)</f>
        <v>8.3137710911823319</v>
      </c>
      <c r="K8">
        <f>$J3+$J6*$J4/SQRT($J5)</f>
        <v>16.595319817908578</v>
      </c>
    </row>
    <row r="9" spans="1:14">
      <c r="A9" t="s">
        <v>18</v>
      </c>
      <c r="C9">
        <f>$C$4-$C7*SQRT($C$5/$C$3)</f>
        <v>172.33568806805027</v>
      </c>
      <c r="D9">
        <f>$C$4+$C7*SQRT($C$5/$C$3)</f>
        <v>177.66431193194973</v>
      </c>
      <c r="E9">
        <v>1</v>
      </c>
      <c r="F9">
        <v>159</v>
      </c>
      <c r="I9">
        <v>10</v>
      </c>
    </row>
    <row r="10" spans="1:14">
      <c r="C10">
        <f>_xlfn.T.INV(1-0.005,16-1)</f>
        <v>2.9467128834752367</v>
      </c>
      <c r="D10" t="s">
        <v>81</v>
      </c>
      <c r="E10">
        <v>1</v>
      </c>
      <c r="F10">
        <v>168</v>
      </c>
      <c r="G10">
        <f>AVERAGEIF(E$3:E$17, 1, F$3:F$17)</f>
        <v>163.88888888888889</v>
      </c>
      <c r="H10" t="s">
        <v>83</v>
      </c>
      <c r="I10">
        <v>5</v>
      </c>
      <c r="M10" t="s">
        <v>97</v>
      </c>
    </row>
    <row r="11" spans="1:14">
      <c r="C11" t="s">
        <v>76</v>
      </c>
      <c r="E11">
        <v>1</v>
      </c>
      <c r="F11">
        <v>170</v>
      </c>
      <c r="G11">
        <f>_xlfn.STDEV.S(F3:F11)</f>
        <v>4.9356976316536159</v>
      </c>
      <c r="H11" t="s">
        <v>84</v>
      </c>
      <c r="I11">
        <v>23</v>
      </c>
      <c r="M11" t="s">
        <v>98</v>
      </c>
    </row>
    <row r="12" spans="1:14">
      <c r="C12">
        <f>$C$4-$C10*SQRT($C$5/$C$3)</f>
        <v>171.31660889565595</v>
      </c>
      <c r="D12">
        <f>$C$4+$C10*SQRT($C$5/$C$3)</f>
        <v>178.68339110434405</v>
      </c>
      <c r="E12">
        <v>2</v>
      </c>
      <c r="F12">
        <v>157</v>
      </c>
      <c r="G12">
        <f>COUNTIF(E$3:F$17, 1)</f>
        <v>9</v>
      </c>
      <c r="H12" t="s">
        <v>89</v>
      </c>
      <c r="I12">
        <v>20</v>
      </c>
      <c r="M12">
        <v>25</v>
      </c>
      <c r="N12" t="s">
        <v>79</v>
      </c>
    </row>
    <row r="13" spans="1:14">
      <c r="C13">
        <f>$C$4-$C7*SQRT($C$5/100)</f>
        <v>173.93427522722013</v>
      </c>
      <c r="D13">
        <f>$C$4+$C7*SQRT($C$5/100)</f>
        <v>176.06572477277987</v>
      </c>
      <c r="E13">
        <v>2</v>
      </c>
      <c r="F13">
        <v>165</v>
      </c>
      <c r="G13">
        <f>_xlfn.T.INV(1-0.025,$G12-1)</f>
        <v>2.3060041352041662</v>
      </c>
      <c r="H13" t="s">
        <v>85</v>
      </c>
      <c r="I13">
        <v>9</v>
      </c>
      <c r="M13">
        <v>25</v>
      </c>
      <c r="N13" t="s">
        <v>74</v>
      </c>
    </row>
    <row r="14" spans="1:14">
      <c r="E14">
        <v>2</v>
      </c>
      <c r="F14">
        <v>165</v>
      </c>
      <c r="G14" t="s">
        <v>75</v>
      </c>
      <c r="I14">
        <v>11</v>
      </c>
      <c r="M14">
        <f>_xlfn.CHISQ.INV(1-0.025,M12-1)</f>
        <v>39.364077026603908</v>
      </c>
      <c r="N14" t="s">
        <v>99</v>
      </c>
    </row>
    <row r="15" spans="1:14">
      <c r="E15">
        <v>2</v>
      </c>
      <c r="F15">
        <v>160</v>
      </c>
      <c r="G15">
        <f>$G10-$G13*$G11/SQRT($G12)</f>
        <v>160.09497583931866</v>
      </c>
      <c r="H15">
        <f>$G10+$G13*$G11/SQRT($G12)</f>
        <v>167.68280193845911</v>
      </c>
      <c r="M15">
        <f>_xlfn.CHISQ.INV(1-0.975,M13-1)</f>
        <v>12.401150217444437</v>
      </c>
      <c r="N15" t="s">
        <v>100</v>
      </c>
    </row>
    <row r="16" spans="1:14">
      <c r="E16">
        <v>2</v>
      </c>
      <c r="F16">
        <v>161</v>
      </c>
      <c r="M16" t="s">
        <v>75</v>
      </c>
    </row>
    <row r="17" spans="3:14">
      <c r="E17">
        <v>2</v>
      </c>
      <c r="F17">
        <v>165</v>
      </c>
      <c r="G17">
        <f>AVERAGEIF(E$3:E$17, 2, F$3:F$17)</f>
        <v>162.16666666666666</v>
      </c>
      <c r="H17" t="s">
        <v>86</v>
      </c>
      <c r="M17">
        <f>($M12-1)*$M13/$M14</f>
        <v>15.242323593526519</v>
      </c>
      <c r="N17">
        <f>($M12-1)*$M13/$M15</f>
        <v>48.382608828977219</v>
      </c>
    </row>
    <row r="18" spans="3:14">
      <c r="G18">
        <f>_xlfn.STDEV.S(F12:F17)</f>
        <v>3.3714487489307419</v>
      </c>
      <c r="H18" t="s">
        <v>87</v>
      </c>
    </row>
    <row r="19" spans="3:14">
      <c r="G19">
        <f>COUNTIF(E$3:F$17, 2)</f>
        <v>6</v>
      </c>
      <c r="H19" t="s">
        <v>88</v>
      </c>
    </row>
    <row r="20" spans="3:14">
      <c r="G20">
        <f>_xlfn.T.INV(1-0.025,$G19-1)</f>
        <v>2.570581835636315</v>
      </c>
      <c r="H20" t="s">
        <v>90</v>
      </c>
    </row>
    <row r="21" spans="3:14">
      <c r="G21" t="s">
        <v>75</v>
      </c>
    </row>
    <row r="22" spans="3:14">
      <c r="G22">
        <f>$G17-$G20*$G18/SQRT($G19)</f>
        <v>158.62854819145602</v>
      </c>
      <c r="H22">
        <f>$G17+$G20*$G18/SQRT($G19)</f>
        <v>165.7047851418773</v>
      </c>
    </row>
    <row r="24" spans="3:14">
      <c r="C24" t="s">
        <v>101</v>
      </c>
      <c r="E24" t="s">
        <v>102</v>
      </c>
      <c r="G24" t="s">
        <v>104</v>
      </c>
    </row>
    <row r="25" spans="3:14">
      <c r="C25">
        <v>400</v>
      </c>
      <c r="D25" t="s">
        <v>79</v>
      </c>
      <c r="E25">
        <v>60</v>
      </c>
      <c r="F25" t="s">
        <v>79</v>
      </c>
      <c r="G25">
        <v>25</v>
      </c>
      <c r="H25" t="s">
        <v>79</v>
      </c>
    </row>
    <row r="26" spans="3:14">
      <c r="C26">
        <f>240/C25</f>
        <v>0.6</v>
      </c>
      <c r="D26" t="s">
        <v>95</v>
      </c>
      <c r="E26">
        <v>23.67</v>
      </c>
      <c r="F26" t="s">
        <v>2</v>
      </c>
      <c r="G26">
        <v>0.32</v>
      </c>
      <c r="H26" t="s">
        <v>74</v>
      </c>
    </row>
    <row r="27" spans="3:14">
      <c r="C27">
        <f>_xlfn.NORM.INV(1-0.025,0,1)</f>
        <v>1.9599639845400536</v>
      </c>
      <c r="D27" t="s">
        <v>96</v>
      </c>
      <c r="E27">
        <v>15</v>
      </c>
      <c r="F27" t="s">
        <v>72</v>
      </c>
      <c r="G27">
        <f>_xlfn.CHISQ.INV(1-0.025,G25-1)</f>
        <v>39.364077026603908</v>
      </c>
      <c r="H27" t="s">
        <v>99</v>
      </c>
      <c r="I27">
        <f>_xlfn.CHISQ.INV(1-0.005,G25-1)</f>
        <v>45.558511936530564</v>
      </c>
      <c r="J27" t="s">
        <v>105</v>
      </c>
    </row>
    <row r="28" spans="3:14">
      <c r="E28">
        <f>_xlfn.T.INV(1-0.005,E25-1)</f>
        <v>2.6617587521629682</v>
      </c>
      <c r="F28" t="s">
        <v>103</v>
      </c>
      <c r="G28">
        <f>_xlfn.CHISQ.INV(1-0.975,G25-1)</f>
        <v>12.401150217444437</v>
      </c>
      <c r="H28" t="s">
        <v>100</v>
      </c>
      <c r="I28">
        <f>_xlfn.CHISQ.INV(1-0.995,G25-1)</f>
        <v>9.8862335022414687</v>
      </c>
      <c r="J28" t="s">
        <v>106</v>
      </c>
    </row>
    <row r="29" spans="3:14">
      <c r="C29" t="s">
        <v>75</v>
      </c>
      <c r="E29" t="s">
        <v>76</v>
      </c>
      <c r="G29" t="s">
        <v>75</v>
      </c>
      <c r="I29" t="s">
        <v>76</v>
      </c>
    </row>
    <row r="30" spans="3:14">
      <c r="C30" s="2">
        <f>$C26-$C27*SQRT($C26*(1-$C26)/$C25)</f>
        <v>0.55199088323644685</v>
      </c>
      <c r="D30" s="2">
        <f>$C26+$C27*SQRT($C26*(1-$C26)/$C25)</f>
        <v>0.64800911676355311</v>
      </c>
      <c r="E30" s="3">
        <f>$E26-$E28*$E27/SQRT($E25)</f>
        <v>18.515526340625495</v>
      </c>
      <c r="F30" s="3">
        <f>$E26+$E28*$E27/SQRT($E25)</f>
        <v>28.824473659374508</v>
      </c>
      <c r="G30" s="2">
        <f>($G$25-1)*$G$26/G27</f>
        <v>0.19510174199713945</v>
      </c>
      <c r="H30" s="2">
        <f>($G$25-1)*$G$26/G28</f>
        <v>0.61929739301090836</v>
      </c>
      <c r="I30" s="2">
        <f>($G$25-1)*$G$26/I27</f>
        <v>0.16857442601943021</v>
      </c>
      <c r="J30" s="2">
        <f>($G$25-1)*$G$26/I28</f>
        <v>0.77683781171653921</v>
      </c>
    </row>
  </sheetData>
  <sortState xmlns:xlrd2="http://schemas.microsoft.com/office/spreadsheetml/2017/richdata2" ref="E3:F17">
    <sortCondition ref="E3:E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5AF-65DC-684C-BC84-5EF96E8E4809}">
  <dimension ref="A1:P36"/>
  <sheetViews>
    <sheetView workbookViewId="0">
      <selection activeCell="G6" sqref="G6"/>
    </sheetView>
  </sheetViews>
  <sheetFormatPr baseColWidth="10" defaultRowHeight="18"/>
  <sheetData>
    <row r="1" spans="1:14">
      <c r="B1" t="s">
        <v>25</v>
      </c>
      <c r="G1" t="s">
        <v>24</v>
      </c>
      <c r="J1" t="s">
        <v>26</v>
      </c>
    </row>
    <row r="2" spans="1:14">
      <c r="B2" t="s">
        <v>8</v>
      </c>
      <c r="E2" t="s">
        <v>7</v>
      </c>
      <c r="G2" t="s">
        <v>11</v>
      </c>
      <c r="J2" t="s">
        <v>27</v>
      </c>
      <c r="M2" t="s">
        <v>33</v>
      </c>
    </row>
    <row r="3" spans="1:14">
      <c r="A3">
        <v>5</v>
      </c>
      <c r="B3" t="s">
        <v>39</v>
      </c>
      <c r="D3">
        <v>163</v>
      </c>
      <c r="E3" t="s">
        <v>9</v>
      </c>
      <c r="G3" t="s">
        <v>12</v>
      </c>
      <c r="J3" t="s">
        <v>28</v>
      </c>
      <c r="L3">
        <v>5</v>
      </c>
      <c r="M3" t="s">
        <v>35</v>
      </c>
    </row>
    <row r="4" spans="1:14">
      <c r="A4">
        <v>23</v>
      </c>
      <c r="B4" t="s">
        <v>40</v>
      </c>
      <c r="D4">
        <v>162</v>
      </c>
      <c r="E4" t="s">
        <v>10</v>
      </c>
      <c r="G4" t="s">
        <v>13</v>
      </c>
      <c r="J4" t="s">
        <v>29</v>
      </c>
      <c r="L4">
        <v>23</v>
      </c>
      <c r="M4" t="s">
        <v>36</v>
      </c>
    </row>
    <row r="5" spans="1:14">
      <c r="A5">
        <v>20</v>
      </c>
      <c r="B5">
        <f>AVERAGE(A3:A18)</f>
        <v>14.125</v>
      </c>
      <c r="C5" t="s">
        <v>2</v>
      </c>
      <c r="D5">
        <v>157</v>
      </c>
      <c r="E5">
        <f>AVERAGE(D3:D17)</f>
        <v>163.19999999999999</v>
      </c>
      <c r="F5" t="s">
        <v>2</v>
      </c>
      <c r="G5">
        <f>(0.7 - 0.6)/SQRT(0.6*(1-0.6)/50)</f>
        <v>1.4433756729740641</v>
      </c>
      <c r="H5" t="s">
        <v>14</v>
      </c>
      <c r="J5">
        <f>(10-1)*0.16/1</f>
        <v>1.44</v>
      </c>
      <c r="K5" t="s">
        <v>30</v>
      </c>
      <c r="L5">
        <v>20</v>
      </c>
      <c r="M5">
        <f>AVERAGE(L3:L14)</f>
        <v>12.5</v>
      </c>
      <c r="N5" t="s">
        <v>2</v>
      </c>
    </row>
    <row r="6" spans="1:14">
      <c r="A6">
        <v>1</v>
      </c>
      <c r="B6">
        <f>STDEV(A3:A18)</f>
        <v>6.0759087111860612</v>
      </c>
      <c r="C6" t="s">
        <v>3</v>
      </c>
      <c r="D6">
        <v>172</v>
      </c>
      <c r="E6">
        <f>STDEV(D3:D17)</f>
        <v>4.329302154257328</v>
      </c>
      <c r="F6" t="s">
        <v>3</v>
      </c>
      <c r="H6" t="s">
        <v>15</v>
      </c>
      <c r="J6">
        <f>_xlfn.CHISQ.INV(1-0.95, 9)</f>
        <v>3.3251128430668162</v>
      </c>
      <c r="K6" t="s">
        <v>31</v>
      </c>
      <c r="L6">
        <v>1</v>
      </c>
      <c r="M6">
        <f>_xlfn.VAR.S(L3:L14)</f>
        <v>38.636363636363633</v>
      </c>
      <c r="N6" t="s">
        <v>34</v>
      </c>
    </row>
    <row r="7" spans="1:14">
      <c r="A7">
        <v>10</v>
      </c>
      <c r="B7">
        <f>COUNT(A3:A18)</f>
        <v>16</v>
      </c>
      <c r="C7" t="s">
        <v>4</v>
      </c>
      <c r="D7">
        <v>161</v>
      </c>
      <c r="E7">
        <f>COUNT(D3:D17)</f>
        <v>15</v>
      </c>
      <c r="F7" t="s">
        <v>4</v>
      </c>
      <c r="G7">
        <f>_xlfn.NORM.INV(1-0.05, 0, 1)</f>
        <v>1.6448536269514715</v>
      </c>
      <c r="H7" t="s">
        <v>16</v>
      </c>
      <c r="L7">
        <v>10</v>
      </c>
      <c r="M7">
        <f>COUNT(L3:L14)</f>
        <v>12</v>
      </c>
      <c r="N7" t="s">
        <v>4</v>
      </c>
    </row>
    <row r="8" spans="1:14">
      <c r="A8">
        <v>15</v>
      </c>
      <c r="B8">
        <f>(B5-11)/(B6/SQRT(B7))</f>
        <v>2.0573054326815106</v>
      </c>
      <c r="C8" t="s">
        <v>1</v>
      </c>
      <c r="D8">
        <v>165</v>
      </c>
      <c r="E8">
        <f>(E5-160)/(E6/SQRT(E7))</f>
        <v>2.8627123416821774</v>
      </c>
      <c r="F8" t="s">
        <v>0</v>
      </c>
      <c r="G8" t="s">
        <v>19</v>
      </c>
      <c r="J8" t="s">
        <v>32</v>
      </c>
      <c r="L8">
        <v>15</v>
      </c>
      <c r="M8">
        <f>(M7-1)*M6/16</f>
        <v>26.562499999999996</v>
      </c>
      <c r="N8" t="s">
        <v>30</v>
      </c>
    </row>
    <row r="9" spans="1:14">
      <c r="A9">
        <v>15</v>
      </c>
      <c r="B9">
        <f>_xlfn.T.INV(1-0.05,B7-1)</f>
        <v>1.7530503556925723</v>
      </c>
      <c r="C9" t="s">
        <v>5</v>
      </c>
      <c r="D9">
        <v>162</v>
      </c>
      <c r="E9">
        <f>_xlfn.T.INV(1-0.05,E7-1)</f>
        <v>1.7613101357748921</v>
      </c>
      <c r="F9" t="s">
        <v>6</v>
      </c>
      <c r="G9" t="s">
        <v>20</v>
      </c>
      <c r="J9" t="s">
        <v>18</v>
      </c>
      <c r="L9">
        <v>15</v>
      </c>
      <c r="M9">
        <f>_xlfn.CHISQ.INV(1-0.05,M7-1)</f>
        <v>19.675137572682495</v>
      </c>
      <c r="N9" t="s">
        <v>37</v>
      </c>
    </row>
    <row r="10" spans="1:14">
      <c r="A10">
        <v>10</v>
      </c>
      <c r="B10" t="s">
        <v>41</v>
      </c>
      <c r="D10">
        <v>165</v>
      </c>
      <c r="E10" t="s">
        <v>17</v>
      </c>
      <c r="G10">
        <f>1-_xlfn.NORM.DIST(1.44, 0, 1,TRUE)</f>
        <v>7.4933699534327047E-2</v>
      </c>
      <c r="H10" t="s">
        <v>21</v>
      </c>
      <c r="L10">
        <v>10</v>
      </c>
      <c r="M10" t="s">
        <v>38</v>
      </c>
    </row>
    <row r="11" spans="1:14">
      <c r="A11">
        <v>9</v>
      </c>
      <c r="B11" t="s">
        <v>18</v>
      </c>
      <c r="D11">
        <v>158</v>
      </c>
      <c r="E11" t="s">
        <v>18</v>
      </c>
      <c r="H11" s="1" t="s">
        <v>22</v>
      </c>
      <c r="L11">
        <v>9</v>
      </c>
      <c r="M11" t="s">
        <v>18</v>
      </c>
    </row>
    <row r="12" spans="1:14">
      <c r="A12">
        <v>13</v>
      </c>
      <c r="D12">
        <v>159</v>
      </c>
      <c r="G12" t="s">
        <v>23</v>
      </c>
      <c r="L12">
        <v>13</v>
      </c>
    </row>
    <row r="13" spans="1:14">
      <c r="A13">
        <v>18</v>
      </c>
      <c r="D13">
        <v>160</v>
      </c>
      <c r="G13" t="s">
        <v>20</v>
      </c>
      <c r="L13">
        <v>18</v>
      </c>
    </row>
    <row r="14" spans="1:14">
      <c r="A14">
        <v>11</v>
      </c>
      <c r="D14">
        <v>161</v>
      </c>
      <c r="L14">
        <v>11</v>
      </c>
    </row>
    <row r="15" spans="1:14">
      <c r="A15">
        <v>18</v>
      </c>
      <c r="D15">
        <v>165</v>
      </c>
    </row>
    <row r="16" spans="1:14">
      <c r="A16">
        <v>20</v>
      </c>
      <c r="D16">
        <v>168</v>
      </c>
    </row>
    <row r="17" spans="1:16">
      <c r="A17">
        <v>19</v>
      </c>
      <c r="D17">
        <v>170</v>
      </c>
    </row>
    <row r="18" spans="1:16">
      <c r="A18">
        <v>19</v>
      </c>
    </row>
    <row r="19" spans="1:16">
      <c r="B19" t="s">
        <v>42</v>
      </c>
    </row>
    <row r="21" spans="1:16">
      <c r="B21" t="s">
        <v>43</v>
      </c>
      <c r="D21" t="s">
        <v>46</v>
      </c>
      <c r="H21" t="s">
        <v>51</v>
      </c>
      <c r="L21" t="s">
        <v>56</v>
      </c>
      <c r="N21" t="s">
        <v>61</v>
      </c>
    </row>
    <row r="22" spans="1:16">
      <c r="A22">
        <v>154</v>
      </c>
      <c r="B22" t="s">
        <v>9</v>
      </c>
      <c r="D22">
        <v>3</v>
      </c>
      <c r="E22">
        <v>4</v>
      </c>
      <c r="F22" t="s">
        <v>47</v>
      </c>
      <c r="H22">
        <v>5.2</v>
      </c>
      <c r="I22">
        <v>4.2</v>
      </c>
      <c r="J22">
        <v>5.2</v>
      </c>
      <c r="L22" t="s">
        <v>57</v>
      </c>
      <c r="N22">
        <v>226</v>
      </c>
      <c r="O22" t="s">
        <v>62</v>
      </c>
    </row>
    <row r="23" spans="1:16">
      <c r="A23">
        <v>154</v>
      </c>
      <c r="B23" t="s">
        <v>10</v>
      </c>
      <c r="D23">
        <v>3</v>
      </c>
      <c r="E23">
        <v>1</v>
      </c>
      <c r="F23" t="s">
        <v>48</v>
      </c>
      <c r="H23">
        <v>5</v>
      </c>
      <c r="I23">
        <v>5.4</v>
      </c>
      <c r="J23">
        <v>4.7</v>
      </c>
      <c r="L23" t="s">
        <v>58</v>
      </c>
      <c r="N23">
        <v>228</v>
      </c>
      <c r="O23" t="s">
        <v>63</v>
      </c>
    </row>
    <row r="24" spans="1:16">
      <c r="A24">
        <v>186</v>
      </c>
      <c r="B24">
        <f>AVERAGE(A22:A31)</f>
        <v>178.9</v>
      </c>
      <c r="C24" t="s">
        <v>2</v>
      </c>
      <c r="D24">
        <v>1</v>
      </c>
      <c r="E24">
        <v>1</v>
      </c>
      <c r="F24">
        <f>AVERAGE(D22:E36)</f>
        <v>2.3916666666666666</v>
      </c>
      <c r="G24" t="s">
        <v>2</v>
      </c>
      <c r="H24">
        <v>4.8</v>
      </c>
      <c r="I24">
        <v>4.8</v>
      </c>
      <c r="J24">
        <v>4.8</v>
      </c>
      <c r="L24">
        <f>(0.45 - 0.4)/SQRT(0.4*(1-0.4)/1000)</f>
        <v>3.2274861218395134</v>
      </c>
      <c r="M24" t="s">
        <v>14</v>
      </c>
      <c r="N24">
        <v>226</v>
      </c>
      <c r="O24">
        <f>AVERAGE(N22:N31)</f>
        <v>227.6</v>
      </c>
      <c r="P24" t="s">
        <v>2</v>
      </c>
    </row>
    <row r="25" spans="1:16">
      <c r="A25">
        <v>243</v>
      </c>
      <c r="B25">
        <f>STDEV(A22:A31)</f>
        <v>26.383707093583393</v>
      </c>
      <c r="C25" t="s">
        <v>3</v>
      </c>
      <c r="D25">
        <v>1</v>
      </c>
      <c r="E25">
        <v>4</v>
      </c>
      <c r="F25">
        <f>STDEV(D22:E35)</f>
        <v>1.4434615856358453</v>
      </c>
      <c r="G25" t="s">
        <v>3</v>
      </c>
      <c r="H25">
        <v>5.3</v>
      </c>
      <c r="I25">
        <v>5.2</v>
      </c>
      <c r="J25">
        <v>5</v>
      </c>
      <c r="M25" t="s">
        <v>59</v>
      </c>
      <c r="N25">
        <v>225</v>
      </c>
      <c r="O25">
        <f>_xlfn.VAR.S(N22:N31)</f>
        <v>5.155555555555555</v>
      </c>
      <c r="P25" t="s">
        <v>64</v>
      </c>
    </row>
    <row r="26" spans="1:16">
      <c r="A26">
        <v>159</v>
      </c>
      <c r="B26">
        <f>COUNT(A22:A31)</f>
        <v>10</v>
      </c>
      <c r="C26" t="s">
        <v>4</v>
      </c>
      <c r="D26">
        <v>0.5</v>
      </c>
      <c r="E26">
        <v>2</v>
      </c>
      <c r="F26">
        <f>COUNT(D22:E36)</f>
        <v>30</v>
      </c>
      <c r="G26" t="s">
        <v>4</v>
      </c>
      <c r="H26">
        <v>5.0999999999999996</v>
      </c>
      <c r="I26">
        <v>5.0999999999999996</v>
      </c>
      <c r="J26">
        <v>4.9000000000000004</v>
      </c>
      <c r="L26">
        <f>_xlfn.NORM.INV(1-0.05,0,1)</f>
        <v>1.6448536269514715</v>
      </c>
      <c r="M26" t="s">
        <v>16</v>
      </c>
      <c r="N26">
        <v>232</v>
      </c>
      <c r="O26">
        <f>COUNT(N22:N31)</f>
        <v>10</v>
      </c>
      <c r="P26" t="s">
        <v>4</v>
      </c>
    </row>
    <row r="27" spans="1:16">
      <c r="A27">
        <v>174</v>
      </c>
      <c r="B27">
        <f>(B24-160)/(B25/SQRT(B26))</f>
        <v>2.2653013681962055</v>
      </c>
      <c r="C27" t="s">
        <v>1</v>
      </c>
      <c r="D27">
        <v>2</v>
      </c>
      <c r="E27">
        <v>5</v>
      </c>
      <c r="F27">
        <f>(F24-3)/(F25/SQRT(F26))</f>
        <v>-2.3083252956967493</v>
      </c>
      <c r="G27" t="s">
        <v>1</v>
      </c>
      <c r="H27">
        <v>4.7</v>
      </c>
      <c r="I27">
        <v>5.3</v>
      </c>
      <c r="J27" t="s">
        <v>52</v>
      </c>
      <c r="L27" t="s">
        <v>60</v>
      </c>
      <c r="N27">
        <v>228</v>
      </c>
      <c r="O27">
        <f>(O26-1)*O25/(1.5^2)</f>
        <v>20.62222222222222</v>
      </c>
      <c r="P27" t="s">
        <v>30</v>
      </c>
    </row>
    <row r="28" spans="1:16">
      <c r="A28">
        <v>183</v>
      </c>
      <c r="B28">
        <f>_xlfn.T.INV(1-0.05,B26-1)</f>
        <v>1.8331129326562368</v>
      </c>
      <c r="C28" t="s">
        <v>44</v>
      </c>
      <c r="D28">
        <v>2</v>
      </c>
      <c r="E28">
        <v>3</v>
      </c>
      <c r="F28">
        <f>_xlfn.T.INV(1-0.95,F26-1)</f>
        <v>-1.6991270265334968</v>
      </c>
      <c r="G28" t="s">
        <v>49</v>
      </c>
      <c r="H28">
        <v>4.9000000000000004</v>
      </c>
      <c r="I28">
        <v>4.7</v>
      </c>
      <c r="J28" t="s">
        <v>53</v>
      </c>
      <c r="L28" t="s">
        <v>18</v>
      </c>
      <c r="N28">
        <v>227</v>
      </c>
      <c r="O28">
        <f>_xlfn.CHISQ.INV(1-0.05,O26-1)</f>
        <v>16.918977604620448</v>
      </c>
      <c r="P28" t="s">
        <v>65</v>
      </c>
    </row>
    <row r="29" spans="1:16">
      <c r="A29">
        <v>163</v>
      </c>
      <c r="B29" t="s">
        <v>45</v>
      </c>
      <c r="D29">
        <v>4</v>
      </c>
      <c r="E29">
        <v>1</v>
      </c>
      <c r="F29" t="s">
        <v>50</v>
      </c>
      <c r="H29">
        <v>4.5999999999999996</v>
      </c>
      <c r="I29">
        <v>5.6</v>
      </c>
      <c r="J29">
        <f>AVERAGE(H22:I31,J22:J26)</f>
        <v>4.9800000000000004</v>
      </c>
      <c r="K29" t="s">
        <v>2</v>
      </c>
      <c r="N29">
        <v>229</v>
      </c>
      <c r="O29" t="s">
        <v>66</v>
      </c>
    </row>
    <row r="30" spans="1:16">
      <c r="A30">
        <v>192</v>
      </c>
      <c r="B30" t="s">
        <v>18</v>
      </c>
      <c r="D30">
        <v>5</v>
      </c>
      <c r="E30">
        <v>1</v>
      </c>
      <c r="F30" t="s">
        <v>18</v>
      </c>
      <c r="H30">
        <v>4.5</v>
      </c>
      <c r="I30">
        <v>5.5</v>
      </c>
      <c r="J30">
        <f>STDEV(H22:I31,J22:J26)</f>
        <v>0.33040379335998349</v>
      </c>
      <c r="K30" t="s">
        <v>3</v>
      </c>
      <c r="N30">
        <v>225</v>
      </c>
      <c r="O30" t="s">
        <v>18</v>
      </c>
    </row>
    <row r="31" spans="1:16">
      <c r="A31">
        <v>181</v>
      </c>
      <c r="D31">
        <v>4</v>
      </c>
      <c r="E31">
        <v>1</v>
      </c>
      <c r="H31">
        <v>5.2</v>
      </c>
      <c r="I31">
        <v>4.8</v>
      </c>
      <c r="J31">
        <f>COUNT(H22:I31,J22:J26)</f>
        <v>25</v>
      </c>
      <c r="K31" t="s">
        <v>4</v>
      </c>
      <c r="N31">
        <v>230</v>
      </c>
    </row>
    <row r="32" spans="1:16">
      <c r="D32">
        <v>5</v>
      </c>
      <c r="E32">
        <v>0.75</v>
      </c>
      <c r="J32">
        <f>(J29-5)/(J30/SQRT(J31))</f>
        <v>-0.30265996338318452</v>
      </c>
      <c r="K32" t="s">
        <v>1</v>
      </c>
    </row>
    <row r="33" spans="4:11">
      <c r="D33">
        <v>3</v>
      </c>
      <c r="E33">
        <v>1.5</v>
      </c>
      <c r="J33">
        <f>_xlfn.T.INV(1-0.025,J31-1)</f>
        <v>2.0638985616280254</v>
      </c>
      <c r="K33" t="s">
        <v>54</v>
      </c>
    </row>
    <row r="34" spans="4:11">
      <c r="D34">
        <v>1</v>
      </c>
      <c r="E34">
        <v>3</v>
      </c>
      <c r="J34" t="s">
        <v>55</v>
      </c>
    </row>
    <row r="35" spans="4:11">
      <c r="D35">
        <v>3</v>
      </c>
      <c r="E35">
        <v>3</v>
      </c>
      <c r="J35" t="s">
        <v>20</v>
      </c>
    </row>
    <row r="36" spans="4:11">
      <c r="D36">
        <v>1</v>
      </c>
      <c r="E3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Chapter 4</vt:lpstr>
      <vt:lpstr>Chapter 5</vt:lpstr>
      <vt:lpstr>Chapter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Yong-iL Joh</dc:creator>
  <cp:lastModifiedBy>Yong-iL Joh</cp:lastModifiedBy>
  <dcterms:created xsi:type="dcterms:W3CDTF">2019-03-17T14:21:01Z</dcterms:created>
  <dcterms:modified xsi:type="dcterms:W3CDTF">2019-03-20T14:36:48Z</dcterms:modified>
</cp:coreProperties>
</file>