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449836e33c9a2/BAFE/BAFE Y3 S1/"/>
    </mc:Choice>
  </mc:AlternateContent>
  <xr:revisionPtr revIDLastSave="9" documentId="8_{4956F22B-8DD3-4BC3-8A8F-9C2A67AB2BAE}" xr6:coauthVersionLast="47" xr6:coauthVersionMax="47" xr10:uidLastSave="{A8F45980-2A48-43EB-8593-8ADBD7254014}"/>
  <bookViews>
    <workbookView xWindow="-110" yWindow="-110" windowWidth="24220" windowHeight="15500" xr2:uid="{8408B2A8-78C5-4A37-97F2-FE973661EBF3}"/>
  </bookViews>
  <sheets>
    <sheet name="DCF Valuation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2" l="1"/>
  <c r="E42" i="12"/>
  <c r="E29" i="12"/>
  <c r="E38" i="12"/>
  <c r="F22" i="12"/>
  <c r="G22" i="12"/>
  <c r="H22" i="12"/>
  <c r="I22" i="12"/>
  <c r="J22" i="12"/>
  <c r="F17" i="12"/>
  <c r="F18" i="12" s="1"/>
  <c r="F21" i="12" s="1"/>
  <c r="G17" i="12"/>
  <c r="G18" i="12" s="1"/>
  <c r="G21" i="12" s="1"/>
  <c r="H17" i="12"/>
  <c r="H18" i="12" s="1"/>
  <c r="H21" i="12" s="1"/>
  <c r="I17" i="12"/>
  <c r="I18" i="12" s="1"/>
  <c r="I21" i="12" s="1"/>
  <c r="J17" i="12"/>
  <c r="J18" i="12" s="1"/>
  <c r="J21" i="12" s="1"/>
  <c r="G13" i="12"/>
  <c r="H13" i="12" s="1"/>
  <c r="I13" i="12" s="1"/>
  <c r="J13" i="12" s="1"/>
  <c r="G23" i="12" l="1"/>
  <c r="H23" i="12"/>
  <c r="I23" i="12"/>
  <c r="F23" i="12"/>
  <c r="J23" i="12"/>
  <c r="E27" i="12"/>
  <c r="E28" i="12"/>
  <c r="E30" i="12" s="1"/>
  <c r="E31" i="12" s="1"/>
  <c r="E32" i="12" l="1"/>
  <c r="E33" i="12" s="1"/>
  <c r="E39" i="12" s="1"/>
  <c r="E43" i="12" s="1"/>
  <c r="E45" i="12" s="1"/>
  <c r="E46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Scriven</author>
  </authors>
  <commentList>
    <comment ref="E36" authorId="0" shapeId="0" xr:uid="{3C99D49A-A5F4-4263-A42A-B4D135C081C1}">
      <text>
        <r>
          <rPr>
            <b/>
            <sz val="9"/>
            <color indexed="81"/>
            <rFont val="Tahoma"/>
            <family val="2"/>
          </rPr>
          <t>Tom Scriven:</t>
        </r>
        <r>
          <rPr>
            <sz val="9"/>
            <color indexed="81"/>
            <rFont val="Tahoma"/>
            <family val="2"/>
          </rPr>
          <t xml:space="preserve">
https://www.alphaspread.com/security/asx/rwc/dcf-valuation/base-case</t>
        </r>
      </text>
    </comment>
    <comment ref="E37" authorId="0" shapeId="0" xr:uid="{ACF473D5-43AD-4716-8485-15D386A45085}">
      <text>
        <r>
          <rPr>
            <b/>
            <sz val="9"/>
            <color indexed="81"/>
            <rFont val="Tahoma"/>
            <family val="2"/>
          </rPr>
          <t>Tom Scriven:</t>
        </r>
        <r>
          <rPr>
            <sz val="9"/>
            <color indexed="81"/>
            <rFont val="Tahoma"/>
            <family val="2"/>
          </rPr>
          <t xml:space="preserve">
https://www.alphaspread.com/security/asx/rwc/dcf-valuation/base-case</t>
        </r>
      </text>
    </comment>
  </commentList>
</comments>
</file>

<file path=xl/sharedStrings.xml><?xml version="1.0" encoding="utf-8"?>
<sst xmlns="http://schemas.openxmlformats.org/spreadsheetml/2006/main" count="44" uniqueCount="44">
  <si>
    <t xml:space="preserve">Key Assumptions </t>
  </si>
  <si>
    <t>Shares Outstanding ($m)</t>
  </si>
  <si>
    <t>Terminal Growth Rate</t>
  </si>
  <si>
    <t>WACC</t>
  </si>
  <si>
    <t>Free Cash Flow to Firm (FCFF)</t>
  </si>
  <si>
    <t>Fiscal Period</t>
  </si>
  <si>
    <t>Fiscal Year End Date</t>
  </si>
  <si>
    <t>Tax Rate</t>
  </si>
  <si>
    <t>NOPAT</t>
  </si>
  <si>
    <t>FCFF</t>
  </si>
  <si>
    <t>Discount Period</t>
  </si>
  <si>
    <t>Discounted FCFF</t>
  </si>
  <si>
    <t>Revenue</t>
  </si>
  <si>
    <t>Borrowings</t>
  </si>
  <si>
    <t>Cash and Cash Equivalents</t>
  </si>
  <si>
    <t>Units</t>
  </si>
  <si>
    <t>Terminal Growth DCF Method</t>
  </si>
  <si>
    <t>Calculating EV</t>
  </si>
  <si>
    <t>Unlevered FCFF in last period</t>
  </si>
  <si>
    <t>Long term growth rate (g)</t>
  </si>
  <si>
    <t>Terminal Value</t>
  </si>
  <si>
    <t>Present Value of Terminal Value</t>
  </si>
  <si>
    <t>Present Value of Stage 1 FCFF</t>
  </si>
  <si>
    <t>Enterprise Value</t>
  </si>
  <si>
    <t>Equity Value</t>
  </si>
  <si>
    <r>
      <t>FCFF</t>
    </r>
    <r>
      <rPr>
        <vertAlign val="superscript"/>
        <sz val="8"/>
        <color theme="1"/>
        <rFont val="Arial"/>
        <family val="2"/>
      </rPr>
      <t>t+1</t>
    </r>
  </si>
  <si>
    <t>Calculating Equity Value</t>
  </si>
  <si>
    <t>Exchange Rate (USD/AUD)</t>
  </si>
  <si>
    <t>Price Per Share</t>
  </si>
  <si>
    <t>Shares Ouststanding</t>
  </si>
  <si>
    <t>Value per Share (AUD)</t>
  </si>
  <si>
    <t>Last Traded</t>
  </si>
  <si>
    <t>Market Cap</t>
  </si>
  <si>
    <t>Net Debt</t>
  </si>
  <si>
    <t>Premium (discount) to Market Price</t>
  </si>
  <si>
    <t>Effective tax rate</t>
  </si>
  <si>
    <t>Valuation Date</t>
  </si>
  <si>
    <t>USD ($'000)</t>
  </si>
  <si>
    <t>Operating Income</t>
  </si>
  <si>
    <t>Less: Capex</t>
  </si>
  <si>
    <t>Value per Share (USD)</t>
  </si>
  <si>
    <t>USD/AUD Exchange Rate</t>
  </si>
  <si>
    <t xml:space="preserve">Source </t>
  </si>
  <si>
    <t>https://www.alphaspread.com/security/asx/rwc/dcf-valuation/base-case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</si>
</sst>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&quot;FY&quot;####&quot;E&quot;"/>
    <numFmt numFmtId="165" formatCode="#,##0;\(#,##0\)"/>
    <numFmt numFmtId="166" formatCode="#,##0;\(#,##0\);\-"/>
    <numFmt numFmtId="167" formatCode="#,##0.00;\(#,##0.00\)"/>
    <numFmt numFmtId="168" formatCode="#,##0.0;\(#,##0.0\)"/>
    <numFmt numFmtId="169" formatCode="#,##0.00;\(#,##0.00\);\-"/>
  </numFmts>
  <fonts count="17">
    <font>
      <sz val="11"/>
      <color theme="1"/>
      <name val="ArialMT"/>
      <family val="2"/>
    </font>
    <font>
      <sz val="8"/>
      <color theme="1"/>
      <name val="ArialMT"/>
    </font>
    <font>
      <b/>
      <sz val="8"/>
      <color theme="0"/>
      <name val="ArialMT"/>
    </font>
    <font>
      <sz val="8"/>
      <color theme="0"/>
      <name val="ArialMT"/>
    </font>
    <font>
      <b/>
      <sz val="8"/>
      <color theme="1"/>
      <name val="ArialMT"/>
    </font>
    <font>
      <sz val="8"/>
      <name val="ArialMT"/>
    </font>
    <font>
      <sz val="11"/>
      <color theme="1"/>
      <name val="ArialMT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MT"/>
    </font>
    <font>
      <sz val="8"/>
      <color theme="1"/>
      <name val="ArialMT"/>
      <family val="2"/>
    </font>
    <font>
      <b/>
      <sz val="8"/>
      <color theme="0"/>
      <name val="Arial"/>
      <family val="2"/>
    </font>
    <font>
      <vertAlign val="superscript"/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MT"/>
    </font>
    <font>
      <u/>
      <sz val="11"/>
      <color theme="10"/>
      <name val="ArialMT"/>
      <family val="2"/>
    </font>
  </fonts>
  <fills count="6">
    <fill>
      <patternFill patternType="none"/>
    </fill>
    <fill>
      <patternFill patternType="gray125"/>
    </fill>
    <fill>
      <patternFill patternType="solid">
        <fgColor rgb="FF29445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theme="3" tint="9.9978637043366805E-2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6" fillId="0" borderId="0" applyFont="0" applyFill="0" applyBorder="0" applyAlignment="0" applyProtection="0"/>
    <xf numFmtId="0" fontId="6" fillId="4" borderId="9" applyNumberFormat="0" applyFont="0" applyAlignment="0" applyProtection="0"/>
    <xf numFmtId="165" fontId="1" fillId="0" borderId="0" applyBorder="0"/>
    <xf numFmtId="166" fontId="7" fillId="0" borderId="0"/>
    <xf numFmtId="0" fontId="16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69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166" fontId="7" fillId="0" borderId="0" xfId="4"/>
    <xf numFmtId="0" fontId="2" fillId="2" borderId="10" xfId="0" applyFont="1" applyFill="1" applyBorder="1"/>
    <xf numFmtId="0" fontId="10" fillId="0" borderId="0" xfId="0" applyFont="1"/>
    <xf numFmtId="0" fontId="10" fillId="0" borderId="5" xfId="0" applyFont="1" applyBorder="1"/>
    <xf numFmtId="0" fontId="1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167" fontId="7" fillId="0" borderId="16" xfId="0" applyNumberFormat="1" applyFont="1" applyBorder="1" applyAlignment="1">
      <alignment vertical="center"/>
    </xf>
    <xf numFmtId="10" fontId="7" fillId="0" borderId="16" xfId="0" applyNumberFormat="1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168" fontId="7" fillId="0" borderId="8" xfId="0" applyNumberFormat="1" applyFont="1" applyBorder="1" applyAlignment="1">
      <alignment vertical="center"/>
    </xf>
    <xf numFmtId="168" fontId="7" fillId="0" borderId="16" xfId="0" applyNumberFormat="1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167" fontId="8" fillId="0" borderId="19" xfId="0" applyNumberFormat="1" applyFont="1" applyBorder="1" applyAlignment="1">
      <alignment vertical="center"/>
    </xf>
    <xf numFmtId="0" fontId="1" fillId="0" borderId="15" xfId="0" applyFont="1" applyBorder="1"/>
    <xf numFmtId="0" fontId="1" fillId="0" borderId="16" xfId="0" applyFont="1" applyBorder="1"/>
    <xf numFmtId="0" fontId="1" fillId="3" borderId="22" xfId="0" applyFont="1" applyFill="1" applyBorder="1"/>
    <xf numFmtId="0" fontId="1" fillId="3" borderId="17" xfId="0" applyFont="1" applyFill="1" applyBorder="1"/>
    <xf numFmtId="0" fontId="4" fillId="0" borderId="18" xfId="0" applyFont="1" applyBorder="1"/>
    <xf numFmtId="0" fontId="4" fillId="0" borderId="23" xfId="0" applyFont="1" applyBorder="1"/>
    <xf numFmtId="0" fontId="2" fillId="2" borderId="24" xfId="0" applyFont="1" applyFill="1" applyBorder="1"/>
    <xf numFmtId="0" fontId="2" fillId="2" borderId="25" xfId="0" applyFont="1" applyFill="1" applyBorder="1" applyAlignment="1">
      <alignment horizontal="center"/>
    </xf>
    <xf numFmtId="164" fontId="3" fillId="2" borderId="25" xfId="0" applyNumberFormat="1" applyFont="1" applyFill="1" applyBorder="1"/>
    <xf numFmtId="166" fontId="7" fillId="0" borderId="16" xfId="4" applyBorder="1"/>
    <xf numFmtId="0" fontId="1" fillId="0" borderId="22" xfId="0" applyFont="1" applyBorder="1"/>
    <xf numFmtId="0" fontId="4" fillId="0" borderId="27" xfId="0" applyFont="1" applyBorder="1"/>
    <xf numFmtId="0" fontId="1" fillId="2" borderId="11" xfId="0" applyFont="1" applyFill="1" applyBorder="1"/>
    <xf numFmtId="0" fontId="5" fillId="0" borderId="12" xfId="0" applyFont="1" applyBorder="1"/>
    <xf numFmtId="44" fontId="1" fillId="0" borderId="4" xfId="2" applyNumberFormat="1" applyFont="1" applyFill="1" applyBorder="1"/>
    <xf numFmtId="0" fontId="1" fillId="0" borderId="4" xfId="2" applyFont="1" applyFill="1" applyBorder="1"/>
    <xf numFmtId="10" fontId="1" fillId="0" borderId="4" xfId="2" applyNumberFormat="1" applyFont="1" applyFill="1" applyBorder="1"/>
    <xf numFmtId="10" fontId="1" fillId="0" borderId="4" xfId="0" applyNumberFormat="1" applyFont="1" applyBorder="1"/>
    <xf numFmtId="0" fontId="7" fillId="0" borderId="16" xfId="0" applyFont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44" fontId="1" fillId="0" borderId="26" xfId="1" applyFont="1" applyBorder="1"/>
    <xf numFmtId="0" fontId="1" fillId="0" borderId="20" xfId="0" applyFont="1" applyBorder="1"/>
    <xf numFmtId="0" fontId="11" fillId="5" borderId="13" xfId="0" applyFont="1" applyFill="1" applyBorder="1" applyAlignment="1">
      <alignment horizontal="centerContinuous"/>
    </xf>
    <xf numFmtId="0" fontId="11" fillId="5" borderId="14" xfId="0" applyFont="1" applyFill="1" applyBorder="1" applyAlignment="1">
      <alignment horizontal="centerContinuous"/>
    </xf>
    <xf numFmtId="2" fontId="1" fillId="0" borderId="4" xfId="2" applyNumberFormat="1" applyFont="1" applyFill="1" applyBorder="1"/>
    <xf numFmtId="10" fontId="7" fillId="0" borderId="0" xfId="4" applyNumberFormat="1"/>
    <xf numFmtId="10" fontId="1" fillId="0" borderId="1" xfId="2" applyNumberFormat="1" applyFont="1" applyFill="1" applyBorder="1"/>
    <xf numFmtId="0" fontId="10" fillId="0" borderId="23" xfId="0" applyFont="1" applyBorder="1"/>
    <xf numFmtId="0" fontId="10" fillId="0" borderId="15" xfId="0" applyFont="1" applyBorder="1"/>
    <xf numFmtId="0" fontId="10" fillId="0" borderId="22" xfId="0" applyFont="1" applyBorder="1"/>
    <xf numFmtId="0" fontId="10" fillId="0" borderId="7" xfId="0" applyFont="1" applyBorder="1"/>
    <xf numFmtId="14" fontId="1" fillId="0" borderId="2" xfId="2" applyNumberFormat="1" applyFont="1" applyFill="1" applyBorder="1"/>
    <xf numFmtId="10" fontId="7" fillId="0" borderId="16" xfId="4" applyNumberFormat="1" applyBorder="1"/>
    <xf numFmtId="166" fontId="8" fillId="0" borderId="23" xfId="4" applyFont="1" applyBorder="1"/>
    <xf numFmtId="166" fontId="8" fillId="0" borderId="19" xfId="4" applyFont="1" applyBorder="1"/>
    <xf numFmtId="166" fontId="8" fillId="0" borderId="7" xfId="4" applyFont="1" applyBorder="1"/>
    <xf numFmtId="166" fontId="8" fillId="0" borderId="28" xfId="4" applyFont="1" applyBorder="1"/>
    <xf numFmtId="169" fontId="7" fillId="0" borderId="16" xfId="4" applyNumberFormat="1" applyBorder="1"/>
    <xf numFmtId="164" fontId="3" fillId="2" borderId="29" xfId="0" applyNumberFormat="1" applyFont="1" applyFill="1" applyBorder="1"/>
    <xf numFmtId="169" fontId="7" fillId="0" borderId="0" xfId="4" applyNumberFormat="1"/>
    <xf numFmtId="15" fontId="1" fillId="3" borderId="6" xfId="0" applyNumberFormat="1" applyFont="1" applyFill="1" applyBorder="1"/>
    <xf numFmtId="15" fontId="1" fillId="3" borderId="8" xfId="0" applyNumberFormat="1" applyFont="1" applyFill="1" applyBorder="1"/>
    <xf numFmtId="1" fontId="5" fillId="3" borderId="5" xfId="0" applyNumberFormat="1" applyFont="1" applyFill="1" applyBorder="1"/>
    <xf numFmtId="1" fontId="5" fillId="3" borderId="0" xfId="0" applyNumberFormat="1" applyFont="1" applyFill="1"/>
    <xf numFmtId="1" fontId="5" fillId="3" borderId="16" xfId="0" applyNumberFormat="1" applyFont="1" applyFill="1" applyBorder="1"/>
    <xf numFmtId="44" fontId="1" fillId="0" borderId="16" xfId="1" applyFont="1" applyBorder="1"/>
    <xf numFmtId="2" fontId="1" fillId="0" borderId="16" xfId="1" applyNumberFormat="1" applyFont="1" applyBorder="1"/>
    <xf numFmtId="0" fontId="15" fillId="0" borderId="0" xfId="0" applyFont="1"/>
    <xf numFmtId="0" fontId="9" fillId="3" borderId="6" xfId="0" applyFont="1" applyFill="1" applyBorder="1" applyAlignment="1">
      <alignment horizontal="center"/>
    </xf>
    <xf numFmtId="0" fontId="16" fillId="0" borderId="0" xfId="5"/>
    <xf numFmtId="10" fontId="1" fillId="0" borderId="21" xfId="6" applyNumberFormat="1" applyFont="1" applyBorder="1"/>
  </cellXfs>
  <cellStyles count="7">
    <cellStyle name="Base Formatting" xfId="4" xr:uid="{2AFE685D-00AC-4C8C-8F75-7FA921481A3E}"/>
    <cellStyle name="Currency" xfId="1" builtinId="4"/>
    <cellStyle name="Hyperlink" xfId="5" builtinId="8"/>
    <cellStyle name="Normal" xfId="0" builtinId="0"/>
    <cellStyle name="Note" xfId="2" builtinId="10"/>
    <cellStyle name="Per cent" xfId="6" builtinId="5"/>
    <cellStyle name="Style 1" xfId="3" xr:uid="{946A3D1A-41C7-4A42-A450-09F06291F22B}"/>
  </cellStyles>
  <dxfs count="0"/>
  <tableStyles count="0" defaultTableStyle="TableStyleMedium2" defaultPivotStyle="PivotStyleLight16"/>
  <colors>
    <mruColors>
      <color rgb="FF294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alphaspread.com/security/asx/rwc/dcf-valuation/base-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664C-77C8-4C0D-9069-AC57E2EE0045}">
  <dimension ref="D2:N46"/>
  <sheetViews>
    <sheetView showGridLines="0" tabSelected="1" topLeftCell="A24" zoomScale="85" zoomScaleNormal="85" workbookViewId="0">
      <selection activeCell="I44" sqref="I44"/>
    </sheetView>
  </sheetViews>
  <sheetFormatPr defaultRowHeight="14"/>
  <cols>
    <col min="1" max="3" width="2.58203125" customWidth="1"/>
    <col min="4" max="4" width="30.58203125" customWidth="1"/>
  </cols>
  <sheetData>
    <row r="2" spans="4:14">
      <c r="D2" s="4" t="s">
        <v>0</v>
      </c>
      <c r="E2" s="30"/>
      <c r="N2" s="65" t="s">
        <v>42</v>
      </c>
    </row>
    <row r="3" spans="4:14">
      <c r="D3" s="31" t="s">
        <v>31</v>
      </c>
      <c r="E3" s="32">
        <v>4.12</v>
      </c>
      <c r="N3" s="67" t="s">
        <v>43</v>
      </c>
    </row>
    <row r="4" spans="4:14">
      <c r="D4" s="1" t="s">
        <v>1</v>
      </c>
      <c r="E4" s="33">
        <v>780.2</v>
      </c>
    </row>
    <row r="5" spans="4:14">
      <c r="D5" s="1" t="s">
        <v>2</v>
      </c>
      <c r="E5" s="34">
        <v>0.03</v>
      </c>
    </row>
    <row r="6" spans="4:14">
      <c r="D6" s="1" t="s">
        <v>3</v>
      </c>
      <c r="E6" s="35">
        <v>7.2499999999999995E-2</v>
      </c>
    </row>
    <row r="7" spans="4:14">
      <c r="D7" s="1" t="s">
        <v>27</v>
      </c>
      <c r="E7" s="42">
        <v>1.56</v>
      </c>
    </row>
    <row r="8" spans="4:14">
      <c r="D8" s="1" t="s">
        <v>32</v>
      </c>
      <c r="E8" s="42">
        <v>3187</v>
      </c>
    </row>
    <row r="9" spans="4:14">
      <c r="D9" s="1" t="s">
        <v>35</v>
      </c>
      <c r="E9" s="44">
        <v>0.29630000000000001</v>
      </c>
    </row>
    <row r="10" spans="4:14">
      <c r="D10" s="2" t="s">
        <v>36</v>
      </c>
      <c r="E10" s="49">
        <v>45777</v>
      </c>
    </row>
    <row r="11" spans="4:14" ht="14.5" thickBot="1"/>
    <row r="12" spans="4:14">
      <c r="D12" s="24" t="s">
        <v>4</v>
      </c>
      <c r="E12" s="25" t="s">
        <v>15</v>
      </c>
      <c r="F12" s="26"/>
      <c r="G12" s="26"/>
      <c r="H12" s="26"/>
      <c r="I12" s="26"/>
      <c r="J12" s="56"/>
    </row>
    <row r="13" spans="4:14">
      <c r="D13" s="20" t="s">
        <v>5</v>
      </c>
      <c r="E13" s="7"/>
      <c r="F13" s="60">
        <v>2025</v>
      </c>
      <c r="G13" s="61">
        <f t="shared" ref="G13" si="0">F13+1</f>
        <v>2026</v>
      </c>
      <c r="H13" s="61">
        <f>G13+1</f>
        <v>2027</v>
      </c>
      <c r="I13" s="61">
        <f t="shared" ref="I13:J13" si="1">H13+1</f>
        <v>2028</v>
      </c>
      <c r="J13" s="62">
        <f t="shared" si="1"/>
        <v>2029</v>
      </c>
    </row>
    <row r="14" spans="4:14">
      <c r="D14" s="21" t="s">
        <v>6</v>
      </c>
      <c r="E14" s="66" t="s">
        <v>37</v>
      </c>
      <c r="F14" s="58">
        <v>45838</v>
      </c>
      <c r="G14" s="58">
        <v>46203</v>
      </c>
      <c r="H14" s="58">
        <v>46568</v>
      </c>
      <c r="I14" s="58">
        <v>46934</v>
      </c>
      <c r="J14" s="59">
        <v>47299</v>
      </c>
    </row>
    <row r="15" spans="4:14">
      <c r="D15" s="46" t="s">
        <v>12</v>
      </c>
      <c r="E15" s="5"/>
      <c r="F15" s="3">
        <v>1361</v>
      </c>
      <c r="G15" s="3">
        <v>1457</v>
      </c>
      <c r="H15" s="3">
        <v>1557</v>
      </c>
      <c r="I15" s="3">
        <v>1662</v>
      </c>
      <c r="J15" s="27">
        <v>1736</v>
      </c>
    </row>
    <row r="16" spans="4:14">
      <c r="D16" s="46" t="s">
        <v>38</v>
      </c>
      <c r="E16" s="5"/>
      <c r="F16" s="3">
        <v>225</v>
      </c>
      <c r="G16" s="3">
        <v>248</v>
      </c>
      <c r="H16" s="3">
        <v>271</v>
      </c>
      <c r="I16" s="3">
        <v>289</v>
      </c>
      <c r="J16" s="27">
        <v>301</v>
      </c>
    </row>
    <row r="17" spans="4:10">
      <c r="D17" s="46" t="s">
        <v>7</v>
      </c>
      <c r="E17" s="5"/>
      <c r="F17" s="43">
        <f>$E$9</f>
        <v>0.29630000000000001</v>
      </c>
      <c r="G17" s="43">
        <f>$E$9</f>
        <v>0.29630000000000001</v>
      </c>
      <c r="H17" s="43">
        <f>$E$9</f>
        <v>0.29630000000000001</v>
      </c>
      <c r="I17" s="43">
        <f>$E$9</f>
        <v>0.29630000000000001</v>
      </c>
      <c r="J17" s="50">
        <f>$E$9</f>
        <v>0.29630000000000001</v>
      </c>
    </row>
    <row r="18" spans="4:10" ht="14.5" thickBot="1">
      <c r="D18" s="22" t="s">
        <v>8</v>
      </c>
      <c r="E18" s="23"/>
      <c r="F18" s="51">
        <f t="shared" ref="F18:J18" si="2">F16*(1-F17)</f>
        <v>158.33250000000001</v>
      </c>
      <c r="G18" s="51">
        <f t="shared" si="2"/>
        <v>174.51759999999999</v>
      </c>
      <c r="H18" s="51">
        <f t="shared" si="2"/>
        <v>190.70269999999999</v>
      </c>
      <c r="I18" s="51">
        <f t="shared" si="2"/>
        <v>203.36930000000001</v>
      </c>
      <c r="J18" s="52">
        <f t="shared" si="2"/>
        <v>211.81370000000001</v>
      </c>
    </row>
    <row r="19" spans="4:10">
      <c r="D19" s="46"/>
      <c r="E19" s="5"/>
      <c r="F19" s="3"/>
      <c r="G19" s="3"/>
      <c r="H19" s="3"/>
      <c r="I19" s="3"/>
      <c r="J19" s="27"/>
    </row>
    <row r="20" spans="4:10">
      <c r="D20" s="46" t="s">
        <v>39</v>
      </c>
      <c r="E20" s="5"/>
      <c r="F20" s="3">
        <v>-38</v>
      </c>
      <c r="G20" s="3">
        <v>-40</v>
      </c>
      <c r="H20" s="3">
        <v>-41</v>
      </c>
      <c r="I20" s="3">
        <v>-43</v>
      </c>
      <c r="J20" s="27">
        <v>-44</v>
      </c>
    </row>
    <row r="21" spans="4:10" ht="14.5" thickBot="1">
      <c r="D21" s="29" t="s">
        <v>9</v>
      </c>
      <c r="E21" s="48"/>
      <c r="F21" s="53">
        <f t="shared" ref="F21:J21" si="3">F18+F20</f>
        <v>120.33250000000001</v>
      </c>
      <c r="G21" s="53">
        <f t="shared" si="3"/>
        <v>134.51759999999999</v>
      </c>
      <c r="H21" s="53">
        <f t="shared" si="3"/>
        <v>149.70269999999999</v>
      </c>
      <c r="I21" s="53">
        <f t="shared" si="3"/>
        <v>160.36930000000001</v>
      </c>
      <c r="J21" s="54">
        <f t="shared" si="3"/>
        <v>167.81370000000001</v>
      </c>
    </row>
    <row r="22" spans="4:10" ht="14.5" thickTop="1">
      <c r="D22" s="47" t="s">
        <v>10</v>
      </c>
      <c r="E22" s="6"/>
      <c r="F22" s="57">
        <f t="shared" ref="F22:J22" si="4">YEARFRAC($E$10,F14)</f>
        <v>0.16666666666666666</v>
      </c>
      <c r="G22" s="57">
        <f t="shared" si="4"/>
        <v>1.1666666666666667</v>
      </c>
      <c r="H22" s="57">
        <f t="shared" si="4"/>
        <v>2.1666666666666665</v>
      </c>
      <c r="I22" s="57">
        <f t="shared" si="4"/>
        <v>3.1666666666666665</v>
      </c>
      <c r="J22" s="55">
        <f t="shared" si="4"/>
        <v>4.166666666666667</v>
      </c>
    </row>
    <row r="23" spans="4:10" ht="14.5" thickBot="1">
      <c r="D23" s="22" t="s">
        <v>11</v>
      </c>
      <c r="E23" s="45"/>
      <c r="F23" s="51">
        <f t="shared" ref="F23:J23" si="5">F21/(1+$E$6)^F22</f>
        <v>118.93692958583931</v>
      </c>
      <c r="G23" s="51">
        <f t="shared" si="5"/>
        <v>123.96971208326731</v>
      </c>
      <c r="H23" s="51">
        <f t="shared" si="5"/>
        <v>128.63786240186511</v>
      </c>
      <c r="I23" s="51">
        <f t="shared" si="5"/>
        <v>128.48816126294827</v>
      </c>
      <c r="J23" s="52">
        <f t="shared" si="5"/>
        <v>125.36375520054651</v>
      </c>
    </row>
    <row r="24" spans="4:10" ht="14.5" thickBot="1"/>
    <row r="25" spans="4:10">
      <c r="D25" s="40" t="s">
        <v>16</v>
      </c>
      <c r="E25" s="41"/>
    </row>
    <row r="26" spans="4:10">
      <c r="D26" s="8" t="s">
        <v>17</v>
      </c>
      <c r="E26" s="9"/>
    </row>
    <row r="27" spans="4:10">
      <c r="D27" s="10" t="s">
        <v>18</v>
      </c>
      <c r="E27" s="11">
        <f>J21</f>
        <v>167.81370000000001</v>
      </c>
    </row>
    <row r="28" spans="4:10">
      <c r="D28" s="10" t="s">
        <v>25</v>
      </c>
      <c r="E28" s="11">
        <f>J21*(1+E5)</f>
        <v>172.84811100000002</v>
      </c>
    </row>
    <row r="29" spans="4:10">
      <c r="D29" s="10" t="s">
        <v>19</v>
      </c>
      <c r="E29" s="12">
        <f>E5</f>
        <v>0.03</v>
      </c>
    </row>
    <row r="30" spans="4:10">
      <c r="D30" s="13" t="s">
        <v>20</v>
      </c>
      <c r="E30" s="14">
        <f>E28/(E6-E5)</f>
        <v>4067.014376470589</v>
      </c>
    </row>
    <row r="31" spans="4:10">
      <c r="D31" s="10" t="s">
        <v>21</v>
      </c>
      <c r="E31" s="15">
        <f>E30/(1+E6)^5</f>
        <v>2866.0859048243283</v>
      </c>
    </row>
    <row r="32" spans="4:10">
      <c r="D32" s="10" t="s">
        <v>22</v>
      </c>
      <c r="E32" s="11">
        <f>SUM(F23:J23)</f>
        <v>625.39642053446642</v>
      </c>
    </row>
    <row r="33" spans="4:5" ht="14.5" thickBot="1">
      <c r="D33" s="16" t="s">
        <v>23</v>
      </c>
      <c r="E33" s="17">
        <f>SUM(E31:E32)</f>
        <v>3491.4823253587947</v>
      </c>
    </row>
    <row r="34" spans="4:5">
      <c r="D34" s="10"/>
      <c r="E34" s="36"/>
    </row>
    <row r="35" spans="4:5">
      <c r="D35" s="37" t="s">
        <v>26</v>
      </c>
      <c r="E35" s="9"/>
    </row>
    <row r="36" spans="4:5">
      <c r="D36" s="10" t="s">
        <v>14</v>
      </c>
      <c r="E36" s="11">
        <v>22.5</v>
      </c>
    </row>
    <row r="37" spans="4:5">
      <c r="D37" s="10" t="s">
        <v>13</v>
      </c>
      <c r="E37" s="11">
        <v>494.6</v>
      </c>
    </row>
    <row r="38" spans="4:5">
      <c r="D38" s="10" t="s">
        <v>33</v>
      </c>
      <c r="E38" s="11">
        <f>E37-E36</f>
        <v>472.1</v>
      </c>
    </row>
    <row r="39" spans="4:5" ht="14.5" thickBot="1">
      <c r="D39" s="16" t="s">
        <v>24</v>
      </c>
      <c r="E39" s="17">
        <f>E33-E38</f>
        <v>3019.3823253587948</v>
      </c>
    </row>
    <row r="40" spans="4:5">
      <c r="D40" s="10"/>
      <c r="E40" s="36"/>
    </row>
    <row r="41" spans="4:5">
      <c r="D41" s="37" t="s">
        <v>28</v>
      </c>
      <c r="E41" s="9"/>
    </row>
    <row r="42" spans="4:5">
      <c r="D42" s="18" t="s">
        <v>29</v>
      </c>
      <c r="E42" s="19">
        <f>E4</f>
        <v>780.2</v>
      </c>
    </row>
    <row r="43" spans="4:5">
      <c r="D43" s="18" t="s">
        <v>40</v>
      </c>
      <c r="E43" s="63">
        <f>E39/E42</f>
        <v>3.8700106708008133</v>
      </c>
    </row>
    <row r="44" spans="4:5">
      <c r="D44" s="18" t="s">
        <v>41</v>
      </c>
      <c r="E44" s="64">
        <f>E7</f>
        <v>1.56</v>
      </c>
    </row>
    <row r="45" spans="4:5">
      <c r="D45" s="28" t="s">
        <v>30</v>
      </c>
      <c r="E45" s="38">
        <f>E43*E44</f>
        <v>6.0372166464492691</v>
      </c>
    </row>
    <row r="46" spans="4:5" ht="14.5" thickBot="1">
      <c r="D46" s="39" t="s">
        <v>34</v>
      </c>
      <c r="E46" s="68">
        <f>(E45-E3)/E3</f>
        <v>0.46534384622555075</v>
      </c>
    </row>
  </sheetData>
  <hyperlinks>
    <hyperlink ref="N3" r:id="rId1" xr:uid="{8D09CD89-EAC0-4DD4-97EF-6DEA646E0E6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Scriven</dc:creator>
  <cp:lastModifiedBy>felix cavalerie</cp:lastModifiedBy>
  <dcterms:created xsi:type="dcterms:W3CDTF">2025-04-07T01:16:58Z</dcterms:created>
  <dcterms:modified xsi:type="dcterms:W3CDTF">2025-04-29T13:52:25Z</dcterms:modified>
</cp:coreProperties>
</file>