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5200" windowHeight="10860"/>
  </bookViews>
  <sheets>
    <sheet name="Urban Growth Model" sheetId="7" r:id="rId1"/>
    <sheet name="Sheet2" sheetId="9" r:id="rId2"/>
    <sheet name="Sheet1" sheetId="8" r:id="rId3"/>
  </sheets>
  <calcPr calcId="162913"/>
</workbook>
</file>

<file path=xl/calcChain.xml><?xml version="1.0" encoding="utf-8"?>
<calcChain xmlns="http://schemas.openxmlformats.org/spreadsheetml/2006/main">
  <c r="H12" i="9" l="1"/>
  <c r="H10" i="9"/>
  <c r="H11" i="9"/>
  <c r="H8" i="9"/>
  <c r="H9" i="9"/>
  <c r="G8" i="9"/>
  <c r="G9" i="9"/>
  <c r="G10" i="9"/>
  <c r="G11" i="9"/>
  <c r="G12" i="9"/>
  <c r="G13" i="9"/>
  <c r="G14" i="9"/>
  <c r="G15" i="9"/>
  <c r="G16" i="9"/>
  <c r="G17" i="9"/>
  <c r="G18" i="9"/>
  <c r="F18" i="9"/>
  <c r="F17" i="9"/>
  <c r="F16" i="9"/>
  <c r="F15" i="9"/>
  <c r="F14" i="9"/>
  <c r="F13" i="9"/>
  <c r="F12" i="9"/>
  <c r="F11" i="9"/>
  <c r="F10" i="9"/>
  <c r="F9" i="9"/>
  <c r="F8" i="9"/>
  <c r="F7" i="9"/>
  <c r="D7" i="9"/>
  <c r="C18" i="9"/>
  <c r="C17" i="9"/>
  <c r="C16" i="9"/>
  <c r="C15" i="9"/>
  <c r="C14" i="9"/>
  <c r="C13" i="9"/>
  <c r="C12" i="9"/>
  <c r="C11" i="9"/>
  <c r="C10" i="9"/>
  <c r="C9" i="9"/>
  <c r="C8" i="9"/>
  <c r="D18" i="9" l="1"/>
  <c r="D17" i="9"/>
  <c r="D16" i="9"/>
  <c r="D15" i="9"/>
  <c r="D14" i="9"/>
  <c r="D13" i="9"/>
  <c r="D12" i="9"/>
  <c r="D11" i="9"/>
  <c r="D10" i="9"/>
  <c r="D9" i="9"/>
  <c r="D8" i="9"/>
  <c r="B15" i="9" l="1"/>
  <c r="B16" i="9" s="1"/>
  <c r="B17" i="9" s="1"/>
  <c r="B18" i="9" s="1"/>
  <c r="B14" i="9"/>
  <c r="B10" i="9"/>
  <c r="B9" i="9"/>
  <c r="B8" i="9"/>
  <c r="B3" i="7" l="1"/>
  <c r="D2" i="7" l="1"/>
  <c r="D7" i="7" l="1"/>
  <c r="D4" i="7"/>
  <c r="B2" i="7"/>
  <c r="B4" i="7"/>
  <c r="B5" i="7"/>
  <c r="B6" i="7"/>
  <c r="B7" i="7"/>
  <c r="B8" i="7"/>
  <c r="B9" i="7"/>
  <c r="B10" i="7"/>
  <c r="B11" i="7"/>
  <c r="B12" i="7"/>
  <c r="B13" i="7"/>
  <c r="D9" i="7" l="1"/>
  <c r="D3" i="7"/>
  <c r="D6" i="7"/>
  <c r="D8" i="7"/>
  <c r="D12" i="7"/>
  <c r="D5" i="7"/>
  <c r="D10" i="7"/>
  <c r="D11" i="7"/>
  <c r="L8" i="7"/>
  <c r="L2" i="7"/>
  <c r="M2" i="7" s="1"/>
  <c r="L3" i="7" l="1"/>
  <c r="M3" i="7" s="1"/>
  <c r="L4" i="7"/>
  <c r="M4" i="7" s="1"/>
  <c r="L5" i="7"/>
  <c r="M5" i="7" s="1"/>
  <c r="L6" i="7"/>
  <c r="M6" i="7" s="1"/>
  <c r="L7" i="7"/>
  <c r="M7" i="7" s="1"/>
  <c r="M8" i="7"/>
  <c r="L9" i="7"/>
  <c r="M9" i="7" s="1"/>
  <c r="L10" i="7"/>
  <c r="M10" i="7" s="1"/>
  <c r="L11" i="7"/>
  <c r="M11" i="7" s="1"/>
  <c r="L12" i="7"/>
  <c r="L13" i="7"/>
  <c r="M13" i="7" l="1"/>
  <c r="M12" i="7"/>
</calcChain>
</file>

<file path=xl/sharedStrings.xml><?xml version="1.0" encoding="utf-8"?>
<sst xmlns="http://schemas.openxmlformats.org/spreadsheetml/2006/main" count="24" uniqueCount="24">
  <si>
    <t>a=</t>
  </si>
  <si>
    <t>b1=</t>
  </si>
  <si>
    <t>b2=</t>
  </si>
  <si>
    <t>b3=</t>
  </si>
  <si>
    <t>b4=</t>
  </si>
  <si>
    <t>productivity ratio</t>
  </si>
  <si>
    <t>population (10000)</t>
  </si>
  <si>
    <t>wages in non-state, non-collective units (100 million yuan)</t>
  </si>
  <si>
    <t>value of gross agricultural output (100 million yuan)</t>
  </si>
  <si>
    <t>value of gross inductrial output (100 million yuan)</t>
  </si>
  <si>
    <t>agriculture population (100 million yuan)</t>
  </si>
  <si>
    <t>average total wage (yuan)</t>
  </si>
  <si>
    <t>Investment in capital construction (100 million yuan)</t>
  </si>
  <si>
    <t>*Only change BOLD numbers in BLUE cells</t>
  </si>
  <si>
    <t>Agricultural land (km2)</t>
  </si>
  <si>
    <t>Urban land (km2)</t>
  </si>
  <si>
    <t>Growth (Meansured in km2)</t>
  </si>
  <si>
    <t>Growth (Prediction in km2)</t>
  </si>
  <si>
    <t>Water</t>
  </si>
  <si>
    <t>Paddy</t>
  </si>
  <si>
    <t>Unknown</t>
  </si>
  <si>
    <t xml:space="preserve">Agricultural land </t>
  </si>
  <si>
    <t xml:space="preserve">Urban land </t>
  </si>
  <si>
    <t xml:space="preserve">Nature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</si>
</sst>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4" fillId="0" borderId="0" xfId="2" applyFill="1"/>
    <xf numFmtId="0" fontId="3" fillId="0" borderId="0" xfId="1" applyFill="1" applyBorder="1" applyAlignment="1">
      <alignment horizontal="right"/>
    </xf>
    <xf numFmtId="0" fontId="7" fillId="0" borderId="0" xfId="0" applyFont="1" applyFill="1"/>
    <xf numFmtId="0" fontId="10" fillId="6" borderId="1" xfId="1" applyFont="1" applyFill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3" borderId="3" xfId="3" applyFont="1" applyBorder="1" applyAlignment="1">
      <alignment horizontal="center" vertical="center" wrapText="1"/>
    </xf>
    <xf numFmtId="0" fontId="1" fillId="4" borderId="3" xfId="4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5" borderId="4" xfId="5" applyFont="1" applyBorder="1" applyAlignment="1">
      <alignment horizontal="center" vertical="center" wrapText="1"/>
    </xf>
    <xf numFmtId="0" fontId="4" fillId="0" borderId="5" xfId="2" applyFill="1" applyBorder="1" applyAlignment="1">
      <alignment wrapText="1"/>
    </xf>
    <xf numFmtId="0" fontId="4" fillId="0" borderId="5" xfId="2" applyFill="1" applyBorder="1"/>
    <xf numFmtId="0" fontId="4" fillId="0" borderId="7" xfId="2" applyFill="1" applyBorder="1"/>
    <xf numFmtId="0" fontId="0" fillId="0" borderId="9" xfId="0" applyFill="1" applyBorder="1" applyAlignment="1">
      <alignment wrapText="1"/>
    </xf>
    <xf numFmtId="0" fontId="12" fillId="7" borderId="3" xfId="6" applyFont="1" applyBorder="1" applyAlignment="1">
      <alignment horizontal="center" vertical="center" wrapText="1"/>
    </xf>
    <xf numFmtId="4" fontId="5" fillId="3" borderId="1" xfId="3" applyNumberFormat="1" applyFont="1" applyBorder="1"/>
    <xf numFmtId="4" fontId="5" fillId="4" borderId="1" xfId="4" applyNumberFormat="1" applyFont="1" applyBorder="1"/>
    <xf numFmtId="4" fontId="6" fillId="7" borderId="1" xfId="6" applyNumberFormat="1" applyBorder="1"/>
    <xf numFmtId="4" fontId="5" fillId="3" borderId="8" xfId="3" applyNumberFormat="1" applyFont="1" applyBorder="1"/>
    <xf numFmtId="4" fontId="5" fillId="4" borderId="8" xfId="4" applyNumberFormat="1" applyFont="1" applyBorder="1"/>
    <xf numFmtId="4" fontId="0" fillId="0" borderId="0" xfId="0" applyNumberFormat="1" applyFill="1"/>
    <xf numFmtId="2" fontId="6" fillId="5" borderId="6" xfId="5" applyNumberFormat="1" applyBorder="1"/>
    <xf numFmtId="2" fontId="6" fillId="5" borderId="10" xfId="5" applyNumberFormat="1" applyBorder="1"/>
    <xf numFmtId="0" fontId="5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  <xf numFmtId="1" fontId="5" fillId="3" borderId="1" xfId="3" applyNumberFormat="1" applyFont="1" applyBorder="1"/>
    <xf numFmtId="1" fontId="5" fillId="4" borderId="1" xfId="4" applyNumberFormat="1" applyFont="1" applyBorder="1"/>
    <xf numFmtId="1" fontId="0" fillId="0" borderId="11" xfId="0" applyNumberFormat="1" applyFont="1" applyBorder="1" applyAlignment="1">
      <alignment horizontal="left" vertical="center" wrapText="1"/>
    </xf>
    <xf numFmtId="1" fontId="0" fillId="8" borderId="0" xfId="0" applyNumberFormat="1" applyFill="1"/>
    <xf numFmtId="1" fontId="5" fillId="3" borderId="8" xfId="3" applyNumberFormat="1" applyFont="1" applyBorder="1"/>
    <xf numFmtId="1" fontId="5" fillId="4" borderId="8" xfId="4" applyNumberFormat="1" applyFont="1" applyBorder="1"/>
  </cellXfs>
  <cellStyles count="7">
    <cellStyle name="20% - Accent5" xfId="3" builtinId="46"/>
    <cellStyle name="40% - Accent5" xfId="4" builtinId="47"/>
    <cellStyle name="60% - Accent1" xfId="6" builtinId="32"/>
    <cellStyle name="Accent6" xfId="5" builtinId="49"/>
    <cellStyle name="Explanatory Text" xfId="2" builtinId="5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'Urban Growth Model'!$D$1</c:f>
              <c:strCache>
                <c:ptCount val="1"/>
                <c:pt idx="0">
                  <c:v>Growth (Meansured in km2)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'Urban Growth Model'!$A$2:$A$13</c:f>
              <c:numCache>
                <c:formatCode>General</c:formatCode>
                <c:ptCount val="12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</c:numCache>
            </c:numRef>
          </c:xVal>
          <c:yVal>
            <c:numRef>
              <c:f>'Urban Growth Model'!$D$2:$D$12</c:f>
              <c:numCache>
                <c:formatCode>#,##0.00</c:formatCode>
                <c:ptCount val="11"/>
                <c:pt idx="0">
                  <c:v>16.844899999999996</c:v>
                </c:pt>
                <c:pt idx="1">
                  <c:v>96.154200000000003</c:v>
                </c:pt>
                <c:pt idx="2">
                  <c:v>33.382800000000003</c:v>
                </c:pt>
                <c:pt idx="3">
                  <c:v>21.02940000000001</c:v>
                </c:pt>
                <c:pt idx="4">
                  <c:v>118.03409999999997</c:v>
                </c:pt>
                <c:pt idx="5">
                  <c:v>-33.759900000000016</c:v>
                </c:pt>
                <c:pt idx="6">
                  <c:v>47.33910000000003</c:v>
                </c:pt>
                <c:pt idx="7">
                  <c:v>41.636700000000019</c:v>
                </c:pt>
                <c:pt idx="8">
                  <c:v>54.234899999999982</c:v>
                </c:pt>
                <c:pt idx="9">
                  <c:v>-94.138199999999983</c:v>
                </c:pt>
                <c:pt idx="10">
                  <c:v>264.19679999999994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7-4A7B-B3AA-A7E7B203C61B}"/>
            </c:ext>
          </c:extLst>
        </c:ser>
        <c:ser>
          <c:idx val="1"/>
          <c:order val="1"/>
          <c:tx>
            <c:strRef>
              <c:f>'Urban Growth Model'!$M$1</c:f>
              <c:strCache>
                <c:ptCount val="1"/>
                <c:pt idx="0">
                  <c:v>Growth (Prediction in km2)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'Urban Growth Model'!$A$2:$A$13</c:f>
              <c:numCache>
                <c:formatCode>General</c:formatCode>
                <c:ptCount val="12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</c:numCache>
            </c:numRef>
          </c:xVal>
          <c:yVal>
            <c:numRef>
              <c:f>'Urban Growth Model'!$M$2:$M$12</c:f>
              <c:numCache>
                <c:formatCode>0.00</c:formatCode>
                <c:ptCount val="11"/>
                <c:pt idx="0">
                  <c:v>-2292.999376001284</c:v>
                </c:pt>
                <c:pt idx="1">
                  <c:v>-3126.7848159822497</c:v>
                </c:pt>
                <c:pt idx="2">
                  <c:v>-3861.0563646104742</c:v>
                </c:pt>
                <c:pt idx="3">
                  <c:v>-5001.8839589032132</c:v>
                </c:pt>
                <c:pt idx="4">
                  <c:v>-6013.9558382371615</c:v>
                </c:pt>
                <c:pt idx="5">
                  <c:v>-8035.4555187475844</c:v>
                </c:pt>
                <c:pt idx="6">
                  <c:v>-12934.769098898119</c:v>
                </c:pt>
                <c:pt idx="7">
                  <c:v>-14440.392222217813</c:v>
                </c:pt>
                <c:pt idx="8">
                  <c:v>-15484.363756269526</c:v>
                </c:pt>
                <c:pt idx="9">
                  <c:v>-16372.607376125387</c:v>
                </c:pt>
                <c:pt idx="10">
                  <c:v>-18177.177837269301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57-4A7B-B3AA-A7E7B203C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946192"/>
        <c:axId val="278947312"/>
      </c:scatterChart>
      <c:valAx>
        <c:axId val="27894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47312"/>
        <c:crosses val="autoZero"/>
        <c:crossBetween val="midCat"/>
      </c:valAx>
      <c:valAx>
        <c:axId val="2789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4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'Urban Growth Model'!$B$1</c:f>
              <c:strCache>
                <c:ptCount val="1"/>
                <c:pt idx="0">
                  <c:v>Agricultural land (km2)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'Urban Growth Model'!$A$2:$A$13</c:f>
              <c:numCache>
                <c:formatCode>General</c:formatCode>
                <c:ptCount val="12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</c:numCache>
            </c:numRef>
          </c:cat>
          <c:val>
            <c:numRef>
              <c:f>'Urban Growth Model'!$B$2:$B$13</c:f>
              <c:numCache>
                <c:formatCode>#,##0.00</c:formatCode>
                <c:ptCount val="12"/>
                <c:pt idx="0">
                  <c:v>585</c:v>
                </c:pt>
                <c:pt idx="1">
                  <c:v>550.79999999999995</c:v>
                </c:pt>
                <c:pt idx="2">
                  <c:v>539.1</c:v>
                </c:pt>
                <c:pt idx="3">
                  <c:v>450</c:v>
                </c:pt>
                <c:pt idx="4">
                  <c:v>427.5</c:v>
                </c:pt>
                <c:pt idx="5">
                  <c:v>372.9717</c:v>
                </c:pt>
                <c:pt idx="6">
                  <c:v>483.52139999999997</c:v>
                </c:pt>
                <c:pt idx="7">
                  <c:v>297.85949999999997</c:v>
                </c:pt>
                <c:pt idx="8">
                  <c:v>270.85949999999997</c:v>
                </c:pt>
                <c:pt idx="9">
                  <c:v>252.8595</c:v>
                </c:pt>
                <c:pt idx="10">
                  <c:v>225.8595</c:v>
                </c:pt>
                <c:pt idx="11">
                  <c:v>207.8595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B-41AA-8017-A7489D7870EB}"/>
            </c:ext>
          </c:extLst>
        </c:ser>
        <c:ser>
          <c:idx val="1"/>
          <c:order val="1"/>
          <c:tx>
            <c:strRef>
              <c:f>'Urban Growth Model'!$C$1</c:f>
              <c:strCache>
                <c:ptCount val="1"/>
                <c:pt idx="0">
                  <c:v>Urban land (km2)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'Urban Growth Model'!$A$2:$A$13</c:f>
              <c:numCache>
                <c:formatCode>General</c:formatCode>
                <c:ptCount val="12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</c:numCache>
            </c:numRef>
          </c:cat>
          <c:val>
            <c:numRef>
              <c:f>'Urban Growth Model'!$C$2:$C$13</c:f>
              <c:numCache>
                <c:formatCode>#,##0.00</c:formatCode>
                <c:ptCount val="12"/>
                <c:pt idx="0">
                  <c:v>130.48240000000001</c:v>
                </c:pt>
                <c:pt idx="1">
                  <c:v>147.32730000000001</c:v>
                </c:pt>
                <c:pt idx="2">
                  <c:v>243.48150000000001</c:v>
                </c:pt>
                <c:pt idx="3">
                  <c:v>276.86430000000001</c:v>
                </c:pt>
                <c:pt idx="4">
                  <c:v>297.89370000000002</c:v>
                </c:pt>
                <c:pt idx="5">
                  <c:v>415.92779999999999</c:v>
                </c:pt>
                <c:pt idx="6">
                  <c:v>382.16789999999997</c:v>
                </c:pt>
                <c:pt idx="7">
                  <c:v>429.50700000000001</c:v>
                </c:pt>
                <c:pt idx="8">
                  <c:v>471.14370000000002</c:v>
                </c:pt>
                <c:pt idx="9">
                  <c:v>525.37860000000001</c:v>
                </c:pt>
                <c:pt idx="10">
                  <c:v>431.24040000000002</c:v>
                </c:pt>
                <c:pt idx="11">
                  <c:v>695.43719999999996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B-41AA-8017-A7489D78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068928"/>
        <c:axId val="330069584"/>
      </c:lineChart>
      <c:catAx>
        <c:axId val="33006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69584"/>
        <c:crosses val="autoZero"/>
        <c:auto val="1"/>
        <c:lblAlgn val="ctr"/>
        <c:lblOffset val="100"/>
        <c:noMultiLvlLbl val="0"/>
      </c:catAx>
      <c:valAx>
        <c:axId val="3300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6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233983</xdr:colOff>
      <xdr:row>14</xdr:row>
      <xdr:rowOff>95664</xdr:rowOff>
    </xdr:from>
    <xdr:to>
      <xdr:col>11</xdr:col>
      <xdr:colOff>502588</xdr:colOff>
      <xdr:row>26</xdr:row>
      <xdr:rowOff>139478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357808</xdr:colOff>
      <xdr:row>5</xdr:row>
      <xdr:rowOff>53009</xdr:rowOff>
    </xdr:from>
    <xdr:to>
      <xdr:col>21</xdr:col>
      <xdr:colOff>53008</xdr:colOff>
      <xdr:row>20</xdr:row>
      <xdr:rowOff>13252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71D94B-6869-4937-BBCF-D96F44B3A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9"/>
  <sheetViews>
    <sheetView tabSelected="1" zoomScale="115" zoomScaleNormal="115" workbookViewId="0">
      <selection activeCell="J5" sqref="J5"/>
    </sheetView>
  </sheetViews>
  <sheetFormatPr defaultRowHeight="15" x14ac:dyDescent="0.25"/>
  <cols>
    <col min="1" max="1" width="5.42578125" style="2" customWidth="1"/>
    <col min="2" max="2" width="11.85546875" style="2" customWidth="1"/>
    <col min="3" max="3" width="11.28515625" style="2" customWidth="1"/>
    <col min="4" max="4" width="10.42578125" style="2" customWidth="1"/>
    <col min="5" max="5" width="10.85546875" style="2" customWidth="1"/>
    <col min="6" max="11" width="11.42578125" style="2" customWidth="1"/>
    <col min="12" max="12" width="11.42578125" customWidth="1"/>
    <col min="13" max="13" width="9.28515625" bestFit="1" customWidth="1"/>
  </cols>
  <sheetData>
    <row r="1" spans="1:13" s="1" customFormat="1" ht="34.5" customHeight="1" thickBot="1" x14ac:dyDescent="0.3">
      <c r="A1" s="8"/>
      <c r="B1" s="9" t="s">
        <v>14</v>
      </c>
      <c r="C1" s="10" t="s">
        <v>15</v>
      </c>
      <c r="D1" s="18" t="s">
        <v>16</v>
      </c>
      <c r="E1" s="11" t="s">
        <v>12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2" t="s">
        <v>5</v>
      </c>
      <c r="M1" s="13" t="s">
        <v>17</v>
      </c>
    </row>
    <row r="2" spans="1:13" s="1" customFormat="1" x14ac:dyDescent="0.25">
      <c r="A2" s="14">
        <v>1987</v>
      </c>
      <c r="B2" s="19">
        <f>650000*(0.03)^2</f>
        <v>585</v>
      </c>
      <c r="C2" s="20">
        <v>130.48240000000001</v>
      </c>
      <c r="D2" s="21">
        <f>(C3-C2)</f>
        <v>16.844899999999996</v>
      </c>
      <c r="E2" s="7">
        <v>251.01</v>
      </c>
      <c r="F2" s="7">
        <v>5832.15</v>
      </c>
      <c r="G2" s="7">
        <v>4.12</v>
      </c>
      <c r="H2" s="7">
        <v>348.61</v>
      </c>
      <c r="I2" s="7">
        <v>878.29</v>
      </c>
      <c r="J2" s="7">
        <v>4522.24</v>
      </c>
      <c r="K2" s="7">
        <v>1743</v>
      </c>
      <c r="L2" s="7">
        <f>(H2/B2)/(I2/C2)</f>
        <v>8.8531530654020515E-2</v>
      </c>
      <c r="M2" s="25">
        <f t="shared" ref="M2:M13" si="0">$B$15+$B$16*(E2/F2)+$B$17*G2+$B$18*K2+$B$19*(L2)</f>
        <v>-2292.999376001284</v>
      </c>
    </row>
    <row r="3" spans="1:13" x14ac:dyDescent="0.25">
      <c r="A3" s="15">
        <v>1988</v>
      </c>
      <c r="B3" s="19">
        <f>612000*(0.03)^2</f>
        <v>550.79999999999995</v>
      </c>
      <c r="C3" s="20">
        <v>147.32730000000001</v>
      </c>
      <c r="D3" s="21">
        <f>(C4-C3)</f>
        <v>96.154200000000003</v>
      </c>
      <c r="E3" s="7">
        <v>353.59</v>
      </c>
      <c r="F3" s="7">
        <v>5928.31</v>
      </c>
      <c r="G3" s="7">
        <v>7.93</v>
      </c>
      <c r="H3" s="7">
        <v>473.78</v>
      </c>
      <c r="I3" s="7">
        <v>1318.9</v>
      </c>
      <c r="J3" s="7">
        <v>4561.7700000000004</v>
      </c>
      <c r="K3" s="7">
        <v>2250</v>
      </c>
      <c r="L3" s="7">
        <f t="shared" ref="L3:L13" si="1">(H3/B3)/(I3/C3)</f>
        <v>9.6084681208394598E-2</v>
      </c>
      <c r="M3" s="25">
        <f t="shared" si="0"/>
        <v>-3126.7848159822497</v>
      </c>
    </row>
    <row r="4" spans="1:13" x14ac:dyDescent="0.25">
      <c r="A4" s="15">
        <v>1989</v>
      </c>
      <c r="B4" s="19">
        <f>599000*(0.03)^2</f>
        <v>539.1</v>
      </c>
      <c r="C4" s="20">
        <v>243.48150000000001</v>
      </c>
      <c r="D4" s="21">
        <f>(C5-C4)</f>
        <v>33.382800000000003</v>
      </c>
      <c r="E4" s="7">
        <v>347.34</v>
      </c>
      <c r="F4" s="7">
        <v>6024.98</v>
      </c>
      <c r="G4" s="7">
        <v>13.27</v>
      </c>
      <c r="H4" s="7">
        <v>548.6</v>
      </c>
      <c r="I4" s="7">
        <v>1647.24</v>
      </c>
      <c r="J4" s="7">
        <v>4602.2299999999996</v>
      </c>
      <c r="K4" s="7">
        <v>2678</v>
      </c>
      <c r="L4" s="7">
        <f t="shared" si="1"/>
        <v>0.15041652817426907</v>
      </c>
      <c r="M4" s="25">
        <f t="shared" si="0"/>
        <v>-3861.0563646104742</v>
      </c>
    </row>
    <row r="5" spans="1:13" x14ac:dyDescent="0.25">
      <c r="A5" s="15">
        <v>1991</v>
      </c>
      <c r="B5" s="19">
        <f>500000*(0.03)^2</f>
        <v>450</v>
      </c>
      <c r="C5" s="20">
        <v>276.86430000000001</v>
      </c>
      <c r="D5" s="21">
        <f t="shared" ref="D5:D12" si="2">(C6-C5)</f>
        <v>21.02940000000001</v>
      </c>
      <c r="E5" s="7">
        <v>478.2</v>
      </c>
      <c r="F5" s="7">
        <v>6348.95</v>
      </c>
      <c r="G5" s="7">
        <v>28.23</v>
      </c>
      <c r="H5" s="7">
        <v>654.82000000000005</v>
      </c>
      <c r="I5" s="7">
        <v>2524.12</v>
      </c>
      <c r="J5" s="7">
        <v>5210</v>
      </c>
      <c r="K5" s="7">
        <v>3358</v>
      </c>
      <c r="L5" s="7">
        <f t="shared" si="1"/>
        <v>0.15961231014373331</v>
      </c>
      <c r="M5" s="25">
        <f t="shared" si="0"/>
        <v>-5001.8839589032132</v>
      </c>
    </row>
    <row r="6" spans="1:13" x14ac:dyDescent="0.25">
      <c r="A6" s="15">
        <v>1992</v>
      </c>
      <c r="B6" s="19">
        <f>475000*(0.03)^2</f>
        <v>427.5</v>
      </c>
      <c r="C6" s="20">
        <v>297.89370000000002</v>
      </c>
      <c r="D6" s="21">
        <f t="shared" si="2"/>
        <v>118.03409999999997</v>
      </c>
      <c r="E6" s="7">
        <v>921.75</v>
      </c>
      <c r="F6" s="7">
        <v>6463.17</v>
      </c>
      <c r="G6" s="7">
        <v>40.28</v>
      </c>
      <c r="H6" s="7">
        <v>737.11</v>
      </c>
      <c r="I6" s="7">
        <v>3479.39</v>
      </c>
      <c r="J6" s="7">
        <v>4822.37</v>
      </c>
      <c r="K6" s="7">
        <v>4027</v>
      </c>
      <c r="L6" s="7">
        <f t="shared" si="1"/>
        <v>0.1476231240352022</v>
      </c>
      <c r="M6" s="25">
        <f t="shared" si="0"/>
        <v>-6013.9558382371615</v>
      </c>
    </row>
    <row r="7" spans="1:13" x14ac:dyDescent="0.25">
      <c r="A7" s="15">
        <v>1993</v>
      </c>
      <c r="B7" s="19">
        <f>414413*(0.03)^2</f>
        <v>372.9717</v>
      </c>
      <c r="C7" s="20">
        <v>415.92779999999999</v>
      </c>
      <c r="D7" s="21">
        <f>(C8-C7)</f>
        <v>-33.759900000000016</v>
      </c>
      <c r="E7" s="7">
        <v>1629.87</v>
      </c>
      <c r="F7" s="7">
        <v>6581.6</v>
      </c>
      <c r="G7" s="7">
        <v>70.63</v>
      </c>
      <c r="H7" s="7">
        <v>899.03</v>
      </c>
      <c r="I7" s="7">
        <v>5237.37</v>
      </c>
      <c r="J7" s="7">
        <v>4773.51</v>
      </c>
      <c r="K7" s="7">
        <v>5327</v>
      </c>
      <c r="L7" s="7">
        <f t="shared" si="1"/>
        <v>0.191426913387374</v>
      </c>
      <c r="M7" s="25">
        <f t="shared" si="0"/>
        <v>-8035.4555187475844</v>
      </c>
    </row>
    <row r="8" spans="1:13" x14ac:dyDescent="0.25">
      <c r="A8" s="15">
        <v>1995</v>
      </c>
      <c r="B8" s="19">
        <f>537246*(0.03)^2</f>
        <v>483.52139999999997</v>
      </c>
      <c r="C8" s="20">
        <v>382.16789999999997</v>
      </c>
      <c r="D8" s="21">
        <f t="shared" si="2"/>
        <v>47.33910000000003</v>
      </c>
      <c r="E8" s="7">
        <v>2327.2199999999998</v>
      </c>
      <c r="F8" s="7">
        <v>6788.74</v>
      </c>
      <c r="G8" s="7">
        <v>150.96</v>
      </c>
      <c r="H8" s="7">
        <v>1445.48</v>
      </c>
      <c r="I8" s="7">
        <v>9720.5400000000009</v>
      </c>
      <c r="J8" s="7">
        <v>4753.37</v>
      </c>
      <c r="K8" s="7">
        <v>8250</v>
      </c>
      <c r="L8" s="7">
        <f>(H8/B8)/(I8/C8)</f>
        <v>0.11753310271689393</v>
      </c>
      <c r="M8" s="25">
        <f t="shared" si="0"/>
        <v>-12934.769098898119</v>
      </c>
    </row>
    <row r="9" spans="1:13" x14ac:dyDescent="0.25">
      <c r="A9" s="15">
        <v>1996</v>
      </c>
      <c r="B9" s="19">
        <f>330955*(0.03)^2</f>
        <v>297.85949999999997</v>
      </c>
      <c r="C9" s="20">
        <v>429.50700000000001</v>
      </c>
      <c r="D9" s="21">
        <f t="shared" si="2"/>
        <v>41.636700000000019</v>
      </c>
      <c r="E9" s="7">
        <v>2327.64</v>
      </c>
      <c r="F9" s="7">
        <v>6896.77</v>
      </c>
      <c r="G9" s="7">
        <v>158.93</v>
      </c>
      <c r="H9" s="7">
        <v>1577.89</v>
      </c>
      <c r="I9" s="7">
        <v>10530.93</v>
      </c>
      <c r="J9" s="7">
        <v>4788.97</v>
      </c>
      <c r="K9" s="7">
        <v>9127</v>
      </c>
      <c r="L9" s="7">
        <f t="shared" si="1"/>
        <v>0.21605722208221223</v>
      </c>
      <c r="M9" s="25">
        <f t="shared" si="0"/>
        <v>-14440.392222217813</v>
      </c>
    </row>
    <row r="10" spans="1:13" x14ac:dyDescent="0.25">
      <c r="A10" s="15">
        <v>1997</v>
      </c>
      <c r="B10" s="19">
        <f>300955*(0.03)^2</f>
        <v>270.85949999999997</v>
      </c>
      <c r="C10" s="20">
        <v>471.14370000000002</v>
      </c>
      <c r="D10" s="21">
        <f t="shared" si="2"/>
        <v>54.234899999999982</v>
      </c>
      <c r="E10" s="7">
        <v>2298.14</v>
      </c>
      <c r="F10" s="7">
        <v>7013.73</v>
      </c>
      <c r="G10" s="7">
        <v>198.04</v>
      </c>
      <c r="H10" s="7">
        <v>1656.46</v>
      </c>
      <c r="I10" s="7">
        <v>12372.69</v>
      </c>
      <c r="J10" s="7">
        <v>4840.2299999999996</v>
      </c>
      <c r="K10" s="7">
        <v>9698</v>
      </c>
      <c r="L10" s="7">
        <f t="shared" si="1"/>
        <v>0.23287675300497956</v>
      </c>
      <c r="M10" s="25">
        <f t="shared" si="0"/>
        <v>-15484.363756269526</v>
      </c>
    </row>
    <row r="11" spans="1:13" x14ac:dyDescent="0.25">
      <c r="A11" s="15">
        <v>1998</v>
      </c>
      <c r="B11" s="19">
        <f>280955*(0.03)^2</f>
        <v>252.8595</v>
      </c>
      <c r="C11" s="20">
        <v>525.37860000000001</v>
      </c>
      <c r="D11" s="21">
        <f t="shared" si="2"/>
        <v>-94.138199999999983</v>
      </c>
      <c r="E11" s="7">
        <v>2668.13</v>
      </c>
      <c r="F11" s="7">
        <v>7115.65</v>
      </c>
      <c r="G11" s="7">
        <v>263.98</v>
      </c>
      <c r="H11" s="7">
        <v>1705.44</v>
      </c>
      <c r="I11" s="7">
        <v>13799.16</v>
      </c>
      <c r="J11" s="7">
        <v>4896.58</v>
      </c>
      <c r="K11" s="7">
        <v>10233</v>
      </c>
      <c r="L11" s="7">
        <f t="shared" si="1"/>
        <v>0.25678928535316009</v>
      </c>
      <c r="M11" s="25">
        <f t="shared" si="0"/>
        <v>-16372.607376125387</v>
      </c>
    </row>
    <row r="12" spans="1:13" x14ac:dyDescent="0.25">
      <c r="A12" s="15">
        <v>1999</v>
      </c>
      <c r="B12" s="19">
        <f>250955*(0.03)^2</f>
        <v>225.8595</v>
      </c>
      <c r="C12" s="20">
        <v>431.24040000000002</v>
      </c>
      <c r="D12" s="21">
        <f t="shared" si="2"/>
        <v>264.19679999999994</v>
      </c>
      <c r="E12" s="7">
        <v>3027.56</v>
      </c>
      <c r="F12" s="7">
        <v>7298.88</v>
      </c>
      <c r="G12" s="7">
        <v>301.44</v>
      </c>
      <c r="H12" s="7">
        <v>1745.02</v>
      </c>
      <c r="I12" s="7">
        <v>15303.33</v>
      </c>
      <c r="J12" s="7">
        <v>5022.46</v>
      </c>
      <c r="K12" s="7">
        <v>11309</v>
      </c>
      <c r="L12" s="7">
        <f t="shared" si="1"/>
        <v>0.21771860512539123</v>
      </c>
      <c r="M12" s="25">
        <f t="shared" si="0"/>
        <v>-18177.177837269301</v>
      </c>
    </row>
    <row r="13" spans="1:13" x14ac:dyDescent="0.25">
      <c r="A13" s="16">
        <v>2000</v>
      </c>
      <c r="B13" s="22">
        <f>230955*(0.03)^2</f>
        <v>207.8595</v>
      </c>
      <c r="C13" s="23">
        <v>695.43719999999996</v>
      </c>
      <c r="D13" s="24"/>
      <c r="E13" s="17">
        <v>3233.7</v>
      </c>
      <c r="F13" s="17">
        <v>7498.54</v>
      </c>
      <c r="G13" s="17">
        <v>341.98</v>
      </c>
      <c r="H13" s="17">
        <v>1701.18</v>
      </c>
      <c r="I13" s="17">
        <v>16904.47</v>
      </c>
      <c r="J13" s="17">
        <v>5160.25</v>
      </c>
      <c r="K13" s="17">
        <v>13823</v>
      </c>
      <c r="L13" s="17">
        <f t="shared" si="1"/>
        <v>0.33669506353653411</v>
      </c>
      <c r="M13" s="26">
        <f t="shared" si="0"/>
        <v>-22471.114186752715</v>
      </c>
    </row>
    <row r="14" spans="1:13" x14ac:dyDescent="0.25">
      <c r="A14" s="3" t="s">
        <v>13</v>
      </c>
      <c r="D14" s="5"/>
    </row>
    <row r="15" spans="1:13" x14ac:dyDescent="0.25">
      <c r="A15" s="4" t="s">
        <v>0</v>
      </c>
      <c r="B15" s="6">
        <v>583.41999999999996</v>
      </c>
    </row>
    <row r="16" spans="1:13" x14ac:dyDescent="0.25">
      <c r="A16" s="4" t="s">
        <v>1</v>
      </c>
      <c r="B16" s="6">
        <v>2210.62</v>
      </c>
    </row>
    <row r="17" spans="1:2" x14ac:dyDescent="0.25">
      <c r="A17" s="4" t="s">
        <v>2</v>
      </c>
      <c r="B17" s="6">
        <v>-1.24</v>
      </c>
    </row>
    <row r="18" spans="1:2" x14ac:dyDescent="0.25">
      <c r="A18" s="4" t="s">
        <v>3</v>
      </c>
      <c r="B18" s="6">
        <v>-1.71</v>
      </c>
    </row>
    <row r="19" spans="1:2" x14ac:dyDescent="0.25">
      <c r="A19" s="4" t="s">
        <v>4</v>
      </c>
      <c r="B19" s="6">
        <v>159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0"/>
  <sheetViews>
    <sheetView topLeftCell="A2" zoomScale="70" zoomScaleNormal="70" workbookViewId="0">
      <selection activeCell="L25" sqref="L25"/>
    </sheetView>
  </sheetViews>
  <sheetFormatPr defaultRowHeight="15" x14ac:dyDescent="0.25"/>
  <cols>
    <col min="3" max="8" width="20.7109375" customWidth="1"/>
  </cols>
  <sheetData>
    <row r="6" spans="2:8" ht="15.75" thickBot="1" x14ac:dyDescent="0.3">
      <c r="C6" s="27" t="s">
        <v>23</v>
      </c>
      <c r="D6" s="27" t="s">
        <v>21</v>
      </c>
      <c r="E6" s="10" t="s">
        <v>22</v>
      </c>
      <c r="F6" s="27" t="s">
        <v>18</v>
      </c>
      <c r="G6" s="27" t="s">
        <v>19</v>
      </c>
      <c r="H6" s="27" t="s">
        <v>20</v>
      </c>
    </row>
    <row r="7" spans="2:8" ht="15.75" thickBot="1" x14ac:dyDescent="0.3">
      <c r="B7" s="27">
        <v>1987</v>
      </c>
      <c r="C7" s="28">
        <v>230.56</v>
      </c>
      <c r="D7" s="30">
        <f>650000*(0.03)^2</f>
        <v>585</v>
      </c>
      <c r="E7" s="31">
        <v>132.47999999999999</v>
      </c>
      <c r="F7" s="32">
        <f>1001517*(0.03)^2</f>
        <v>901.36529999999993</v>
      </c>
      <c r="G7" s="29">
        <v>196.72</v>
      </c>
      <c r="H7" s="28">
        <v>492.2</v>
      </c>
    </row>
    <row r="8" spans="2:8" x14ac:dyDescent="0.25">
      <c r="B8" s="27">
        <f>B7+1</f>
        <v>1988</v>
      </c>
      <c r="C8" s="28">
        <f>214069*(0.03)^2</f>
        <v>192.66209999999998</v>
      </c>
      <c r="D8" s="30">
        <f>612000*(0.03)^2</f>
        <v>550.79999999999995</v>
      </c>
      <c r="E8" s="31">
        <v>147.32730000000001</v>
      </c>
      <c r="F8" s="29">
        <f>1061329*(0.03)^2</f>
        <v>955.1961</v>
      </c>
      <c r="G8" s="29">
        <f>243317*(0.03)^2</f>
        <v>218.9853</v>
      </c>
      <c r="H8" s="28">
        <f>250428*(0.03)^2</f>
        <v>225.3852</v>
      </c>
    </row>
    <row r="9" spans="2:8" x14ac:dyDescent="0.25">
      <c r="B9" s="27">
        <f t="shared" ref="B9" si="0">B8+1</f>
        <v>1989</v>
      </c>
      <c r="C9" s="28">
        <f>331201*(0.03)^2</f>
        <v>298.08089999999999</v>
      </c>
      <c r="D9" s="30">
        <f>599000*(0.03)^2</f>
        <v>539.1</v>
      </c>
      <c r="E9" s="31">
        <v>243.48150000000001</v>
      </c>
      <c r="F9" s="29">
        <f>993658*(0.03)^2</f>
        <v>894.29219999999998</v>
      </c>
      <c r="G9" s="29">
        <f>213927*(0.03)^2</f>
        <v>192.5343</v>
      </c>
      <c r="H9" s="28">
        <f>224876*(0.03)^2</f>
        <v>202.38839999999999</v>
      </c>
    </row>
    <row r="10" spans="2:8" x14ac:dyDescent="0.25">
      <c r="B10" s="27">
        <f>B9+2</f>
        <v>1991</v>
      </c>
      <c r="C10" s="28">
        <f>199275*(0.03)^2</f>
        <v>179.3475</v>
      </c>
      <c r="D10" s="30">
        <f>500000*(0.03)^2</f>
        <v>450</v>
      </c>
      <c r="E10" s="31">
        <v>276.86430000000001</v>
      </c>
      <c r="F10" s="29">
        <f>1019673*(0.03)^2</f>
        <v>917.70569999999998</v>
      </c>
      <c r="G10" s="29">
        <f>125982*(0.03)^2</f>
        <v>113.38379999999999</v>
      </c>
      <c r="H10" s="28">
        <f>126006*(0.03)^2</f>
        <v>113.4054</v>
      </c>
    </row>
    <row r="11" spans="2:8" x14ac:dyDescent="0.25">
      <c r="B11" s="27">
        <v>1992</v>
      </c>
      <c r="C11" s="28">
        <f>387253*(0.03)^2</f>
        <v>348.52769999999998</v>
      </c>
      <c r="D11" s="30">
        <f>475000*(0.03)^2</f>
        <v>427.5</v>
      </c>
      <c r="E11" s="31">
        <v>297.89370000000002</v>
      </c>
      <c r="F11" s="29">
        <f>997997*(0.03)^2</f>
        <v>898.19729999999993</v>
      </c>
      <c r="G11" s="29">
        <f>147046*(0.03)^2</f>
        <v>132.34139999999999</v>
      </c>
      <c r="H11" s="28">
        <f>113023*(0.03)^2</f>
        <v>101.72069999999999</v>
      </c>
    </row>
    <row r="12" spans="2:8" x14ac:dyDescent="0.25">
      <c r="B12" s="27">
        <v>1993</v>
      </c>
      <c r="C12" s="28">
        <f>319977*(0.03)^2</f>
        <v>287.97929999999997</v>
      </c>
      <c r="D12" s="30">
        <f>414413*(0.03)^2</f>
        <v>372.9717</v>
      </c>
      <c r="E12" s="31">
        <v>415.92779999999999</v>
      </c>
      <c r="F12" s="29">
        <f>928366*(0.03)^2</f>
        <v>835.52940000000001</v>
      </c>
      <c r="G12" s="29">
        <f>219964*(0.03)^2</f>
        <v>197.9676</v>
      </c>
      <c r="H12" s="28">
        <f>10154*(0.03)^2</f>
        <v>9.1386000000000003</v>
      </c>
    </row>
    <row r="13" spans="2:8" x14ac:dyDescent="0.25">
      <c r="B13" s="27">
        <v>1995</v>
      </c>
      <c r="C13" s="28">
        <f>201489*(0.03)^2</f>
        <v>181.34010000000001</v>
      </c>
      <c r="D13" s="30">
        <f>537246*(0.03)^2</f>
        <v>483.52139999999997</v>
      </c>
      <c r="E13" s="31">
        <v>382.16789999999997</v>
      </c>
      <c r="F13" s="29">
        <f>969114*(0.03)^2</f>
        <v>872.20259999999996</v>
      </c>
      <c r="G13" s="29">
        <f>152266*(0.03)^2</f>
        <v>137.0394</v>
      </c>
      <c r="H13" s="33"/>
    </row>
    <row r="14" spans="2:8" x14ac:dyDescent="0.25">
      <c r="B14" s="27">
        <f>B13+1</f>
        <v>1996</v>
      </c>
      <c r="C14" s="28">
        <f>191317*(0.03)^2</f>
        <v>172.18529999999998</v>
      </c>
      <c r="D14" s="30">
        <f>330955*(0.03)^2</f>
        <v>297.85949999999997</v>
      </c>
      <c r="E14" s="31">
        <v>429.50700000000001</v>
      </c>
      <c r="F14" s="29">
        <f>938388*(0.03)^2</f>
        <v>844.54919999999993</v>
      </c>
      <c r="G14" s="29">
        <f>477230*(0.03)^2</f>
        <v>429.50700000000001</v>
      </c>
      <c r="H14" s="33"/>
    </row>
    <row r="15" spans="2:8" x14ac:dyDescent="0.25">
      <c r="B15" s="27">
        <f t="shared" ref="B15:B18" si="1">B14+1</f>
        <v>1997</v>
      </c>
      <c r="C15" s="28">
        <f>143711*(0.03)^2</f>
        <v>129.3399</v>
      </c>
      <c r="D15" s="30">
        <f>300955*(0.03)^2</f>
        <v>270.85949999999997</v>
      </c>
      <c r="E15" s="31">
        <v>471.14370000000002</v>
      </c>
      <c r="F15" s="29">
        <f>914755*(0.03)^2</f>
        <v>823.27949999999998</v>
      </c>
      <c r="G15" s="29">
        <f>280253*(0.03)^2</f>
        <v>252.2277</v>
      </c>
      <c r="H15" s="33"/>
    </row>
    <row r="16" spans="2:8" x14ac:dyDescent="0.25">
      <c r="B16" s="27">
        <f t="shared" si="1"/>
        <v>1998</v>
      </c>
      <c r="C16" s="28">
        <f>217902*(0.03)^2</f>
        <v>196.11179999999999</v>
      </c>
      <c r="D16" s="30">
        <f>280955*(0.03)^2</f>
        <v>252.8595</v>
      </c>
      <c r="E16" s="31">
        <v>525.37860000000001</v>
      </c>
      <c r="F16" s="29">
        <f>941441*(0.03)^2</f>
        <v>847.29689999999994</v>
      </c>
      <c r="G16" s="29">
        <f>147506*(0.03)^2</f>
        <v>132.75540000000001</v>
      </c>
      <c r="H16" s="33"/>
    </row>
    <row r="17" spans="2:8" x14ac:dyDescent="0.25">
      <c r="B17" s="27">
        <f t="shared" si="1"/>
        <v>1999</v>
      </c>
      <c r="C17" s="28">
        <f>184903*(0.03)^2</f>
        <v>166.4127</v>
      </c>
      <c r="D17" s="30">
        <f>250955*(0.03)^2</f>
        <v>225.8595</v>
      </c>
      <c r="E17" s="31">
        <v>431.24040000000002</v>
      </c>
      <c r="F17" s="29">
        <f>896039*(0.03)^2</f>
        <v>806.43510000000003</v>
      </c>
      <c r="G17" s="29">
        <f>252953*(0.03)^2</f>
        <v>227.65770000000001</v>
      </c>
      <c r="H17" s="33"/>
    </row>
    <row r="18" spans="2:8" x14ac:dyDescent="0.25">
      <c r="B18" s="27">
        <f t="shared" si="1"/>
        <v>2000</v>
      </c>
      <c r="C18" s="28">
        <f>250280*(0.03)^2</f>
        <v>225.25199999999998</v>
      </c>
      <c r="D18" s="34">
        <f>230955*(0.03)^2</f>
        <v>207.8595</v>
      </c>
      <c r="E18" s="35">
        <v>695.43719999999996</v>
      </c>
      <c r="F18" s="29">
        <f>937544*(0.03)^2</f>
        <v>843.78959999999995</v>
      </c>
      <c r="G18" s="29">
        <f>143733*(0.03)^2</f>
        <v>129.3597</v>
      </c>
      <c r="H18" s="33"/>
    </row>
    <row r="19" spans="2:8" x14ac:dyDescent="0.25">
      <c r="C19" s="28"/>
      <c r="D19" s="28"/>
      <c r="E19" s="28"/>
      <c r="F19" s="28"/>
      <c r="G19" s="28"/>
      <c r="H19" s="28"/>
    </row>
    <row r="20" spans="2:8" x14ac:dyDescent="0.25">
      <c r="C20" s="28"/>
      <c r="D20" s="28"/>
      <c r="E20" s="28"/>
    </row>
  </sheetData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Sheet2!C7:C18</xm:f>
              <xm:sqref>C19</xm:sqref>
            </x14:sparkline>
            <x14:sparkline>
              <xm:f>Sheet2!D7:D18</xm:f>
              <xm:sqref>D19</xm:sqref>
            </x14:sparkline>
            <x14:sparkline>
              <xm:f>Sheet2!E7:E18</xm:f>
              <xm:sqref>E19</xm:sqref>
            </x14:sparkline>
            <x14:sparkline>
              <xm:f>Sheet2!F7:F18</xm:f>
              <xm:sqref>F19</xm:sqref>
            </x14:sparkline>
            <x14:sparkline>
              <xm:f>Sheet2!G7:G18</xm:f>
              <xm:sqref>G19</xm:sqref>
            </x14:sparkline>
            <x14:sparkline>
              <xm:f>Sheet2!H7:H18</xm:f>
              <xm:sqref>H19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G10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 Growth Model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2017-03-18T23:37:20Z</dcterms:modified>
</cp:coreProperties>
</file>