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1220" yWindow="520" windowWidth="33760" windowHeight="34800" tabRatio="500"/>
  </bookViews>
  <sheets>
    <sheet name="requirements" sheetId="1" r:id="rId1"/>
    <sheet name="components" sheetId="2" r:id="rId2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" i="1" l="1"/>
  <c r="B6" i="1"/>
  <c r="B4" i="1"/>
  <c r="B13" i="1"/>
  <c r="B28" i="1"/>
  <c r="B31" i="1"/>
  <c r="B17" i="1"/>
  <c r="B10" i="1"/>
  <c r="B11" i="1"/>
  <c r="B12" i="1"/>
  <c r="B24" i="1"/>
  <c r="B25" i="1"/>
  <c r="B29" i="1"/>
  <c r="B30" i="1"/>
  <c r="B34" i="1"/>
  <c r="B35" i="1"/>
  <c r="B36" i="1"/>
  <c r="B39" i="1"/>
  <c r="B40" i="1"/>
  <c r="B61" i="1"/>
  <c r="B63" i="1"/>
  <c r="B64" i="1"/>
  <c r="B65" i="1"/>
  <c r="B47" i="1"/>
  <c r="B51" i="1"/>
  <c r="B56" i="1"/>
  <c r="B57" i="1"/>
  <c r="B59" i="1"/>
  <c r="B58" i="1"/>
  <c r="B53" i="1"/>
  <c r="B43" i="1"/>
  <c r="B22" i="1"/>
  <c r="B23" i="1"/>
  <c r="B20" i="1"/>
  <c r="B14" i="1"/>
</calcChain>
</file>

<file path=xl/sharedStrings.xml><?xml version="1.0" encoding="utf-8"?>
<sst xmlns="http://schemas.openxmlformats.org/spreadsheetml/2006/main" count="378" uniqueCount="275">
  <si>
    <t>Ohm</t>
  </si>
  <si>
    <t>V/sqrt(Hz)</t>
  </si>
  <si>
    <t>F</t>
  </si>
  <si>
    <t>Source bandwidth</t>
  </si>
  <si>
    <t>Hz</t>
  </si>
  <si>
    <t>Amplifier capacitance</t>
  </si>
  <si>
    <t>Amplifier current noise</t>
  </si>
  <si>
    <t>A/sqrt(Hz)</t>
  </si>
  <si>
    <t>Amplifier input noise</t>
  </si>
  <si>
    <t>Total input noise</t>
  </si>
  <si>
    <t>dB</t>
  </si>
  <si>
    <t>V/V</t>
  </si>
  <si>
    <t>Input offset voltage, max</t>
  </si>
  <si>
    <t>Input offset current, max</t>
  </si>
  <si>
    <t>Output offset voltage</t>
  </si>
  <si>
    <t>V</t>
  </si>
  <si>
    <t>A</t>
  </si>
  <si>
    <t>Amplifier gain-bandwidth</t>
  </si>
  <si>
    <t>Bandwidth at gain</t>
  </si>
  <si>
    <t>Loop gain at sensor bandwidth</t>
  </si>
  <si>
    <t>Amplifier output noise</t>
  </si>
  <si>
    <t>Output stage gain</t>
  </si>
  <si>
    <t>Differential stage gain</t>
  </si>
  <si>
    <t>Differential stage output voltage</t>
  </si>
  <si>
    <t>Output stage voltage</t>
  </si>
  <si>
    <t>Differential stage adding noise factor</t>
  </si>
  <si>
    <t>Low Noise Design for Measuring Resistor Noise</t>
  </si>
  <si>
    <t>opamp</t>
  </si>
  <si>
    <t>OPA4134</t>
  </si>
  <si>
    <t>noise resistor</t>
  </si>
  <si>
    <t>feedback resistor, first stage</t>
  </si>
  <si>
    <t>shunt resistor, first stage</t>
  </si>
  <si>
    <t>YAG1759CT-ND</t>
  </si>
  <si>
    <t>RT0805BRD07100KL</t>
  </si>
  <si>
    <t>Yageo</t>
  </si>
  <si>
    <t>RES SMD 100K OHM 0.1% 1/8W 0805</t>
  </si>
  <si>
    <t>P100KDACT-ND</t>
  </si>
  <si>
    <t>ERA-6AEB104V</t>
  </si>
  <si>
    <t>Panasonic </t>
  </si>
  <si>
    <t>RES SMD 49.9K OHM 0.1% 1/8W 0805</t>
  </si>
  <si>
    <t>100K 0.1% thin film 0805</t>
  </si>
  <si>
    <t>49.9K 0.1% thin film 0805</t>
  </si>
  <si>
    <t>RG20P49.9KBCT-ND</t>
  </si>
  <si>
    <t>RG2012P-4992-B-T5</t>
  </si>
  <si>
    <t>Susumu</t>
  </si>
  <si>
    <t>YAG1912CT-ND</t>
  </si>
  <si>
    <t>RT0805BRD0749K9L</t>
  </si>
  <si>
    <t>2.2K 0.1% thin film 0805</t>
  </si>
  <si>
    <t>P2.2KDACT-ND</t>
  </si>
  <si>
    <t>ERA-6AEB222V</t>
  </si>
  <si>
    <t>RES SMD 2.2K OHM 0.1% 1/8W 0805</t>
  </si>
  <si>
    <t>RG20P2.2KBCT-ND</t>
  </si>
  <si>
    <t>RG2012P-222-B-T5</t>
  </si>
  <si>
    <t>YAG1853CT-ND</t>
  </si>
  <si>
    <t>RT0805BRD072K2L</t>
  </si>
  <si>
    <t>Input stage gain</t>
  </si>
  <si>
    <t>Input stage feedback resistor</t>
  </si>
  <si>
    <t>Input stage feedback shunt resistor</t>
  </si>
  <si>
    <t>differential input resistor, diff stage</t>
  </si>
  <si>
    <t>1K 0.1% thin film 0805</t>
  </si>
  <si>
    <t>P1.0KDACT-ND</t>
  </si>
  <si>
    <t>ERA-6AEB102V</t>
  </si>
  <si>
    <t>RES SMD 1K OHM 0.1% 1/8W 0805</t>
  </si>
  <si>
    <t>RG20P1.0KBCT-ND</t>
  </si>
  <si>
    <t>RG2012P-102-B-T5</t>
  </si>
  <si>
    <t>Differential input resistor</t>
  </si>
  <si>
    <t>Differential feedback resistor</t>
  </si>
  <si>
    <t>Output stange input resistor</t>
  </si>
  <si>
    <t>Output stage feedback resistor</t>
  </si>
  <si>
    <t>Noise resistor value</t>
  </si>
  <si>
    <t>Noise resistor voltage noise</t>
  </si>
  <si>
    <t>Noise resistor shunt capacitance</t>
  </si>
  <si>
    <t>Voltage inverter</t>
  </si>
  <si>
    <t>296-43957-1-ND</t>
  </si>
  <si>
    <t>LM2776DBVR</t>
  </si>
  <si>
    <t>TI</t>
  </si>
  <si>
    <t>IC REG SWTCHD CAP INV 6SOT23</t>
  </si>
  <si>
    <t>OPA4134UA/2K5</t>
  </si>
  <si>
    <t>IC OPAMP AUDIO 8MHZ 14SOIC</t>
  </si>
  <si>
    <t>OPA2134</t>
  </si>
  <si>
    <t>296-22024-1-ND</t>
  </si>
  <si>
    <t>OPA2134UA/2K5</t>
  </si>
  <si>
    <t>IC OPAMP AUDIO 8MHZ 8SOIC</t>
  </si>
  <si>
    <t>1's</t>
  </si>
  <si>
    <t>100's</t>
  </si>
  <si>
    <t>296-26284-1-ND</t>
  </si>
  <si>
    <t>Dual is not so much cheaper that two dual is a better option, even if one of the duals could be much cheaper.</t>
  </si>
  <si>
    <t>Positive voltage regulator</t>
  </si>
  <si>
    <t>296-38491-1-ND</t>
  </si>
  <si>
    <t>TLV73325PDBVT</t>
  </si>
  <si>
    <t>IC REG LDO 2.5V 0.3A 5SOT23</t>
  </si>
  <si>
    <t>Negative voltage regulator</t>
  </si>
  <si>
    <t>296-39479-1-ND</t>
  </si>
  <si>
    <t>TPS72325DBVR</t>
  </si>
  <si>
    <t>IC REG LDO -2.5V 0.2A SOT23-5</t>
  </si>
  <si>
    <t>Power opamp for neg regulator</t>
  </si>
  <si>
    <t>LMC7101AYM5-TR</t>
  </si>
  <si>
    <t>Not so good PSRR. Cheap.</t>
  </si>
  <si>
    <t>CAP CER 0.1UF 25V 10% X7R 0603</t>
  </si>
  <si>
    <t>GRM188R71E104KA01D</t>
  </si>
  <si>
    <t>Murata</t>
  </si>
  <si>
    <t>490-1524-1-ND</t>
  </si>
  <si>
    <t>GRM1885C1H220JA01D</t>
  </si>
  <si>
    <t>CAP CER 22PF 50V 5% NP0 0603</t>
  </si>
  <si>
    <t>490-1411-1-ND</t>
  </si>
  <si>
    <t>100K 1%</t>
  </si>
  <si>
    <t>RES 100K OHM 1/10W 1% 0603 SMD</t>
  </si>
  <si>
    <t>CRCW0603100KFKEA</t>
  </si>
  <si>
    <t>Vishay/Dale</t>
  </si>
  <si>
    <t>541-100KHCT-ND</t>
  </si>
  <si>
    <t>67503-1020</t>
  </si>
  <si>
    <t>WM5461CT-ND</t>
  </si>
  <si>
    <t>CONN RECEPT MINIUSB R/A 5POS SMD</t>
  </si>
  <si>
    <t>Mini USB Connector</t>
  </si>
  <si>
    <t>Molex</t>
  </si>
  <si>
    <t>PTC .50A 15VDC RESETTABLE 1812L</t>
  </si>
  <si>
    <t>Resetable fuse</t>
  </si>
  <si>
    <t>F2150CT-ND</t>
  </si>
  <si>
    <t>1812L050PR</t>
  </si>
  <si>
    <t>Littlefuse</t>
  </si>
  <si>
    <t>PTC RESTTBLE 0.20A 9V CHIP 0805</t>
  </si>
  <si>
    <t>507-1517-1-ND</t>
  </si>
  <si>
    <t>0ZCE0020FF2G</t>
  </si>
  <si>
    <t>Bel Fuse</t>
  </si>
  <si>
    <t>CAP CER 1UF 25V 10% X7R 1206</t>
  </si>
  <si>
    <t>1uF</t>
  </si>
  <si>
    <t>490-5860-1-ND</t>
  </si>
  <si>
    <t>GRM31MR71E105KA01L</t>
  </si>
  <si>
    <t>4.7uF TANT</t>
  </si>
  <si>
    <t>22pF NP0</t>
  </si>
  <si>
    <t>1uF X7R</t>
  </si>
  <si>
    <t>0.1uF X7R</t>
  </si>
  <si>
    <t>TAJA475M020RNJ</t>
  </si>
  <si>
    <t>AVX</t>
  </si>
  <si>
    <t>478-5799-1-ND</t>
  </si>
  <si>
    <t>CAP TANT 4.7UF 20V 20% 1206</t>
  </si>
  <si>
    <t>Noise DC coupling capacitor</t>
  </si>
  <si>
    <t>Noise DC coupling capacitor load</t>
  </si>
  <si>
    <t>Noise low frequency corner</t>
  </si>
  <si>
    <t>OPA4134 quiescent current per amp</t>
  </si>
  <si>
    <t>LM2903 quieschent current per comparator</t>
  </si>
  <si>
    <t>Output pullup resistor current</t>
  </si>
  <si>
    <t>comparator</t>
  </si>
  <si>
    <t>LM2903DR</t>
  </si>
  <si>
    <t>296-1012-1-ND</t>
  </si>
  <si>
    <t>Comparator Differential CMOS, MOS, Open-Collector, TTL 8-SOIC</t>
  </si>
  <si>
    <t>Total current draw</t>
  </si>
  <si>
    <t>Doubler frequency</t>
  </si>
  <si>
    <t>Vripple</t>
  </si>
  <si>
    <t>Doubler Capacitor ESR</t>
  </si>
  <si>
    <t>Doubler Capacitor value</t>
  </si>
  <si>
    <t>GRM31CR71A106KA01L</t>
  </si>
  <si>
    <t>CAP CER 10UF 10V X7R 1206</t>
  </si>
  <si>
    <t>490-3371-1-ND</t>
  </si>
  <si>
    <t>10V supply dropping resistor</t>
  </si>
  <si>
    <t>10V supply dropping voltage, nom</t>
  </si>
  <si>
    <t>10V supply dropping resistor, max</t>
  </si>
  <si>
    <t>5V regulator input capacitor</t>
  </si>
  <si>
    <t>RC filter corner frequency</t>
  </si>
  <si>
    <t>RC filter switching attenuation</t>
  </si>
  <si>
    <t>RC filter switching gain</t>
  </si>
  <si>
    <t>Vripple after filter</t>
  </si>
  <si>
    <t>10uF X7R 10V</t>
  </si>
  <si>
    <t>10uF X7R 16V</t>
  </si>
  <si>
    <t>490-3911-1-ND</t>
  </si>
  <si>
    <t>GRM31CR71C106KAC7L</t>
  </si>
  <si>
    <t>CAP CER 10UF 16V X7R 1206</t>
  </si>
  <si>
    <t>MOV 5.5V DC pass</t>
  </si>
  <si>
    <t>VARISTOR 8V 150A 1206</t>
  </si>
  <si>
    <t>495-7466-1-ND</t>
  </si>
  <si>
    <t>B72520T40M62</t>
  </si>
  <si>
    <t>EPCOS(TDK)</t>
  </si>
  <si>
    <t>H</t>
  </si>
  <si>
    <t>P2R5V net capacitance</t>
  </si>
  <si>
    <t>P2R5V net resonant frequency</t>
  </si>
  <si>
    <t>P2R5V net Q</t>
  </si>
  <si>
    <t>P2R5V bead inductance</t>
  </si>
  <si>
    <t>P2R5V bead impedance at 100MHz</t>
  </si>
  <si>
    <t>jOhms</t>
  </si>
  <si>
    <t>P2R5V damping resistance needed in bead</t>
  </si>
  <si>
    <t>Amplifer voltage noise</t>
  </si>
  <si>
    <t>Feedback noise</t>
  </si>
  <si>
    <t>Output stage voltage Pk-Pk</t>
  </si>
  <si>
    <t>Output stage amplifier headroom</t>
  </si>
  <si>
    <t>Output stage supply voltage</t>
  </si>
  <si>
    <t>Output stage maximum signal</t>
  </si>
  <si>
    <t>Output stage voltage margin</t>
  </si>
  <si>
    <t>Physics package noise to amp noise ratio</t>
  </si>
  <si>
    <t>Differential stage bandwidth</t>
  </si>
  <si>
    <t>Bead</t>
  </si>
  <si>
    <t>BLM18BB600SN1D</t>
  </si>
  <si>
    <t>FERRITE BEAD 60 OHM 0603 1LN</t>
  </si>
  <si>
    <t>490-5247-1-ND</t>
  </si>
  <si>
    <t>RES SMD 402 OHM 0.1% 1/8W 0805</t>
  </si>
  <si>
    <t>P402DACT-ND</t>
  </si>
  <si>
    <t>Panasonic</t>
  </si>
  <si>
    <t>ERA-6AEB4020V</t>
  </si>
  <si>
    <t>TE</t>
  </si>
  <si>
    <t>8-2176091-0</t>
  </si>
  <si>
    <t>A110505CT-ND</t>
  </si>
  <si>
    <t>402 OHM 0.1% thin film 0805</t>
  </si>
  <si>
    <t>RMS input noise</t>
  </si>
  <si>
    <t>V RMS</t>
  </si>
  <si>
    <t>100K</t>
  </si>
  <si>
    <t>10pF</t>
  </si>
  <si>
    <t>OPA4134 specification</t>
  </si>
  <si>
    <t>2.2K</t>
  </si>
  <si>
    <t>4.02K</t>
  </si>
  <si>
    <t>Supply choice</t>
  </si>
  <si>
    <t>LM2903 specification</t>
  </si>
  <si>
    <t>LM2776 specification</t>
  </si>
  <si>
    <t>Ceramic 10uF Capacitor</t>
  </si>
  <si>
    <t>10uF</t>
  </si>
  <si>
    <t>49.9 Ohm</t>
  </si>
  <si>
    <t>BLM18BB600SN1D specification</t>
  </si>
  <si>
    <t>10uF -10% + 0.1iF</t>
  </si>
  <si>
    <t>Cost</t>
  </si>
  <si>
    <t>Digi-Key Part No</t>
  </si>
  <si>
    <t>MPN</t>
  </si>
  <si>
    <t>Mfgr</t>
  </si>
  <si>
    <t>SBA PN</t>
  </si>
  <si>
    <t>Description</t>
  </si>
  <si>
    <t>Notes</t>
  </si>
  <si>
    <t>Sustains 500mA at 5V</t>
  </si>
  <si>
    <t>DC resistance needed for damping</t>
  </si>
  <si>
    <t>Will not fire on 5.5V</t>
  </si>
  <si>
    <t>2 THT pins for mechanical stability</t>
  </si>
  <si>
    <t>Power opamps don't make good negative regulators, either</t>
  </si>
  <si>
    <t>Negative regulators are expensive!</t>
  </si>
  <si>
    <t>80kHz, needs 1 external Schottky diode</t>
  </si>
  <si>
    <t>Precision Resistors:</t>
  </si>
  <si>
    <t>Safety Components: Fuse and MOV</t>
  </si>
  <si>
    <t>Thin Film Automotive Grade</t>
  </si>
  <si>
    <t>CMOS Dual Comparator</t>
  </si>
  <si>
    <t>Schottky Power Diode</t>
  </si>
  <si>
    <t>MBR0520LT1G</t>
  </si>
  <si>
    <t>MBR0520LT1GOSCT-ND</t>
  </si>
  <si>
    <t>DIODE SCHOTTKY 20V 500MA SOD123</t>
  </si>
  <si>
    <t>ON Semiconductor</t>
  </si>
  <si>
    <r>
      <rPr>
        <b/>
        <sz val="18"/>
        <color theme="1"/>
        <rFont val="Calibri"/>
        <family val="2"/>
        <scheme val="minor"/>
      </rPr>
      <t>OBSOLETE</t>
    </r>
    <r>
      <rPr>
        <sz val="18"/>
        <color theme="1"/>
        <rFont val="Calibri"/>
        <family val="2"/>
        <scheme val="minor"/>
      </rPr>
      <t>, but preferred at SBA</t>
    </r>
  </si>
  <si>
    <t>Highlighted parts are used in the design. Others are for comparison or reference.</t>
  </si>
  <si>
    <t>Estimated based on 3dB bandwidth. Actual noise bandwidth should be simulated</t>
  </si>
  <si>
    <t>0.128*sqrt(Resistance)= Resistor voltage noise</t>
  </si>
  <si>
    <t>Noise from the physics package that is sent back to the amplifier feedback</t>
  </si>
  <si>
    <t>Voltage and current noise at the amplifier that is not from the physics package</t>
  </si>
  <si>
    <t>Add up the physics package noise and the amplifier noise</t>
  </si>
  <si>
    <t>Total RMS noise accounts for the noise bandwidth</t>
  </si>
  <si>
    <t>Key performance metric. Determines how well the physics package noise dominates the measured noise.</t>
  </si>
  <si>
    <t>Feedback equation</t>
  </si>
  <si>
    <t>Input offset voltage gets multiplied by gain</t>
  </si>
  <si>
    <t>Closed-loop 3dB bandwidth frequency</t>
  </si>
  <si>
    <t>How well the amplifier tracks the highest frequency noise from the physics package</t>
  </si>
  <si>
    <t>RMS noise</t>
  </si>
  <si>
    <t>Amplified noise</t>
  </si>
  <si>
    <t>Noise adds as the sqrt(sum of the squares)</t>
  </si>
  <si>
    <t>Amplified noise at diff amp output</t>
  </si>
  <si>
    <t>This bandwidth should be greater than the input stage bandwidth</t>
  </si>
  <si>
    <t>RMS signal level at the amplifier output</t>
  </si>
  <si>
    <t>Peak-to-peak signal level at the amplifier output</t>
  </si>
  <si>
    <t>Amount of margin in this design to keep noise signal from clipping.</t>
  </si>
  <si>
    <t>Margin needed to keep noise signal from clipping</t>
  </si>
  <si>
    <t>RC frequency of DC block</t>
  </si>
  <si>
    <t>Pullup resistor current</t>
  </si>
  <si>
    <t>Includes quad opamp, comparators, and pullup resistors</t>
  </si>
  <si>
    <t>Datasheet formula for calculating switching ripple voltage</t>
  </si>
  <si>
    <t>Biggest resistor to get nominal supply voltage drop</t>
  </si>
  <si>
    <t>Attenuation at switching frequency due to RC filter</t>
  </si>
  <si>
    <t>Attenuation at switching frequency due to RC filter in dB</t>
  </si>
  <si>
    <t>Voltage ripple at output of RC filter</t>
  </si>
  <si>
    <t>Nominal bead impedance at 100MHz is used for selecting and comparing beads</t>
  </si>
  <si>
    <t>Network LC-resonant frequency</t>
  </si>
  <si>
    <t>Desired Q of resonance (overdamped)</t>
  </si>
  <si>
    <t>DC resistance in bead that is sufficient to provide desired Q of resonance</t>
  </si>
  <si>
    <t>Component value or specification</t>
  </si>
  <si>
    <t>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</si>
</sst>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u/>
      <sz val="18"/>
      <color theme="11"/>
      <name val="Calibri"/>
      <family val="2"/>
      <scheme val="minor"/>
    </font>
    <font>
      <sz val="18"/>
      <color rgb="FF000000"/>
      <name val="Calibri"/>
      <scheme val="minor"/>
    </font>
    <font>
      <sz val="18"/>
      <color rgb="FF33333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0" fillId="0" borderId="0" xfId="0" applyFont="1"/>
    <xf numFmtId="11" fontId="0" fillId="0" borderId="0" xfId="0" applyNumberFormat="1" applyFont="1"/>
    <xf numFmtId="0" fontId="5" fillId="0" borderId="0" xfId="0" applyFont="1"/>
    <xf numFmtId="11" fontId="0" fillId="2" borderId="0" xfId="0" applyNumberFormat="1" applyFill="1"/>
    <xf numFmtId="11" fontId="0" fillId="2" borderId="0" xfId="0" applyNumberFormat="1" applyFont="1" applyFill="1"/>
    <xf numFmtId="0" fontId="0" fillId="2" borderId="0" xfId="0" applyFill="1"/>
    <xf numFmtId="0" fontId="0" fillId="0" borderId="0" xfId="0" quotePrefix="1"/>
    <xf numFmtId="0" fontId="0" fillId="0" borderId="0" xfId="0" quotePrefix="1" applyFont="1"/>
    <xf numFmtId="0" fontId="3" fillId="0" borderId="0" xfId="9" applyFont="1"/>
    <xf numFmtId="0" fontId="6" fillId="0" borderId="0" xfId="0" applyFont="1"/>
    <xf numFmtId="0" fontId="0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2" fillId="2" borderId="0" xfId="0" applyFont="1" applyFill="1"/>
    <xf numFmtId="0" fontId="2" fillId="2" borderId="0" xfId="0" quotePrefix="1" applyFont="1" applyFill="1"/>
    <xf numFmtId="0" fontId="2" fillId="3" borderId="0" xfId="0" applyFont="1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workbookViewId="0">
      <selection activeCell="E2" sqref="E2"/>
    </sheetView>
  </sheetViews>
  <sheetFormatPr baseColWidth="10" defaultRowHeight="23" x14ac:dyDescent="0"/>
  <cols>
    <col min="1" max="1" width="32.3984375" customWidth="1"/>
    <col min="2" max="2" width="11.69921875" bestFit="1" customWidth="1"/>
    <col min="4" max="4" width="28" customWidth="1"/>
    <col min="5" max="5" width="78.59765625" customWidth="1"/>
  </cols>
  <sheetData>
    <row r="1" spans="1:5" s="2" customFormat="1">
      <c r="A1" s="2" t="s">
        <v>26</v>
      </c>
    </row>
    <row r="2" spans="1:5">
      <c r="D2" s="17" t="s">
        <v>273</v>
      </c>
      <c r="E2" s="2" t="s">
        <v>274</v>
      </c>
    </row>
    <row r="3" spans="1:5">
      <c r="A3" t="s">
        <v>69</v>
      </c>
      <c r="B3" s="7">
        <v>100000</v>
      </c>
      <c r="C3" t="s">
        <v>0</v>
      </c>
      <c r="D3" s="10" t="s">
        <v>203</v>
      </c>
    </row>
    <row r="4" spans="1:5">
      <c r="A4" t="s">
        <v>70</v>
      </c>
      <c r="B4" s="1">
        <f>0.128*SQRT(B3)*0.000000001</f>
        <v>4.0477154050155258E-8</v>
      </c>
      <c r="C4" t="s">
        <v>1</v>
      </c>
      <c r="E4" s="10" t="s">
        <v>242</v>
      </c>
    </row>
    <row r="5" spans="1:5">
      <c r="A5" t="s">
        <v>71</v>
      </c>
      <c r="B5" s="7">
        <v>9.9999999999999994E-12</v>
      </c>
      <c r="C5" t="s">
        <v>2</v>
      </c>
      <c r="D5" s="10" t="s">
        <v>204</v>
      </c>
    </row>
    <row r="6" spans="1:5">
      <c r="A6" t="s">
        <v>3</v>
      </c>
      <c r="B6" s="1">
        <f>1/(2*PI()*B3*(B5+B7))</f>
        <v>132629.11924324612</v>
      </c>
      <c r="C6" t="s">
        <v>4</v>
      </c>
      <c r="E6" t="s">
        <v>241</v>
      </c>
    </row>
    <row r="7" spans="1:5">
      <c r="A7" t="s">
        <v>5</v>
      </c>
      <c r="B7" s="7">
        <v>2E-12</v>
      </c>
      <c r="C7" t="s">
        <v>2</v>
      </c>
      <c r="D7" t="s">
        <v>205</v>
      </c>
    </row>
    <row r="8" spans="1:5">
      <c r="A8" t="s">
        <v>180</v>
      </c>
      <c r="B8" s="7">
        <v>8.0000000000000005E-9</v>
      </c>
      <c r="C8" t="s">
        <v>1</v>
      </c>
      <c r="D8" t="s">
        <v>205</v>
      </c>
    </row>
    <row r="9" spans="1:5">
      <c r="A9" t="s">
        <v>6</v>
      </c>
      <c r="B9" s="7">
        <v>2.9999999999999998E-15</v>
      </c>
      <c r="C9" t="s">
        <v>7</v>
      </c>
      <c r="D9" t="s">
        <v>205</v>
      </c>
    </row>
    <row r="10" spans="1:5">
      <c r="A10" t="s">
        <v>181</v>
      </c>
      <c r="B10" s="1">
        <f>0.000000000128*SQRT(B15*B16/(B15+B16))</f>
        <v>2.3598298509515398E-9</v>
      </c>
      <c r="C10" t="s">
        <v>1</v>
      </c>
      <c r="E10" s="10" t="s">
        <v>243</v>
      </c>
    </row>
    <row r="11" spans="1:5">
      <c r="A11" t="s">
        <v>8</v>
      </c>
      <c r="B11">
        <f>SQRT(B8^2+(B9*B3)^2+B10^2)</f>
        <v>8.3461845729316328E-9</v>
      </c>
      <c r="C11" t="s">
        <v>1</v>
      </c>
      <c r="E11" t="s">
        <v>244</v>
      </c>
    </row>
    <row r="12" spans="1:5">
      <c r="A12" t="s">
        <v>9</v>
      </c>
      <c r="B12">
        <f>SQRT(B4^2+B11^2)</f>
        <v>4.1328667979084956E-8</v>
      </c>
      <c r="C12" t="s">
        <v>1</v>
      </c>
      <c r="E12" t="s">
        <v>245</v>
      </c>
    </row>
    <row r="13" spans="1:5">
      <c r="A13" t="s">
        <v>201</v>
      </c>
      <c r="B13" s="1">
        <f>SQRT(B6)*B4*SQRT(2)</f>
        <v>2.0847040507857921E-5</v>
      </c>
      <c r="C13" t="s">
        <v>202</v>
      </c>
      <c r="E13" t="s">
        <v>246</v>
      </c>
    </row>
    <row r="14" spans="1:5" s="2" customFormat="1">
      <c r="A14" s="2" t="s">
        <v>187</v>
      </c>
      <c r="B14" s="3">
        <f>20*LOG(B4/B11)</f>
        <v>13.714439697930107</v>
      </c>
      <c r="C14" s="2" t="s">
        <v>10</v>
      </c>
      <c r="E14" s="4" t="s">
        <v>247</v>
      </c>
    </row>
    <row r="15" spans="1:5" s="2" customFormat="1">
      <c r="A15" s="4" t="s">
        <v>56</v>
      </c>
      <c r="B15" s="8">
        <v>2200</v>
      </c>
      <c r="C15" s="4" t="s">
        <v>0</v>
      </c>
      <c r="D15" s="11" t="s">
        <v>206</v>
      </c>
    </row>
    <row r="16" spans="1:5" s="2" customFormat="1">
      <c r="A16" s="4" t="s">
        <v>57</v>
      </c>
      <c r="B16" s="8">
        <v>402</v>
      </c>
      <c r="C16" s="4" t="s">
        <v>0</v>
      </c>
      <c r="D16" s="11" t="s">
        <v>207</v>
      </c>
    </row>
    <row r="17" spans="1:5">
      <c r="A17" t="s">
        <v>55</v>
      </c>
      <c r="B17" s="1">
        <f>1+B15/B16</f>
        <v>6.4726368159203984</v>
      </c>
      <c r="C17" t="s">
        <v>11</v>
      </c>
      <c r="E17" s="4" t="s">
        <v>248</v>
      </c>
    </row>
    <row r="18" spans="1:5">
      <c r="A18" t="s">
        <v>12</v>
      </c>
      <c r="B18" s="7">
        <v>3.0000000000000001E-3</v>
      </c>
      <c r="C18" t="s">
        <v>15</v>
      </c>
      <c r="D18" t="s">
        <v>205</v>
      </c>
    </row>
    <row r="19" spans="1:5">
      <c r="A19" t="s">
        <v>13</v>
      </c>
      <c r="B19" s="7">
        <v>5.0000000000000002E-11</v>
      </c>
      <c r="C19" t="s">
        <v>16</v>
      </c>
      <c r="D19" t="s">
        <v>205</v>
      </c>
    </row>
    <row r="20" spans="1:5">
      <c r="A20" t="s">
        <v>14</v>
      </c>
      <c r="B20" s="1">
        <f>(B18+B19*B3)*50</f>
        <v>0.15024999999999999</v>
      </c>
      <c r="C20" t="s">
        <v>15</v>
      </c>
      <c r="E20" t="s">
        <v>249</v>
      </c>
    </row>
    <row r="21" spans="1:5">
      <c r="A21" t="s">
        <v>17</v>
      </c>
      <c r="B21" s="7">
        <v>8000000</v>
      </c>
      <c r="C21" t="s">
        <v>4</v>
      </c>
      <c r="D21" t="s">
        <v>205</v>
      </c>
    </row>
    <row r="22" spans="1:5">
      <c r="A22" t="s">
        <v>18</v>
      </c>
      <c r="B22" s="1">
        <f>B21/B17</f>
        <v>1235972.3289777094</v>
      </c>
      <c r="C22" t="s">
        <v>4</v>
      </c>
      <c r="E22" t="s">
        <v>250</v>
      </c>
    </row>
    <row r="23" spans="1:5" s="2" customFormat="1">
      <c r="A23" s="2" t="s">
        <v>19</v>
      </c>
      <c r="B23" s="3">
        <f>B22/B6</f>
        <v>9.3190118130159334</v>
      </c>
      <c r="C23" s="2" t="s">
        <v>11</v>
      </c>
      <c r="E23" s="4" t="s">
        <v>251</v>
      </c>
    </row>
    <row r="24" spans="1:5">
      <c r="A24" t="s">
        <v>8</v>
      </c>
      <c r="B24" s="1">
        <f>B12*SQRT(B6)</f>
        <v>1.5051190446336793E-5</v>
      </c>
      <c r="C24" t="s">
        <v>15</v>
      </c>
      <c r="E24" s="4" t="s">
        <v>252</v>
      </c>
    </row>
    <row r="25" spans="1:5">
      <c r="A25" t="s">
        <v>20</v>
      </c>
      <c r="B25" s="1">
        <f>B17*B24</f>
        <v>9.7420889406388896E-5</v>
      </c>
      <c r="C25" t="s">
        <v>15</v>
      </c>
      <c r="E25" s="4" t="s">
        <v>253</v>
      </c>
    </row>
    <row r="26" spans="1:5">
      <c r="A26" t="s">
        <v>65</v>
      </c>
      <c r="B26" s="7">
        <v>2200</v>
      </c>
      <c r="C26" t="s">
        <v>0</v>
      </c>
      <c r="D26" s="10" t="s">
        <v>206</v>
      </c>
    </row>
    <row r="27" spans="1:5">
      <c r="A27" t="s">
        <v>66</v>
      </c>
      <c r="B27" s="7">
        <v>100000</v>
      </c>
      <c r="C27" t="s">
        <v>0</v>
      </c>
      <c r="D27" s="10" t="s">
        <v>203</v>
      </c>
    </row>
    <row r="28" spans="1:5">
      <c r="A28" t="s">
        <v>22</v>
      </c>
      <c r="B28" s="1">
        <f>B27/B26</f>
        <v>45.454545454545453</v>
      </c>
      <c r="C28" t="s">
        <v>11</v>
      </c>
      <c r="E28" t="s">
        <v>248</v>
      </c>
    </row>
    <row r="29" spans="1:5">
      <c r="A29" t="s">
        <v>25</v>
      </c>
      <c r="B29">
        <f>SQRT(2)</f>
        <v>1.4142135623730951</v>
      </c>
      <c r="C29" t="s">
        <v>11</v>
      </c>
      <c r="E29" t="s">
        <v>254</v>
      </c>
    </row>
    <row r="30" spans="1:5">
      <c r="A30" t="s">
        <v>23</v>
      </c>
      <c r="B30" s="1">
        <f>B25*B28*B29</f>
        <v>6.2624519571347521E-3</v>
      </c>
      <c r="C30" t="s">
        <v>15</v>
      </c>
      <c r="E30" t="s">
        <v>255</v>
      </c>
    </row>
    <row r="31" spans="1:5">
      <c r="A31" t="s">
        <v>188</v>
      </c>
      <c r="B31" s="1">
        <f>B21/B28</f>
        <v>176000</v>
      </c>
      <c r="C31" t="s">
        <v>4</v>
      </c>
      <c r="E31" t="s">
        <v>256</v>
      </c>
    </row>
    <row r="32" spans="1:5">
      <c r="A32" t="s">
        <v>67</v>
      </c>
      <c r="B32" s="7">
        <v>2200</v>
      </c>
      <c r="C32" t="s">
        <v>0</v>
      </c>
      <c r="D32" t="s">
        <v>206</v>
      </c>
    </row>
    <row r="33" spans="1:5">
      <c r="A33" t="s">
        <v>68</v>
      </c>
      <c r="B33" s="7">
        <v>100000</v>
      </c>
      <c r="C33" t="s">
        <v>0</v>
      </c>
      <c r="D33" t="s">
        <v>203</v>
      </c>
    </row>
    <row r="34" spans="1:5">
      <c r="A34" t="s">
        <v>21</v>
      </c>
      <c r="B34" s="1">
        <f>B33/B32</f>
        <v>45.454545454545453</v>
      </c>
      <c r="C34" t="s">
        <v>11</v>
      </c>
      <c r="E34" t="s">
        <v>248</v>
      </c>
    </row>
    <row r="35" spans="1:5" s="2" customFormat="1">
      <c r="A35" s="2" t="s">
        <v>24</v>
      </c>
      <c r="B35" s="3">
        <f>B30*B34</f>
        <v>0.2846569071424887</v>
      </c>
      <c r="C35" s="2" t="s">
        <v>15</v>
      </c>
      <c r="E35" s="4" t="s">
        <v>257</v>
      </c>
    </row>
    <row r="36" spans="1:5" s="2" customFormat="1">
      <c r="A36" s="2" t="s">
        <v>182</v>
      </c>
      <c r="B36" s="3">
        <f>B35*6</f>
        <v>1.7079414428549322</v>
      </c>
      <c r="C36" s="2" t="s">
        <v>15</v>
      </c>
      <c r="E36" s="4" t="s">
        <v>258</v>
      </c>
    </row>
    <row r="37" spans="1:5" s="4" customFormat="1">
      <c r="A37" s="4" t="s">
        <v>183</v>
      </c>
      <c r="B37" s="8">
        <v>1.2</v>
      </c>
      <c r="C37" s="4" t="s">
        <v>15</v>
      </c>
      <c r="D37" t="s">
        <v>205</v>
      </c>
    </row>
    <row r="38" spans="1:5" s="4" customFormat="1">
      <c r="A38" s="4" t="s">
        <v>184</v>
      </c>
      <c r="B38" s="8">
        <v>5</v>
      </c>
      <c r="C38" s="4" t="s">
        <v>15</v>
      </c>
      <c r="D38" s="4" t="s">
        <v>208</v>
      </c>
    </row>
    <row r="39" spans="1:5" s="4" customFormat="1">
      <c r="A39" s="4" t="s">
        <v>185</v>
      </c>
      <c r="B39" s="5">
        <f>B38-2*B37</f>
        <v>2.6</v>
      </c>
      <c r="C39" s="4" t="s">
        <v>15</v>
      </c>
      <c r="E39" s="4" t="s">
        <v>260</v>
      </c>
    </row>
    <row r="40" spans="1:5" s="2" customFormat="1">
      <c r="A40" s="2" t="s">
        <v>186</v>
      </c>
      <c r="B40" s="3">
        <f>B39-B36</f>
        <v>0.89205855714506788</v>
      </c>
      <c r="C40" s="2" t="s">
        <v>15</v>
      </c>
      <c r="E40" s="4" t="s">
        <v>259</v>
      </c>
    </row>
    <row r="41" spans="1:5">
      <c r="A41" t="s">
        <v>136</v>
      </c>
      <c r="B41" s="7">
        <v>9.9999999999999995E-7</v>
      </c>
      <c r="C41" t="s">
        <v>2</v>
      </c>
      <c r="D41" s="10" t="s">
        <v>125</v>
      </c>
    </row>
    <row r="42" spans="1:5">
      <c r="A42" t="s">
        <v>137</v>
      </c>
      <c r="B42" s="7">
        <v>2200</v>
      </c>
      <c r="C42" t="s">
        <v>0</v>
      </c>
      <c r="D42" s="11" t="s">
        <v>206</v>
      </c>
    </row>
    <row r="43" spans="1:5">
      <c r="A43" t="s">
        <v>138</v>
      </c>
      <c r="B43" s="1">
        <f>1/(2*PI()*B41*B42)</f>
        <v>72.343155950861529</v>
      </c>
      <c r="C43" t="s">
        <v>4</v>
      </c>
      <c r="E43" t="s">
        <v>261</v>
      </c>
    </row>
    <row r="44" spans="1:5">
      <c r="A44" t="s">
        <v>139</v>
      </c>
      <c r="B44" s="9">
        <v>5.0000000000000001E-3</v>
      </c>
      <c r="C44" t="s">
        <v>16</v>
      </c>
      <c r="D44" t="s">
        <v>205</v>
      </c>
    </row>
    <row r="45" spans="1:5">
      <c r="A45" t="s">
        <v>140</v>
      </c>
      <c r="B45" s="7">
        <v>2.5000000000000001E-3</v>
      </c>
      <c r="C45" t="s">
        <v>16</v>
      </c>
      <c r="D45" t="s">
        <v>209</v>
      </c>
    </row>
    <row r="46" spans="1:5">
      <c r="A46" t="s">
        <v>141</v>
      </c>
      <c r="B46" s="1">
        <f>B38/2200</f>
        <v>2.2727272727272726E-3</v>
      </c>
      <c r="C46" t="s">
        <v>16</v>
      </c>
      <c r="E46" t="s">
        <v>262</v>
      </c>
    </row>
    <row r="47" spans="1:5">
      <c r="A47" t="s">
        <v>146</v>
      </c>
      <c r="B47" s="1">
        <f>B44*4+B45*2+B46*2</f>
        <v>2.9545454545454548E-2</v>
      </c>
      <c r="C47" t="s">
        <v>16</v>
      </c>
      <c r="E47" t="s">
        <v>263</v>
      </c>
    </row>
    <row r="48" spans="1:5">
      <c r="A48" t="s">
        <v>147</v>
      </c>
      <c r="B48" s="9">
        <v>80000</v>
      </c>
      <c r="C48" t="s">
        <v>4</v>
      </c>
      <c r="D48" t="s">
        <v>210</v>
      </c>
    </row>
    <row r="49" spans="1:5">
      <c r="A49" t="s">
        <v>149</v>
      </c>
      <c r="B49" s="7">
        <v>0.01</v>
      </c>
      <c r="C49" t="s">
        <v>0</v>
      </c>
      <c r="D49" t="s">
        <v>211</v>
      </c>
    </row>
    <row r="50" spans="1:5">
      <c r="A50" t="s">
        <v>150</v>
      </c>
      <c r="B50" s="7">
        <v>1.0000000000000001E-5</v>
      </c>
      <c r="C50" t="s">
        <v>2</v>
      </c>
      <c r="D50" s="10" t="s">
        <v>212</v>
      </c>
    </row>
    <row r="51" spans="1:5">
      <c r="A51" t="s">
        <v>148</v>
      </c>
      <c r="B51" s="1">
        <f>$B47/($B48*B50)+2*$B47*B49</f>
        <v>3.7522727272727277E-2</v>
      </c>
      <c r="C51" t="s">
        <v>15</v>
      </c>
      <c r="E51" t="s">
        <v>264</v>
      </c>
    </row>
    <row r="52" spans="1:5">
      <c r="A52" t="s">
        <v>155</v>
      </c>
      <c r="B52" s="7">
        <v>2</v>
      </c>
      <c r="C52" t="s">
        <v>15</v>
      </c>
      <c r="D52" t="s">
        <v>208</v>
      </c>
    </row>
    <row r="53" spans="1:5">
      <c r="A53" t="s">
        <v>156</v>
      </c>
      <c r="B53" s="1">
        <f>B52/B47</f>
        <v>67.692307692307679</v>
      </c>
      <c r="C53" t="s">
        <v>0</v>
      </c>
      <c r="E53" t="s">
        <v>265</v>
      </c>
    </row>
    <row r="54" spans="1:5">
      <c r="A54" t="s">
        <v>154</v>
      </c>
      <c r="B54" s="7">
        <v>49.9</v>
      </c>
      <c r="C54" t="s">
        <v>0</v>
      </c>
      <c r="D54" s="10" t="s">
        <v>213</v>
      </c>
    </row>
    <row r="55" spans="1:5">
      <c r="A55" t="s">
        <v>157</v>
      </c>
      <c r="B55" s="7">
        <v>1.0000000000000001E-5</v>
      </c>
      <c r="C55" t="s">
        <v>2</v>
      </c>
      <c r="D55" s="10" t="s">
        <v>212</v>
      </c>
    </row>
    <row r="56" spans="1:5">
      <c r="A56" t="s">
        <v>158</v>
      </c>
      <c r="B56" s="1">
        <f>1/(2*PI()*B54*B55)</f>
        <v>318.94778174728526</v>
      </c>
      <c r="C56" t="s">
        <v>4</v>
      </c>
      <c r="E56" t="s">
        <v>261</v>
      </c>
    </row>
    <row r="57" spans="1:5">
      <c r="A57" t="s">
        <v>160</v>
      </c>
      <c r="B57" s="1">
        <f>B56/B48</f>
        <v>3.9868472718410661E-3</v>
      </c>
      <c r="C57" t="s">
        <v>11</v>
      </c>
      <c r="E57" t="s">
        <v>266</v>
      </c>
    </row>
    <row r="58" spans="1:5">
      <c r="A58" t="s">
        <v>159</v>
      </c>
      <c r="B58" s="1">
        <f>-20*LOG10(B57)</f>
        <v>47.987408019468972</v>
      </c>
      <c r="C58" t="s">
        <v>10</v>
      </c>
      <c r="E58" t="s">
        <v>267</v>
      </c>
    </row>
    <row r="59" spans="1:5">
      <c r="A59" t="s">
        <v>161</v>
      </c>
      <c r="B59" s="1">
        <f>B51*B57</f>
        <v>1.495973828593091E-4</v>
      </c>
      <c r="C59" t="s">
        <v>15</v>
      </c>
      <c r="E59" t="s">
        <v>268</v>
      </c>
    </row>
    <row r="60" spans="1:5">
      <c r="A60" t="s">
        <v>176</v>
      </c>
      <c r="B60" s="7">
        <v>9.9999999999999995E-8</v>
      </c>
      <c r="C60" t="s">
        <v>172</v>
      </c>
      <c r="D60" t="s">
        <v>214</v>
      </c>
    </row>
    <row r="61" spans="1:5">
      <c r="A61" t="s">
        <v>177</v>
      </c>
      <c r="B61" s="1">
        <f>2*PI()*B60*100000000</f>
        <v>62.831853071795862</v>
      </c>
      <c r="C61" t="s">
        <v>178</v>
      </c>
      <c r="E61" t="s">
        <v>269</v>
      </c>
    </row>
    <row r="62" spans="1:5">
      <c r="A62" t="s">
        <v>173</v>
      </c>
      <c r="B62" s="7">
        <v>9.0999999999999993E-6</v>
      </c>
      <c r="C62" t="s">
        <v>2</v>
      </c>
      <c r="D62" s="10" t="s">
        <v>215</v>
      </c>
    </row>
    <row r="63" spans="1:5">
      <c r="A63" t="s">
        <v>174</v>
      </c>
      <c r="B63" s="1">
        <f>1/(2*PI()*SQRT(B60*B62))</f>
        <v>166839.71353257369</v>
      </c>
      <c r="C63" t="s">
        <v>4</v>
      </c>
      <c r="E63" t="s">
        <v>270</v>
      </c>
    </row>
    <row r="64" spans="1:5">
      <c r="A64" t="s">
        <v>175</v>
      </c>
      <c r="B64">
        <f>1/SQRT(2)</f>
        <v>0.70710678118654746</v>
      </c>
      <c r="E64" t="s">
        <v>271</v>
      </c>
    </row>
    <row r="65" spans="1:5">
      <c r="A65" t="s">
        <v>179</v>
      </c>
      <c r="B65" s="1">
        <f>2*PI()*B63*B60/B64</f>
        <v>0.14824986333222023</v>
      </c>
      <c r="E65" t="s">
        <v>272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B9" sqref="B9"/>
    </sheetView>
  </sheetViews>
  <sheetFormatPr baseColWidth="10" defaultRowHeight="23" x14ac:dyDescent="0"/>
  <cols>
    <col min="1" max="1" width="31.296875" style="4" customWidth="1"/>
    <col min="2" max="2" width="30.5" style="4" customWidth="1"/>
    <col min="3" max="4" width="9" style="4" customWidth="1"/>
    <col min="5" max="5" width="18.09765625" style="4" customWidth="1"/>
    <col min="6" max="6" width="18" style="4" customWidth="1"/>
    <col min="7" max="7" width="14.59765625" style="4" customWidth="1"/>
    <col min="8" max="8" width="6.796875" style="4" customWidth="1"/>
    <col min="9" max="9" width="32.59765625" style="4" customWidth="1"/>
    <col min="10" max="10" width="29.19921875" style="4" customWidth="1"/>
    <col min="11" max="16384" width="10.69921875" style="4"/>
  </cols>
  <sheetData>
    <row r="1" spans="1:10" s="19" customFormat="1">
      <c r="B1" s="19" t="s">
        <v>221</v>
      </c>
      <c r="C1" s="19" t="s">
        <v>216</v>
      </c>
      <c r="D1" s="19" t="s">
        <v>216</v>
      </c>
      <c r="E1" s="19" t="s">
        <v>217</v>
      </c>
      <c r="F1" s="19" t="s">
        <v>218</v>
      </c>
      <c r="G1" s="19" t="s">
        <v>219</v>
      </c>
      <c r="H1" s="19" t="s">
        <v>220</v>
      </c>
      <c r="I1" s="19" t="s">
        <v>221</v>
      </c>
      <c r="J1" s="19" t="s">
        <v>222</v>
      </c>
    </row>
    <row r="2" spans="1:10">
      <c r="C2" s="4" t="s">
        <v>83</v>
      </c>
      <c r="D2" s="4" t="s">
        <v>84</v>
      </c>
    </row>
    <row r="3" spans="1:10">
      <c r="A3" s="4" t="s">
        <v>27</v>
      </c>
      <c r="B3" s="4" t="s">
        <v>28</v>
      </c>
      <c r="C3" s="4">
        <v>4.59</v>
      </c>
      <c r="D3" s="4">
        <v>3.37</v>
      </c>
      <c r="E3" s="4" t="s">
        <v>85</v>
      </c>
      <c r="F3" s="14" t="s">
        <v>77</v>
      </c>
      <c r="G3" s="4" t="s">
        <v>75</v>
      </c>
      <c r="I3" s="6" t="s">
        <v>78</v>
      </c>
    </row>
    <row r="4" spans="1:10">
      <c r="B4" s="4" t="s">
        <v>79</v>
      </c>
      <c r="C4" s="4">
        <v>3.65</v>
      </c>
      <c r="D4" s="4">
        <v>2.6894</v>
      </c>
      <c r="E4" s="4" t="s">
        <v>80</v>
      </c>
      <c r="F4" s="4" t="s">
        <v>81</v>
      </c>
      <c r="G4" s="4" t="s">
        <v>75</v>
      </c>
      <c r="I4" s="6" t="s">
        <v>82</v>
      </c>
      <c r="J4" s="4" t="s">
        <v>86</v>
      </c>
    </row>
    <row r="5" spans="1:10">
      <c r="E5" s="12"/>
      <c r="F5" s="12"/>
      <c r="I5" s="6"/>
    </row>
    <row r="6" spans="1:10">
      <c r="A6" s="4" t="s">
        <v>142</v>
      </c>
      <c r="B6" s="6" t="s">
        <v>233</v>
      </c>
      <c r="C6" s="4">
        <v>0.39</v>
      </c>
      <c r="D6" s="4">
        <v>0.2175</v>
      </c>
      <c r="E6" s="6" t="s">
        <v>144</v>
      </c>
      <c r="F6" s="15" t="s">
        <v>143</v>
      </c>
      <c r="G6" s="6" t="s">
        <v>75</v>
      </c>
      <c r="I6" s="6" t="s">
        <v>145</v>
      </c>
    </row>
    <row r="7" spans="1:10">
      <c r="E7" s="12"/>
      <c r="F7" s="12"/>
      <c r="I7" s="6"/>
    </row>
    <row r="8" spans="1:10">
      <c r="A8" s="2" t="s">
        <v>230</v>
      </c>
      <c r="E8" s="12"/>
      <c r="F8" s="12"/>
      <c r="I8" s="6"/>
    </row>
    <row r="9" spans="1:10">
      <c r="A9" s="4" t="s">
        <v>29</v>
      </c>
      <c r="B9" s="4" t="s">
        <v>40</v>
      </c>
      <c r="C9" s="6">
        <v>0.35</v>
      </c>
      <c r="D9" s="6">
        <v>0.12189999999999999</v>
      </c>
      <c r="E9" s="4" t="s">
        <v>32</v>
      </c>
      <c r="F9" s="4" t="s">
        <v>33</v>
      </c>
      <c r="G9" s="4" t="s">
        <v>34</v>
      </c>
      <c r="H9" s="12"/>
      <c r="I9" s="6" t="s">
        <v>35</v>
      </c>
    </row>
    <row r="10" spans="1:10">
      <c r="C10" s="6">
        <v>0.41</v>
      </c>
      <c r="D10" s="6">
        <v>0.1182</v>
      </c>
      <c r="E10" s="4" t="s">
        <v>36</v>
      </c>
      <c r="F10" s="14" t="s">
        <v>37</v>
      </c>
      <c r="G10" s="4" t="s">
        <v>38</v>
      </c>
      <c r="H10" s="12"/>
      <c r="I10" s="6" t="s">
        <v>35</v>
      </c>
      <c r="J10" s="4" t="s">
        <v>232</v>
      </c>
    </row>
    <row r="11" spans="1:10">
      <c r="C11" s="6"/>
      <c r="D11" s="6"/>
      <c r="E11" s="12"/>
      <c r="F11" s="12"/>
      <c r="G11" s="12"/>
      <c r="H11" s="12"/>
      <c r="I11" s="6"/>
    </row>
    <row r="12" spans="1:10">
      <c r="A12" s="4" t="s">
        <v>30</v>
      </c>
      <c r="B12" s="4" t="s">
        <v>41</v>
      </c>
      <c r="E12" s="4" t="s">
        <v>42</v>
      </c>
      <c r="F12" s="4" t="s">
        <v>43</v>
      </c>
      <c r="G12" s="4" t="s">
        <v>44</v>
      </c>
      <c r="H12" s="12"/>
      <c r="I12" s="4" t="s">
        <v>39</v>
      </c>
    </row>
    <row r="13" spans="1:10">
      <c r="E13" s="4" t="s">
        <v>45</v>
      </c>
      <c r="F13" s="4" t="s">
        <v>46</v>
      </c>
      <c r="G13" s="4" t="s">
        <v>34</v>
      </c>
      <c r="H13" s="12"/>
      <c r="I13" s="6" t="s">
        <v>39</v>
      </c>
    </row>
    <row r="14" spans="1:10">
      <c r="E14" s="12"/>
      <c r="F14" s="12"/>
      <c r="G14" s="12"/>
      <c r="H14" s="12"/>
      <c r="I14" s="6"/>
    </row>
    <row r="15" spans="1:10">
      <c r="A15" s="4" t="s">
        <v>31</v>
      </c>
      <c r="B15" s="4" t="s">
        <v>200</v>
      </c>
      <c r="C15" s="4">
        <v>0.39</v>
      </c>
      <c r="D15" s="4">
        <v>0.11260000000000001</v>
      </c>
      <c r="E15" s="6" t="s">
        <v>194</v>
      </c>
      <c r="F15" s="15" t="s">
        <v>196</v>
      </c>
      <c r="G15" s="12" t="s">
        <v>195</v>
      </c>
      <c r="H15" s="12"/>
      <c r="I15" s="6" t="s">
        <v>193</v>
      </c>
      <c r="J15" s="4" t="s">
        <v>232</v>
      </c>
    </row>
    <row r="16" spans="1:10">
      <c r="C16" s="4">
        <v>0.61</v>
      </c>
      <c r="D16" s="4">
        <v>0.26229999999999998</v>
      </c>
      <c r="E16" s="6" t="s">
        <v>199</v>
      </c>
      <c r="F16" s="6" t="s">
        <v>198</v>
      </c>
      <c r="G16" s="12" t="s">
        <v>197</v>
      </c>
      <c r="H16" s="12"/>
      <c r="I16" s="6"/>
    </row>
    <row r="17" spans="1:10">
      <c r="E17" s="6"/>
      <c r="F17" s="6"/>
      <c r="G17" s="12"/>
      <c r="H17" s="12"/>
      <c r="I17" s="6"/>
    </row>
    <row r="18" spans="1:10">
      <c r="A18" s="4" t="s">
        <v>31</v>
      </c>
      <c r="B18" s="4" t="s">
        <v>59</v>
      </c>
      <c r="E18" s="4" t="s">
        <v>60</v>
      </c>
      <c r="F18" s="4" t="s">
        <v>61</v>
      </c>
      <c r="G18" s="4" t="s">
        <v>38</v>
      </c>
      <c r="H18" s="12"/>
      <c r="I18" s="6" t="s">
        <v>62</v>
      </c>
    </row>
    <row r="19" spans="1:10">
      <c r="E19" s="4" t="s">
        <v>63</v>
      </c>
      <c r="F19" s="4" t="s">
        <v>64</v>
      </c>
      <c r="G19" s="4" t="s">
        <v>44</v>
      </c>
      <c r="H19" s="12"/>
      <c r="I19" s="6" t="s">
        <v>62</v>
      </c>
    </row>
    <row r="20" spans="1:10">
      <c r="E20" s="12"/>
      <c r="F20" s="12"/>
      <c r="G20" s="12"/>
      <c r="H20" s="12"/>
      <c r="I20" s="6"/>
    </row>
    <row r="21" spans="1:10">
      <c r="A21" s="4" t="s">
        <v>58</v>
      </c>
      <c r="B21" s="4" t="s">
        <v>47</v>
      </c>
      <c r="C21" s="4">
        <v>0.41</v>
      </c>
      <c r="D21" s="4">
        <v>0.1182</v>
      </c>
      <c r="E21" s="4" t="s">
        <v>48</v>
      </c>
      <c r="F21" s="14" t="s">
        <v>49</v>
      </c>
      <c r="G21" s="4" t="s">
        <v>38</v>
      </c>
      <c r="H21" s="12"/>
      <c r="I21" s="6" t="s">
        <v>50</v>
      </c>
      <c r="J21" s="4" t="s">
        <v>232</v>
      </c>
    </row>
    <row r="22" spans="1:10">
      <c r="E22" s="4" t="s">
        <v>51</v>
      </c>
      <c r="F22" s="4" t="s">
        <v>52</v>
      </c>
      <c r="G22" s="4" t="s">
        <v>44</v>
      </c>
      <c r="H22" s="12"/>
    </row>
    <row r="23" spans="1:10">
      <c r="E23" s="4" t="s">
        <v>53</v>
      </c>
      <c r="F23" s="4" t="s">
        <v>54</v>
      </c>
      <c r="G23" s="4" t="s">
        <v>34</v>
      </c>
      <c r="H23" s="12"/>
    </row>
    <row r="25" spans="1:10">
      <c r="A25" s="4" t="s">
        <v>72</v>
      </c>
      <c r="B25" s="6" t="s">
        <v>76</v>
      </c>
      <c r="C25" s="4">
        <v>1.1000000000000001</v>
      </c>
      <c r="D25" s="4">
        <v>0.76759999999999995</v>
      </c>
      <c r="E25" s="4" t="s">
        <v>73</v>
      </c>
      <c r="F25" s="14" t="s">
        <v>74</v>
      </c>
      <c r="G25" s="4" t="s">
        <v>75</v>
      </c>
      <c r="I25" s="6" t="s">
        <v>76</v>
      </c>
      <c r="J25" s="4" t="s">
        <v>229</v>
      </c>
    </row>
    <row r="26" spans="1:10">
      <c r="A26" s="4" t="s">
        <v>87</v>
      </c>
      <c r="B26" s="6" t="s">
        <v>90</v>
      </c>
      <c r="C26" s="6">
        <v>0.41</v>
      </c>
      <c r="E26" s="4" t="s">
        <v>88</v>
      </c>
      <c r="F26" s="14" t="s">
        <v>89</v>
      </c>
      <c r="G26" s="4" t="s">
        <v>75</v>
      </c>
      <c r="I26" s="6" t="s">
        <v>90</v>
      </c>
    </row>
    <row r="28" spans="1:10">
      <c r="A28" s="4" t="s">
        <v>91</v>
      </c>
      <c r="B28" s="6" t="s">
        <v>94</v>
      </c>
      <c r="C28" s="4">
        <v>2.87</v>
      </c>
      <c r="E28" s="4" t="s">
        <v>92</v>
      </c>
      <c r="F28" s="4" t="s">
        <v>93</v>
      </c>
      <c r="G28" s="4" t="s">
        <v>75</v>
      </c>
      <c r="J28" s="4" t="s">
        <v>228</v>
      </c>
    </row>
    <row r="30" spans="1:10">
      <c r="A30" s="4" t="s">
        <v>95</v>
      </c>
      <c r="B30" s="4" t="s">
        <v>96</v>
      </c>
      <c r="C30" s="4" t="s">
        <v>97</v>
      </c>
      <c r="J30" s="4" t="s">
        <v>227</v>
      </c>
    </row>
    <row r="32" spans="1:10">
      <c r="A32" s="4" t="s">
        <v>131</v>
      </c>
      <c r="B32" s="13" t="s">
        <v>98</v>
      </c>
      <c r="C32" s="4">
        <v>0.1</v>
      </c>
      <c r="D32" s="4">
        <v>9.1000000000000004E-3</v>
      </c>
      <c r="E32" s="6" t="s">
        <v>101</v>
      </c>
      <c r="F32" s="16" t="s">
        <v>99</v>
      </c>
      <c r="G32" s="4" t="s">
        <v>100</v>
      </c>
      <c r="H32" s="4">
        <v>8</v>
      </c>
      <c r="I32" s="13" t="s">
        <v>98</v>
      </c>
    </row>
    <row r="33" spans="1:10">
      <c r="A33" s="4" t="s">
        <v>130</v>
      </c>
      <c r="B33" s="13" t="s">
        <v>124</v>
      </c>
      <c r="C33" s="4">
        <v>0.2</v>
      </c>
      <c r="D33" s="4">
        <v>6.83E-2</v>
      </c>
      <c r="E33" s="6" t="s">
        <v>126</v>
      </c>
      <c r="F33" s="15" t="s">
        <v>127</v>
      </c>
      <c r="G33" s="4" t="s">
        <v>100</v>
      </c>
      <c r="H33" s="4">
        <v>171</v>
      </c>
      <c r="I33" s="13" t="s">
        <v>124</v>
      </c>
    </row>
    <row r="34" spans="1:10">
      <c r="A34" s="4" t="s">
        <v>129</v>
      </c>
      <c r="B34" s="13" t="s">
        <v>103</v>
      </c>
      <c r="C34" s="4">
        <v>0.1</v>
      </c>
      <c r="D34" s="4">
        <v>3.0200000000000001E-3</v>
      </c>
      <c r="E34" s="6" t="s">
        <v>104</v>
      </c>
      <c r="F34" s="13" t="s">
        <v>102</v>
      </c>
      <c r="G34" s="4" t="s">
        <v>100</v>
      </c>
      <c r="H34" s="4">
        <v>10</v>
      </c>
      <c r="I34" s="13" t="s">
        <v>103</v>
      </c>
    </row>
    <row r="35" spans="1:10">
      <c r="A35" s="4" t="s">
        <v>128</v>
      </c>
      <c r="B35" s="6" t="s">
        <v>135</v>
      </c>
      <c r="C35" s="4">
        <v>0.63</v>
      </c>
      <c r="D35" s="4">
        <v>0.29189999999999999</v>
      </c>
      <c r="E35" s="6" t="s">
        <v>134</v>
      </c>
      <c r="F35" s="6" t="s">
        <v>132</v>
      </c>
      <c r="G35" s="4" t="s">
        <v>133</v>
      </c>
      <c r="H35" s="4">
        <v>12</v>
      </c>
      <c r="I35" s="6" t="s">
        <v>135</v>
      </c>
    </row>
    <row r="36" spans="1:10">
      <c r="A36" s="4" t="s">
        <v>162</v>
      </c>
      <c r="B36" s="6" t="s">
        <v>152</v>
      </c>
      <c r="C36" s="4">
        <v>0.26</v>
      </c>
      <c r="D36" s="4">
        <v>0.1026</v>
      </c>
      <c r="E36" s="6" t="s">
        <v>153</v>
      </c>
      <c r="F36" s="6" t="s">
        <v>151</v>
      </c>
      <c r="G36" s="4" t="s">
        <v>100</v>
      </c>
      <c r="I36" s="6" t="s">
        <v>152</v>
      </c>
    </row>
    <row r="37" spans="1:10">
      <c r="A37" s="4" t="s">
        <v>163</v>
      </c>
      <c r="B37" s="6" t="s">
        <v>166</v>
      </c>
      <c r="C37" s="4">
        <v>0.43</v>
      </c>
      <c r="D37" s="4">
        <v>0.18110000000000001</v>
      </c>
      <c r="E37" s="6" t="s">
        <v>164</v>
      </c>
      <c r="F37" s="15" t="s">
        <v>165</v>
      </c>
      <c r="G37" s="4" t="s">
        <v>100</v>
      </c>
      <c r="I37" s="6" t="s">
        <v>166</v>
      </c>
    </row>
    <row r="38" spans="1:10">
      <c r="A38" s="4" t="s">
        <v>105</v>
      </c>
      <c r="B38" s="13" t="s">
        <v>106</v>
      </c>
      <c r="C38" s="4">
        <v>0.1</v>
      </c>
      <c r="D38" s="4">
        <v>1.29E-2</v>
      </c>
      <c r="E38" s="6" t="s">
        <v>109</v>
      </c>
      <c r="F38" s="13" t="s">
        <v>107</v>
      </c>
      <c r="G38" s="13" t="s">
        <v>108</v>
      </c>
      <c r="H38" s="4">
        <v>161</v>
      </c>
      <c r="I38" s="13" t="s">
        <v>106</v>
      </c>
    </row>
    <row r="40" spans="1:10">
      <c r="A40" s="4" t="s">
        <v>113</v>
      </c>
      <c r="B40" s="6" t="s">
        <v>112</v>
      </c>
      <c r="C40" s="4">
        <v>1.03</v>
      </c>
      <c r="D40" s="4">
        <v>0.77829999999999999</v>
      </c>
      <c r="E40" s="6" t="s">
        <v>111</v>
      </c>
      <c r="F40" s="16" t="s">
        <v>110</v>
      </c>
      <c r="G40" s="4" t="s">
        <v>114</v>
      </c>
      <c r="H40" s="4">
        <v>32</v>
      </c>
      <c r="J40" s="11" t="s">
        <v>226</v>
      </c>
    </row>
    <row r="41" spans="1:10">
      <c r="B41" s="6"/>
      <c r="E41" s="6"/>
      <c r="F41" s="13"/>
      <c r="J41" s="11"/>
    </row>
    <row r="42" spans="1:10" s="2" customFormat="1">
      <c r="A42" s="2" t="s">
        <v>231</v>
      </c>
    </row>
    <row r="43" spans="1:10">
      <c r="A43" s="4" t="s">
        <v>116</v>
      </c>
      <c r="B43" s="13" t="s">
        <v>115</v>
      </c>
      <c r="C43" s="4">
        <v>0.51</v>
      </c>
      <c r="D43" s="4">
        <v>0.33400000000000002</v>
      </c>
      <c r="E43" s="4" t="s">
        <v>117</v>
      </c>
      <c r="F43" s="15" t="s">
        <v>118</v>
      </c>
      <c r="G43" s="4" t="s">
        <v>119</v>
      </c>
      <c r="H43" s="4">
        <v>39</v>
      </c>
      <c r="I43" s="13" t="s">
        <v>115</v>
      </c>
      <c r="J43" s="6" t="s">
        <v>223</v>
      </c>
    </row>
    <row r="44" spans="1:10">
      <c r="B44" s="13" t="s">
        <v>120</v>
      </c>
      <c r="E44" s="6" t="s">
        <v>121</v>
      </c>
      <c r="F44" s="6" t="s">
        <v>122</v>
      </c>
      <c r="G44" s="4" t="s">
        <v>123</v>
      </c>
      <c r="H44" s="4">
        <v>169</v>
      </c>
      <c r="I44" s="4" t="s">
        <v>239</v>
      </c>
    </row>
    <row r="45" spans="1:10">
      <c r="B45" s="13"/>
      <c r="E45" s="6"/>
      <c r="F45" s="6"/>
    </row>
    <row r="46" spans="1:10">
      <c r="A46" s="4" t="s">
        <v>167</v>
      </c>
      <c r="B46" s="6" t="s">
        <v>168</v>
      </c>
      <c r="C46" s="4">
        <v>0.64</v>
      </c>
      <c r="D46" s="4">
        <v>0.4017</v>
      </c>
      <c r="E46" s="6" t="s">
        <v>169</v>
      </c>
      <c r="F46" s="15" t="s">
        <v>170</v>
      </c>
      <c r="G46" s="6" t="s">
        <v>171</v>
      </c>
      <c r="J46" s="6" t="s">
        <v>225</v>
      </c>
    </row>
    <row r="48" spans="1:10">
      <c r="A48" s="4" t="s">
        <v>189</v>
      </c>
      <c r="B48" s="6" t="s">
        <v>191</v>
      </c>
      <c r="C48" s="4">
        <v>0.1</v>
      </c>
      <c r="D48" s="4">
        <v>4.5100000000000001E-2</v>
      </c>
      <c r="E48" s="6" t="s">
        <v>192</v>
      </c>
      <c r="F48" s="15" t="s">
        <v>190</v>
      </c>
      <c r="G48" s="6" t="s">
        <v>100</v>
      </c>
      <c r="I48" s="6" t="s">
        <v>191</v>
      </c>
      <c r="J48" s="6" t="s">
        <v>224</v>
      </c>
    </row>
    <row r="50" spans="1:9">
      <c r="A50" s="4" t="s">
        <v>234</v>
      </c>
      <c r="B50" s="6" t="s">
        <v>237</v>
      </c>
      <c r="C50" s="4">
        <v>0.37</v>
      </c>
      <c r="D50" s="4">
        <v>0.15890000000000001</v>
      </c>
      <c r="E50" s="6" t="s">
        <v>236</v>
      </c>
      <c r="F50" s="14" t="s">
        <v>235</v>
      </c>
      <c r="G50" s="4" t="s">
        <v>238</v>
      </c>
      <c r="I50" s="6" t="s">
        <v>237</v>
      </c>
    </row>
    <row r="52" spans="1:9">
      <c r="A52" s="18" t="s">
        <v>240</v>
      </c>
      <c r="B52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requirements</vt:lpstr>
      <vt:lpstr>components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Anderson</dc:creator>
  <cp:lastModifiedBy>Tom Anderson</cp:lastModifiedBy>
  <dcterms:created xsi:type="dcterms:W3CDTF">2017-04-10T02:55:26Z</dcterms:created>
  <dcterms:modified xsi:type="dcterms:W3CDTF">2017-04-20T05:59:54Z</dcterms:modified>
</cp:coreProperties>
</file>