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OneDrive\Documentos\GitHub\Curso\pruebas_excel\"/>
    </mc:Choice>
  </mc:AlternateContent>
  <xr:revisionPtr revIDLastSave="0" documentId="13_ncr:1_{BE385075-8B4A-4B03-9D76-1EE82DEDEFC4}" xr6:coauthVersionLast="47" xr6:coauthVersionMax="47" xr10:uidLastSave="{00000000-0000-0000-0000-000000000000}"/>
  <bookViews>
    <workbookView xWindow="-120" yWindow="-120" windowWidth="20730" windowHeight="11040" firstSheet="6" activeTab="8" xr2:uid="{62209EFC-6F33-EC4B-8C85-8A40E729A62E}"/>
  </bookViews>
  <sheets>
    <sheet name="INICIO" sheetId="13" r:id="rId1"/>
    <sheet name="CARRITO" sheetId="12" r:id="rId2"/>
    <sheet name="AL25 CORREDERA" sheetId="15" r:id="rId3"/>
    <sheet name="AL42 ABATIBLE Y PROY" sheetId="24" r:id="rId4"/>
    <sheet name="PVC CORREDERA BL" sheetId="18" r:id="rId5"/>
    <sheet name="PVC CORREDERA FOLIO" sheetId="6" r:id="rId6"/>
    <sheet name="PVC ABATIBLE Y PROY BL" sheetId="21" r:id="rId7"/>
    <sheet name="PVC ABATIBLE Y PROY FOLIO" sheetId="23" r:id="rId8"/>
    <sheet name="Hoja1" sheetId="27" r:id="rId9"/>
    <sheet name="Lugar de instalación" sheetId="25" state="hidden" r:id="rId10"/>
    <sheet name="COSTOS ALUMINIO" sheetId="19" state="hidden" r:id="rId11"/>
    <sheet name="COSTOS PVC" sheetId="17" state="hidden" r:id="rId12"/>
    <sheet name="IMAGENES" sheetId="26" state="hidden" r:id="rId13"/>
    <sheet name="COSTOS VIDRIOS" sheetId="16" state="hidden" r:id="rId14"/>
    <sheet name="COSTOS XELENTIA" sheetId="20" state="hidden" r:id="rId15"/>
    <sheet name="AL25 LAMINADO" sheetId="14" state="hidden" r:id="rId16"/>
    <sheet name="S-35" sheetId="2" state="hidden" r:id="rId17"/>
    <sheet name="X69" sheetId="4" state="hidden" r:id="rId18"/>
    <sheet name="X43" sheetId="5" state="hidden" r:id="rId1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6" l="1"/>
  <c r="B15" i="23" l="1"/>
  <c r="B285" i="23" l="1"/>
  <c r="B255" i="23"/>
  <c r="B225" i="23"/>
  <c r="B195" i="23"/>
  <c r="B165" i="23"/>
  <c r="B135" i="23"/>
  <c r="B105" i="23"/>
  <c r="B75" i="23"/>
  <c r="B45" i="23"/>
  <c r="B285" i="21"/>
  <c r="B255" i="21"/>
  <c r="B225" i="21"/>
  <c r="B195" i="21"/>
  <c r="B165" i="21"/>
  <c r="B135" i="21"/>
  <c r="B105" i="21"/>
  <c r="B75" i="21"/>
  <c r="B45" i="21"/>
  <c r="B15" i="21"/>
  <c r="B14" i="6"/>
  <c r="B44" i="24"/>
  <c r="B15" i="24"/>
  <c r="B284" i="18"/>
  <c r="B254" i="18"/>
  <c r="B224" i="18"/>
  <c r="B194" i="18"/>
  <c r="B164" i="18"/>
  <c r="B134" i="18"/>
  <c r="B104" i="18"/>
  <c r="B74" i="18"/>
  <c r="B44" i="18"/>
  <c r="B14" i="18"/>
  <c r="B276" i="24"/>
  <c r="B247" i="24"/>
  <c r="B218" i="24"/>
  <c r="B189" i="24"/>
  <c r="B160" i="24"/>
  <c r="B131" i="24"/>
  <c r="B102" i="24"/>
  <c r="B73" i="24"/>
  <c r="B14" i="15"/>
  <c r="D5" i="23"/>
  <c r="D5" i="21"/>
  <c r="D5" i="18"/>
  <c r="D5" i="24"/>
  <c r="L14" i="12"/>
  <c r="F14" i="12"/>
  <c r="B14" i="12"/>
  <c r="M2" i="25"/>
  <c r="L2" i="25"/>
  <c r="F13" i="12"/>
  <c r="B13" i="12"/>
  <c r="D4" i="15"/>
  <c r="B212" i="15"/>
  <c r="B190" i="15"/>
  <c r="B168" i="15"/>
  <c r="B146" i="15"/>
  <c r="B124" i="15"/>
  <c r="B284" i="6"/>
  <c r="B254" i="6"/>
  <c r="B224" i="6"/>
  <c r="B194" i="6"/>
  <c r="B164" i="6"/>
  <c r="B134" i="6"/>
  <c r="B104" i="6"/>
  <c r="B74" i="6"/>
  <c r="B44" i="6"/>
  <c r="D5" i="6"/>
  <c r="G3" i="18" l="1"/>
  <c r="I8" i="18" s="1"/>
  <c r="J8" i="18" s="1"/>
  <c r="G3" i="23"/>
  <c r="I8" i="23" s="1"/>
  <c r="J8" i="23" s="1"/>
  <c r="G3" i="21"/>
  <c r="I7" i="21" s="1"/>
  <c r="J7" i="21" s="1"/>
  <c r="G3" i="6"/>
  <c r="I7" i="6" s="1"/>
  <c r="J7" i="6" s="1"/>
  <c r="G3" i="24"/>
  <c r="I8" i="24" s="1"/>
  <c r="I8" i="6" l="1"/>
  <c r="J8" i="6" s="1"/>
  <c r="J6" i="6"/>
  <c r="I7" i="18"/>
  <c r="J7" i="18" s="1"/>
  <c r="I6" i="18"/>
  <c r="I6" i="23"/>
  <c r="J6" i="23" s="1"/>
  <c r="I7" i="23"/>
  <c r="J7" i="23" s="1"/>
  <c r="I8" i="21"/>
  <c r="J8" i="21" s="1"/>
  <c r="I6" i="21"/>
  <c r="J6" i="21" s="1"/>
  <c r="J6" i="18"/>
  <c r="I7" i="24"/>
  <c r="J7" i="24" s="1"/>
  <c r="I6" i="24"/>
  <c r="J6" i="24" s="1"/>
  <c r="J8" i="24"/>
  <c r="D5" i="15"/>
  <c r="J3" i="25"/>
  <c r="J4" i="25"/>
  <c r="J5" i="25"/>
  <c r="J6" i="25"/>
  <c r="J2" i="25"/>
  <c r="B102" i="15" l="1"/>
  <c r="B80" i="15"/>
  <c r="B58" i="15"/>
  <c r="B36" i="15"/>
  <c r="E3" i="25"/>
  <c r="I3" i="25" s="1"/>
  <c r="E4" i="25"/>
  <c r="E5" i="25"/>
  <c r="E6" i="25"/>
  <c r="E2" i="25"/>
  <c r="H3" i="25"/>
  <c r="H4" i="25"/>
  <c r="H5" i="25"/>
  <c r="H6" i="25"/>
  <c r="H2" i="25"/>
  <c r="D50" i="24"/>
  <c r="D297" i="24"/>
  <c r="C297" i="24"/>
  <c r="B297" i="24"/>
  <c r="F295" i="24"/>
  <c r="D295" i="24"/>
  <c r="F294" i="24"/>
  <c r="D294" i="24"/>
  <c r="F293" i="24"/>
  <c r="D293" i="24"/>
  <c r="F292" i="24"/>
  <c r="D292" i="24"/>
  <c r="G290" i="24"/>
  <c r="H290" i="24" s="1"/>
  <c r="E290" i="24"/>
  <c r="D290" i="24"/>
  <c r="G289" i="24"/>
  <c r="H289" i="24" s="1"/>
  <c r="E289" i="24"/>
  <c r="D289" i="24"/>
  <c r="G288" i="24"/>
  <c r="H288" i="24" s="1"/>
  <c r="E288" i="24"/>
  <c r="D288" i="24"/>
  <c r="G287" i="24"/>
  <c r="H287" i="24" s="1"/>
  <c r="E287" i="24"/>
  <c r="D287" i="24"/>
  <c r="G286" i="24"/>
  <c r="H286" i="24" s="1"/>
  <c r="E286" i="24"/>
  <c r="D286" i="24"/>
  <c r="G285" i="24"/>
  <c r="H285" i="24" s="1"/>
  <c r="E285" i="24"/>
  <c r="D285" i="24"/>
  <c r="G284" i="24"/>
  <c r="H284" i="24" s="1"/>
  <c r="E284" i="24"/>
  <c r="D284" i="24"/>
  <c r="G283" i="24"/>
  <c r="H283" i="24" s="1"/>
  <c r="E283" i="24"/>
  <c r="D283" i="24"/>
  <c r="G282" i="24"/>
  <c r="H282" i="24" s="1"/>
  <c r="E282" i="24"/>
  <c r="D282" i="24"/>
  <c r="G281" i="24"/>
  <c r="H281" i="24" s="1"/>
  <c r="E281" i="24"/>
  <c r="D281" i="24"/>
  <c r="G280" i="24"/>
  <c r="H280" i="24" s="1"/>
  <c r="E280" i="24"/>
  <c r="D280" i="24"/>
  <c r="D268" i="24"/>
  <c r="C268" i="24"/>
  <c r="B268" i="24"/>
  <c r="F266" i="24"/>
  <c r="D266" i="24"/>
  <c r="F265" i="24"/>
  <c r="D265" i="24"/>
  <c r="F264" i="24"/>
  <c r="D264" i="24"/>
  <c r="F263" i="24"/>
  <c r="D263" i="24"/>
  <c r="G261" i="24"/>
  <c r="H261" i="24" s="1"/>
  <c r="E261" i="24"/>
  <c r="D261" i="24"/>
  <c r="G260" i="24"/>
  <c r="H260" i="24" s="1"/>
  <c r="E260" i="24"/>
  <c r="D260" i="24"/>
  <c r="G259" i="24"/>
  <c r="H259" i="24" s="1"/>
  <c r="E259" i="24"/>
  <c r="D259" i="24"/>
  <c r="G258" i="24"/>
  <c r="H258" i="24" s="1"/>
  <c r="E258" i="24"/>
  <c r="D258" i="24"/>
  <c r="G257" i="24"/>
  <c r="H257" i="24" s="1"/>
  <c r="E257" i="24"/>
  <c r="D257" i="24"/>
  <c r="G256" i="24"/>
  <c r="H256" i="24" s="1"/>
  <c r="E256" i="24"/>
  <c r="D256" i="24"/>
  <c r="G255" i="24"/>
  <c r="H255" i="24" s="1"/>
  <c r="E255" i="24"/>
  <c r="D255" i="24"/>
  <c r="G254" i="24"/>
  <c r="H254" i="24" s="1"/>
  <c r="E254" i="24"/>
  <c r="D254" i="24"/>
  <c r="G253" i="24"/>
  <c r="H253" i="24" s="1"/>
  <c r="E253" i="24"/>
  <c r="D253" i="24"/>
  <c r="G252" i="24"/>
  <c r="H252" i="24" s="1"/>
  <c r="E252" i="24"/>
  <c r="D252" i="24"/>
  <c r="G251" i="24"/>
  <c r="H251" i="24" s="1"/>
  <c r="E251" i="24"/>
  <c r="D251" i="24"/>
  <c r="D239" i="24"/>
  <c r="C239" i="24"/>
  <c r="B239" i="24"/>
  <c r="F237" i="24"/>
  <c r="D237" i="24"/>
  <c r="F236" i="24"/>
  <c r="D236" i="24"/>
  <c r="F235" i="24"/>
  <c r="D235" i="24"/>
  <c r="F234" i="24"/>
  <c r="D234" i="24"/>
  <c r="G232" i="24"/>
  <c r="H232" i="24" s="1"/>
  <c r="E232" i="24"/>
  <c r="D232" i="24"/>
  <c r="G231" i="24"/>
  <c r="H231" i="24" s="1"/>
  <c r="E231" i="24"/>
  <c r="D231" i="24"/>
  <c r="G230" i="24"/>
  <c r="H230" i="24" s="1"/>
  <c r="E230" i="24"/>
  <c r="D230" i="24"/>
  <c r="G229" i="24"/>
  <c r="H229" i="24" s="1"/>
  <c r="E229" i="24"/>
  <c r="D229" i="24"/>
  <c r="G228" i="24"/>
  <c r="H228" i="24" s="1"/>
  <c r="E228" i="24"/>
  <c r="D228" i="24"/>
  <c r="G227" i="24"/>
  <c r="H227" i="24" s="1"/>
  <c r="E227" i="24"/>
  <c r="D227" i="24"/>
  <c r="G226" i="24"/>
  <c r="H226" i="24" s="1"/>
  <c r="E226" i="24"/>
  <c r="D226" i="24"/>
  <c r="G225" i="24"/>
  <c r="H225" i="24" s="1"/>
  <c r="E225" i="24"/>
  <c r="D225" i="24"/>
  <c r="G224" i="24"/>
  <c r="H224" i="24" s="1"/>
  <c r="E224" i="24"/>
  <c r="D224" i="24"/>
  <c r="G223" i="24"/>
  <c r="H223" i="24" s="1"/>
  <c r="E223" i="24"/>
  <c r="D223" i="24"/>
  <c r="G222" i="24"/>
  <c r="H222" i="24" s="1"/>
  <c r="E222" i="24"/>
  <c r="D222" i="24"/>
  <c r="D210" i="24"/>
  <c r="C210" i="24"/>
  <c r="B210" i="24"/>
  <c r="F208" i="24"/>
  <c r="D208" i="24"/>
  <c r="F207" i="24"/>
  <c r="D207" i="24"/>
  <c r="F206" i="24"/>
  <c r="D206" i="24"/>
  <c r="F205" i="24"/>
  <c r="D205" i="24"/>
  <c r="G203" i="24"/>
  <c r="H203" i="24" s="1"/>
  <c r="E203" i="24"/>
  <c r="D203" i="24"/>
  <c r="G202" i="24"/>
  <c r="H202" i="24" s="1"/>
  <c r="E202" i="24"/>
  <c r="D202" i="24"/>
  <c r="G201" i="24"/>
  <c r="H201" i="24" s="1"/>
  <c r="E201" i="24"/>
  <c r="D201" i="24"/>
  <c r="G200" i="24"/>
  <c r="H200" i="24" s="1"/>
  <c r="E200" i="24"/>
  <c r="D200" i="24"/>
  <c r="G199" i="24"/>
  <c r="H199" i="24" s="1"/>
  <c r="E199" i="24"/>
  <c r="D199" i="24"/>
  <c r="G198" i="24"/>
  <c r="H198" i="24" s="1"/>
  <c r="E198" i="24"/>
  <c r="D198" i="24"/>
  <c r="G197" i="24"/>
  <c r="H197" i="24" s="1"/>
  <c r="E197" i="24"/>
  <c r="D197" i="24"/>
  <c r="G196" i="24"/>
  <c r="H196" i="24" s="1"/>
  <c r="E196" i="24"/>
  <c r="D196" i="24"/>
  <c r="G195" i="24"/>
  <c r="H195" i="24" s="1"/>
  <c r="E195" i="24"/>
  <c r="D195" i="24"/>
  <c r="G194" i="24"/>
  <c r="H194" i="24" s="1"/>
  <c r="E194" i="24"/>
  <c r="D194" i="24"/>
  <c r="G193" i="24"/>
  <c r="H193" i="24" s="1"/>
  <c r="E193" i="24"/>
  <c r="D193" i="24"/>
  <c r="D181" i="24"/>
  <c r="C181" i="24"/>
  <c r="B181" i="24"/>
  <c r="F179" i="24"/>
  <c r="D179" i="24"/>
  <c r="F178" i="24"/>
  <c r="D178" i="24"/>
  <c r="F177" i="24"/>
  <c r="D177" i="24"/>
  <c r="F176" i="24"/>
  <c r="D176" i="24"/>
  <c r="G174" i="24"/>
  <c r="H174" i="24" s="1"/>
  <c r="E174" i="24"/>
  <c r="D174" i="24"/>
  <c r="G173" i="24"/>
  <c r="H173" i="24" s="1"/>
  <c r="E173" i="24"/>
  <c r="D173" i="24"/>
  <c r="G172" i="24"/>
  <c r="H172" i="24" s="1"/>
  <c r="E172" i="24"/>
  <c r="D172" i="24"/>
  <c r="G171" i="24"/>
  <c r="H171" i="24" s="1"/>
  <c r="E171" i="24"/>
  <c r="D171" i="24"/>
  <c r="G170" i="24"/>
  <c r="H170" i="24" s="1"/>
  <c r="E170" i="24"/>
  <c r="D170" i="24"/>
  <c r="G169" i="24"/>
  <c r="H169" i="24" s="1"/>
  <c r="E169" i="24"/>
  <c r="D169" i="24"/>
  <c r="G168" i="24"/>
  <c r="H168" i="24" s="1"/>
  <c r="E168" i="24"/>
  <c r="D168" i="24"/>
  <c r="G167" i="24"/>
  <c r="H167" i="24" s="1"/>
  <c r="E167" i="24"/>
  <c r="D167" i="24"/>
  <c r="G166" i="24"/>
  <c r="H166" i="24" s="1"/>
  <c r="E166" i="24"/>
  <c r="D166" i="24"/>
  <c r="G165" i="24"/>
  <c r="H165" i="24" s="1"/>
  <c r="E165" i="24"/>
  <c r="D165" i="24"/>
  <c r="G164" i="24"/>
  <c r="H164" i="24" s="1"/>
  <c r="E164" i="24"/>
  <c r="D164" i="24"/>
  <c r="D152" i="24"/>
  <c r="C152" i="24"/>
  <c r="B152" i="24"/>
  <c r="F150" i="24"/>
  <c r="D150" i="24"/>
  <c r="F149" i="24"/>
  <c r="D149" i="24"/>
  <c r="F148" i="24"/>
  <c r="D148" i="24"/>
  <c r="F147" i="24"/>
  <c r="D147" i="24"/>
  <c r="G145" i="24"/>
  <c r="H145" i="24" s="1"/>
  <c r="E145" i="24"/>
  <c r="D145" i="24"/>
  <c r="G144" i="24"/>
  <c r="H144" i="24" s="1"/>
  <c r="E144" i="24"/>
  <c r="D144" i="24"/>
  <c r="G143" i="24"/>
  <c r="H143" i="24" s="1"/>
  <c r="E143" i="24"/>
  <c r="D143" i="24"/>
  <c r="G142" i="24"/>
  <c r="H142" i="24" s="1"/>
  <c r="E142" i="24"/>
  <c r="D142" i="24"/>
  <c r="G141" i="24"/>
  <c r="H141" i="24" s="1"/>
  <c r="E141" i="24"/>
  <c r="D141" i="24"/>
  <c r="G140" i="24"/>
  <c r="H140" i="24" s="1"/>
  <c r="E140" i="24"/>
  <c r="D140" i="24"/>
  <c r="G139" i="24"/>
  <c r="H139" i="24" s="1"/>
  <c r="E139" i="24"/>
  <c r="D139" i="24"/>
  <c r="G138" i="24"/>
  <c r="H138" i="24" s="1"/>
  <c r="E138" i="24"/>
  <c r="D138" i="24"/>
  <c r="G137" i="24"/>
  <c r="H137" i="24" s="1"/>
  <c r="E137" i="24"/>
  <c r="D137" i="24"/>
  <c r="G136" i="24"/>
  <c r="H136" i="24" s="1"/>
  <c r="E136" i="24"/>
  <c r="D136" i="24"/>
  <c r="G135" i="24"/>
  <c r="H135" i="24" s="1"/>
  <c r="E135" i="24"/>
  <c r="D135" i="24"/>
  <c r="D123" i="24"/>
  <c r="C123" i="24"/>
  <c r="B123" i="24"/>
  <c r="F121" i="24"/>
  <c r="D121" i="24"/>
  <c r="F120" i="24"/>
  <c r="D120" i="24"/>
  <c r="F119" i="24"/>
  <c r="D119" i="24"/>
  <c r="F118" i="24"/>
  <c r="D118" i="24"/>
  <c r="G116" i="24"/>
  <c r="H116" i="24" s="1"/>
  <c r="E116" i="24"/>
  <c r="D116" i="24"/>
  <c r="G115" i="24"/>
  <c r="H115" i="24" s="1"/>
  <c r="E115" i="24"/>
  <c r="D115" i="24"/>
  <c r="G114" i="24"/>
  <c r="H114" i="24" s="1"/>
  <c r="E114" i="24"/>
  <c r="D114" i="24"/>
  <c r="G113" i="24"/>
  <c r="H113" i="24" s="1"/>
  <c r="E113" i="24"/>
  <c r="D113" i="24"/>
  <c r="G112" i="24"/>
  <c r="H112" i="24" s="1"/>
  <c r="E112" i="24"/>
  <c r="D112" i="24"/>
  <c r="G111" i="24"/>
  <c r="H111" i="24" s="1"/>
  <c r="E111" i="24"/>
  <c r="D111" i="24"/>
  <c r="G110" i="24"/>
  <c r="H110" i="24" s="1"/>
  <c r="E110" i="24"/>
  <c r="D110" i="24"/>
  <c r="G109" i="24"/>
  <c r="H109" i="24" s="1"/>
  <c r="E109" i="24"/>
  <c r="D109" i="24"/>
  <c r="G108" i="24"/>
  <c r="H108" i="24" s="1"/>
  <c r="E108" i="24"/>
  <c r="D108" i="24"/>
  <c r="G107" i="24"/>
  <c r="H107" i="24" s="1"/>
  <c r="E107" i="24"/>
  <c r="D107" i="24"/>
  <c r="G106" i="24"/>
  <c r="H106" i="24" s="1"/>
  <c r="E106" i="24"/>
  <c r="D106" i="24"/>
  <c r="D94" i="24"/>
  <c r="C94" i="24"/>
  <c r="B94" i="24"/>
  <c r="F92" i="24"/>
  <c r="D92" i="24"/>
  <c r="F91" i="24"/>
  <c r="D91" i="24"/>
  <c r="F90" i="24"/>
  <c r="D90" i="24"/>
  <c r="F89" i="24"/>
  <c r="D89" i="24"/>
  <c r="G87" i="24"/>
  <c r="H87" i="24" s="1"/>
  <c r="E87" i="24"/>
  <c r="D87" i="24"/>
  <c r="G86" i="24"/>
  <c r="H86" i="24" s="1"/>
  <c r="E86" i="24"/>
  <c r="D86" i="24"/>
  <c r="G85" i="24"/>
  <c r="H85" i="24" s="1"/>
  <c r="E85" i="24"/>
  <c r="D85" i="24"/>
  <c r="G84" i="24"/>
  <c r="H84" i="24" s="1"/>
  <c r="E84" i="24"/>
  <c r="D84" i="24"/>
  <c r="G83" i="24"/>
  <c r="H83" i="24" s="1"/>
  <c r="E83" i="24"/>
  <c r="D83" i="24"/>
  <c r="G82" i="24"/>
  <c r="H82" i="24" s="1"/>
  <c r="E82" i="24"/>
  <c r="D82" i="24"/>
  <c r="G81" i="24"/>
  <c r="H81" i="24" s="1"/>
  <c r="E81" i="24"/>
  <c r="D81" i="24"/>
  <c r="G80" i="24"/>
  <c r="H80" i="24" s="1"/>
  <c r="E80" i="24"/>
  <c r="D80" i="24"/>
  <c r="G79" i="24"/>
  <c r="H79" i="24" s="1"/>
  <c r="E79" i="24"/>
  <c r="D79" i="24"/>
  <c r="G78" i="24"/>
  <c r="H78" i="24" s="1"/>
  <c r="E78" i="24"/>
  <c r="D78" i="24"/>
  <c r="G77" i="24"/>
  <c r="H77" i="24" s="1"/>
  <c r="E77" i="24"/>
  <c r="D77" i="24"/>
  <c r="D65" i="24"/>
  <c r="C65" i="24"/>
  <c r="B65" i="24"/>
  <c r="F63" i="24"/>
  <c r="D63" i="24"/>
  <c r="F62" i="24"/>
  <c r="D62" i="24"/>
  <c r="F61" i="24"/>
  <c r="D61" i="24"/>
  <c r="F60" i="24"/>
  <c r="D60" i="24"/>
  <c r="G58" i="24"/>
  <c r="H58" i="24" s="1"/>
  <c r="E58" i="24"/>
  <c r="D58" i="24"/>
  <c r="G57" i="24"/>
  <c r="H57" i="24" s="1"/>
  <c r="E57" i="24"/>
  <c r="D57" i="24"/>
  <c r="G56" i="24"/>
  <c r="H56" i="24" s="1"/>
  <c r="E56" i="24"/>
  <c r="D56" i="24"/>
  <c r="G55" i="24"/>
  <c r="H55" i="24" s="1"/>
  <c r="E55" i="24"/>
  <c r="D55" i="24"/>
  <c r="G54" i="24"/>
  <c r="H54" i="24" s="1"/>
  <c r="E54" i="24"/>
  <c r="D54" i="24"/>
  <c r="G53" i="24"/>
  <c r="H53" i="24" s="1"/>
  <c r="E53" i="24"/>
  <c r="D53" i="24"/>
  <c r="G52" i="24"/>
  <c r="H52" i="24" s="1"/>
  <c r="E52" i="24"/>
  <c r="D52" i="24"/>
  <c r="G51" i="24"/>
  <c r="H51" i="24" s="1"/>
  <c r="E51" i="24"/>
  <c r="D51" i="24"/>
  <c r="G50" i="24"/>
  <c r="H50" i="24" s="1"/>
  <c r="E50" i="24"/>
  <c r="G49" i="24"/>
  <c r="H49" i="24" s="1"/>
  <c r="E49" i="24"/>
  <c r="D49" i="24"/>
  <c r="G48" i="24"/>
  <c r="H48" i="24" s="1"/>
  <c r="E48" i="24"/>
  <c r="D48" i="24"/>
  <c r="G29" i="24"/>
  <c r="H29" i="24" s="1"/>
  <c r="G27" i="24"/>
  <c r="H27" i="24" s="1"/>
  <c r="G24" i="24"/>
  <c r="H24" i="24" s="1"/>
  <c r="G22" i="24"/>
  <c r="H22" i="24" s="1"/>
  <c r="G25" i="24"/>
  <c r="H25" i="24" s="1"/>
  <c r="G28" i="24"/>
  <c r="H28" i="24" s="1"/>
  <c r="G26" i="24"/>
  <c r="H26" i="24" s="1"/>
  <c r="G23" i="24"/>
  <c r="H23" i="24" s="1"/>
  <c r="G21" i="24"/>
  <c r="H21" i="24" s="1"/>
  <c r="G20" i="24"/>
  <c r="H20" i="24" s="1"/>
  <c r="G19" i="24"/>
  <c r="H19" i="24" s="1"/>
  <c r="F34" i="24"/>
  <c r="F33" i="24"/>
  <c r="F32" i="24"/>
  <c r="F31" i="24"/>
  <c r="D34" i="24"/>
  <c r="D33" i="24"/>
  <c r="C307" i="23"/>
  <c r="C277" i="23"/>
  <c r="C247" i="23"/>
  <c r="C217" i="23"/>
  <c r="C187" i="23"/>
  <c r="C157" i="23"/>
  <c r="C127" i="23"/>
  <c r="C97" i="23"/>
  <c r="C67" i="23"/>
  <c r="C37" i="23"/>
  <c r="C307" i="21"/>
  <c r="C277" i="21"/>
  <c r="C247" i="21"/>
  <c r="C217" i="21"/>
  <c r="C187" i="21"/>
  <c r="C157" i="21"/>
  <c r="C127" i="21"/>
  <c r="C97" i="21"/>
  <c r="C67" i="21"/>
  <c r="C37" i="21"/>
  <c r="C36" i="24"/>
  <c r="B36" i="24"/>
  <c r="D25" i="24"/>
  <c r="D24" i="24"/>
  <c r="D23" i="24"/>
  <c r="D22" i="24"/>
  <c r="D21" i="24"/>
  <c r="E29" i="24"/>
  <c r="E28" i="24"/>
  <c r="E27" i="24"/>
  <c r="E26" i="24"/>
  <c r="D26" i="24"/>
  <c r="E25" i="24"/>
  <c r="E24" i="24"/>
  <c r="E23" i="24"/>
  <c r="E22" i="24"/>
  <c r="E21" i="24"/>
  <c r="D36" i="24"/>
  <c r="E20" i="24"/>
  <c r="E19" i="24"/>
  <c r="D29" i="24"/>
  <c r="D28" i="24"/>
  <c r="D27" i="24"/>
  <c r="D20" i="24"/>
  <c r="D19" i="24"/>
  <c r="D32" i="24"/>
  <c r="D31" i="24"/>
  <c r="D4" i="24"/>
  <c r="E152" i="24" s="1"/>
  <c r="F305" i="23"/>
  <c r="F304" i="23"/>
  <c r="F303" i="23"/>
  <c r="F302" i="23"/>
  <c r="G300" i="23"/>
  <c r="H300" i="23" s="1"/>
  <c r="G299" i="23"/>
  <c r="G298" i="23"/>
  <c r="H298" i="23" s="1"/>
  <c r="G297" i="23"/>
  <c r="H297" i="23" s="1"/>
  <c r="G296" i="23"/>
  <c r="H296" i="23" s="1"/>
  <c r="G295" i="23"/>
  <c r="H295" i="23" s="1"/>
  <c r="G294" i="23"/>
  <c r="H294" i="23" s="1"/>
  <c r="G293" i="23"/>
  <c r="H293" i="23" s="1"/>
  <c r="G292" i="23"/>
  <c r="H292" i="23" s="1"/>
  <c r="G291" i="23"/>
  <c r="H291" i="23" s="1"/>
  <c r="G290" i="23"/>
  <c r="H290" i="23" s="1"/>
  <c r="G289" i="23"/>
  <c r="F275" i="23"/>
  <c r="F274" i="23"/>
  <c r="F273" i="23"/>
  <c r="F272" i="23"/>
  <c r="G270" i="23"/>
  <c r="H270" i="23" s="1"/>
  <c r="G269" i="23"/>
  <c r="G268" i="23"/>
  <c r="H268" i="23" s="1"/>
  <c r="G267" i="23"/>
  <c r="G266" i="23"/>
  <c r="H266" i="23" s="1"/>
  <c r="G265" i="23"/>
  <c r="H265" i="23" s="1"/>
  <c r="G264" i="23"/>
  <c r="H264" i="23" s="1"/>
  <c r="G263" i="23"/>
  <c r="H263" i="23" s="1"/>
  <c r="G262" i="23"/>
  <c r="H262" i="23" s="1"/>
  <c r="G261" i="23"/>
  <c r="G260" i="23"/>
  <c r="H260" i="23" s="1"/>
  <c r="G259" i="23"/>
  <c r="H259" i="23" s="1"/>
  <c r="F245" i="23"/>
  <c r="F244" i="23"/>
  <c r="F243" i="23"/>
  <c r="F242" i="23"/>
  <c r="G240" i="23"/>
  <c r="H240" i="23" s="1"/>
  <c r="G239" i="23"/>
  <c r="G238" i="23"/>
  <c r="H238" i="23" s="1"/>
  <c r="G237" i="23"/>
  <c r="H237" i="23" s="1"/>
  <c r="G236" i="23"/>
  <c r="H236" i="23" s="1"/>
  <c r="G235" i="23"/>
  <c r="H235" i="23" s="1"/>
  <c r="G234" i="23"/>
  <c r="H234" i="23" s="1"/>
  <c r="G233" i="23"/>
  <c r="H233" i="23" s="1"/>
  <c r="G232" i="23"/>
  <c r="H232" i="23" s="1"/>
  <c r="G231" i="23"/>
  <c r="G230" i="23"/>
  <c r="H230" i="23" s="1"/>
  <c r="G229" i="23"/>
  <c r="H229" i="23" s="1"/>
  <c r="F215" i="23"/>
  <c r="F214" i="23"/>
  <c r="F213" i="23"/>
  <c r="F212" i="23"/>
  <c r="G210" i="23"/>
  <c r="H210" i="23" s="1"/>
  <c r="G209" i="23"/>
  <c r="G208" i="23"/>
  <c r="H208" i="23" s="1"/>
  <c r="G207" i="23"/>
  <c r="H207" i="23" s="1"/>
  <c r="G206" i="23"/>
  <c r="H206" i="23" s="1"/>
  <c r="G205" i="23"/>
  <c r="H205" i="23" s="1"/>
  <c r="G204" i="23"/>
  <c r="H204" i="23" s="1"/>
  <c r="G203" i="23"/>
  <c r="H203" i="23" s="1"/>
  <c r="G202" i="23"/>
  <c r="H202" i="23" s="1"/>
  <c r="G201" i="23"/>
  <c r="G200" i="23"/>
  <c r="G199" i="23"/>
  <c r="H199" i="23" s="1"/>
  <c r="F185" i="23"/>
  <c r="F184" i="23"/>
  <c r="F183" i="23"/>
  <c r="F182" i="23"/>
  <c r="G180" i="23"/>
  <c r="H180" i="23" s="1"/>
  <c r="G179" i="23"/>
  <c r="G178" i="23"/>
  <c r="H178" i="23" s="1"/>
  <c r="G177" i="23"/>
  <c r="H177" i="23" s="1"/>
  <c r="G176" i="23"/>
  <c r="H176" i="23" s="1"/>
  <c r="G175" i="23"/>
  <c r="H175" i="23" s="1"/>
  <c r="G174" i="23"/>
  <c r="H174" i="23" s="1"/>
  <c r="G173" i="23"/>
  <c r="H173" i="23" s="1"/>
  <c r="G172" i="23"/>
  <c r="H172" i="23" s="1"/>
  <c r="G171" i="23"/>
  <c r="G170" i="23"/>
  <c r="H170" i="23" s="1"/>
  <c r="G169" i="23"/>
  <c r="H169" i="23" s="1"/>
  <c r="F155" i="23"/>
  <c r="F154" i="23"/>
  <c r="F153" i="23"/>
  <c r="F152" i="23"/>
  <c r="G150" i="23"/>
  <c r="H150" i="23" s="1"/>
  <c r="G149" i="23"/>
  <c r="G148" i="23"/>
  <c r="H148" i="23" s="1"/>
  <c r="G147" i="23"/>
  <c r="H147" i="23" s="1"/>
  <c r="G146" i="23"/>
  <c r="H146" i="23" s="1"/>
  <c r="G145" i="23"/>
  <c r="H145" i="23" s="1"/>
  <c r="G144" i="23"/>
  <c r="H144" i="23" s="1"/>
  <c r="G143" i="23"/>
  <c r="H143" i="23" s="1"/>
  <c r="G142" i="23"/>
  <c r="H142" i="23" s="1"/>
  <c r="G141" i="23"/>
  <c r="G140" i="23"/>
  <c r="H140" i="23" s="1"/>
  <c r="G139" i="23"/>
  <c r="H139" i="23" s="1"/>
  <c r="F125" i="23"/>
  <c r="F124" i="23"/>
  <c r="F123" i="23"/>
  <c r="F122" i="23"/>
  <c r="G120" i="23"/>
  <c r="H120" i="23" s="1"/>
  <c r="G119" i="23"/>
  <c r="G118" i="23"/>
  <c r="G117" i="23"/>
  <c r="H117" i="23" s="1"/>
  <c r="G116" i="23"/>
  <c r="H116" i="23" s="1"/>
  <c r="G115" i="23"/>
  <c r="H115" i="23" s="1"/>
  <c r="G114" i="23"/>
  <c r="H114" i="23" s="1"/>
  <c r="G113" i="23"/>
  <c r="H113" i="23" s="1"/>
  <c r="G112" i="23"/>
  <c r="H112" i="23" s="1"/>
  <c r="G111" i="23"/>
  <c r="G110" i="23"/>
  <c r="G109" i="23"/>
  <c r="H109" i="23" s="1"/>
  <c r="F95" i="23"/>
  <c r="F94" i="23"/>
  <c r="F93" i="23"/>
  <c r="F92" i="23"/>
  <c r="G90" i="23"/>
  <c r="H90" i="23" s="1"/>
  <c r="G89" i="23"/>
  <c r="G88" i="23"/>
  <c r="G87" i="23"/>
  <c r="H87" i="23" s="1"/>
  <c r="G86" i="23"/>
  <c r="H86" i="23" s="1"/>
  <c r="G85" i="23"/>
  <c r="H85" i="23" s="1"/>
  <c r="G84" i="23"/>
  <c r="H84" i="23" s="1"/>
  <c r="G83" i="23"/>
  <c r="H83" i="23" s="1"/>
  <c r="G82" i="23"/>
  <c r="H82" i="23" s="1"/>
  <c r="G81" i="23"/>
  <c r="G80" i="23"/>
  <c r="G79" i="23"/>
  <c r="H79" i="23" s="1"/>
  <c r="F65" i="23"/>
  <c r="F64" i="23"/>
  <c r="F63" i="23"/>
  <c r="F62" i="23"/>
  <c r="G60" i="23"/>
  <c r="H60" i="23" s="1"/>
  <c r="G59" i="23"/>
  <c r="G58" i="23"/>
  <c r="G57" i="23"/>
  <c r="H57" i="23" s="1"/>
  <c r="G56" i="23"/>
  <c r="H56" i="23" s="1"/>
  <c r="G55" i="23"/>
  <c r="H55" i="23" s="1"/>
  <c r="G54" i="23"/>
  <c r="H54" i="23" s="1"/>
  <c r="G53" i="23"/>
  <c r="H53" i="23" s="1"/>
  <c r="G52" i="23"/>
  <c r="H52" i="23" s="1"/>
  <c r="G51" i="23"/>
  <c r="H51" i="23" s="1"/>
  <c r="G50" i="23"/>
  <c r="G49" i="23"/>
  <c r="H49" i="23" s="1"/>
  <c r="F34" i="23"/>
  <c r="F33" i="23"/>
  <c r="F32" i="23"/>
  <c r="G30" i="23"/>
  <c r="H30" i="23" s="1"/>
  <c r="G29" i="23"/>
  <c r="H29" i="23" s="1"/>
  <c r="G28" i="23"/>
  <c r="G27" i="23"/>
  <c r="H27" i="23" s="1"/>
  <c r="G26" i="23"/>
  <c r="H26" i="23" s="1"/>
  <c r="G25" i="23"/>
  <c r="H25" i="23" s="1"/>
  <c r="G24" i="23"/>
  <c r="H24" i="23" s="1"/>
  <c r="G23" i="23"/>
  <c r="H23" i="23" s="1"/>
  <c r="G22" i="23"/>
  <c r="H22" i="23" s="1"/>
  <c r="G21" i="23"/>
  <c r="H21" i="23" s="1"/>
  <c r="G20" i="23"/>
  <c r="G19" i="23"/>
  <c r="H19" i="23" s="1"/>
  <c r="D307" i="23"/>
  <c r="B307" i="23"/>
  <c r="D305" i="23"/>
  <c r="D304" i="23"/>
  <c r="D303" i="23"/>
  <c r="D302" i="23"/>
  <c r="E300" i="23"/>
  <c r="D300" i="23"/>
  <c r="H299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H289" i="23"/>
  <c r="E289" i="23"/>
  <c r="D289" i="23"/>
  <c r="D277" i="23"/>
  <c r="B277" i="23"/>
  <c r="D275" i="23"/>
  <c r="D274" i="23"/>
  <c r="D273" i="23"/>
  <c r="D272" i="23"/>
  <c r="E270" i="23"/>
  <c r="D270" i="23"/>
  <c r="H269" i="23"/>
  <c r="E269" i="23"/>
  <c r="D269" i="23"/>
  <c r="E268" i="23"/>
  <c r="D268" i="23"/>
  <c r="H267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H261" i="23"/>
  <c r="E261" i="23"/>
  <c r="D261" i="23"/>
  <c r="E260" i="23"/>
  <c r="D260" i="23"/>
  <c r="E259" i="23"/>
  <c r="D259" i="23"/>
  <c r="D247" i="23"/>
  <c r="B247" i="23"/>
  <c r="D245" i="23"/>
  <c r="D244" i="23"/>
  <c r="D243" i="23"/>
  <c r="D242" i="23"/>
  <c r="E240" i="23"/>
  <c r="D240" i="23"/>
  <c r="H239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H231" i="23"/>
  <c r="E231" i="23"/>
  <c r="D231" i="23"/>
  <c r="E230" i="23"/>
  <c r="D230" i="23"/>
  <c r="E229" i="23"/>
  <c r="D229" i="23"/>
  <c r="D217" i="23"/>
  <c r="B217" i="23"/>
  <c r="D215" i="23"/>
  <c r="D214" i="23"/>
  <c r="D213" i="23"/>
  <c r="D212" i="23"/>
  <c r="E210" i="23"/>
  <c r="D210" i="23"/>
  <c r="H209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H201" i="23"/>
  <c r="E201" i="23"/>
  <c r="D201" i="23"/>
  <c r="H200" i="23"/>
  <c r="E200" i="23"/>
  <c r="D200" i="23"/>
  <c r="E199" i="23"/>
  <c r="D199" i="23"/>
  <c r="D187" i="23"/>
  <c r="B187" i="23"/>
  <c r="D185" i="23"/>
  <c r="D184" i="23"/>
  <c r="D183" i="23"/>
  <c r="D182" i="23"/>
  <c r="E180" i="23"/>
  <c r="D180" i="23"/>
  <c r="H179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H171" i="23"/>
  <c r="E171" i="23"/>
  <c r="D171" i="23"/>
  <c r="E170" i="23"/>
  <c r="D170" i="23"/>
  <c r="E169" i="23"/>
  <c r="D169" i="23"/>
  <c r="D157" i="23"/>
  <c r="B157" i="23"/>
  <c r="D155" i="23"/>
  <c r="D154" i="23"/>
  <c r="D153" i="23"/>
  <c r="D152" i="23"/>
  <c r="E150" i="23"/>
  <c r="D150" i="23"/>
  <c r="H149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H141" i="23"/>
  <c r="E141" i="23"/>
  <c r="D141" i="23"/>
  <c r="E140" i="23"/>
  <c r="D140" i="23"/>
  <c r="E139" i="23"/>
  <c r="D139" i="23"/>
  <c r="D127" i="23"/>
  <c r="B127" i="23"/>
  <c r="D125" i="23"/>
  <c r="D124" i="23"/>
  <c r="D123" i="23"/>
  <c r="D122" i="23"/>
  <c r="E120" i="23"/>
  <c r="D120" i="23"/>
  <c r="H119" i="23"/>
  <c r="E119" i="23"/>
  <c r="D119" i="23"/>
  <c r="H118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H111" i="23"/>
  <c r="E111" i="23"/>
  <c r="D111" i="23"/>
  <c r="H110" i="23"/>
  <c r="E110" i="23"/>
  <c r="D110" i="23"/>
  <c r="E109" i="23"/>
  <c r="D109" i="23"/>
  <c r="D97" i="23"/>
  <c r="B97" i="23"/>
  <c r="D95" i="23"/>
  <c r="D94" i="23"/>
  <c r="D93" i="23"/>
  <c r="D92" i="23"/>
  <c r="E90" i="23"/>
  <c r="D90" i="23"/>
  <c r="H89" i="23"/>
  <c r="E89" i="23"/>
  <c r="D89" i="23"/>
  <c r="H88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H81" i="23"/>
  <c r="E81" i="23"/>
  <c r="D81" i="23"/>
  <c r="H80" i="23"/>
  <c r="E80" i="23"/>
  <c r="D80" i="23"/>
  <c r="E79" i="23"/>
  <c r="D79" i="23"/>
  <c r="D67" i="23"/>
  <c r="B67" i="23"/>
  <c r="D65" i="23"/>
  <c r="D64" i="23"/>
  <c r="D63" i="23"/>
  <c r="D62" i="23"/>
  <c r="E60" i="23"/>
  <c r="D60" i="23"/>
  <c r="H59" i="23"/>
  <c r="E59" i="23"/>
  <c r="D59" i="23"/>
  <c r="H58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H50" i="23"/>
  <c r="E50" i="23"/>
  <c r="D50" i="23"/>
  <c r="E49" i="23"/>
  <c r="D49" i="23"/>
  <c r="D37" i="23"/>
  <c r="B37" i="23"/>
  <c r="F35" i="23"/>
  <c r="D35" i="23"/>
  <c r="D34" i="23"/>
  <c r="D33" i="23"/>
  <c r="D32" i="23"/>
  <c r="E30" i="23"/>
  <c r="D30" i="23"/>
  <c r="E29" i="23"/>
  <c r="D29" i="23"/>
  <c r="H28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H20" i="23"/>
  <c r="E20" i="23"/>
  <c r="D20" i="23"/>
  <c r="E19" i="23"/>
  <c r="D19" i="23"/>
  <c r="D4" i="23"/>
  <c r="E247" i="23" s="1"/>
  <c r="D307" i="21"/>
  <c r="B307" i="21"/>
  <c r="F305" i="21"/>
  <c r="D305" i="21"/>
  <c r="F304" i="21"/>
  <c r="D304" i="21"/>
  <c r="F303" i="21"/>
  <c r="D303" i="21"/>
  <c r="F302" i="21"/>
  <c r="D302" i="21"/>
  <c r="G300" i="21"/>
  <c r="H300" i="21" s="1"/>
  <c r="E300" i="21"/>
  <c r="D300" i="21"/>
  <c r="G299" i="21"/>
  <c r="H299" i="21" s="1"/>
  <c r="E299" i="21"/>
  <c r="D299" i="21"/>
  <c r="G298" i="21"/>
  <c r="H298" i="21" s="1"/>
  <c r="E298" i="21"/>
  <c r="D298" i="21"/>
  <c r="G297" i="21"/>
  <c r="H297" i="21" s="1"/>
  <c r="E297" i="21"/>
  <c r="D297" i="21"/>
  <c r="G296" i="21"/>
  <c r="H296" i="21" s="1"/>
  <c r="E296" i="21"/>
  <c r="D296" i="21"/>
  <c r="G295" i="21"/>
  <c r="H295" i="21" s="1"/>
  <c r="E295" i="21"/>
  <c r="D295" i="21"/>
  <c r="G294" i="21"/>
  <c r="H294" i="21" s="1"/>
  <c r="E294" i="21"/>
  <c r="D294" i="21"/>
  <c r="G293" i="21"/>
  <c r="H293" i="21" s="1"/>
  <c r="E293" i="21"/>
  <c r="D293" i="21"/>
  <c r="G292" i="21"/>
  <c r="H292" i="21" s="1"/>
  <c r="E292" i="21"/>
  <c r="D292" i="21"/>
  <c r="G291" i="21"/>
  <c r="H291" i="21" s="1"/>
  <c r="E291" i="21"/>
  <c r="D291" i="21"/>
  <c r="G290" i="21"/>
  <c r="H290" i="21" s="1"/>
  <c r="E290" i="21"/>
  <c r="D290" i="21"/>
  <c r="G289" i="21"/>
  <c r="H289" i="21" s="1"/>
  <c r="E289" i="21"/>
  <c r="D289" i="21"/>
  <c r="D277" i="21"/>
  <c r="B277" i="21"/>
  <c r="F275" i="21"/>
  <c r="D275" i="21"/>
  <c r="F274" i="21"/>
  <c r="D274" i="21"/>
  <c r="F273" i="21"/>
  <c r="D273" i="21"/>
  <c r="F272" i="21"/>
  <c r="D272" i="21"/>
  <c r="G270" i="21"/>
  <c r="H270" i="21" s="1"/>
  <c r="E270" i="21"/>
  <c r="D270" i="21"/>
  <c r="G269" i="21"/>
  <c r="H269" i="21" s="1"/>
  <c r="E269" i="21"/>
  <c r="D269" i="21"/>
  <c r="G268" i="21"/>
  <c r="H268" i="21" s="1"/>
  <c r="E268" i="21"/>
  <c r="D268" i="21"/>
  <c r="G267" i="21"/>
  <c r="H267" i="21" s="1"/>
  <c r="E267" i="21"/>
  <c r="D267" i="21"/>
  <c r="G266" i="21"/>
  <c r="H266" i="21" s="1"/>
  <c r="E266" i="21"/>
  <c r="D266" i="21"/>
  <c r="G265" i="21"/>
  <c r="H265" i="21" s="1"/>
  <c r="E265" i="21"/>
  <c r="D265" i="21"/>
  <c r="G264" i="21"/>
  <c r="H264" i="21" s="1"/>
  <c r="E264" i="21"/>
  <c r="D264" i="21"/>
  <c r="G263" i="21"/>
  <c r="H263" i="21" s="1"/>
  <c r="E263" i="21"/>
  <c r="D263" i="21"/>
  <c r="G262" i="21"/>
  <c r="H262" i="21" s="1"/>
  <c r="E262" i="21"/>
  <c r="D262" i="21"/>
  <c r="G261" i="21"/>
  <c r="H261" i="21" s="1"/>
  <c r="E261" i="21"/>
  <c r="D261" i="21"/>
  <c r="G260" i="21"/>
  <c r="H260" i="21" s="1"/>
  <c r="E260" i="21"/>
  <c r="D260" i="21"/>
  <c r="G259" i="21"/>
  <c r="H259" i="21" s="1"/>
  <c r="E259" i="21"/>
  <c r="D259" i="21"/>
  <c r="D247" i="21"/>
  <c r="B247" i="21"/>
  <c r="F245" i="21"/>
  <c r="D245" i="21"/>
  <c r="F244" i="21"/>
  <c r="D244" i="21"/>
  <c r="F243" i="21"/>
  <c r="D243" i="21"/>
  <c r="F242" i="21"/>
  <c r="D242" i="21"/>
  <c r="G240" i="21"/>
  <c r="H240" i="21" s="1"/>
  <c r="E240" i="21"/>
  <c r="D240" i="21"/>
  <c r="G239" i="21"/>
  <c r="H239" i="21" s="1"/>
  <c r="E239" i="21"/>
  <c r="D239" i="21"/>
  <c r="G238" i="21"/>
  <c r="H238" i="21" s="1"/>
  <c r="E238" i="21"/>
  <c r="D238" i="21"/>
  <c r="G237" i="21"/>
  <c r="H237" i="21" s="1"/>
  <c r="E237" i="21"/>
  <c r="D237" i="21"/>
  <c r="G236" i="21"/>
  <c r="H236" i="21" s="1"/>
  <c r="E236" i="21"/>
  <c r="D236" i="21"/>
  <c r="G235" i="21"/>
  <c r="H235" i="21" s="1"/>
  <c r="E235" i="21"/>
  <c r="D235" i="21"/>
  <c r="G234" i="21"/>
  <c r="H234" i="21" s="1"/>
  <c r="E234" i="21"/>
  <c r="D234" i="21"/>
  <c r="G233" i="21"/>
  <c r="H233" i="21" s="1"/>
  <c r="E233" i="21"/>
  <c r="D233" i="21"/>
  <c r="G232" i="21"/>
  <c r="H232" i="21" s="1"/>
  <c r="E232" i="21"/>
  <c r="D232" i="21"/>
  <c r="G231" i="21"/>
  <c r="H231" i="21" s="1"/>
  <c r="E231" i="21"/>
  <c r="D231" i="21"/>
  <c r="G230" i="21"/>
  <c r="H230" i="21" s="1"/>
  <c r="E230" i="21"/>
  <c r="D230" i="21"/>
  <c r="G229" i="21"/>
  <c r="H229" i="21" s="1"/>
  <c r="E229" i="21"/>
  <c r="D229" i="21"/>
  <c r="D217" i="21"/>
  <c r="B217" i="21"/>
  <c r="F215" i="21"/>
  <c r="D215" i="21"/>
  <c r="F214" i="21"/>
  <c r="D214" i="21"/>
  <c r="F213" i="21"/>
  <c r="D213" i="21"/>
  <c r="F212" i="21"/>
  <c r="D212" i="21"/>
  <c r="G210" i="21"/>
  <c r="H210" i="21" s="1"/>
  <c r="E210" i="21"/>
  <c r="D210" i="21"/>
  <c r="G209" i="21"/>
  <c r="H209" i="21" s="1"/>
  <c r="E209" i="21"/>
  <c r="D209" i="21"/>
  <c r="G208" i="21"/>
  <c r="H208" i="21" s="1"/>
  <c r="E208" i="21"/>
  <c r="D208" i="21"/>
  <c r="G207" i="21"/>
  <c r="H207" i="21" s="1"/>
  <c r="E207" i="21"/>
  <c r="D207" i="21"/>
  <c r="G206" i="21"/>
  <c r="H206" i="21" s="1"/>
  <c r="E206" i="21"/>
  <c r="D206" i="21"/>
  <c r="G205" i="21"/>
  <c r="H205" i="21" s="1"/>
  <c r="E205" i="21"/>
  <c r="D205" i="21"/>
  <c r="G204" i="21"/>
  <c r="H204" i="21" s="1"/>
  <c r="E204" i="21"/>
  <c r="D204" i="21"/>
  <c r="G203" i="21"/>
  <c r="H203" i="21" s="1"/>
  <c r="E203" i="21"/>
  <c r="D203" i="21"/>
  <c r="G202" i="21"/>
  <c r="H202" i="21" s="1"/>
  <c r="E202" i="21"/>
  <c r="D202" i="21"/>
  <c r="G201" i="21"/>
  <c r="H201" i="21" s="1"/>
  <c r="E201" i="21"/>
  <c r="D201" i="21"/>
  <c r="G200" i="21"/>
  <c r="H200" i="21" s="1"/>
  <c r="E200" i="21"/>
  <c r="D200" i="21"/>
  <c r="G199" i="21"/>
  <c r="H199" i="21" s="1"/>
  <c r="E199" i="21"/>
  <c r="D199" i="21"/>
  <c r="D187" i="21"/>
  <c r="B187" i="21"/>
  <c r="F185" i="21"/>
  <c r="D185" i="21"/>
  <c r="F184" i="21"/>
  <c r="D184" i="21"/>
  <c r="F183" i="21"/>
  <c r="D183" i="21"/>
  <c r="F182" i="21"/>
  <c r="D182" i="21"/>
  <c r="G180" i="21"/>
  <c r="H180" i="21" s="1"/>
  <c r="E180" i="21"/>
  <c r="D180" i="21"/>
  <c r="G179" i="21"/>
  <c r="H179" i="21" s="1"/>
  <c r="E179" i="21"/>
  <c r="D179" i="21"/>
  <c r="G178" i="21"/>
  <c r="H178" i="21" s="1"/>
  <c r="E178" i="21"/>
  <c r="D178" i="21"/>
  <c r="G177" i="21"/>
  <c r="H177" i="21" s="1"/>
  <c r="E177" i="21"/>
  <c r="D177" i="21"/>
  <c r="G176" i="21"/>
  <c r="H176" i="21" s="1"/>
  <c r="E176" i="21"/>
  <c r="D176" i="21"/>
  <c r="G175" i="21"/>
  <c r="H175" i="21" s="1"/>
  <c r="E175" i="21"/>
  <c r="D175" i="21"/>
  <c r="G174" i="21"/>
  <c r="H174" i="21" s="1"/>
  <c r="E174" i="21"/>
  <c r="D174" i="21"/>
  <c r="G173" i="21"/>
  <c r="H173" i="21" s="1"/>
  <c r="E173" i="21"/>
  <c r="D173" i="21"/>
  <c r="G172" i="21"/>
  <c r="H172" i="21" s="1"/>
  <c r="E172" i="21"/>
  <c r="D172" i="21"/>
  <c r="G171" i="21"/>
  <c r="H171" i="21" s="1"/>
  <c r="E171" i="21"/>
  <c r="D171" i="21"/>
  <c r="G170" i="21"/>
  <c r="H170" i="21" s="1"/>
  <c r="E170" i="21"/>
  <c r="D170" i="21"/>
  <c r="G169" i="21"/>
  <c r="H169" i="21" s="1"/>
  <c r="E169" i="21"/>
  <c r="D169" i="21"/>
  <c r="D157" i="21"/>
  <c r="B157" i="21"/>
  <c r="F155" i="21"/>
  <c r="D155" i="21"/>
  <c r="F154" i="21"/>
  <c r="D154" i="21"/>
  <c r="F153" i="21"/>
  <c r="D153" i="21"/>
  <c r="F152" i="21"/>
  <c r="D152" i="21"/>
  <c r="G150" i="21"/>
  <c r="H150" i="21" s="1"/>
  <c r="E150" i="21"/>
  <c r="D150" i="21"/>
  <c r="G149" i="21"/>
  <c r="H149" i="21" s="1"/>
  <c r="E149" i="21"/>
  <c r="D149" i="21"/>
  <c r="G148" i="21"/>
  <c r="H148" i="21" s="1"/>
  <c r="E148" i="21"/>
  <c r="D148" i="21"/>
  <c r="G147" i="21"/>
  <c r="H147" i="21" s="1"/>
  <c r="E147" i="21"/>
  <c r="D147" i="21"/>
  <c r="G146" i="21"/>
  <c r="H146" i="21" s="1"/>
  <c r="E146" i="21"/>
  <c r="D146" i="21"/>
  <c r="G145" i="21"/>
  <c r="H145" i="21" s="1"/>
  <c r="E145" i="21"/>
  <c r="D145" i="21"/>
  <c r="G144" i="21"/>
  <c r="H144" i="21" s="1"/>
  <c r="E144" i="21"/>
  <c r="D144" i="21"/>
  <c r="G143" i="21"/>
  <c r="H143" i="21" s="1"/>
  <c r="E143" i="21"/>
  <c r="D143" i="21"/>
  <c r="G142" i="21"/>
  <c r="H142" i="21" s="1"/>
  <c r="E142" i="21"/>
  <c r="D142" i="21"/>
  <c r="G141" i="21"/>
  <c r="H141" i="21" s="1"/>
  <c r="E141" i="21"/>
  <c r="D141" i="21"/>
  <c r="G140" i="21"/>
  <c r="H140" i="21" s="1"/>
  <c r="E140" i="21"/>
  <c r="D140" i="21"/>
  <c r="G139" i="21"/>
  <c r="H139" i="21" s="1"/>
  <c r="E139" i="21"/>
  <c r="D139" i="21"/>
  <c r="D127" i="21"/>
  <c r="B127" i="21"/>
  <c r="F125" i="21"/>
  <c r="D125" i="21"/>
  <c r="F124" i="21"/>
  <c r="D124" i="21"/>
  <c r="F123" i="21"/>
  <c r="D123" i="21"/>
  <c r="F122" i="21"/>
  <c r="D122" i="21"/>
  <c r="G120" i="21"/>
  <c r="H120" i="21" s="1"/>
  <c r="E120" i="21"/>
  <c r="D120" i="21"/>
  <c r="G119" i="21"/>
  <c r="H119" i="21" s="1"/>
  <c r="E119" i="21"/>
  <c r="D119" i="21"/>
  <c r="G118" i="21"/>
  <c r="H118" i="21" s="1"/>
  <c r="E118" i="21"/>
  <c r="D118" i="21"/>
  <c r="G117" i="21"/>
  <c r="H117" i="21" s="1"/>
  <c r="E117" i="21"/>
  <c r="D117" i="21"/>
  <c r="G116" i="21"/>
  <c r="H116" i="21" s="1"/>
  <c r="E116" i="21"/>
  <c r="D116" i="21"/>
  <c r="G115" i="21"/>
  <c r="H115" i="21" s="1"/>
  <c r="E115" i="21"/>
  <c r="D115" i="21"/>
  <c r="G114" i="21"/>
  <c r="H114" i="21" s="1"/>
  <c r="E114" i="21"/>
  <c r="D114" i="21"/>
  <c r="G113" i="21"/>
  <c r="H113" i="21" s="1"/>
  <c r="E113" i="21"/>
  <c r="D113" i="21"/>
  <c r="G112" i="21"/>
  <c r="H112" i="21" s="1"/>
  <c r="E112" i="21"/>
  <c r="D112" i="21"/>
  <c r="G111" i="21"/>
  <c r="H111" i="21" s="1"/>
  <c r="E111" i="21"/>
  <c r="D111" i="21"/>
  <c r="G110" i="21"/>
  <c r="H110" i="21" s="1"/>
  <c r="E110" i="21"/>
  <c r="D110" i="21"/>
  <c r="G109" i="21"/>
  <c r="H109" i="21" s="1"/>
  <c r="E109" i="21"/>
  <c r="D109" i="21"/>
  <c r="D97" i="21"/>
  <c r="B97" i="21"/>
  <c r="F95" i="21"/>
  <c r="D95" i="21"/>
  <c r="F94" i="21"/>
  <c r="D94" i="21"/>
  <c r="F93" i="21"/>
  <c r="D93" i="21"/>
  <c r="F92" i="21"/>
  <c r="D92" i="21"/>
  <c r="G90" i="21"/>
  <c r="H90" i="21" s="1"/>
  <c r="E90" i="21"/>
  <c r="D90" i="21"/>
  <c r="G89" i="21"/>
  <c r="H89" i="21" s="1"/>
  <c r="E89" i="21"/>
  <c r="D89" i="21"/>
  <c r="G88" i="21"/>
  <c r="H88" i="21" s="1"/>
  <c r="E88" i="21"/>
  <c r="D88" i="21"/>
  <c r="G87" i="21"/>
  <c r="H87" i="21" s="1"/>
  <c r="E87" i="21"/>
  <c r="D87" i="21"/>
  <c r="G86" i="21"/>
  <c r="H86" i="21" s="1"/>
  <c r="E86" i="21"/>
  <c r="D86" i="21"/>
  <c r="G85" i="21"/>
  <c r="H85" i="21" s="1"/>
  <c r="E85" i="21"/>
  <c r="D85" i="21"/>
  <c r="G84" i="21"/>
  <c r="H84" i="21" s="1"/>
  <c r="E84" i="21"/>
  <c r="D84" i="21"/>
  <c r="G83" i="21"/>
  <c r="H83" i="21" s="1"/>
  <c r="E83" i="21"/>
  <c r="D83" i="21"/>
  <c r="G82" i="21"/>
  <c r="H82" i="21" s="1"/>
  <c r="E82" i="21"/>
  <c r="D82" i="21"/>
  <c r="G81" i="21"/>
  <c r="H81" i="21" s="1"/>
  <c r="E81" i="21"/>
  <c r="D81" i="21"/>
  <c r="G80" i="21"/>
  <c r="H80" i="21" s="1"/>
  <c r="E80" i="21"/>
  <c r="D80" i="21"/>
  <c r="G79" i="21"/>
  <c r="H79" i="21" s="1"/>
  <c r="E79" i="21"/>
  <c r="D79" i="21"/>
  <c r="D67" i="21"/>
  <c r="B67" i="21"/>
  <c r="F65" i="21"/>
  <c r="D65" i="21"/>
  <c r="F64" i="21"/>
  <c r="D64" i="21"/>
  <c r="F63" i="21"/>
  <c r="D63" i="21"/>
  <c r="F62" i="21"/>
  <c r="D62" i="21"/>
  <c r="G60" i="21"/>
  <c r="H60" i="21" s="1"/>
  <c r="E60" i="21"/>
  <c r="D60" i="21"/>
  <c r="G59" i="21"/>
  <c r="H59" i="21" s="1"/>
  <c r="E59" i="21"/>
  <c r="D59" i="21"/>
  <c r="G58" i="21"/>
  <c r="H58" i="21" s="1"/>
  <c r="E58" i="21"/>
  <c r="D58" i="21"/>
  <c r="G57" i="21"/>
  <c r="H57" i="21" s="1"/>
  <c r="E57" i="21"/>
  <c r="D57" i="21"/>
  <c r="G56" i="21"/>
  <c r="H56" i="21" s="1"/>
  <c r="E56" i="21"/>
  <c r="D56" i="21"/>
  <c r="G55" i="21"/>
  <c r="H55" i="21" s="1"/>
  <c r="E55" i="21"/>
  <c r="D55" i="21"/>
  <c r="G54" i="21"/>
  <c r="H54" i="21" s="1"/>
  <c r="E54" i="21"/>
  <c r="D54" i="21"/>
  <c r="G53" i="21"/>
  <c r="H53" i="21" s="1"/>
  <c r="E53" i="21"/>
  <c r="D53" i="21"/>
  <c r="G52" i="21"/>
  <c r="H52" i="21" s="1"/>
  <c r="E52" i="21"/>
  <c r="D52" i="21"/>
  <c r="G51" i="21"/>
  <c r="H51" i="21" s="1"/>
  <c r="E51" i="21"/>
  <c r="D51" i="21"/>
  <c r="G50" i="21"/>
  <c r="H50" i="21" s="1"/>
  <c r="E50" i="21"/>
  <c r="D50" i="21"/>
  <c r="G49" i="21"/>
  <c r="H49" i="21" s="1"/>
  <c r="E49" i="21"/>
  <c r="D49" i="21"/>
  <c r="F35" i="21"/>
  <c r="F34" i="21"/>
  <c r="F33" i="21"/>
  <c r="F32" i="21"/>
  <c r="G26" i="21"/>
  <c r="H26" i="21" s="1"/>
  <c r="G30" i="21"/>
  <c r="H30" i="21" s="1"/>
  <c r="G29" i="21"/>
  <c r="H29" i="21" s="1"/>
  <c r="G28" i="21"/>
  <c r="H28" i="21" s="1"/>
  <c r="G27" i="21"/>
  <c r="H27" i="21" s="1"/>
  <c r="G25" i="21"/>
  <c r="H25" i="21" s="1"/>
  <c r="G24" i="21"/>
  <c r="H24" i="21" s="1"/>
  <c r="G23" i="21"/>
  <c r="H23" i="21" s="1"/>
  <c r="G22" i="21"/>
  <c r="H22" i="21" s="1"/>
  <c r="G21" i="21"/>
  <c r="H21" i="21" s="1"/>
  <c r="G20" i="21"/>
  <c r="H20" i="21" s="1"/>
  <c r="G19" i="21"/>
  <c r="H19" i="21" s="1"/>
  <c r="B37" i="21"/>
  <c r="D33" i="21"/>
  <c r="D35" i="21"/>
  <c r="D34" i="21"/>
  <c r="E26" i="21"/>
  <c r="E25" i="21"/>
  <c r="D26" i="21"/>
  <c r="D29" i="21"/>
  <c r="D25" i="21"/>
  <c r="D21" i="21"/>
  <c r="D30" i="21"/>
  <c r="E30" i="21"/>
  <c r="E29" i="21"/>
  <c r="D24" i="21"/>
  <c r="E27" i="21"/>
  <c r="E24" i="21"/>
  <c r="E23" i="21"/>
  <c r="D22" i="21"/>
  <c r="E22" i="21"/>
  <c r="E21" i="21"/>
  <c r="D28" i="21"/>
  <c r="D27" i="21"/>
  <c r="D23" i="21"/>
  <c r="D37" i="21"/>
  <c r="E28" i="21"/>
  <c r="E20" i="21"/>
  <c r="E19" i="21"/>
  <c r="D32" i="21"/>
  <c r="D20" i="21"/>
  <c r="D19" i="21"/>
  <c r="D4" i="21"/>
  <c r="E307" i="21" s="1"/>
  <c r="E41" i="19"/>
  <c r="E40" i="19"/>
  <c r="E39" i="19"/>
  <c r="E38" i="19"/>
  <c r="E37" i="19"/>
  <c r="E36" i="19"/>
  <c r="E35" i="19"/>
  <c r="E34" i="19"/>
  <c r="E33" i="19"/>
  <c r="E32" i="19"/>
  <c r="E42" i="19" s="1"/>
  <c r="E6" i="19"/>
  <c r="E7" i="19"/>
  <c r="E8" i="19"/>
  <c r="E9" i="19"/>
  <c r="E10" i="19"/>
  <c r="E11" i="19"/>
  <c r="E12" i="19"/>
  <c r="E13" i="19"/>
  <c r="E5" i="19"/>
  <c r="E19" i="19"/>
  <c r="E20" i="19"/>
  <c r="E21" i="19"/>
  <c r="E22" i="19"/>
  <c r="E23" i="19"/>
  <c r="E24" i="19"/>
  <c r="E25" i="19"/>
  <c r="E26" i="19"/>
  <c r="E27" i="19"/>
  <c r="E18" i="19"/>
  <c r="F305" i="6"/>
  <c r="F304" i="6"/>
  <c r="F303" i="6"/>
  <c r="F302" i="6"/>
  <c r="F301" i="6"/>
  <c r="G299" i="6"/>
  <c r="H299" i="6" s="1"/>
  <c r="G298" i="6"/>
  <c r="H298" i="6" s="1"/>
  <c r="G297" i="6"/>
  <c r="H297" i="6" s="1"/>
  <c r="G296" i="6"/>
  <c r="H296" i="6" s="1"/>
  <c r="G295" i="6"/>
  <c r="H295" i="6" s="1"/>
  <c r="G294" i="6"/>
  <c r="H294" i="6" s="1"/>
  <c r="G293" i="6"/>
  <c r="G292" i="6"/>
  <c r="H292" i="6" s="1"/>
  <c r="G291" i="6"/>
  <c r="H291" i="6" s="1"/>
  <c r="G290" i="6"/>
  <c r="H290" i="6" s="1"/>
  <c r="G289" i="6"/>
  <c r="H289" i="6" s="1"/>
  <c r="G288" i="6"/>
  <c r="H288" i="6" s="1"/>
  <c r="F275" i="6"/>
  <c r="F274" i="6"/>
  <c r="F273" i="6"/>
  <c r="F272" i="6"/>
  <c r="F271" i="6"/>
  <c r="G269" i="6"/>
  <c r="H269" i="6" s="1"/>
  <c r="G268" i="6"/>
  <c r="H268" i="6" s="1"/>
  <c r="G267" i="6"/>
  <c r="H267" i="6" s="1"/>
  <c r="G266" i="6"/>
  <c r="H266" i="6" s="1"/>
  <c r="G265" i="6"/>
  <c r="H265" i="6" s="1"/>
  <c r="G264" i="6"/>
  <c r="H264" i="6" s="1"/>
  <c r="G263" i="6"/>
  <c r="H263" i="6" s="1"/>
  <c r="G262" i="6"/>
  <c r="H262" i="6" s="1"/>
  <c r="G261" i="6"/>
  <c r="H261" i="6" s="1"/>
  <c r="G260" i="6"/>
  <c r="H260" i="6" s="1"/>
  <c r="G259" i="6"/>
  <c r="H259" i="6" s="1"/>
  <c r="G258" i="6"/>
  <c r="H258" i="6" s="1"/>
  <c r="F245" i="6"/>
  <c r="F244" i="6"/>
  <c r="F243" i="6"/>
  <c r="F242" i="6"/>
  <c r="F241" i="6"/>
  <c r="G239" i="6"/>
  <c r="H239" i="6" s="1"/>
  <c r="G238" i="6"/>
  <c r="H238" i="6" s="1"/>
  <c r="G237" i="6"/>
  <c r="H237" i="6" s="1"/>
  <c r="G236" i="6"/>
  <c r="H236" i="6" s="1"/>
  <c r="G235" i="6"/>
  <c r="H235" i="6" s="1"/>
  <c r="G234" i="6"/>
  <c r="H234" i="6" s="1"/>
  <c r="G233" i="6"/>
  <c r="H233" i="6" s="1"/>
  <c r="G232" i="6"/>
  <c r="H232" i="6" s="1"/>
  <c r="G231" i="6"/>
  <c r="H231" i="6" s="1"/>
  <c r="G230" i="6"/>
  <c r="H230" i="6" s="1"/>
  <c r="G229" i="6"/>
  <c r="H229" i="6" s="1"/>
  <c r="G228" i="6"/>
  <c r="H228" i="6" s="1"/>
  <c r="F215" i="6"/>
  <c r="F214" i="6"/>
  <c r="F213" i="6"/>
  <c r="F212" i="6"/>
  <c r="F211" i="6"/>
  <c r="G209" i="6"/>
  <c r="H209" i="6" s="1"/>
  <c r="G208" i="6"/>
  <c r="H208" i="6" s="1"/>
  <c r="G207" i="6"/>
  <c r="H207" i="6" s="1"/>
  <c r="G206" i="6"/>
  <c r="H206" i="6" s="1"/>
  <c r="G205" i="6"/>
  <c r="H205" i="6" s="1"/>
  <c r="G204" i="6"/>
  <c r="H204" i="6" s="1"/>
  <c r="G203" i="6"/>
  <c r="H203" i="6" s="1"/>
  <c r="G202" i="6"/>
  <c r="H202" i="6" s="1"/>
  <c r="G201" i="6"/>
  <c r="H201" i="6" s="1"/>
  <c r="G200" i="6"/>
  <c r="H200" i="6" s="1"/>
  <c r="G199" i="6"/>
  <c r="H199" i="6" s="1"/>
  <c r="G198" i="6"/>
  <c r="H198" i="6" s="1"/>
  <c r="F185" i="6"/>
  <c r="F184" i="6"/>
  <c r="F183" i="6"/>
  <c r="F182" i="6"/>
  <c r="F181" i="6"/>
  <c r="G179" i="6"/>
  <c r="H179" i="6" s="1"/>
  <c r="G178" i="6"/>
  <c r="H178" i="6" s="1"/>
  <c r="G177" i="6"/>
  <c r="H177" i="6" s="1"/>
  <c r="G176" i="6"/>
  <c r="H176" i="6" s="1"/>
  <c r="G175" i="6"/>
  <c r="H175" i="6" s="1"/>
  <c r="G174" i="6"/>
  <c r="H174" i="6" s="1"/>
  <c r="G173" i="6"/>
  <c r="H173" i="6" s="1"/>
  <c r="G172" i="6"/>
  <c r="H172" i="6" s="1"/>
  <c r="G171" i="6"/>
  <c r="H171" i="6" s="1"/>
  <c r="G170" i="6"/>
  <c r="H170" i="6" s="1"/>
  <c r="G169" i="6"/>
  <c r="H169" i="6" s="1"/>
  <c r="G168" i="6"/>
  <c r="H168" i="6" s="1"/>
  <c r="F155" i="6"/>
  <c r="F154" i="6"/>
  <c r="F153" i="6"/>
  <c r="F152" i="6"/>
  <c r="F151" i="6"/>
  <c r="G149" i="6"/>
  <c r="H149" i="6" s="1"/>
  <c r="G148" i="6"/>
  <c r="H148" i="6" s="1"/>
  <c r="G147" i="6"/>
  <c r="H147" i="6" s="1"/>
  <c r="G146" i="6"/>
  <c r="G145" i="6"/>
  <c r="H145" i="6" s="1"/>
  <c r="G144" i="6"/>
  <c r="H144" i="6" s="1"/>
  <c r="G143" i="6"/>
  <c r="H143" i="6" s="1"/>
  <c r="G142" i="6"/>
  <c r="H142" i="6" s="1"/>
  <c r="G141" i="6"/>
  <c r="H141" i="6" s="1"/>
  <c r="G140" i="6"/>
  <c r="H140" i="6" s="1"/>
  <c r="G139" i="6"/>
  <c r="H139" i="6" s="1"/>
  <c r="G138" i="6"/>
  <c r="H138" i="6" s="1"/>
  <c r="F125" i="6"/>
  <c r="F124" i="6"/>
  <c r="F123" i="6"/>
  <c r="F122" i="6"/>
  <c r="F121" i="6"/>
  <c r="G119" i="6"/>
  <c r="G118" i="6"/>
  <c r="H118" i="6" s="1"/>
  <c r="G117" i="6"/>
  <c r="H117" i="6" s="1"/>
  <c r="G116" i="6"/>
  <c r="H116" i="6" s="1"/>
  <c r="G115" i="6"/>
  <c r="H115" i="6" s="1"/>
  <c r="G114" i="6"/>
  <c r="H114" i="6" s="1"/>
  <c r="G113" i="6"/>
  <c r="H113" i="6" s="1"/>
  <c r="G112" i="6"/>
  <c r="G111" i="6"/>
  <c r="H111" i="6" s="1"/>
  <c r="G110" i="6"/>
  <c r="H110" i="6" s="1"/>
  <c r="G109" i="6"/>
  <c r="H109" i="6" s="1"/>
  <c r="G108" i="6"/>
  <c r="H108" i="6" s="1"/>
  <c r="F95" i="6"/>
  <c r="F94" i="6"/>
  <c r="F93" i="6"/>
  <c r="F92" i="6"/>
  <c r="F91" i="6"/>
  <c r="G89" i="6"/>
  <c r="H89" i="6" s="1"/>
  <c r="G88" i="6"/>
  <c r="H88" i="6" s="1"/>
  <c r="G87" i="6"/>
  <c r="H87" i="6" s="1"/>
  <c r="G86" i="6"/>
  <c r="H86" i="6" s="1"/>
  <c r="G85" i="6"/>
  <c r="H85" i="6" s="1"/>
  <c r="G84" i="6"/>
  <c r="H84" i="6" s="1"/>
  <c r="G83" i="6"/>
  <c r="H83" i="6" s="1"/>
  <c r="G82" i="6"/>
  <c r="H82" i="6" s="1"/>
  <c r="G81" i="6"/>
  <c r="H81" i="6" s="1"/>
  <c r="G80" i="6"/>
  <c r="H80" i="6" s="1"/>
  <c r="G79" i="6"/>
  <c r="H79" i="6" s="1"/>
  <c r="G78" i="6"/>
  <c r="H78" i="6" s="1"/>
  <c r="F65" i="6"/>
  <c r="F64" i="6"/>
  <c r="F63" i="6"/>
  <c r="F62" i="6"/>
  <c r="F61" i="6"/>
  <c r="G59" i="6"/>
  <c r="H59" i="6" s="1"/>
  <c r="G58" i="6"/>
  <c r="H58" i="6" s="1"/>
  <c r="G57" i="6"/>
  <c r="H57" i="6" s="1"/>
  <c r="G56" i="6"/>
  <c r="H56" i="6" s="1"/>
  <c r="G55" i="6"/>
  <c r="H55" i="6" s="1"/>
  <c r="G54" i="6"/>
  <c r="G53" i="6"/>
  <c r="H53" i="6" s="1"/>
  <c r="G52" i="6"/>
  <c r="H52" i="6" s="1"/>
  <c r="G51" i="6"/>
  <c r="H51" i="6" s="1"/>
  <c r="G50" i="6"/>
  <c r="H50" i="6" s="1"/>
  <c r="G49" i="6"/>
  <c r="H49" i="6" s="1"/>
  <c r="G48" i="6"/>
  <c r="H48" i="6" s="1"/>
  <c r="F35" i="6"/>
  <c r="F34" i="6"/>
  <c r="F33" i="6"/>
  <c r="F32" i="6"/>
  <c r="F31" i="6"/>
  <c r="G29" i="6"/>
  <c r="H29" i="6" s="1"/>
  <c r="G28" i="6"/>
  <c r="G27" i="6"/>
  <c r="G26" i="6"/>
  <c r="H26" i="6" s="1"/>
  <c r="G25" i="6"/>
  <c r="H25" i="6" s="1"/>
  <c r="G24" i="6"/>
  <c r="H24" i="6" s="1"/>
  <c r="G23" i="6"/>
  <c r="H23" i="6" s="1"/>
  <c r="G22" i="6"/>
  <c r="H22" i="6" s="1"/>
  <c r="G21" i="6"/>
  <c r="H21" i="6" s="1"/>
  <c r="G20" i="6"/>
  <c r="H20" i="6" s="1"/>
  <c r="G19" i="6"/>
  <c r="H19" i="6" s="1"/>
  <c r="G18" i="6"/>
  <c r="H18" i="6" s="1"/>
  <c r="D307" i="18"/>
  <c r="C307" i="18"/>
  <c r="B307" i="18"/>
  <c r="F305" i="18"/>
  <c r="D305" i="18"/>
  <c r="F304" i="18"/>
  <c r="D304" i="18"/>
  <c r="F303" i="18"/>
  <c r="D303" i="18"/>
  <c r="F302" i="18"/>
  <c r="D302" i="18"/>
  <c r="F301" i="18"/>
  <c r="D301" i="18"/>
  <c r="G299" i="18"/>
  <c r="H299" i="18" s="1"/>
  <c r="E299" i="18"/>
  <c r="D299" i="18"/>
  <c r="G298" i="18"/>
  <c r="H298" i="18" s="1"/>
  <c r="E298" i="18"/>
  <c r="D298" i="18"/>
  <c r="G297" i="18"/>
  <c r="H297" i="18" s="1"/>
  <c r="E297" i="18"/>
  <c r="D297" i="18"/>
  <c r="G296" i="18"/>
  <c r="H296" i="18" s="1"/>
  <c r="E296" i="18"/>
  <c r="D296" i="18"/>
  <c r="G295" i="18"/>
  <c r="H295" i="18" s="1"/>
  <c r="E295" i="18"/>
  <c r="D295" i="18"/>
  <c r="G294" i="18"/>
  <c r="H294" i="18" s="1"/>
  <c r="E294" i="18"/>
  <c r="D294" i="18"/>
  <c r="G293" i="18"/>
  <c r="H293" i="18" s="1"/>
  <c r="E293" i="18"/>
  <c r="D293" i="18"/>
  <c r="G292" i="18"/>
  <c r="H292" i="18" s="1"/>
  <c r="E292" i="18"/>
  <c r="D292" i="18"/>
  <c r="G291" i="18"/>
  <c r="H291" i="18" s="1"/>
  <c r="E291" i="18"/>
  <c r="D291" i="18"/>
  <c r="G290" i="18"/>
  <c r="H290" i="18" s="1"/>
  <c r="E290" i="18"/>
  <c r="D290" i="18"/>
  <c r="G289" i="18"/>
  <c r="H289" i="18" s="1"/>
  <c r="E289" i="18"/>
  <c r="D289" i="18"/>
  <c r="G288" i="18"/>
  <c r="H288" i="18" s="1"/>
  <c r="E288" i="18"/>
  <c r="D288" i="18"/>
  <c r="D277" i="18"/>
  <c r="C277" i="18"/>
  <c r="B277" i="18"/>
  <c r="F275" i="18"/>
  <c r="D275" i="18"/>
  <c r="F274" i="18"/>
  <c r="D274" i="18"/>
  <c r="F273" i="18"/>
  <c r="D273" i="18"/>
  <c r="F272" i="18"/>
  <c r="D272" i="18"/>
  <c r="F271" i="18"/>
  <c r="D271" i="18"/>
  <c r="G269" i="18"/>
  <c r="H269" i="18" s="1"/>
  <c r="E269" i="18"/>
  <c r="D269" i="18"/>
  <c r="G268" i="18"/>
  <c r="H268" i="18" s="1"/>
  <c r="E268" i="18"/>
  <c r="D268" i="18"/>
  <c r="G267" i="18"/>
  <c r="H267" i="18" s="1"/>
  <c r="E267" i="18"/>
  <c r="D267" i="18"/>
  <c r="G266" i="18"/>
  <c r="H266" i="18" s="1"/>
  <c r="E266" i="18"/>
  <c r="D266" i="18"/>
  <c r="G265" i="18"/>
  <c r="H265" i="18" s="1"/>
  <c r="E265" i="18"/>
  <c r="D265" i="18"/>
  <c r="G264" i="18"/>
  <c r="H264" i="18" s="1"/>
  <c r="E264" i="18"/>
  <c r="D264" i="18"/>
  <c r="G263" i="18"/>
  <c r="H263" i="18" s="1"/>
  <c r="E263" i="18"/>
  <c r="D263" i="18"/>
  <c r="G262" i="18"/>
  <c r="H262" i="18" s="1"/>
  <c r="E262" i="18"/>
  <c r="D262" i="18"/>
  <c r="G261" i="18"/>
  <c r="H261" i="18" s="1"/>
  <c r="E261" i="18"/>
  <c r="D261" i="18"/>
  <c r="G260" i="18"/>
  <c r="H260" i="18" s="1"/>
  <c r="E260" i="18"/>
  <c r="D260" i="18"/>
  <c r="G259" i="18"/>
  <c r="H259" i="18" s="1"/>
  <c r="E259" i="18"/>
  <c r="D259" i="18"/>
  <c r="G258" i="18"/>
  <c r="H258" i="18" s="1"/>
  <c r="E258" i="18"/>
  <c r="D258" i="18"/>
  <c r="D247" i="18"/>
  <c r="C247" i="18"/>
  <c r="B247" i="18"/>
  <c r="F245" i="18"/>
  <c r="D245" i="18"/>
  <c r="F244" i="18"/>
  <c r="D244" i="18"/>
  <c r="F243" i="18"/>
  <c r="D243" i="18"/>
  <c r="F242" i="18"/>
  <c r="D242" i="18"/>
  <c r="F241" i="18"/>
  <c r="D241" i="18"/>
  <c r="G239" i="18"/>
  <c r="H239" i="18" s="1"/>
  <c r="E239" i="18"/>
  <c r="D239" i="18"/>
  <c r="G238" i="18"/>
  <c r="H238" i="18" s="1"/>
  <c r="E238" i="18"/>
  <c r="D238" i="18"/>
  <c r="G237" i="18"/>
  <c r="H237" i="18" s="1"/>
  <c r="E237" i="18"/>
  <c r="D237" i="18"/>
  <c r="G236" i="18"/>
  <c r="H236" i="18" s="1"/>
  <c r="E236" i="18"/>
  <c r="D236" i="18"/>
  <c r="G235" i="18"/>
  <c r="H235" i="18" s="1"/>
  <c r="E235" i="18"/>
  <c r="D235" i="18"/>
  <c r="G234" i="18"/>
  <c r="H234" i="18" s="1"/>
  <c r="E234" i="18"/>
  <c r="D234" i="18"/>
  <c r="G233" i="18"/>
  <c r="H233" i="18" s="1"/>
  <c r="E233" i="18"/>
  <c r="D233" i="18"/>
  <c r="G232" i="18"/>
  <c r="H232" i="18" s="1"/>
  <c r="E232" i="18"/>
  <c r="D232" i="18"/>
  <c r="G231" i="18"/>
  <c r="H231" i="18" s="1"/>
  <c r="E231" i="18"/>
  <c r="D231" i="18"/>
  <c r="G230" i="18"/>
  <c r="H230" i="18" s="1"/>
  <c r="E230" i="18"/>
  <c r="D230" i="18"/>
  <c r="G229" i="18"/>
  <c r="H229" i="18" s="1"/>
  <c r="E229" i="18"/>
  <c r="D229" i="18"/>
  <c r="G228" i="18"/>
  <c r="H228" i="18" s="1"/>
  <c r="E228" i="18"/>
  <c r="D228" i="18"/>
  <c r="D217" i="18"/>
  <c r="C217" i="18"/>
  <c r="B217" i="18"/>
  <c r="F215" i="18"/>
  <c r="D215" i="18"/>
  <c r="F214" i="18"/>
  <c r="D214" i="18"/>
  <c r="F213" i="18"/>
  <c r="D213" i="18"/>
  <c r="F212" i="18"/>
  <c r="D212" i="18"/>
  <c r="F211" i="18"/>
  <c r="D211" i="18"/>
  <c r="G209" i="18"/>
  <c r="H209" i="18" s="1"/>
  <c r="E209" i="18"/>
  <c r="D209" i="18"/>
  <c r="G208" i="18"/>
  <c r="H208" i="18" s="1"/>
  <c r="E208" i="18"/>
  <c r="D208" i="18"/>
  <c r="G207" i="18"/>
  <c r="H207" i="18" s="1"/>
  <c r="E207" i="18"/>
  <c r="D207" i="18"/>
  <c r="G206" i="18"/>
  <c r="H206" i="18" s="1"/>
  <c r="E206" i="18"/>
  <c r="D206" i="18"/>
  <c r="G205" i="18"/>
  <c r="H205" i="18" s="1"/>
  <c r="E205" i="18"/>
  <c r="D205" i="18"/>
  <c r="G204" i="18"/>
  <c r="H204" i="18" s="1"/>
  <c r="E204" i="18"/>
  <c r="D204" i="18"/>
  <c r="G203" i="18"/>
  <c r="H203" i="18" s="1"/>
  <c r="E203" i="18"/>
  <c r="D203" i="18"/>
  <c r="G202" i="18"/>
  <c r="H202" i="18" s="1"/>
  <c r="E202" i="18"/>
  <c r="D202" i="18"/>
  <c r="G201" i="18"/>
  <c r="H201" i="18" s="1"/>
  <c r="E201" i="18"/>
  <c r="D201" i="18"/>
  <c r="G200" i="18"/>
  <c r="H200" i="18" s="1"/>
  <c r="E200" i="18"/>
  <c r="D200" i="18"/>
  <c r="G199" i="18"/>
  <c r="H199" i="18" s="1"/>
  <c r="E199" i="18"/>
  <c r="D199" i="18"/>
  <c r="G198" i="18"/>
  <c r="H198" i="18" s="1"/>
  <c r="E198" i="18"/>
  <c r="D198" i="18"/>
  <c r="D187" i="18"/>
  <c r="C187" i="18"/>
  <c r="B187" i="18"/>
  <c r="F185" i="18"/>
  <c r="D185" i="18"/>
  <c r="F184" i="18"/>
  <c r="D184" i="18"/>
  <c r="F183" i="18"/>
  <c r="D183" i="18"/>
  <c r="F182" i="18"/>
  <c r="D182" i="18"/>
  <c r="F181" i="18"/>
  <c r="D181" i="18"/>
  <c r="G179" i="18"/>
  <c r="H179" i="18" s="1"/>
  <c r="E179" i="18"/>
  <c r="D179" i="18"/>
  <c r="G178" i="18"/>
  <c r="H178" i="18" s="1"/>
  <c r="E178" i="18"/>
  <c r="D178" i="18"/>
  <c r="G177" i="18"/>
  <c r="H177" i="18" s="1"/>
  <c r="E177" i="18"/>
  <c r="D177" i="18"/>
  <c r="G176" i="18"/>
  <c r="H176" i="18" s="1"/>
  <c r="E176" i="18"/>
  <c r="D176" i="18"/>
  <c r="G175" i="18"/>
  <c r="H175" i="18" s="1"/>
  <c r="E175" i="18"/>
  <c r="D175" i="18"/>
  <c r="G174" i="18"/>
  <c r="H174" i="18" s="1"/>
  <c r="E174" i="18"/>
  <c r="D174" i="18"/>
  <c r="G173" i="18"/>
  <c r="H173" i="18" s="1"/>
  <c r="E173" i="18"/>
  <c r="D173" i="18"/>
  <c r="G172" i="18"/>
  <c r="H172" i="18" s="1"/>
  <c r="E172" i="18"/>
  <c r="D172" i="18"/>
  <c r="G171" i="18"/>
  <c r="H171" i="18" s="1"/>
  <c r="E171" i="18"/>
  <c r="D171" i="18"/>
  <c r="G170" i="18"/>
  <c r="H170" i="18" s="1"/>
  <c r="E170" i="18"/>
  <c r="D170" i="18"/>
  <c r="G169" i="18"/>
  <c r="H169" i="18" s="1"/>
  <c r="E169" i="18"/>
  <c r="D169" i="18"/>
  <c r="G168" i="18"/>
  <c r="H168" i="18" s="1"/>
  <c r="E168" i="18"/>
  <c r="D168" i="18"/>
  <c r="D157" i="18"/>
  <c r="C157" i="18"/>
  <c r="B157" i="18"/>
  <c r="F155" i="18"/>
  <c r="D155" i="18"/>
  <c r="F154" i="18"/>
  <c r="D154" i="18"/>
  <c r="F153" i="18"/>
  <c r="D153" i="18"/>
  <c r="F152" i="18"/>
  <c r="D152" i="18"/>
  <c r="F151" i="18"/>
  <c r="D151" i="18"/>
  <c r="G149" i="18"/>
  <c r="H149" i="18" s="1"/>
  <c r="E149" i="18"/>
  <c r="D149" i="18"/>
  <c r="G148" i="18"/>
  <c r="H148" i="18" s="1"/>
  <c r="E148" i="18"/>
  <c r="D148" i="18"/>
  <c r="G147" i="18"/>
  <c r="H147" i="18" s="1"/>
  <c r="E147" i="18"/>
  <c r="D147" i="18"/>
  <c r="G146" i="18"/>
  <c r="H146" i="18" s="1"/>
  <c r="E146" i="18"/>
  <c r="D146" i="18"/>
  <c r="G145" i="18"/>
  <c r="H145" i="18" s="1"/>
  <c r="E145" i="18"/>
  <c r="D145" i="18"/>
  <c r="G144" i="18"/>
  <c r="H144" i="18" s="1"/>
  <c r="E144" i="18"/>
  <c r="D144" i="18"/>
  <c r="G143" i="18"/>
  <c r="H143" i="18" s="1"/>
  <c r="E143" i="18"/>
  <c r="D143" i="18"/>
  <c r="G142" i="18"/>
  <c r="H142" i="18" s="1"/>
  <c r="E142" i="18"/>
  <c r="D142" i="18"/>
  <c r="G141" i="18"/>
  <c r="H141" i="18" s="1"/>
  <c r="E141" i="18"/>
  <c r="D141" i="18"/>
  <c r="G140" i="18"/>
  <c r="H140" i="18" s="1"/>
  <c r="E140" i="18"/>
  <c r="D140" i="18"/>
  <c r="G139" i="18"/>
  <c r="H139" i="18" s="1"/>
  <c r="E139" i="18"/>
  <c r="D139" i="18"/>
  <c r="G138" i="18"/>
  <c r="H138" i="18" s="1"/>
  <c r="E138" i="18"/>
  <c r="D138" i="18"/>
  <c r="D127" i="18"/>
  <c r="C127" i="18"/>
  <c r="B127" i="18"/>
  <c r="F125" i="18"/>
  <c r="D125" i="18"/>
  <c r="F124" i="18"/>
  <c r="D124" i="18"/>
  <c r="F123" i="18"/>
  <c r="D123" i="18"/>
  <c r="F122" i="18"/>
  <c r="D122" i="18"/>
  <c r="F121" i="18"/>
  <c r="D121" i="18"/>
  <c r="G119" i="18"/>
  <c r="H119" i="18" s="1"/>
  <c r="E119" i="18"/>
  <c r="D119" i="18"/>
  <c r="G118" i="18"/>
  <c r="H118" i="18" s="1"/>
  <c r="E118" i="18"/>
  <c r="D118" i="18"/>
  <c r="G117" i="18"/>
  <c r="H117" i="18" s="1"/>
  <c r="E117" i="18"/>
  <c r="D117" i="18"/>
  <c r="G116" i="18"/>
  <c r="H116" i="18" s="1"/>
  <c r="E116" i="18"/>
  <c r="D116" i="18"/>
  <c r="G115" i="18"/>
  <c r="H115" i="18" s="1"/>
  <c r="E115" i="18"/>
  <c r="D115" i="18"/>
  <c r="G114" i="18"/>
  <c r="H114" i="18" s="1"/>
  <c r="E114" i="18"/>
  <c r="D114" i="18"/>
  <c r="G113" i="18"/>
  <c r="H113" i="18" s="1"/>
  <c r="E113" i="18"/>
  <c r="D113" i="18"/>
  <c r="G112" i="18"/>
  <c r="H112" i="18" s="1"/>
  <c r="E112" i="18"/>
  <c r="D112" i="18"/>
  <c r="G111" i="18"/>
  <c r="H111" i="18" s="1"/>
  <c r="E111" i="18"/>
  <c r="D111" i="18"/>
  <c r="G110" i="18"/>
  <c r="H110" i="18" s="1"/>
  <c r="E110" i="18"/>
  <c r="D110" i="18"/>
  <c r="G109" i="18"/>
  <c r="H109" i="18" s="1"/>
  <c r="E109" i="18"/>
  <c r="D109" i="18"/>
  <c r="G108" i="18"/>
  <c r="H108" i="18" s="1"/>
  <c r="E108" i="18"/>
  <c r="D108" i="18"/>
  <c r="D97" i="18"/>
  <c r="C97" i="18"/>
  <c r="B97" i="18"/>
  <c r="F95" i="18"/>
  <c r="D95" i="18"/>
  <c r="F94" i="18"/>
  <c r="D94" i="18"/>
  <c r="F93" i="18"/>
  <c r="D93" i="18"/>
  <c r="F92" i="18"/>
  <c r="D92" i="18"/>
  <c r="F91" i="18"/>
  <c r="D91" i="18"/>
  <c r="G89" i="18"/>
  <c r="H89" i="18" s="1"/>
  <c r="E89" i="18"/>
  <c r="D89" i="18"/>
  <c r="G88" i="18"/>
  <c r="H88" i="18" s="1"/>
  <c r="E88" i="18"/>
  <c r="D88" i="18"/>
  <c r="G87" i="18"/>
  <c r="H87" i="18" s="1"/>
  <c r="E87" i="18"/>
  <c r="D87" i="18"/>
  <c r="G86" i="18"/>
  <c r="H86" i="18" s="1"/>
  <c r="E86" i="18"/>
  <c r="D86" i="18"/>
  <c r="G85" i="18"/>
  <c r="H85" i="18" s="1"/>
  <c r="E85" i="18"/>
  <c r="D85" i="18"/>
  <c r="G84" i="18"/>
  <c r="H84" i="18" s="1"/>
  <c r="E84" i="18"/>
  <c r="D84" i="18"/>
  <c r="G83" i="18"/>
  <c r="H83" i="18" s="1"/>
  <c r="E83" i="18"/>
  <c r="D83" i="18"/>
  <c r="G82" i="18"/>
  <c r="H82" i="18" s="1"/>
  <c r="E82" i="18"/>
  <c r="D82" i="18"/>
  <c r="G81" i="18"/>
  <c r="H81" i="18" s="1"/>
  <c r="E81" i="18"/>
  <c r="D81" i="18"/>
  <c r="G80" i="18"/>
  <c r="H80" i="18" s="1"/>
  <c r="E80" i="18"/>
  <c r="D80" i="18"/>
  <c r="G79" i="18"/>
  <c r="H79" i="18" s="1"/>
  <c r="E79" i="18"/>
  <c r="D79" i="18"/>
  <c r="G78" i="18"/>
  <c r="H78" i="18" s="1"/>
  <c r="E78" i="18"/>
  <c r="D78" i="18"/>
  <c r="D67" i="18"/>
  <c r="C67" i="18"/>
  <c r="B67" i="18"/>
  <c r="F65" i="18"/>
  <c r="D65" i="18"/>
  <c r="F64" i="18"/>
  <c r="D64" i="18"/>
  <c r="F63" i="18"/>
  <c r="D63" i="18"/>
  <c r="F62" i="18"/>
  <c r="D62" i="18"/>
  <c r="F61" i="18"/>
  <c r="D61" i="18"/>
  <c r="G59" i="18"/>
  <c r="H59" i="18" s="1"/>
  <c r="E59" i="18"/>
  <c r="D59" i="18"/>
  <c r="G58" i="18"/>
  <c r="H58" i="18" s="1"/>
  <c r="E58" i="18"/>
  <c r="D58" i="18"/>
  <c r="G57" i="18"/>
  <c r="H57" i="18" s="1"/>
  <c r="E57" i="18"/>
  <c r="D57" i="18"/>
  <c r="G56" i="18"/>
  <c r="H56" i="18" s="1"/>
  <c r="E56" i="18"/>
  <c r="D56" i="18"/>
  <c r="G55" i="18"/>
  <c r="H55" i="18" s="1"/>
  <c r="E55" i="18"/>
  <c r="D55" i="18"/>
  <c r="G54" i="18"/>
  <c r="H54" i="18" s="1"/>
  <c r="E54" i="18"/>
  <c r="D54" i="18"/>
  <c r="G53" i="18"/>
  <c r="H53" i="18" s="1"/>
  <c r="E53" i="18"/>
  <c r="D53" i="18"/>
  <c r="G52" i="18"/>
  <c r="H52" i="18" s="1"/>
  <c r="E52" i="18"/>
  <c r="D52" i="18"/>
  <c r="G51" i="18"/>
  <c r="H51" i="18" s="1"/>
  <c r="E51" i="18"/>
  <c r="D51" i="18"/>
  <c r="G50" i="18"/>
  <c r="H50" i="18" s="1"/>
  <c r="E50" i="18"/>
  <c r="D50" i="18"/>
  <c r="G49" i="18"/>
  <c r="H49" i="18" s="1"/>
  <c r="E49" i="18"/>
  <c r="D49" i="18"/>
  <c r="G48" i="18"/>
  <c r="H48" i="18" s="1"/>
  <c r="E48" i="18"/>
  <c r="D48" i="18"/>
  <c r="D37" i="18"/>
  <c r="C37" i="18"/>
  <c r="B37" i="18"/>
  <c r="F35" i="18"/>
  <c r="D35" i="18"/>
  <c r="F34" i="18"/>
  <c r="D34" i="18"/>
  <c r="F33" i="18"/>
  <c r="D33" i="18"/>
  <c r="F32" i="18"/>
  <c r="D32" i="18"/>
  <c r="F31" i="18"/>
  <c r="D31" i="18"/>
  <c r="G29" i="18"/>
  <c r="H29" i="18" s="1"/>
  <c r="E29" i="18"/>
  <c r="D29" i="18"/>
  <c r="G28" i="18"/>
  <c r="H28" i="18" s="1"/>
  <c r="E28" i="18"/>
  <c r="D28" i="18"/>
  <c r="G27" i="18"/>
  <c r="H27" i="18" s="1"/>
  <c r="E27" i="18"/>
  <c r="D27" i="18"/>
  <c r="G26" i="18"/>
  <c r="H26" i="18" s="1"/>
  <c r="E26" i="18"/>
  <c r="D26" i="18"/>
  <c r="G25" i="18"/>
  <c r="H25" i="18" s="1"/>
  <c r="E25" i="18"/>
  <c r="D25" i="18"/>
  <c r="G24" i="18"/>
  <c r="H24" i="18" s="1"/>
  <c r="E24" i="18"/>
  <c r="D24" i="18"/>
  <c r="G23" i="18"/>
  <c r="H23" i="18" s="1"/>
  <c r="E23" i="18"/>
  <c r="D23" i="18"/>
  <c r="G22" i="18"/>
  <c r="H22" i="18" s="1"/>
  <c r="E22" i="18"/>
  <c r="D22" i="18"/>
  <c r="G21" i="18"/>
  <c r="H21" i="18" s="1"/>
  <c r="E21" i="18"/>
  <c r="D21" i="18"/>
  <c r="G20" i="18"/>
  <c r="H20" i="18" s="1"/>
  <c r="E20" i="18"/>
  <c r="D20" i="18"/>
  <c r="G19" i="18"/>
  <c r="H19" i="18" s="1"/>
  <c r="E19" i="18"/>
  <c r="D19" i="18"/>
  <c r="G18" i="18"/>
  <c r="H18" i="18" s="1"/>
  <c r="E18" i="18"/>
  <c r="D18" i="18"/>
  <c r="D4" i="18"/>
  <c r="E217" i="18" s="1"/>
  <c r="D4" i="6"/>
  <c r="E307" i="6" s="1"/>
  <c r="D307" i="6"/>
  <c r="C307" i="6"/>
  <c r="B307" i="6"/>
  <c r="D305" i="6"/>
  <c r="D304" i="6"/>
  <c r="D303" i="6"/>
  <c r="D302" i="6"/>
  <c r="D301" i="6"/>
  <c r="E299" i="6"/>
  <c r="D299" i="6"/>
  <c r="E298" i="6"/>
  <c r="D298" i="6"/>
  <c r="E297" i="6"/>
  <c r="D297" i="6"/>
  <c r="E296" i="6"/>
  <c r="D296" i="6"/>
  <c r="E295" i="6"/>
  <c r="D295" i="6"/>
  <c r="E294" i="6"/>
  <c r="D294" i="6"/>
  <c r="H293" i="6"/>
  <c r="E293" i="6"/>
  <c r="D293" i="6"/>
  <c r="E292" i="6"/>
  <c r="D292" i="6"/>
  <c r="E291" i="6"/>
  <c r="D291" i="6"/>
  <c r="E290" i="6"/>
  <c r="D290" i="6"/>
  <c r="E289" i="6"/>
  <c r="D289" i="6"/>
  <c r="E288" i="6"/>
  <c r="D288" i="6"/>
  <c r="D277" i="6"/>
  <c r="C277" i="6"/>
  <c r="B277" i="6"/>
  <c r="D275" i="6"/>
  <c r="D274" i="6"/>
  <c r="D273" i="6"/>
  <c r="D272" i="6"/>
  <c r="D271" i="6"/>
  <c r="E269" i="6"/>
  <c r="D269" i="6"/>
  <c r="E268" i="6"/>
  <c r="D268" i="6"/>
  <c r="E267" i="6"/>
  <c r="D267" i="6"/>
  <c r="E266" i="6"/>
  <c r="D266" i="6"/>
  <c r="E265" i="6"/>
  <c r="D265" i="6"/>
  <c r="E264" i="6"/>
  <c r="D264" i="6"/>
  <c r="E263" i="6"/>
  <c r="D263" i="6"/>
  <c r="E262" i="6"/>
  <c r="D262" i="6"/>
  <c r="E261" i="6"/>
  <c r="D261" i="6"/>
  <c r="E260" i="6"/>
  <c r="D260" i="6"/>
  <c r="E259" i="6"/>
  <c r="D259" i="6"/>
  <c r="E258" i="6"/>
  <c r="D258" i="6"/>
  <c r="D247" i="6"/>
  <c r="C247" i="6"/>
  <c r="B247" i="6"/>
  <c r="D245" i="6"/>
  <c r="D244" i="6"/>
  <c r="D243" i="6"/>
  <c r="D242" i="6"/>
  <c r="D241" i="6"/>
  <c r="E239" i="6"/>
  <c r="D239" i="6"/>
  <c r="E238" i="6"/>
  <c r="D238" i="6"/>
  <c r="E237" i="6"/>
  <c r="D237" i="6"/>
  <c r="E236" i="6"/>
  <c r="D236" i="6"/>
  <c r="E235" i="6"/>
  <c r="D235" i="6"/>
  <c r="E234" i="6"/>
  <c r="D234" i="6"/>
  <c r="E233" i="6"/>
  <c r="D233" i="6"/>
  <c r="E232" i="6"/>
  <c r="D232" i="6"/>
  <c r="E231" i="6"/>
  <c r="D231" i="6"/>
  <c r="E230" i="6"/>
  <c r="D230" i="6"/>
  <c r="E229" i="6"/>
  <c r="D229" i="6"/>
  <c r="E228" i="6"/>
  <c r="D228" i="6"/>
  <c r="D217" i="6"/>
  <c r="C217" i="6"/>
  <c r="B217" i="6"/>
  <c r="D215" i="6"/>
  <c r="D214" i="6"/>
  <c r="D213" i="6"/>
  <c r="D212" i="6"/>
  <c r="D211" i="6"/>
  <c r="E209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E201" i="6"/>
  <c r="D201" i="6"/>
  <c r="E200" i="6"/>
  <c r="D200" i="6"/>
  <c r="E199" i="6"/>
  <c r="D199" i="6"/>
  <c r="E198" i="6"/>
  <c r="D198" i="6"/>
  <c r="D187" i="6"/>
  <c r="C187" i="6"/>
  <c r="B187" i="6"/>
  <c r="D185" i="6"/>
  <c r="D184" i="6"/>
  <c r="D183" i="6"/>
  <c r="D182" i="6"/>
  <c r="D181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D157" i="6"/>
  <c r="C157" i="6"/>
  <c r="B157" i="6"/>
  <c r="D155" i="6"/>
  <c r="D154" i="6"/>
  <c r="D153" i="6"/>
  <c r="D152" i="6"/>
  <c r="D151" i="6"/>
  <c r="E149" i="6"/>
  <c r="D149" i="6"/>
  <c r="E148" i="6"/>
  <c r="D148" i="6"/>
  <c r="E147" i="6"/>
  <c r="D147" i="6"/>
  <c r="H146" i="6"/>
  <c r="E146" i="6"/>
  <c r="D146" i="6"/>
  <c r="E145" i="6"/>
  <c r="D145" i="6"/>
  <c r="E144" i="6"/>
  <c r="D144" i="6"/>
  <c r="E143" i="6"/>
  <c r="D143" i="6"/>
  <c r="E142" i="6"/>
  <c r="D142" i="6"/>
  <c r="E141" i="6"/>
  <c r="D141" i="6"/>
  <c r="E140" i="6"/>
  <c r="D140" i="6"/>
  <c r="E139" i="6"/>
  <c r="D139" i="6"/>
  <c r="E138" i="6"/>
  <c r="D138" i="6"/>
  <c r="D127" i="6"/>
  <c r="C127" i="6"/>
  <c r="B127" i="6"/>
  <c r="D125" i="6"/>
  <c r="D124" i="6"/>
  <c r="D123" i="6"/>
  <c r="D122" i="6"/>
  <c r="D121" i="6"/>
  <c r="G121" i="6" s="1"/>
  <c r="H119" i="6"/>
  <c r="E119" i="6"/>
  <c r="D119" i="6"/>
  <c r="E118" i="6"/>
  <c r="D118" i="6"/>
  <c r="E117" i="6"/>
  <c r="D117" i="6"/>
  <c r="E116" i="6"/>
  <c r="D116" i="6"/>
  <c r="E115" i="6"/>
  <c r="D115" i="6"/>
  <c r="E114" i="6"/>
  <c r="D114" i="6"/>
  <c r="E113" i="6"/>
  <c r="D113" i="6"/>
  <c r="H112" i="6"/>
  <c r="E112" i="6"/>
  <c r="D112" i="6"/>
  <c r="E111" i="6"/>
  <c r="D111" i="6"/>
  <c r="E110" i="6"/>
  <c r="D110" i="6"/>
  <c r="E109" i="6"/>
  <c r="D109" i="6"/>
  <c r="E108" i="6"/>
  <c r="D108" i="6"/>
  <c r="D97" i="6"/>
  <c r="C97" i="6"/>
  <c r="B97" i="6"/>
  <c r="D95" i="6"/>
  <c r="D94" i="6"/>
  <c r="D93" i="6"/>
  <c r="D92" i="6"/>
  <c r="D91" i="6"/>
  <c r="E89" i="6"/>
  <c r="D89" i="6"/>
  <c r="E88" i="6"/>
  <c r="D88" i="6"/>
  <c r="E87" i="6"/>
  <c r="D87" i="6"/>
  <c r="E86" i="6"/>
  <c r="D86" i="6"/>
  <c r="F86" i="6" s="1"/>
  <c r="E85" i="6"/>
  <c r="D85" i="6"/>
  <c r="E84" i="6"/>
  <c r="D84" i="6"/>
  <c r="E83" i="6"/>
  <c r="D83" i="6"/>
  <c r="E82" i="6"/>
  <c r="D82" i="6"/>
  <c r="E81" i="6"/>
  <c r="D81" i="6"/>
  <c r="E80" i="6"/>
  <c r="D80" i="6"/>
  <c r="E79" i="6"/>
  <c r="D79" i="6"/>
  <c r="E78" i="6"/>
  <c r="D78" i="6"/>
  <c r="H54" i="6"/>
  <c r="H28" i="6"/>
  <c r="H27" i="6"/>
  <c r="D67" i="6"/>
  <c r="C67" i="6"/>
  <c r="B67" i="6"/>
  <c r="D65" i="6"/>
  <c r="D64" i="6"/>
  <c r="D63" i="6"/>
  <c r="D62" i="6"/>
  <c r="D61" i="6"/>
  <c r="E59" i="6"/>
  <c r="D59" i="6"/>
  <c r="E58" i="6"/>
  <c r="D58" i="6"/>
  <c r="E57" i="6"/>
  <c r="D57" i="6"/>
  <c r="E56" i="6"/>
  <c r="D56" i="6"/>
  <c r="E55" i="6"/>
  <c r="D55" i="6"/>
  <c r="E54" i="6"/>
  <c r="D54" i="6"/>
  <c r="E53" i="6"/>
  <c r="D53" i="6"/>
  <c r="E52" i="6"/>
  <c r="D52" i="6"/>
  <c r="E51" i="6"/>
  <c r="D51" i="6"/>
  <c r="E50" i="6"/>
  <c r="D50" i="6"/>
  <c r="E49" i="6"/>
  <c r="D49" i="6"/>
  <c r="E48" i="6"/>
  <c r="D48" i="6"/>
  <c r="D34" i="6"/>
  <c r="D33" i="6"/>
  <c r="D32" i="6"/>
  <c r="K32" i="17"/>
  <c r="L32" i="17" s="1"/>
  <c r="M32" i="17" s="1"/>
  <c r="E32" i="17"/>
  <c r="F32" i="17" s="1"/>
  <c r="D32" i="17"/>
  <c r="K31" i="17"/>
  <c r="L31" i="17" s="1"/>
  <c r="M31" i="17" s="1"/>
  <c r="D31" i="17"/>
  <c r="E31" i="17" s="1"/>
  <c r="F31" i="17" s="1"/>
  <c r="M30" i="17"/>
  <c r="L30" i="17"/>
  <c r="E30" i="17"/>
  <c r="F30" i="17" s="1"/>
  <c r="L29" i="17"/>
  <c r="M29" i="17" s="1"/>
  <c r="E29" i="17"/>
  <c r="F29" i="17" s="1"/>
  <c r="M28" i="17"/>
  <c r="L28" i="17"/>
  <c r="E28" i="17"/>
  <c r="F28" i="17" s="1"/>
  <c r="L27" i="17"/>
  <c r="M27" i="17" s="1"/>
  <c r="E27" i="17"/>
  <c r="F27" i="17" s="1"/>
  <c r="L26" i="17"/>
  <c r="E26" i="17"/>
  <c r="L25" i="17"/>
  <c r="M25" i="17" s="1"/>
  <c r="E25" i="17"/>
  <c r="F25" i="17" s="1"/>
  <c r="L24" i="17"/>
  <c r="M24" i="17" s="1"/>
  <c r="F24" i="17"/>
  <c r="E24" i="17"/>
  <c r="L23" i="17"/>
  <c r="M23" i="17" s="1"/>
  <c r="E23" i="17"/>
  <c r="F23" i="17" s="1"/>
  <c r="L22" i="17"/>
  <c r="M22" i="17" s="1"/>
  <c r="F22" i="17"/>
  <c r="E22" i="17"/>
  <c r="L21" i="17"/>
  <c r="M21" i="17" s="1"/>
  <c r="E21" i="17"/>
  <c r="F21" i="17" s="1"/>
  <c r="L20" i="17"/>
  <c r="M20" i="17" s="1"/>
  <c r="F20" i="17"/>
  <c r="F33" i="17" s="1"/>
  <c r="E20" i="17"/>
  <c r="L15" i="17"/>
  <c r="M15" i="17" s="1"/>
  <c r="E15" i="17"/>
  <c r="F15" i="17" s="1"/>
  <c r="M14" i="17"/>
  <c r="L14" i="17"/>
  <c r="E14" i="17"/>
  <c r="F14" i="17" s="1"/>
  <c r="L13" i="17"/>
  <c r="M13" i="17" s="1"/>
  <c r="E13" i="17"/>
  <c r="F13" i="17" s="1"/>
  <c r="M12" i="17"/>
  <c r="L12" i="17"/>
  <c r="E12" i="17"/>
  <c r="F12" i="17" s="1"/>
  <c r="L11" i="17"/>
  <c r="M11" i="17" s="1"/>
  <c r="E11" i="17"/>
  <c r="F11" i="17" s="1"/>
  <c r="M10" i="17"/>
  <c r="L10" i="17"/>
  <c r="F10" i="17"/>
  <c r="E10" i="17"/>
  <c r="L9" i="17"/>
  <c r="M9" i="17" s="1"/>
  <c r="E9" i="17"/>
  <c r="F9" i="17" s="1"/>
  <c r="M8" i="17"/>
  <c r="L8" i="17"/>
  <c r="F8" i="17"/>
  <c r="E8" i="17"/>
  <c r="L7" i="17"/>
  <c r="E7" i="17"/>
  <c r="K6" i="17"/>
  <c r="L6" i="17" s="1"/>
  <c r="M6" i="17" s="1"/>
  <c r="F6" i="17"/>
  <c r="E6" i="17"/>
  <c r="L5" i="17"/>
  <c r="M5" i="17" s="1"/>
  <c r="E5" i="17"/>
  <c r="F5" i="17" s="1"/>
  <c r="D37" i="6"/>
  <c r="C37" i="6"/>
  <c r="E24" i="6"/>
  <c r="E18" i="6"/>
  <c r="E29" i="6"/>
  <c r="E28" i="6"/>
  <c r="E23" i="6"/>
  <c r="E27" i="6"/>
  <c r="E26" i="6"/>
  <c r="E25" i="6"/>
  <c r="E22" i="6"/>
  <c r="E21" i="6"/>
  <c r="E20" i="6"/>
  <c r="D29" i="6"/>
  <c r="D28" i="6"/>
  <c r="D27" i="6"/>
  <c r="D26" i="6"/>
  <c r="D25" i="6"/>
  <c r="D24" i="6"/>
  <c r="D23" i="6"/>
  <c r="D22" i="6"/>
  <c r="D21" i="6"/>
  <c r="D20" i="6"/>
  <c r="E19" i="6"/>
  <c r="D19" i="6"/>
  <c r="D18" i="6"/>
  <c r="B37" i="6"/>
  <c r="D35" i="6"/>
  <c r="D31" i="6"/>
  <c r="G211" i="6" l="1"/>
  <c r="B128" i="18"/>
  <c r="G273" i="18"/>
  <c r="G94" i="6"/>
  <c r="G64" i="21"/>
  <c r="G153" i="21"/>
  <c r="F294" i="23"/>
  <c r="G33" i="6"/>
  <c r="F78" i="6"/>
  <c r="F84" i="6"/>
  <c r="G303" i="6"/>
  <c r="G151" i="6"/>
  <c r="F294" i="6"/>
  <c r="I294" i="6" s="1"/>
  <c r="G273" i="6"/>
  <c r="G271" i="6"/>
  <c r="F260" i="18"/>
  <c r="I260" i="18" s="1"/>
  <c r="G271" i="18"/>
  <c r="G3" i="15"/>
  <c r="I7" i="15" s="1"/>
  <c r="J7" i="15" s="1"/>
  <c r="F83" i="21"/>
  <c r="I83" i="21" s="1"/>
  <c r="G272" i="21"/>
  <c r="G273" i="21"/>
  <c r="G305" i="21"/>
  <c r="F180" i="21"/>
  <c r="I180" i="21" s="1"/>
  <c r="G121" i="18"/>
  <c r="G184" i="18"/>
  <c r="F290" i="18"/>
  <c r="I290" i="18" s="1"/>
  <c r="B308" i="18"/>
  <c r="G183" i="18"/>
  <c r="F297" i="18"/>
  <c r="I297" i="18" s="1"/>
  <c r="G273" i="23"/>
  <c r="F88" i="23"/>
  <c r="I88" i="23" s="1"/>
  <c r="G34" i="23"/>
  <c r="F174" i="23"/>
  <c r="I174" i="23" s="1"/>
  <c r="F232" i="23"/>
  <c r="I232" i="23" s="1"/>
  <c r="F266" i="23"/>
  <c r="I266" i="23" s="1"/>
  <c r="F269" i="23"/>
  <c r="I269" i="23" s="1"/>
  <c r="F202" i="23"/>
  <c r="I202" i="23" s="1"/>
  <c r="F208" i="23"/>
  <c r="I208" i="23" s="1"/>
  <c r="F172" i="23"/>
  <c r="I172" i="23" s="1"/>
  <c r="F175" i="23"/>
  <c r="I175" i="23" s="1"/>
  <c r="F178" i="23"/>
  <c r="I178" i="23" s="1"/>
  <c r="G183" i="23"/>
  <c r="F290" i="23"/>
  <c r="I290" i="23" s="1"/>
  <c r="F50" i="23"/>
  <c r="I50" i="23" s="1"/>
  <c r="F293" i="23"/>
  <c r="G32" i="23"/>
  <c r="G33" i="23"/>
  <c r="G62" i="23"/>
  <c r="F82" i="23"/>
  <c r="I82" i="23" s="1"/>
  <c r="F85" i="23"/>
  <c r="I85" i="23" s="1"/>
  <c r="F109" i="23"/>
  <c r="I109" i="23" s="1"/>
  <c r="F112" i="23"/>
  <c r="I112" i="23" s="1"/>
  <c r="F115" i="23"/>
  <c r="I115" i="23" s="1"/>
  <c r="F118" i="23"/>
  <c r="I118" i="23" s="1"/>
  <c r="F265" i="23"/>
  <c r="I265" i="23" s="1"/>
  <c r="G272" i="23"/>
  <c r="G65" i="21"/>
  <c r="G185" i="21"/>
  <c r="F146" i="21"/>
  <c r="I146" i="21" s="1"/>
  <c r="G124" i="21"/>
  <c r="F120" i="21"/>
  <c r="G125" i="21"/>
  <c r="F173" i="21"/>
  <c r="I173" i="21" s="1"/>
  <c r="G303" i="21"/>
  <c r="G95" i="21"/>
  <c r="F86" i="21"/>
  <c r="I86" i="21" s="1"/>
  <c r="G275" i="21"/>
  <c r="G91" i="18"/>
  <c r="G95" i="18"/>
  <c r="G94" i="18"/>
  <c r="F85" i="18"/>
  <c r="F236" i="18"/>
  <c r="I236" i="18" s="1"/>
  <c r="G65" i="18"/>
  <c r="F178" i="18"/>
  <c r="I178" i="18" s="1"/>
  <c r="F239" i="18"/>
  <c r="I239" i="18" s="1"/>
  <c r="F258" i="18"/>
  <c r="I258" i="18" s="1"/>
  <c r="B218" i="18"/>
  <c r="F217" i="18" s="1"/>
  <c r="I194" i="18" s="1"/>
  <c r="G33" i="18"/>
  <c r="G62" i="18"/>
  <c r="B248" i="18"/>
  <c r="F115" i="18"/>
  <c r="G272" i="18"/>
  <c r="G305" i="18"/>
  <c r="F54" i="18"/>
  <c r="I54" i="18" s="1"/>
  <c r="F79" i="18"/>
  <c r="I79" i="18" s="1"/>
  <c r="G152" i="18"/>
  <c r="F299" i="18"/>
  <c r="I299" i="18" s="1"/>
  <c r="F23" i="18"/>
  <c r="I23" i="18" s="1"/>
  <c r="F57" i="18"/>
  <c r="I57" i="18" s="1"/>
  <c r="F116" i="18"/>
  <c r="I116" i="18" s="1"/>
  <c r="F118" i="18"/>
  <c r="I118" i="18" s="1"/>
  <c r="F201" i="18"/>
  <c r="I201" i="18" s="1"/>
  <c r="F53" i="18"/>
  <c r="I53" i="18" s="1"/>
  <c r="F119" i="18"/>
  <c r="F143" i="18"/>
  <c r="I143" i="18" s="1"/>
  <c r="G153" i="18"/>
  <c r="G182" i="18"/>
  <c r="G211" i="18"/>
  <c r="F19" i="18"/>
  <c r="I19" i="18" s="1"/>
  <c r="G32" i="18"/>
  <c r="F58" i="18"/>
  <c r="I58" i="18" s="1"/>
  <c r="F81" i="18"/>
  <c r="I81" i="18" s="1"/>
  <c r="G92" i="18"/>
  <c r="B98" i="18"/>
  <c r="F139" i="18"/>
  <c r="I139" i="18" s="1"/>
  <c r="G151" i="18"/>
  <c r="G185" i="18"/>
  <c r="G241" i="18"/>
  <c r="G302" i="18"/>
  <c r="F289" i="18"/>
  <c r="I289" i="18" s="1"/>
  <c r="F114" i="18"/>
  <c r="I114" i="18" s="1"/>
  <c r="F84" i="18"/>
  <c r="F142" i="18"/>
  <c r="I142" i="18" s="1"/>
  <c r="F174" i="18"/>
  <c r="I174" i="18" s="1"/>
  <c r="F27" i="18"/>
  <c r="I27" i="18" s="1"/>
  <c r="F48" i="18"/>
  <c r="I48" i="18" s="1"/>
  <c r="F89" i="18"/>
  <c r="I89" i="18" s="1"/>
  <c r="F108" i="18"/>
  <c r="I108" i="18" s="1"/>
  <c r="F204" i="18"/>
  <c r="F292" i="18"/>
  <c r="I292" i="18" s="1"/>
  <c r="F112" i="18"/>
  <c r="F146" i="18"/>
  <c r="I146" i="18" s="1"/>
  <c r="F266" i="18"/>
  <c r="I266" i="18" s="1"/>
  <c r="F22" i="18"/>
  <c r="I22" i="18" s="1"/>
  <c r="F18" i="18"/>
  <c r="I18" i="18" s="1"/>
  <c r="G64" i="18"/>
  <c r="F80" i="18"/>
  <c r="I80" i="18" s="1"/>
  <c r="F138" i="18"/>
  <c r="I138" i="18" s="1"/>
  <c r="F147" i="18"/>
  <c r="I147" i="18" s="1"/>
  <c r="F170" i="18"/>
  <c r="I170" i="18" s="1"/>
  <c r="G214" i="18"/>
  <c r="B298" i="24"/>
  <c r="F52" i="6"/>
  <c r="I52" i="6" s="1"/>
  <c r="F149" i="6"/>
  <c r="I149" i="6" s="1"/>
  <c r="F232" i="6"/>
  <c r="I232" i="6" s="1"/>
  <c r="F290" i="6"/>
  <c r="I290" i="6" s="1"/>
  <c r="F143" i="6"/>
  <c r="I143" i="6" s="1"/>
  <c r="F267" i="6"/>
  <c r="I267" i="6" s="1"/>
  <c r="G32" i="6"/>
  <c r="G64" i="6"/>
  <c r="F234" i="6"/>
  <c r="I234" i="6" s="1"/>
  <c r="F237" i="6"/>
  <c r="I237" i="6" s="1"/>
  <c r="G243" i="6"/>
  <c r="F265" i="6"/>
  <c r="I265" i="6" s="1"/>
  <c r="F268" i="6"/>
  <c r="I268" i="6" s="1"/>
  <c r="F289" i="6"/>
  <c r="F292" i="6"/>
  <c r="I292" i="6" s="1"/>
  <c r="F56" i="6"/>
  <c r="I56" i="6" s="1"/>
  <c r="F79" i="6"/>
  <c r="I79" i="6" s="1"/>
  <c r="F233" i="6"/>
  <c r="I233" i="6" s="1"/>
  <c r="F264" i="6"/>
  <c r="I264" i="6" s="1"/>
  <c r="F295" i="6"/>
  <c r="I295" i="6" s="1"/>
  <c r="F205" i="6"/>
  <c r="I205" i="6" s="1"/>
  <c r="F83" i="6"/>
  <c r="F141" i="6"/>
  <c r="I141" i="6" s="1"/>
  <c r="F147" i="6"/>
  <c r="I147" i="6" s="1"/>
  <c r="F172" i="6"/>
  <c r="I172" i="6" s="1"/>
  <c r="F206" i="6"/>
  <c r="I206" i="6" s="1"/>
  <c r="F50" i="6"/>
  <c r="I50" i="6" s="1"/>
  <c r="F89" i="6"/>
  <c r="I89" i="6" s="1"/>
  <c r="F169" i="6"/>
  <c r="I169" i="6" s="1"/>
  <c r="F175" i="6"/>
  <c r="I175" i="6" s="1"/>
  <c r="F179" i="6"/>
  <c r="I179" i="6" s="1"/>
  <c r="F200" i="6"/>
  <c r="I200" i="6" s="1"/>
  <c r="F258" i="6"/>
  <c r="I258" i="6" s="1"/>
  <c r="F298" i="6"/>
  <c r="I298" i="6" s="1"/>
  <c r="F204" i="6"/>
  <c r="I204" i="6" s="1"/>
  <c r="F176" i="6"/>
  <c r="I176" i="6" s="1"/>
  <c r="F198" i="6"/>
  <c r="I198" i="6" s="1"/>
  <c r="I6" i="25"/>
  <c r="I5" i="25"/>
  <c r="I4" i="25"/>
  <c r="I2" i="25"/>
  <c r="F197" i="24"/>
  <c r="I197" i="24" s="1"/>
  <c r="F256" i="24"/>
  <c r="I256" i="24" s="1"/>
  <c r="G293" i="24"/>
  <c r="F287" i="24"/>
  <c r="I287" i="24" s="1"/>
  <c r="F83" i="24"/>
  <c r="I83" i="24" s="1"/>
  <c r="G92" i="24"/>
  <c r="F171" i="24"/>
  <c r="I171" i="24" s="1"/>
  <c r="G178" i="24"/>
  <c r="F196" i="24"/>
  <c r="I196" i="24" s="1"/>
  <c r="F232" i="24"/>
  <c r="I232" i="24" s="1"/>
  <c r="F108" i="24"/>
  <c r="I108" i="24" s="1"/>
  <c r="F116" i="24"/>
  <c r="I116" i="24" s="1"/>
  <c r="G121" i="24"/>
  <c r="F136" i="24"/>
  <c r="I136" i="24" s="1"/>
  <c r="F52" i="24"/>
  <c r="I52" i="24" s="1"/>
  <c r="F255" i="24"/>
  <c r="I255" i="24" s="1"/>
  <c r="G264" i="24"/>
  <c r="F81" i="24"/>
  <c r="I81" i="24" s="1"/>
  <c r="F111" i="24"/>
  <c r="I111" i="24" s="1"/>
  <c r="F144" i="24"/>
  <c r="I144" i="24" s="1"/>
  <c r="G205" i="24"/>
  <c r="F254" i="24"/>
  <c r="I254" i="24" s="1"/>
  <c r="G263" i="24"/>
  <c r="F112" i="24"/>
  <c r="I112" i="24" s="1"/>
  <c r="B182" i="24"/>
  <c r="F282" i="24"/>
  <c r="I282" i="24" s="1"/>
  <c r="F290" i="24"/>
  <c r="I290" i="24" s="1"/>
  <c r="B240" i="24"/>
  <c r="F50" i="24"/>
  <c r="I50" i="24" s="1"/>
  <c r="G89" i="24"/>
  <c r="F143" i="24"/>
  <c r="I143" i="24" s="1"/>
  <c r="F168" i="24"/>
  <c r="I168" i="24" s="1"/>
  <c r="G235" i="24"/>
  <c r="F251" i="24"/>
  <c r="I251" i="24" s="1"/>
  <c r="G63" i="24"/>
  <c r="F223" i="24"/>
  <c r="I223" i="24" s="1"/>
  <c r="F228" i="24"/>
  <c r="I228" i="24" s="1"/>
  <c r="B269" i="24"/>
  <c r="F284" i="24"/>
  <c r="I284" i="24" s="1"/>
  <c r="F57" i="24"/>
  <c r="I57" i="24" s="1"/>
  <c r="B95" i="24"/>
  <c r="F138" i="24"/>
  <c r="I138" i="24" s="1"/>
  <c r="F260" i="24"/>
  <c r="I260" i="24" s="1"/>
  <c r="F110" i="24"/>
  <c r="I110" i="24" s="1"/>
  <c r="F115" i="24"/>
  <c r="I115" i="24" s="1"/>
  <c r="G119" i="24"/>
  <c r="G148" i="24"/>
  <c r="F169" i="24"/>
  <c r="I169" i="24" s="1"/>
  <c r="G179" i="24"/>
  <c r="F194" i="24"/>
  <c r="I194" i="24" s="1"/>
  <c r="F224" i="24"/>
  <c r="I224" i="24" s="1"/>
  <c r="F229" i="24"/>
  <c r="I229" i="24" s="1"/>
  <c r="F285" i="24"/>
  <c r="I285" i="24" s="1"/>
  <c r="G295" i="24"/>
  <c r="F55" i="24"/>
  <c r="I55" i="24" s="1"/>
  <c r="E65" i="24"/>
  <c r="F79" i="24"/>
  <c r="I79" i="24" s="1"/>
  <c r="F164" i="24"/>
  <c r="I164" i="24" s="1"/>
  <c r="F172" i="24"/>
  <c r="I172" i="24" s="1"/>
  <c r="F280" i="24"/>
  <c r="I280" i="24" s="1"/>
  <c r="G91" i="24"/>
  <c r="F106" i="24"/>
  <c r="I106" i="24" s="1"/>
  <c r="F142" i="24"/>
  <c r="I142" i="24" s="1"/>
  <c r="G149" i="24"/>
  <c r="F222" i="24"/>
  <c r="I222" i="24" s="1"/>
  <c r="F227" i="24"/>
  <c r="I227" i="24" s="1"/>
  <c r="G265" i="24"/>
  <c r="G292" i="24"/>
  <c r="F48" i="24"/>
  <c r="I48" i="24" s="1"/>
  <c r="F87" i="24"/>
  <c r="I87" i="24" s="1"/>
  <c r="F145" i="24"/>
  <c r="I145" i="24" s="1"/>
  <c r="F195" i="24"/>
  <c r="I195" i="24" s="1"/>
  <c r="F200" i="24"/>
  <c r="I200" i="24" s="1"/>
  <c r="G207" i="24"/>
  <c r="F230" i="24"/>
  <c r="I230" i="24" s="1"/>
  <c r="G237" i="24"/>
  <c r="F259" i="24"/>
  <c r="I259" i="24" s="1"/>
  <c r="F286" i="24"/>
  <c r="I286" i="24" s="1"/>
  <c r="F51" i="24"/>
  <c r="I51" i="24" s="1"/>
  <c r="F56" i="24"/>
  <c r="I56" i="24" s="1"/>
  <c r="F80" i="24"/>
  <c r="I80" i="24" s="1"/>
  <c r="F140" i="24"/>
  <c r="I140" i="24" s="1"/>
  <c r="F198" i="24"/>
  <c r="I198" i="24" s="1"/>
  <c r="F203" i="24"/>
  <c r="I203" i="24" s="1"/>
  <c r="F252" i="24"/>
  <c r="I252" i="24" s="1"/>
  <c r="E297" i="24"/>
  <c r="F86" i="24"/>
  <c r="I86" i="24" s="1"/>
  <c r="F107" i="24"/>
  <c r="I107" i="24" s="1"/>
  <c r="E123" i="24"/>
  <c r="F141" i="24"/>
  <c r="I141" i="24" s="1"/>
  <c r="F167" i="24"/>
  <c r="I167" i="24" s="1"/>
  <c r="G176" i="24"/>
  <c r="F199" i="24"/>
  <c r="I199" i="24" s="1"/>
  <c r="G266" i="24"/>
  <c r="F283" i="24"/>
  <c r="I283" i="24" s="1"/>
  <c r="G294" i="24"/>
  <c r="F58" i="24"/>
  <c r="I58" i="24" s="1"/>
  <c r="G62" i="24"/>
  <c r="F77" i="24"/>
  <c r="I77" i="24" s="1"/>
  <c r="F84" i="24"/>
  <c r="I84" i="24" s="1"/>
  <c r="G90" i="24"/>
  <c r="G120" i="24"/>
  <c r="F139" i="24"/>
  <c r="I139" i="24" s="1"/>
  <c r="G150" i="24"/>
  <c r="F170" i="24"/>
  <c r="I170" i="24" s="1"/>
  <c r="F202" i="24"/>
  <c r="I202" i="24" s="1"/>
  <c r="G206" i="24"/>
  <c r="E210" i="24"/>
  <c r="F226" i="24"/>
  <c r="I226" i="24" s="1"/>
  <c r="G234" i="24"/>
  <c r="F253" i="24"/>
  <c r="I253" i="24" s="1"/>
  <c r="F281" i="24"/>
  <c r="I281" i="24" s="1"/>
  <c r="F54" i="24"/>
  <c r="I54" i="24" s="1"/>
  <c r="F82" i="24"/>
  <c r="I82" i="24" s="1"/>
  <c r="E94" i="24"/>
  <c r="F114" i="24"/>
  <c r="I114" i="24" s="1"/>
  <c r="F135" i="24"/>
  <c r="I135" i="24" s="1"/>
  <c r="F137" i="24"/>
  <c r="I137" i="24" s="1"/>
  <c r="G147" i="24"/>
  <c r="B153" i="24"/>
  <c r="F152" i="24" s="1"/>
  <c r="F165" i="24"/>
  <c r="I165" i="24" s="1"/>
  <c r="F173" i="24"/>
  <c r="I173" i="24" s="1"/>
  <c r="G177" i="24"/>
  <c r="E181" i="24"/>
  <c r="F231" i="24"/>
  <c r="I231" i="24" s="1"/>
  <c r="F288" i="24"/>
  <c r="I288" i="24" s="1"/>
  <c r="F193" i="24"/>
  <c r="I193" i="24" s="1"/>
  <c r="F257" i="24"/>
  <c r="I257" i="24" s="1"/>
  <c r="B66" i="24"/>
  <c r="F78" i="24"/>
  <c r="I78" i="24" s="1"/>
  <c r="E239" i="24"/>
  <c r="E268" i="24"/>
  <c r="F53" i="24"/>
  <c r="I53" i="24" s="1"/>
  <c r="G60" i="24"/>
  <c r="F85" i="24"/>
  <c r="I85" i="24" s="1"/>
  <c r="F113" i="24"/>
  <c r="I113" i="24" s="1"/>
  <c r="G118" i="24"/>
  <c r="B124" i="24"/>
  <c r="F166" i="24"/>
  <c r="I166" i="24" s="1"/>
  <c r="F174" i="24"/>
  <c r="I174" i="24" s="1"/>
  <c r="F201" i="24"/>
  <c r="I201" i="24" s="1"/>
  <c r="G208" i="24"/>
  <c r="F225" i="24"/>
  <c r="I225" i="24" s="1"/>
  <c r="G236" i="24"/>
  <c r="F261" i="24"/>
  <c r="I261" i="24" s="1"/>
  <c r="F289" i="24"/>
  <c r="I289" i="24" s="1"/>
  <c r="F25" i="24"/>
  <c r="I25" i="24" s="1"/>
  <c r="F49" i="24"/>
  <c r="I49" i="24" s="1"/>
  <c r="G61" i="24"/>
  <c r="F109" i="24"/>
  <c r="I109" i="24" s="1"/>
  <c r="B211" i="24"/>
  <c r="F258" i="24"/>
  <c r="I258" i="24" s="1"/>
  <c r="F56" i="23"/>
  <c r="I56" i="23" s="1"/>
  <c r="F169" i="23"/>
  <c r="I169" i="23" s="1"/>
  <c r="F139" i="23"/>
  <c r="I139" i="23" s="1"/>
  <c r="F142" i="23"/>
  <c r="I142" i="23" s="1"/>
  <c r="F210" i="23"/>
  <c r="I210" i="23" s="1"/>
  <c r="F206" i="23"/>
  <c r="I206" i="23" s="1"/>
  <c r="F239" i="23"/>
  <c r="I239" i="23" s="1"/>
  <c r="F263" i="23"/>
  <c r="I263" i="23" s="1"/>
  <c r="F296" i="23"/>
  <c r="I296" i="23" s="1"/>
  <c r="F19" i="23"/>
  <c r="I19" i="23" s="1"/>
  <c r="F83" i="23"/>
  <c r="I83" i="23" s="1"/>
  <c r="F173" i="23"/>
  <c r="I173" i="23" s="1"/>
  <c r="F176" i="23"/>
  <c r="I176" i="23" s="1"/>
  <c r="F203" i="23"/>
  <c r="I203" i="23" s="1"/>
  <c r="F209" i="23"/>
  <c r="I209" i="23" s="1"/>
  <c r="F230" i="23"/>
  <c r="I230" i="23" s="1"/>
  <c r="F233" i="23"/>
  <c r="I233" i="23" s="1"/>
  <c r="F291" i="23"/>
  <c r="I291" i="23" s="1"/>
  <c r="F81" i="23"/>
  <c r="I81" i="23" s="1"/>
  <c r="F84" i="23"/>
  <c r="I84" i="23" s="1"/>
  <c r="F171" i="23"/>
  <c r="I171" i="23" s="1"/>
  <c r="F180" i="23"/>
  <c r="I180" i="23" s="1"/>
  <c r="F201" i="23"/>
  <c r="I201" i="23" s="1"/>
  <c r="F204" i="23"/>
  <c r="I204" i="23" s="1"/>
  <c r="F207" i="23"/>
  <c r="I207" i="23" s="1"/>
  <c r="F231" i="23"/>
  <c r="I231" i="23" s="1"/>
  <c r="F234" i="23"/>
  <c r="I234" i="23" s="1"/>
  <c r="F237" i="23"/>
  <c r="I237" i="23" s="1"/>
  <c r="F240" i="23"/>
  <c r="I240" i="23" s="1"/>
  <c r="F297" i="23"/>
  <c r="I297" i="23" s="1"/>
  <c r="F300" i="23"/>
  <c r="I300" i="23" s="1"/>
  <c r="F49" i="23"/>
  <c r="I49" i="23" s="1"/>
  <c r="F55" i="23"/>
  <c r="I55" i="23" s="1"/>
  <c r="F87" i="23"/>
  <c r="I87" i="23" s="1"/>
  <c r="F111" i="23"/>
  <c r="I111" i="23" s="1"/>
  <c r="F114" i="23"/>
  <c r="I114" i="23" s="1"/>
  <c r="F141" i="23"/>
  <c r="I141" i="23" s="1"/>
  <c r="F177" i="23"/>
  <c r="I177" i="23" s="1"/>
  <c r="F289" i="23"/>
  <c r="I289" i="23" s="1"/>
  <c r="F292" i="23"/>
  <c r="I292" i="23" s="1"/>
  <c r="F52" i="23"/>
  <c r="I52" i="23" s="1"/>
  <c r="F58" i="23"/>
  <c r="I58" i="23" s="1"/>
  <c r="F79" i="23"/>
  <c r="I79" i="23" s="1"/>
  <c r="F90" i="23"/>
  <c r="I90" i="23" s="1"/>
  <c r="F117" i="23"/>
  <c r="I117" i="23" s="1"/>
  <c r="F120" i="23"/>
  <c r="I120" i="23" s="1"/>
  <c r="F144" i="23"/>
  <c r="I144" i="23" s="1"/>
  <c r="F147" i="23"/>
  <c r="I147" i="23" s="1"/>
  <c r="F150" i="23"/>
  <c r="I150" i="23" s="1"/>
  <c r="F199" i="23"/>
  <c r="I199" i="23" s="1"/>
  <c r="F229" i="23"/>
  <c r="I229" i="23" s="1"/>
  <c r="F235" i="23"/>
  <c r="I235" i="23" s="1"/>
  <c r="F238" i="23"/>
  <c r="I238" i="23" s="1"/>
  <c r="F259" i="23"/>
  <c r="I259" i="23" s="1"/>
  <c r="F262" i="23"/>
  <c r="I262" i="23" s="1"/>
  <c r="F268" i="23"/>
  <c r="I268" i="23" s="1"/>
  <c r="F295" i="23"/>
  <c r="I295" i="23" s="1"/>
  <c r="F298" i="23"/>
  <c r="I298" i="23" s="1"/>
  <c r="F27" i="23"/>
  <c r="I27" i="23" s="1"/>
  <c r="B38" i="23"/>
  <c r="F53" i="23"/>
  <c r="I53" i="23" s="1"/>
  <c r="F59" i="23"/>
  <c r="I59" i="23" s="1"/>
  <c r="F80" i="23"/>
  <c r="I80" i="23" s="1"/>
  <c r="F110" i="23"/>
  <c r="I110" i="23" s="1"/>
  <c r="F145" i="23"/>
  <c r="I145" i="23" s="1"/>
  <c r="F148" i="23"/>
  <c r="I148" i="23" s="1"/>
  <c r="F179" i="23"/>
  <c r="I179" i="23" s="1"/>
  <c r="F200" i="23"/>
  <c r="I200" i="23" s="1"/>
  <c r="F236" i="23"/>
  <c r="I236" i="23" s="1"/>
  <c r="F260" i="23"/>
  <c r="I260" i="23" s="1"/>
  <c r="F299" i="23"/>
  <c r="I299" i="23" s="1"/>
  <c r="B308" i="23"/>
  <c r="G124" i="23"/>
  <c r="F51" i="23"/>
  <c r="I51" i="23" s="1"/>
  <c r="F54" i="23"/>
  <c r="I54" i="23" s="1"/>
  <c r="F57" i="23"/>
  <c r="I57" i="23" s="1"/>
  <c r="F89" i="23"/>
  <c r="I89" i="23" s="1"/>
  <c r="F113" i="23"/>
  <c r="I113" i="23" s="1"/>
  <c r="F116" i="23"/>
  <c r="I116" i="23" s="1"/>
  <c r="F119" i="23"/>
  <c r="I119" i="23" s="1"/>
  <c r="F140" i="23"/>
  <c r="I140" i="23" s="1"/>
  <c r="F143" i="23"/>
  <c r="I143" i="23" s="1"/>
  <c r="F146" i="23"/>
  <c r="I146" i="23" s="1"/>
  <c r="F149" i="23"/>
  <c r="I149" i="23" s="1"/>
  <c r="F264" i="23"/>
  <c r="I264" i="23" s="1"/>
  <c r="F266" i="21"/>
  <c r="I266" i="21" s="1"/>
  <c r="F170" i="21"/>
  <c r="I170" i="21" s="1"/>
  <c r="F235" i="21"/>
  <c r="I235" i="21" s="1"/>
  <c r="B308" i="21"/>
  <c r="F307" i="21" s="1"/>
  <c r="F114" i="21"/>
  <c r="I114" i="21" s="1"/>
  <c r="F119" i="21"/>
  <c r="I119" i="21" s="1"/>
  <c r="F139" i="21"/>
  <c r="I139" i="21" s="1"/>
  <c r="F144" i="21"/>
  <c r="I144" i="21" s="1"/>
  <c r="B218" i="21"/>
  <c r="F171" i="21"/>
  <c r="I171" i="21" s="1"/>
  <c r="F200" i="21"/>
  <c r="I200" i="21" s="1"/>
  <c r="F230" i="21"/>
  <c r="I230" i="21" s="1"/>
  <c r="F238" i="21"/>
  <c r="I238" i="21" s="1"/>
  <c r="F262" i="21"/>
  <c r="I262" i="21" s="1"/>
  <c r="F292" i="21"/>
  <c r="I292" i="21" s="1"/>
  <c r="F113" i="21"/>
  <c r="I113" i="21" s="1"/>
  <c r="F147" i="21"/>
  <c r="I147" i="21" s="1"/>
  <c r="F169" i="21"/>
  <c r="I169" i="21" s="1"/>
  <c r="F176" i="21"/>
  <c r="I176" i="21" s="1"/>
  <c r="F203" i="21"/>
  <c r="I203" i="21" s="1"/>
  <c r="F260" i="21"/>
  <c r="I260" i="21" s="1"/>
  <c r="F299" i="21"/>
  <c r="I299" i="21" s="1"/>
  <c r="B128" i="21"/>
  <c r="F199" i="21"/>
  <c r="I199" i="21" s="1"/>
  <c r="F207" i="21"/>
  <c r="I207" i="21" s="1"/>
  <c r="F85" i="21"/>
  <c r="I85" i="21" s="1"/>
  <c r="F90" i="21"/>
  <c r="I90" i="21" s="1"/>
  <c r="F240" i="21"/>
  <c r="I240" i="21" s="1"/>
  <c r="F270" i="21"/>
  <c r="I270" i="21" s="1"/>
  <c r="F298" i="21"/>
  <c r="I298" i="21" s="1"/>
  <c r="F296" i="21"/>
  <c r="I296" i="21" s="1"/>
  <c r="B98" i="21"/>
  <c r="F81" i="21"/>
  <c r="I81" i="21" s="1"/>
  <c r="B278" i="21"/>
  <c r="F118" i="21"/>
  <c r="I118" i="21" s="1"/>
  <c r="F140" i="21"/>
  <c r="I140" i="21" s="1"/>
  <c r="F150" i="21"/>
  <c r="I150" i="21" s="1"/>
  <c r="G154" i="21"/>
  <c r="F206" i="21"/>
  <c r="I206" i="21" s="1"/>
  <c r="F236" i="21"/>
  <c r="I236" i="21" s="1"/>
  <c r="G302" i="21"/>
  <c r="F84" i="21"/>
  <c r="I84" i="21" s="1"/>
  <c r="F111" i="21"/>
  <c r="I111" i="21" s="1"/>
  <c r="F116" i="21"/>
  <c r="I116" i="21" s="1"/>
  <c r="F174" i="21"/>
  <c r="I174" i="21" s="1"/>
  <c r="F179" i="21"/>
  <c r="I179" i="21" s="1"/>
  <c r="F231" i="21"/>
  <c r="I231" i="21" s="1"/>
  <c r="F239" i="21"/>
  <c r="I239" i="21" s="1"/>
  <c r="F295" i="21"/>
  <c r="I295" i="21" s="1"/>
  <c r="F82" i="21"/>
  <c r="I82" i="21" s="1"/>
  <c r="F109" i="21"/>
  <c r="I109" i="21" s="1"/>
  <c r="F177" i="21"/>
  <c r="I177" i="21" s="1"/>
  <c r="F204" i="21"/>
  <c r="I204" i="21" s="1"/>
  <c r="F265" i="21"/>
  <c r="I265" i="21" s="1"/>
  <c r="F291" i="21"/>
  <c r="I291" i="21" s="1"/>
  <c r="F293" i="21"/>
  <c r="I293" i="21" s="1"/>
  <c r="F261" i="21"/>
  <c r="I261" i="21" s="1"/>
  <c r="F289" i="21"/>
  <c r="I289" i="21" s="1"/>
  <c r="F112" i="21"/>
  <c r="I112" i="21" s="1"/>
  <c r="F300" i="21"/>
  <c r="I300" i="21" s="1"/>
  <c r="F22" i="24"/>
  <c r="I22" i="24" s="1"/>
  <c r="F24" i="24"/>
  <c r="G31" i="24"/>
  <c r="F21" i="24"/>
  <c r="I21" i="24" s="1"/>
  <c r="G33" i="24"/>
  <c r="F28" i="24"/>
  <c r="I28" i="24" s="1"/>
  <c r="F29" i="24"/>
  <c r="I29" i="24" s="1"/>
  <c r="G34" i="24"/>
  <c r="B37" i="24"/>
  <c r="F20" i="24"/>
  <c r="I20" i="24" s="1"/>
  <c r="F26" i="24"/>
  <c r="I26" i="24" s="1"/>
  <c r="F19" i="24"/>
  <c r="I19" i="24" s="1"/>
  <c r="F27" i="24"/>
  <c r="I27" i="24" s="1"/>
  <c r="F23" i="24"/>
  <c r="I23" i="24" s="1"/>
  <c r="I217" i="24"/>
  <c r="G32" i="24"/>
  <c r="I131" i="24"/>
  <c r="I24" i="24"/>
  <c r="I159" i="24"/>
  <c r="I130" i="24"/>
  <c r="I101" i="24"/>
  <c r="I275" i="24"/>
  <c r="E36" i="24"/>
  <c r="G274" i="23"/>
  <c r="F261" i="23"/>
  <c r="I261" i="23" s="1"/>
  <c r="F267" i="23"/>
  <c r="I267" i="23" s="1"/>
  <c r="F270" i="23"/>
  <c r="I270" i="23" s="1"/>
  <c r="B218" i="23"/>
  <c r="G212" i="23"/>
  <c r="F170" i="23"/>
  <c r="I170" i="23" s="1"/>
  <c r="B188" i="23"/>
  <c r="F86" i="23"/>
  <c r="I86" i="23" s="1"/>
  <c r="F60" i="23"/>
  <c r="I60" i="23" s="1"/>
  <c r="F23" i="23"/>
  <c r="I23" i="23" s="1"/>
  <c r="G304" i="21"/>
  <c r="F290" i="21"/>
  <c r="I290" i="21" s="1"/>
  <c r="G183" i="21"/>
  <c r="G152" i="21"/>
  <c r="I120" i="21"/>
  <c r="G122" i="21"/>
  <c r="F60" i="21"/>
  <c r="I60" i="21" s="1"/>
  <c r="F294" i="21"/>
  <c r="I294" i="21" s="1"/>
  <c r="G274" i="21"/>
  <c r="F267" i="21"/>
  <c r="I267" i="21" s="1"/>
  <c r="F269" i="21"/>
  <c r="I269" i="21" s="1"/>
  <c r="G244" i="21"/>
  <c r="G242" i="21"/>
  <c r="G213" i="21"/>
  <c r="G215" i="21"/>
  <c r="F209" i="21"/>
  <c r="I209" i="21" s="1"/>
  <c r="F172" i="21"/>
  <c r="I172" i="21" s="1"/>
  <c r="G182" i="21"/>
  <c r="G92" i="21"/>
  <c r="G94" i="21"/>
  <c r="F142" i="6"/>
  <c r="I142" i="6" s="1"/>
  <c r="F51" i="6"/>
  <c r="I51" i="6" s="1"/>
  <c r="F259" i="18"/>
  <c r="I259" i="18" s="1"/>
  <c r="F198" i="18"/>
  <c r="I198" i="18" s="1"/>
  <c r="F205" i="18"/>
  <c r="I205" i="18" s="1"/>
  <c r="F171" i="18"/>
  <c r="I171" i="18" s="1"/>
  <c r="F50" i="18"/>
  <c r="I50" i="18" s="1"/>
  <c r="F298" i="18"/>
  <c r="I298" i="18" s="1"/>
  <c r="G275" i="18"/>
  <c r="F267" i="18"/>
  <c r="I267" i="18" s="1"/>
  <c r="F268" i="18"/>
  <c r="I268" i="18" s="1"/>
  <c r="F228" i="18"/>
  <c r="I228" i="18" s="1"/>
  <c r="F232" i="18"/>
  <c r="I232" i="18" s="1"/>
  <c r="G243" i="18"/>
  <c r="F229" i="18"/>
  <c r="I229" i="18" s="1"/>
  <c r="F233" i="18"/>
  <c r="I233" i="18" s="1"/>
  <c r="G215" i="18"/>
  <c r="F179" i="18"/>
  <c r="I179" i="18" s="1"/>
  <c r="F144" i="18"/>
  <c r="I144" i="18" s="1"/>
  <c r="G154" i="18"/>
  <c r="G155" i="18"/>
  <c r="F111" i="18"/>
  <c r="I111" i="18" s="1"/>
  <c r="F86" i="18"/>
  <c r="I86" i="18" s="1"/>
  <c r="F51" i="18"/>
  <c r="I51" i="18" s="1"/>
  <c r="G31" i="18"/>
  <c r="F29" i="23"/>
  <c r="I29" i="23" s="1"/>
  <c r="G95" i="23"/>
  <c r="G155" i="23"/>
  <c r="G214" i="23"/>
  <c r="G122" i="23"/>
  <c r="G182" i="23"/>
  <c r="G215" i="23"/>
  <c r="G63" i="23"/>
  <c r="G123" i="23"/>
  <c r="F205" i="23"/>
  <c r="I205" i="23" s="1"/>
  <c r="G242" i="23"/>
  <c r="F25" i="23"/>
  <c r="I25" i="23" s="1"/>
  <c r="F30" i="23"/>
  <c r="I30" i="23" s="1"/>
  <c r="G64" i="23"/>
  <c r="G243" i="23"/>
  <c r="G275" i="23"/>
  <c r="G65" i="23"/>
  <c r="G125" i="23"/>
  <c r="G184" i="23"/>
  <c r="G244" i="23"/>
  <c r="G302" i="23"/>
  <c r="F28" i="23"/>
  <c r="I28" i="23" s="1"/>
  <c r="B278" i="23"/>
  <c r="G92" i="23"/>
  <c r="G152" i="23"/>
  <c r="G185" i="23"/>
  <c r="G245" i="23"/>
  <c r="G303" i="23"/>
  <c r="G93" i="23"/>
  <c r="G153" i="23"/>
  <c r="G304" i="23"/>
  <c r="B248" i="23"/>
  <c r="F247" i="23" s="1"/>
  <c r="I224" i="23" s="1"/>
  <c r="G94" i="23"/>
  <c r="G154" i="23"/>
  <c r="G213" i="23"/>
  <c r="G305" i="23"/>
  <c r="I293" i="23"/>
  <c r="F22" i="23"/>
  <c r="I22" i="23" s="1"/>
  <c r="B128" i="23"/>
  <c r="F20" i="23"/>
  <c r="I20" i="23" s="1"/>
  <c r="E97" i="23"/>
  <c r="G35" i="23"/>
  <c r="E127" i="23"/>
  <c r="B158" i="23"/>
  <c r="F21" i="23"/>
  <c r="I21" i="23" s="1"/>
  <c r="F26" i="23"/>
  <c r="I26" i="23" s="1"/>
  <c r="B68" i="23"/>
  <c r="E157" i="23"/>
  <c r="F24" i="23"/>
  <c r="I24" i="23" s="1"/>
  <c r="B98" i="23"/>
  <c r="E187" i="23"/>
  <c r="I294" i="23"/>
  <c r="E217" i="23"/>
  <c r="E67" i="23"/>
  <c r="E307" i="23"/>
  <c r="E37" i="23"/>
  <c r="E277" i="23"/>
  <c r="F149" i="21"/>
  <c r="I149" i="21" s="1"/>
  <c r="F263" i="21"/>
  <c r="I263" i="21" s="1"/>
  <c r="F52" i="21"/>
  <c r="I52" i="21" s="1"/>
  <c r="F79" i="21"/>
  <c r="I79" i="21" s="1"/>
  <c r="F88" i="21"/>
  <c r="I88" i="21" s="1"/>
  <c r="F142" i="21"/>
  <c r="I142" i="21" s="1"/>
  <c r="E157" i="21"/>
  <c r="F175" i="21"/>
  <c r="I175" i="21" s="1"/>
  <c r="E187" i="21"/>
  <c r="F201" i="21"/>
  <c r="I201" i="21" s="1"/>
  <c r="G212" i="21"/>
  <c r="F233" i="21"/>
  <c r="I233" i="21" s="1"/>
  <c r="G245" i="21"/>
  <c r="F297" i="21"/>
  <c r="I297" i="21" s="1"/>
  <c r="F145" i="21"/>
  <c r="I145" i="21" s="1"/>
  <c r="G184" i="21"/>
  <c r="B248" i="21"/>
  <c r="E217" i="21"/>
  <c r="F53" i="21"/>
  <c r="I53" i="21" s="1"/>
  <c r="F89" i="21"/>
  <c r="I89" i="21" s="1"/>
  <c r="F110" i="21"/>
  <c r="I110" i="21" s="1"/>
  <c r="F117" i="21"/>
  <c r="I117" i="21" s="1"/>
  <c r="G123" i="21"/>
  <c r="F178" i="21"/>
  <c r="I178" i="21" s="1"/>
  <c r="F202" i="21"/>
  <c r="I202" i="21" s="1"/>
  <c r="F234" i="21"/>
  <c r="I234" i="21" s="1"/>
  <c r="F264" i="21"/>
  <c r="I264" i="21" s="1"/>
  <c r="F56" i="21"/>
  <c r="I56" i="21" s="1"/>
  <c r="B68" i="21"/>
  <c r="F80" i="21"/>
  <c r="I80" i="21" s="1"/>
  <c r="F87" i="21"/>
  <c r="I87" i="21" s="1"/>
  <c r="G93" i="21"/>
  <c r="F115" i="21"/>
  <c r="I115" i="21" s="1"/>
  <c r="F141" i="21"/>
  <c r="I141" i="21" s="1"/>
  <c r="F143" i="21"/>
  <c r="I143" i="21" s="1"/>
  <c r="F148" i="21"/>
  <c r="I148" i="21" s="1"/>
  <c r="G155" i="21"/>
  <c r="F205" i="21"/>
  <c r="I205" i="21" s="1"/>
  <c r="F210" i="21"/>
  <c r="I210" i="21" s="1"/>
  <c r="G214" i="21"/>
  <c r="F229" i="21"/>
  <c r="I229" i="21" s="1"/>
  <c r="F237" i="21"/>
  <c r="I237" i="21" s="1"/>
  <c r="G243" i="21"/>
  <c r="E247" i="21"/>
  <c r="F268" i="21"/>
  <c r="I268" i="21" s="1"/>
  <c r="E97" i="21"/>
  <c r="E127" i="21"/>
  <c r="B158" i="21"/>
  <c r="B188" i="21"/>
  <c r="F208" i="21"/>
  <c r="I208" i="21" s="1"/>
  <c r="F232" i="21"/>
  <c r="I232" i="21" s="1"/>
  <c r="F259" i="21"/>
  <c r="I259" i="21" s="1"/>
  <c r="E277" i="21"/>
  <c r="F26" i="21"/>
  <c r="I26" i="21" s="1"/>
  <c r="F51" i="21"/>
  <c r="I51" i="21" s="1"/>
  <c r="F49" i="21"/>
  <c r="I49" i="21" s="1"/>
  <c r="F58" i="21"/>
  <c r="I58" i="21" s="1"/>
  <c r="F54" i="21"/>
  <c r="I54" i="21" s="1"/>
  <c r="G62" i="21"/>
  <c r="F59" i="21"/>
  <c r="I59" i="21" s="1"/>
  <c r="F50" i="21"/>
  <c r="I50" i="21" s="1"/>
  <c r="F57" i="21"/>
  <c r="I57" i="21" s="1"/>
  <c r="G63" i="21"/>
  <c r="F55" i="21"/>
  <c r="I55" i="21" s="1"/>
  <c r="E67" i="21"/>
  <c r="F25" i="21"/>
  <c r="I25" i="21" s="1"/>
  <c r="F20" i="21"/>
  <c r="I20" i="21" s="1"/>
  <c r="G34" i="21"/>
  <c r="F28" i="21"/>
  <c r="I28" i="21" s="1"/>
  <c r="G32" i="21"/>
  <c r="F19" i="21"/>
  <c r="I19" i="21" s="1"/>
  <c r="F21" i="21"/>
  <c r="I21" i="21" s="1"/>
  <c r="F27" i="21"/>
  <c r="I27" i="21" s="1"/>
  <c r="F22" i="21"/>
  <c r="I22" i="21" s="1"/>
  <c r="G35" i="21"/>
  <c r="F24" i="21"/>
  <c r="I24" i="21" s="1"/>
  <c r="F29" i="21"/>
  <c r="I29" i="21" s="1"/>
  <c r="G33" i="21"/>
  <c r="F30" i="21"/>
  <c r="I30" i="21" s="1"/>
  <c r="F23" i="21"/>
  <c r="I23" i="21" s="1"/>
  <c r="E37" i="21"/>
  <c r="B38" i="21"/>
  <c r="F49" i="18"/>
  <c r="I49" i="18" s="1"/>
  <c r="F55" i="18"/>
  <c r="I55" i="18" s="1"/>
  <c r="G124" i="18"/>
  <c r="F140" i="18"/>
  <c r="I140" i="18" s="1"/>
  <c r="F145" i="18"/>
  <c r="I145" i="18" s="1"/>
  <c r="F149" i="18"/>
  <c r="I149" i="18" s="1"/>
  <c r="F169" i="18"/>
  <c r="I169" i="18" s="1"/>
  <c r="F230" i="18"/>
  <c r="I230" i="18" s="1"/>
  <c r="F234" i="18"/>
  <c r="I234" i="18" s="1"/>
  <c r="F264" i="18"/>
  <c r="I264" i="18" s="1"/>
  <c r="F288" i="18"/>
  <c r="I288" i="18" s="1"/>
  <c r="F59" i="18"/>
  <c r="I59" i="18" s="1"/>
  <c r="F109" i="18"/>
  <c r="I109" i="18" s="1"/>
  <c r="F202" i="18"/>
  <c r="I202" i="18" s="1"/>
  <c r="F206" i="18"/>
  <c r="I206" i="18" s="1"/>
  <c r="F237" i="18"/>
  <c r="I237" i="18" s="1"/>
  <c r="E247" i="18"/>
  <c r="F291" i="18"/>
  <c r="I291" i="18" s="1"/>
  <c r="G304" i="18"/>
  <c r="E37" i="18"/>
  <c r="I112" i="18"/>
  <c r="E157" i="18"/>
  <c r="F293" i="18"/>
  <c r="I293" i="18" s="1"/>
  <c r="G63" i="18"/>
  <c r="F113" i="18"/>
  <c r="I113" i="18" s="1"/>
  <c r="F148" i="18"/>
  <c r="I148" i="18" s="1"/>
  <c r="F200" i="18"/>
  <c r="I200" i="18" s="1"/>
  <c r="F208" i="18"/>
  <c r="I208" i="18" s="1"/>
  <c r="G212" i="18"/>
  <c r="G244" i="18"/>
  <c r="F262" i="18"/>
  <c r="I262" i="18" s="1"/>
  <c r="B278" i="18"/>
  <c r="F20" i="18"/>
  <c r="I20" i="18" s="1"/>
  <c r="F28" i="18"/>
  <c r="I28" i="18" s="1"/>
  <c r="F78" i="18"/>
  <c r="I78" i="18" s="1"/>
  <c r="F82" i="18"/>
  <c r="I82" i="18" s="1"/>
  <c r="I85" i="18"/>
  <c r="F117" i="18"/>
  <c r="I117" i="18" s="1"/>
  <c r="G181" i="18"/>
  <c r="F231" i="18"/>
  <c r="I231" i="18" s="1"/>
  <c r="F235" i="18"/>
  <c r="I235" i="18" s="1"/>
  <c r="F294" i="18"/>
  <c r="I294" i="18" s="1"/>
  <c r="F24" i="18"/>
  <c r="I24" i="18" s="1"/>
  <c r="F175" i="18"/>
  <c r="I175" i="18" s="1"/>
  <c r="I204" i="18"/>
  <c r="F209" i="18"/>
  <c r="I209" i="18" s="1"/>
  <c r="F263" i="18"/>
  <c r="I263" i="18" s="1"/>
  <c r="F26" i="18"/>
  <c r="I26" i="18" s="1"/>
  <c r="G35" i="18"/>
  <c r="F56" i="18"/>
  <c r="I56" i="18" s="1"/>
  <c r="G61" i="18"/>
  <c r="F88" i="18"/>
  <c r="I88" i="18" s="1"/>
  <c r="G123" i="18"/>
  <c r="E127" i="18"/>
  <c r="F127" i="18" s="1"/>
  <c r="I104" i="18" s="1"/>
  <c r="E277" i="18"/>
  <c r="B38" i="18"/>
  <c r="B158" i="18"/>
  <c r="F173" i="18"/>
  <c r="I173" i="18" s="1"/>
  <c r="F177" i="18"/>
  <c r="I177" i="18" s="1"/>
  <c r="B188" i="18"/>
  <c r="F199" i="18"/>
  <c r="I199" i="18" s="1"/>
  <c r="F261" i="18"/>
  <c r="I261" i="18" s="1"/>
  <c r="F295" i="18"/>
  <c r="I295" i="18" s="1"/>
  <c r="E28" i="19"/>
  <c r="E14" i="19"/>
  <c r="F111" i="6"/>
  <c r="I111" i="6" s="1"/>
  <c r="F108" i="6"/>
  <c r="I108" i="6" s="1"/>
  <c r="F87" i="6"/>
  <c r="I87" i="6" s="1"/>
  <c r="F230" i="6"/>
  <c r="I230" i="6" s="1"/>
  <c r="F203" i="6"/>
  <c r="I203" i="6" s="1"/>
  <c r="F54" i="6"/>
  <c r="I54" i="6" s="1"/>
  <c r="F58" i="6"/>
  <c r="I58" i="6" s="1"/>
  <c r="F114" i="6"/>
  <c r="I114" i="6" s="1"/>
  <c r="F209" i="6"/>
  <c r="I209" i="6" s="1"/>
  <c r="G123" i="6"/>
  <c r="F118" i="6"/>
  <c r="I118" i="6" s="1"/>
  <c r="F145" i="6"/>
  <c r="I145" i="6" s="1"/>
  <c r="G122" i="6"/>
  <c r="F115" i="6"/>
  <c r="I115" i="6" s="1"/>
  <c r="F207" i="6"/>
  <c r="I207" i="6" s="1"/>
  <c r="F228" i="6"/>
  <c r="I228" i="6" s="1"/>
  <c r="F231" i="6"/>
  <c r="I231" i="6" s="1"/>
  <c r="F262" i="6"/>
  <c r="I262" i="6" s="1"/>
  <c r="G274" i="6"/>
  <c r="F55" i="6"/>
  <c r="I55" i="6" s="1"/>
  <c r="F59" i="6"/>
  <c r="I59" i="6" s="1"/>
  <c r="F81" i="6"/>
  <c r="I81" i="6" s="1"/>
  <c r="F139" i="6"/>
  <c r="I139" i="6" s="1"/>
  <c r="F148" i="6"/>
  <c r="I148" i="6" s="1"/>
  <c r="F170" i="6"/>
  <c r="I170" i="6" s="1"/>
  <c r="F173" i="6"/>
  <c r="I173" i="6" s="1"/>
  <c r="F48" i="6"/>
  <c r="I48" i="6" s="1"/>
  <c r="F82" i="6"/>
  <c r="I82" i="6" s="1"/>
  <c r="F85" i="6"/>
  <c r="I85" i="6" s="1"/>
  <c r="F88" i="6"/>
  <c r="I88" i="6" s="1"/>
  <c r="F109" i="6"/>
  <c r="I109" i="6" s="1"/>
  <c r="F112" i="6"/>
  <c r="I112" i="6" s="1"/>
  <c r="F119" i="6"/>
  <c r="I119" i="6" s="1"/>
  <c r="F146" i="6"/>
  <c r="I146" i="6" s="1"/>
  <c r="F177" i="6"/>
  <c r="I177" i="6" s="1"/>
  <c r="F201" i="6"/>
  <c r="I201" i="6" s="1"/>
  <c r="F235" i="6"/>
  <c r="I235" i="6" s="1"/>
  <c r="F238" i="6"/>
  <c r="I238" i="6" s="1"/>
  <c r="F259" i="6"/>
  <c r="I259" i="6" s="1"/>
  <c r="F266" i="6"/>
  <c r="I266" i="6" s="1"/>
  <c r="F269" i="6"/>
  <c r="I269" i="6" s="1"/>
  <c r="F293" i="6"/>
  <c r="I293" i="6" s="1"/>
  <c r="F296" i="6"/>
  <c r="I296" i="6" s="1"/>
  <c r="F299" i="6"/>
  <c r="I299" i="6" s="1"/>
  <c r="G154" i="6"/>
  <c r="G214" i="6"/>
  <c r="G275" i="6"/>
  <c r="G91" i="6"/>
  <c r="G155" i="6"/>
  <c r="F116" i="6"/>
  <c r="I116" i="6" s="1"/>
  <c r="F174" i="6"/>
  <c r="I174" i="6" s="1"/>
  <c r="F199" i="6"/>
  <c r="I199" i="6" s="1"/>
  <c r="F208" i="6"/>
  <c r="I208" i="6" s="1"/>
  <c r="F229" i="6"/>
  <c r="I229" i="6" s="1"/>
  <c r="F260" i="6"/>
  <c r="I260" i="6" s="1"/>
  <c r="F263" i="6"/>
  <c r="I263" i="6" s="1"/>
  <c r="G92" i="6"/>
  <c r="F49" i="6"/>
  <c r="I49" i="6" s="1"/>
  <c r="F110" i="6"/>
  <c r="I110" i="6" s="1"/>
  <c r="F140" i="6"/>
  <c r="I140" i="6" s="1"/>
  <c r="F171" i="6"/>
  <c r="I171" i="6" s="1"/>
  <c r="F202" i="6"/>
  <c r="I202" i="6" s="1"/>
  <c r="F53" i="6"/>
  <c r="I53" i="6" s="1"/>
  <c r="F57" i="6"/>
  <c r="I57" i="6" s="1"/>
  <c r="F80" i="6"/>
  <c r="I80" i="6" s="1"/>
  <c r="F113" i="6"/>
  <c r="I113" i="6" s="1"/>
  <c r="F117" i="6"/>
  <c r="I117" i="6" s="1"/>
  <c r="F138" i="6"/>
  <c r="I138" i="6" s="1"/>
  <c r="F144" i="6"/>
  <c r="I144" i="6" s="1"/>
  <c r="F168" i="6"/>
  <c r="I168" i="6" s="1"/>
  <c r="F178" i="6"/>
  <c r="F236" i="6"/>
  <c r="I236" i="6" s="1"/>
  <c r="F239" i="6"/>
  <c r="I239" i="6" s="1"/>
  <c r="F261" i="6"/>
  <c r="I261" i="6" s="1"/>
  <c r="F288" i="6"/>
  <c r="I288" i="6" s="1"/>
  <c r="F291" i="6"/>
  <c r="I291" i="6" s="1"/>
  <c r="F297" i="6"/>
  <c r="I297" i="6" s="1"/>
  <c r="G212" i="6"/>
  <c r="G244" i="6"/>
  <c r="G61" i="6"/>
  <c r="G93" i="6"/>
  <c r="G124" i="6"/>
  <c r="G181" i="6"/>
  <c r="G213" i="6"/>
  <c r="G245" i="6"/>
  <c r="G301" i="6"/>
  <c r="G125" i="6"/>
  <c r="G182" i="6"/>
  <c r="G302" i="6"/>
  <c r="G183" i="6"/>
  <c r="G215" i="6"/>
  <c r="G63" i="6"/>
  <c r="G95" i="6"/>
  <c r="G184" i="6"/>
  <c r="G241" i="6"/>
  <c r="G272" i="6"/>
  <c r="G62" i="6"/>
  <c r="G152" i="6"/>
  <c r="G185" i="6"/>
  <c r="G242" i="6"/>
  <c r="G304" i="6"/>
  <c r="B68" i="6"/>
  <c r="G65" i="6"/>
  <c r="G153" i="6"/>
  <c r="G305" i="6"/>
  <c r="F29" i="18"/>
  <c r="I29" i="18" s="1"/>
  <c r="F238" i="18"/>
  <c r="I238" i="18" s="1"/>
  <c r="F265" i="18"/>
  <c r="I265" i="18" s="1"/>
  <c r="F296" i="18"/>
  <c r="I296" i="18" s="1"/>
  <c r="F52" i="18"/>
  <c r="I52" i="18" s="1"/>
  <c r="F203" i="18"/>
  <c r="I203" i="18" s="1"/>
  <c r="I84" i="18"/>
  <c r="I115" i="18"/>
  <c r="G93" i="18"/>
  <c r="F110" i="18"/>
  <c r="I110" i="18" s="1"/>
  <c r="F141" i="18"/>
  <c r="I141" i="18" s="1"/>
  <c r="F269" i="18"/>
  <c r="I269" i="18" s="1"/>
  <c r="B68" i="18"/>
  <c r="G122" i="18"/>
  <c r="F176" i="18"/>
  <c r="I176" i="18" s="1"/>
  <c r="F207" i="18"/>
  <c r="I207" i="18" s="1"/>
  <c r="G242" i="18"/>
  <c r="F172" i="18"/>
  <c r="I172" i="18" s="1"/>
  <c r="F21" i="18"/>
  <c r="I21" i="18" s="1"/>
  <c r="F83" i="18"/>
  <c r="I83" i="18" s="1"/>
  <c r="G125" i="18"/>
  <c r="G245" i="18"/>
  <c r="G301" i="18"/>
  <c r="F25" i="18"/>
  <c r="I25" i="18" s="1"/>
  <c r="G34" i="18"/>
  <c r="F87" i="18"/>
  <c r="I87" i="18" s="1"/>
  <c r="I119" i="18"/>
  <c r="F168" i="18"/>
  <c r="I168" i="18" s="1"/>
  <c r="G213" i="18"/>
  <c r="G274" i="18"/>
  <c r="G303" i="18"/>
  <c r="E67" i="18"/>
  <c r="E187" i="18"/>
  <c r="E307" i="18"/>
  <c r="E97" i="18"/>
  <c r="F97" i="18" s="1"/>
  <c r="I74" i="18" s="1"/>
  <c r="B98" i="6"/>
  <c r="I83" i="6"/>
  <c r="I178" i="6"/>
  <c r="B218" i="6"/>
  <c r="B248" i="6"/>
  <c r="B128" i="6"/>
  <c r="I84" i="6"/>
  <c r="B158" i="6"/>
  <c r="G34" i="6"/>
  <c r="B188" i="6"/>
  <c r="B308" i="6"/>
  <c r="F307" i="6" s="1"/>
  <c r="I284" i="6" s="1"/>
  <c r="F21" i="6"/>
  <c r="I21" i="6" s="1"/>
  <c r="B278" i="6"/>
  <c r="I289" i="6"/>
  <c r="E97" i="6"/>
  <c r="E157" i="6"/>
  <c r="G35" i="6"/>
  <c r="I86" i="6"/>
  <c r="E127" i="6"/>
  <c r="E217" i="6"/>
  <c r="E277" i="6"/>
  <c r="E37" i="6"/>
  <c r="E67" i="6"/>
  <c r="I78" i="6"/>
  <c r="E187" i="6"/>
  <c r="E247" i="6"/>
  <c r="G31" i="6"/>
  <c r="F29" i="6"/>
  <c r="I29" i="6" s="1"/>
  <c r="F22" i="6"/>
  <c r="I22" i="6" s="1"/>
  <c r="F24" i="6"/>
  <c r="F26" i="6"/>
  <c r="I26" i="6" s="1"/>
  <c r="F27" i="6"/>
  <c r="I27" i="6" s="1"/>
  <c r="F23" i="6"/>
  <c r="I23" i="6" s="1"/>
  <c r="F28" i="6"/>
  <c r="I28" i="6" s="1"/>
  <c r="F25" i="6"/>
  <c r="I25" i="6" s="1"/>
  <c r="F20" i="6"/>
  <c r="I20" i="6" s="1"/>
  <c r="F19" i="6"/>
  <c r="I19" i="6" s="1"/>
  <c r="F16" i="17"/>
  <c r="M16" i="17"/>
  <c r="M33" i="17"/>
  <c r="B38" i="6"/>
  <c r="F37" i="6" s="1"/>
  <c r="D222" i="15"/>
  <c r="D221" i="15"/>
  <c r="D220" i="15"/>
  <c r="D219" i="15"/>
  <c r="D200" i="15"/>
  <c r="D199" i="15"/>
  <c r="D198" i="15"/>
  <c r="D197" i="15"/>
  <c r="D178" i="15"/>
  <c r="D177" i="15"/>
  <c r="D176" i="15"/>
  <c r="D175" i="15"/>
  <c r="D156" i="15"/>
  <c r="D155" i="15"/>
  <c r="D154" i="15"/>
  <c r="D153" i="15"/>
  <c r="D134" i="15"/>
  <c r="D133" i="15"/>
  <c r="D132" i="15"/>
  <c r="D131" i="15"/>
  <c r="D112" i="15"/>
  <c r="D111" i="15"/>
  <c r="D110" i="15"/>
  <c r="D109" i="15"/>
  <c r="D90" i="15"/>
  <c r="D89" i="15"/>
  <c r="D88" i="15"/>
  <c r="D87" i="15"/>
  <c r="D68" i="15"/>
  <c r="D67" i="15"/>
  <c r="D66" i="15"/>
  <c r="D65" i="15"/>
  <c r="D46" i="15"/>
  <c r="D45" i="15"/>
  <c r="D44" i="15"/>
  <c r="D43" i="15"/>
  <c r="E227" i="15"/>
  <c r="D29" i="15"/>
  <c r="D24" i="15"/>
  <c r="D23" i="15"/>
  <c r="D22" i="15"/>
  <c r="D21" i="15"/>
  <c r="I163" i="6" l="1"/>
  <c r="J163" i="6" s="1"/>
  <c r="I31" i="6"/>
  <c r="I15" i="6" s="1"/>
  <c r="I6" i="15"/>
  <c r="J6" i="15" s="1"/>
  <c r="I8" i="15"/>
  <c r="J8" i="15" s="1"/>
  <c r="F187" i="23"/>
  <c r="I164" i="23" s="1"/>
  <c r="F37" i="23"/>
  <c r="I32" i="23"/>
  <c r="I15" i="23" s="1"/>
  <c r="I272" i="21"/>
  <c r="I255" i="21" s="1"/>
  <c r="F127" i="6"/>
  <c r="I104" i="6" s="1"/>
  <c r="F297" i="24"/>
  <c r="F307" i="18"/>
  <c r="I284" i="18" s="1"/>
  <c r="F217" i="21"/>
  <c r="I194" i="21" s="1"/>
  <c r="I302" i="21"/>
  <c r="I285" i="21" s="1"/>
  <c r="F127" i="21"/>
  <c r="I104" i="21" s="1"/>
  <c r="I271" i="18"/>
  <c r="I255" i="18" s="1"/>
  <c r="F247" i="18"/>
  <c r="I224" i="18" s="1"/>
  <c r="I181" i="18"/>
  <c r="I165" i="18" s="1"/>
  <c r="F37" i="18"/>
  <c r="I14" i="18" s="1"/>
  <c r="F277" i="18"/>
  <c r="I254" i="18" s="1"/>
  <c r="I91" i="18"/>
  <c r="I75" i="18" s="1"/>
  <c r="F97" i="6"/>
  <c r="I74" i="6" s="1"/>
  <c r="F67" i="6"/>
  <c r="I44" i="6" s="1"/>
  <c r="F239" i="24"/>
  <c r="I13" i="24"/>
  <c r="I89" i="24"/>
  <c r="F181" i="24"/>
  <c r="F268" i="24"/>
  <c r="I263" i="24"/>
  <c r="I60" i="24"/>
  <c r="F94" i="24"/>
  <c r="F65" i="24"/>
  <c r="I147" i="24"/>
  <c r="I205" i="24"/>
  <c r="F210" i="24"/>
  <c r="F123" i="24"/>
  <c r="I234" i="24"/>
  <c r="I292" i="24"/>
  <c r="I176" i="24"/>
  <c r="I118" i="24"/>
  <c r="I73" i="24"/>
  <c r="I247" i="24"/>
  <c r="I31" i="24"/>
  <c r="I15" i="24" s="1"/>
  <c r="F307" i="23"/>
  <c r="I284" i="23" s="1"/>
  <c r="F217" i="23"/>
  <c r="I194" i="23" s="1"/>
  <c r="I302" i="23"/>
  <c r="I285" i="23" s="1"/>
  <c r="I182" i="23"/>
  <c r="I165" i="23" s="1"/>
  <c r="F157" i="23"/>
  <c r="I134" i="23" s="1"/>
  <c r="F97" i="23"/>
  <c r="I74" i="23" s="1"/>
  <c r="I272" i="23"/>
  <c r="I255" i="23" s="1"/>
  <c r="I14" i="23"/>
  <c r="I212" i="23"/>
  <c r="I195" i="23" s="1"/>
  <c r="I152" i="23"/>
  <c r="I135" i="23" s="1"/>
  <c r="I122" i="23"/>
  <c r="I105" i="23" s="1"/>
  <c r="I152" i="21"/>
  <c r="I135" i="21" s="1"/>
  <c r="F187" i="21"/>
  <c r="I164" i="21" s="1"/>
  <c r="F97" i="21"/>
  <c r="I74" i="21" s="1"/>
  <c r="I92" i="21"/>
  <c r="I75" i="21" s="1"/>
  <c r="I242" i="21"/>
  <c r="I225" i="21" s="1"/>
  <c r="F157" i="21"/>
  <c r="I134" i="21" s="1"/>
  <c r="I182" i="21"/>
  <c r="I165" i="21" s="1"/>
  <c r="I212" i="21"/>
  <c r="I195" i="21" s="1"/>
  <c r="F277" i="21"/>
  <c r="I254" i="21" s="1"/>
  <c r="I122" i="21"/>
  <c r="I105" i="21" s="1"/>
  <c r="I44" i="24"/>
  <c r="I274" i="24"/>
  <c r="I218" i="24"/>
  <c r="I102" i="24"/>
  <c r="I72" i="24"/>
  <c r="F36" i="24"/>
  <c r="I14" i="24" s="1"/>
  <c r="I189" i="24"/>
  <c r="I187" i="24"/>
  <c r="I188" i="24"/>
  <c r="I246" i="24"/>
  <c r="I71" i="24"/>
  <c r="I245" i="24"/>
  <c r="I129" i="24"/>
  <c r="I132" i="24" s="1"/>
  <c r="I276" i="24"/>
  <c r="I100" i="24"/>
  <c r="I43" i="24"/>
  <c r="I158" i="24"/>
  <c r="I160" i="24"/>
  <c r="I42" i="24"/>
  <c r="I216" i="24"/>
  <c r="F277" i="23"/>
  <c r="I254" i="23" s="1"/>
  <c r="I242" i="23"/>
  <c r="I225" i="23" s="1"/>
  <c r="I92" i="23"/>
  <c r="I75" i="23" s="1"/>
  <c r="I62" i="23"/>
  <c r="I45" i="23" s="1"/>
  <c r="F247" i="21"/>
  <c r="I224" i="21" s="1"/>
  <c r="F67" i="21"/>
  <c r="I44" i="21" s="1"/>
  <c r="F217" i="6"/>
  <c r="I194" i="6" s="1"/>
  <c r="F187" i="6"/>
  <c r="I164" i="6" s="1"/>
  <c r="J164" i="6" s="1"/>
  <c r="I211" i="18"/>
  <c r="I195" i="18" s="1"/>
  <c r="F187" i="18"/>
  <c r="I164" i="18" s="1"/>
  <c r="F157" i="18"/>
  <c r="I134" i="18" s="1"/>
  <c r="I151" i="18"/>
  <c r="I135" i="18" s="1"/>
  <c r="I73" i="18"/>
  <c r="I61" i="18"/>
  <c r="I45" i="18" s="1"/>
  <c r="I31" i="18"/>
  <c r="I15" i="18" s="1"/>
  <c r="I43" i="18"/>
  <c r="I73" i="23"/>
  <c r="I43" i="23"/>
  <c r="I253" i="23"/>
  <c r="F67" i="23"/>
  <c r="I44" i="23" s="1"/>
  <c r="I223" i="23"/>
  <c r="I283" i="23"/>
  <c r="F127" i="23"/>
  <c r="I104" i="23" s="1"/>
  <c r="I13" i="23"/>
  <c r="I193" i="23"/>
  <c r="I133" i="23"/>
  <c r="I103" i="23"/>
  <c r="I163" i="23"/>
  <c r="I62" i="21"/>
  <c r="I45" i="21" s="1"/>
  <c r="I133" i="21"/>
  <c r="I283" i="21"/>
  <c r="I253" i="21"/>
  <c r="I223" i="21"/>
  <c r="I193" i="21"/>
  <c r="I163" i="21"/>
  <c r="I103" i="21"/>
  <c r="I73" i="21"/>
  <c r="I43" i="21"/>
  <c r="I32" i="21"/>
  <c r="I15" i="21" s="1"/>
  <c r="I13" i="21"/>
  <c r="F37" i="21"/>
  <c r="I14" i="21" s="1"/>
  <c r="I284" i="21"/>
  <c r="I193" i="18"/>
  <c r="I103" i="18"/>
  <c r="I223" i="18"/>
  <c r="I283" i="18"/>
  <c r="I241" i="18"/>
  <c r="I225" i="18" s="1"/>
  <c r="I301" i="18"/>
  <c r="I285" i="18" s="1"/>
  <c r="I163" i="18"/>
  <c r="I241" i="6"/>
  <c r="I225" i="6" s="1"/>
  <c r="F67" i="18"/>
  <c r="I44" i="18" s="1"/>
  <c r="I133" i="18"/>
  <c r="I121" i="18"/>
  <c r="I105" i="18" s="1"/>
  <c r="I13" i="18"/>
  <c r="I253" i="18"/>
  <c r="F277" i="6"/>
  <c r="I254" i="6" s="1"/>
  <c r="F247" i="6"/>
  <c r="I224" i="6" s="1"/>
  <c r="F157" i="6"/>
  <c r="I134" i="6" s="1"/>
  <c r="I91" i="6"/>
  <c r="I75" i="6" s="1"/>
  <c r="I61" i="6"/>
  <c r="I45" i="6" s="1"/>
  <c r="I181" i="6"/>
  <c r="I165" i="6" s="1"/>
  <c r="J165" i="6" s="1"/>
  <c r="I73" i="6"/>
  <c r="I121" i="6"/>
  <c r="I105" i="6" s="1"/>
  <c r="I271" i="6"/>
  <c r="I255" i="6" s="1"/>
  <c r="I151" i="6"/>
  <c r="I135" i="6" s="1"/>
  <c r="I211" i="6"/>
  <c r="I195" i="6" s="1"/>
  <c r="I103" i="6"/>
  <c r="I223" i="6"/>
  <c r="I14" i="6"/>
  <c r="I301" i="6"/>
  <c r="I285" i="6" s="1"/>
  <c r="I283" i="6"/>
  <c r="I253" i="6"/>
  <c r="I193" i="6"/>
  <c r="I133" i="6"/>
  <c r="I43" i="6"/>
  <c r="E29" i="15"/>
  <c r="E73" i="15"/>
  <c r="E95" i="15"/>
  <c r="E183" i="15"/>
  <c r="E117" i="15"/>
  <c r="E205" i="15"/>
  <c r="E139" i="15"/>
  <c r="E161" i="15"/>
  <c r="E51" i="15"/>
  <c r="J166" i="6" l="1"/>
  <c r="K166" i="6" s="1"/>
  <c r="I196" i="6"/>
  <c r="I166" i="23"/>
  <c r="I4" i="23"/>
  <c r="J4" i="23" s="1"/>
  <c r="G5" i="23"/>
  <c r="I3" i="23" s="1"/>
  <c r="I5" i="23"/>
  <c r="J5" i="23" s="1"/>
  <c r="I226" i="23"/>
  <c r="G5" i="21"/>
  <c r="I3" i="21" s="1"/>
  <c r="G5" i="18"/>
  <c r="I3" i="18" s="1"/>
  <c r="G5" i="24"/>
  <c r="I3" i="24" s="1"/>
  <c r="I5" i="6"/>
  <c r="J5" i="6" s="1"/>
  <c r="I4" i="24"/>
  <c r="I5" i="24"/>
  <c r="J5" i="24" s="1"/>
  <c r="I286" i="23"/>
  <c r="I256" i="18"/>
  <c r="I76" i="18"/>
  <c r="I196" i="18"/>
  <c r="I166" i="18"/>
  <c r="I136" i="18"/>
  <c r="I219" i="24"/>
  <c r="I76" i="6"/>
  <c r="I46" i="6"/>
  <c r="I277" i="24"/>
  <c r="I248" i="24"/>
  <c r="I103" i="24"/>
  <c r="I190" i="24"/>
  <c r="I16" i="24"/>
  <c r="I136" i="23"/>
  <c r="I256" i="23"/>
  <c r="I196" i="23"/>
  <c r="I16" i="23"/>
  <c r="I76" i="23"/>
  <c r="I256" i="21"/>
  <c r="I196" i="21"/>
  <c r="I45" i="24"/>
  <c r="I74" i="24"/>
  <c r="I161" i="24"/>
  <c r="I136" i="21"/>
  <c r="I4" i="6"/>
  <c r="J4" i="6" s="1"/>
  <c r="I46" i="18"/>
  <c r="I106" i="18"/>
  <c r="I106" i="23"/>
  <c r="I46" i="23"/>
  <c r="I166" i="21"/>
  <c r="I286" i="21"/>
  <c r="I226" i="21"/>
  <c r="I106" i="21"/>
  <c r="I76" i="21"/>
  <c r="I46" i="21"/>
  <c r="I16" i="21"/>
  <c r="I4" i="21"/>
  <c r="J4" i="21" s="1"/>
  <c r="I5" i="21"/>
  <c r="J5" i="21" s="1"/>
  <c r="I286" i="18"/>
  <c r="I226" i="18"/>
  <c r="I256" i="6"/>
  <c r="I226" i="6"/>
  <c r="I16" i="18"/>
  <c r="I5" i="18"/>
  <c r="J5" i="18" s="1"/>
  <c r="I4" i="18"/>
  <c r="J4" i="18" s="1"/>
  <c r="I136" i="6"/>
  <c r="I166" i="6"/>
  <c r="I106" i="6"/>
  <c r="I286" i="6"/>
  <c r="J3" i="23" l="1"/>
  <c r="J9" i="23" s="1"/>
  <c r="I9" i="18"/>
  <c r="J3" i="18"/>
  <c r="J9" i="18" s="1"/>
  <c r="G9" i="18" s="1"/>
  <c r="I9" i="21"/>
  <c r="J3" i="21"/>
  <c r="J9" i="21" s="1"/>
  <c r="I9" i="24"/>
  <c r="J3" i="24"/>
  <c r="J4" i="24"/>
  <c r="I9" i="23"/>
  <c r="G9" i="23" l="1"/>
  <c r="G9" i="21"/>
  <c r="J9" i="24"/>
  <c r="G9" i="24" s="1"/>
  <c r="D227" i="15"/>
  <c r="C227" i="15"/>
  <c r="B227" i="15"/>
  <c r="D225" i="15"/>
  <c r="G225" i="15" s="1"/>
  <c r="D224" i="15"/>
  <c r="G224" i="15" s="1"/>
  <c r="D223" i="15"/>
  <c r="G223" i="15" s="1"/>
  <c r="H222" i="15"/>
  <c r="E222" i="15"/>
  <c r="H221" i="15"/>
  <c r="E221" i="15"/>
  <c r="H220" i="15"/>
  <c r="E220" i="15"/>
  <c r="H219" i="15"/>
  <c r="E219" i="15"/>
  <c r="H218" i="15"/>
  <c r="E218" i="15"/>
  <c r="D218" i="15"/>
  <c r="H217" i="15"/>
  <c r="E217" i="15"/>
  <c r="D217" i="15"/>
  <c r="H216" i="15"/>
  <c r="E216" i="15"/>
  <c r="D216" i="15"/>
  <c r="D205" i="15"/>
  <c r="C205" i="15"/>
  <c r="B205" i="15"/>
  <c r="D203" i="15"/>
  <c r="G203" i="15" s="1"/>
  <c r="D202" i="15"/>
  <c r="G202" i="15" s="1"/>
  <c r="D201" i="15"/>
  <c r="G201" i="15" s="1"/>
  <c r="H200" i="15"/>
  <c r="E200" i="15"/>
  <c r="H199" i="15"/>
  <c r="E199" i="15"/>
  <c r="H198" i="15"/>
  <c r="E198" i="15"/>
  <c r="H197" i="15"/>
  <c r="E197" i="15"/>
  <c r="H196" i="15"/>
  <c r="E196" i="15"/>
  <c r="D196" i="15"/>
  <c r="H195" i="15"/>
  <c r="E195" i="15"/>
  <c r="D195" i="15"/>
  <c r="H194" i="15"/>
  <c r="E194" i="15"/>
  <c r="D194" i="15"/>
  <c r="D183" i="15"/>
  <c r="C183" i="15"/>
  <c r="B183" i="15"/>
  <c r="D181" i="15"/>
  <c r="G181" i="15" s="1"/>
  <c r="D180" i="15"/>
  <c r="G180" i="15" s="1"/>
  <c r="D179" i="15"/>
  <c r="G179" i="15" s="1"/>
  <c r="H178" i="15"/>
  <c r="E178" i="15"/>
  <c r="H177" i="15"/>
  <c r="E177" i="15"/>
  <c r="H176" i="15"/>
  <c r="E176" i="15"/>
  <c r="H175" i="15"/>
  <c r="E175" i="15"/>
  <c r="H174" i="15"/>
  <c r="E174" i="15"/>
  <c r="D174" i="15"/>
  <c r="H173" i="15"/>
  <c r="E173" i="15"/>
  <c r="D173" i="15"/>
  <c r="H172" i="15"/>
  <c r="E172" i="15"/>
  <c r="D172" i="15"/>
  <c r="D161" i="15"/>
  <c r="C161" i="15"/>
  <c r="B161" i="15"/>
  <c r="D159" i="15"/>
  <c r="G159" i="15" s="1"/>
  <c r="D158" i="15"/>
  <c r="G158" i="15" s="1"/>
  <c r="D157" i="15"/>
  <c r="G157" i="15" s="1"/>
  <c r="H156" i="15"/>
  <c r="E156" i="15"/>
  <c r="H155" i="15"/>
  <c r="E155" i="15"/>
  <c r="H154" i="15"/>
  <c r="E154" i="15"/>
  <c r="H153" i="15"/>
  <c r="E153" i="15"/>
  <c r="H152" i="15"/>
  <c r="E152" i="15"/>
  <c r="D152" i="15"/>
  <c r="H151" i="15"/>
  <c r="E151" i="15"/>
  <c r="D151" i="15"/>
  <c r="H150" i="15"/>
  <c r="E150" i="15"/>
  <c r="D150" i="15"/>
  <c r="D139" i="15"/>
  <c r="C139" i="15"/>
  <c r="B139" i="15"/>
  <c r="D137" i="15"/>
  <c r="G137" i="15" s="1"/>
  <c r="D136" i="15"/>
  <c r="G136" i="15" s="1"/>
  <c r="D135" i="15"/>
  <c r="G135" i="15" s="1"/>
  <c r="H134" i="15"/>
  <c r="E134" i="15"/>
  <c r="H133" i="15"/>
  <c r="E133" i="15"/>
  <c r="H132" i="15"/>
  <c r="E132" i="15"/>
  <c r="H131" i="15"/>
  <c r="E131" i="15"/>
  <c r="H130" i="15"/>
  <c r="E130" i="15"/>
  <c r="D130" i="15"/>
  <c r="H129" i="15"/>
  <c r="E129" i="15"/>
  <c r="D129" i="15"/>
  <c r="H128" i="15"/>
  <c r="E128" i="15"/>
  <c r="D128" i="15"/>
  <c r="D117" i="15"/>
  <c r="C117" i="15"/>
  <c r="B117" i="15"/>
  <c r="D115" i="15"/>
  <c r="G115" i="15" s="1"/>
  <c r="D114" i="15"/>
  <c r="G114" i="15" s="1"/>
  <c r="D113" i="15"/>
  <c r="G113" i="15" s="1"/>
  <c r="H112" i="15"/>
  <c r="E112" i="15"/>
  <c r="H111" i="15"/>
  <c r="E111" i="15"/>
  <c r="H110" i="15"/>
  <c r="E110" i="15"/>
  <c r="F110" i="15" s="1"/>
  <c r="H109" i="15"/>
  <c r="E109" i="15"/>
  <c r="H108" i="15"/>
  <c r="E108" i="15"/>
  <c r="D108" i="15"/>
  <c r="H107" i="15"/>
  <c r="E107" i="15"/>
  <c r="D107" i="15"/>
  <c r="H106" i="15"/>
  <c r="E106" i="15"/>
  <c r="D106" i="15"/>
  <c r="D95" i="15"/>
  <c r="C95" i="15"/>
  <c r="B95" i="15"/>
  <c r="D93" i="15"/>
  <c r="G93" i="15" s="1"/>
  <c r="D92" i="15"/>
  <c r="G92" i="15" s="1"/>
  <c r="D91" i="15"/>
  <c r="G91" i="15" s="1"/>
  <c r="H90" i="15"/>
  <c r="E90" i="15"/>
  <c r="H89" i="15"/>
  <c r="E89" i="15"/>
  <c r="H88" i="15"/>
  <c r="E88" i="15"/>
  <c r="H87" i="15"/>
  <c r="E87" i="15"/>
  <c r="H86" i="15"/>
  <c r="E86" i="15"/>
  <c r="D86" i="15"/>
  <c r="H85" i="15"/>
  <c r="E85" i="15"/>
  <c r="D85" i="15"/>
  <c r="H84" i="15"/>
  <c r="E84" i="15"/>
  <c r="D84" i="15"/>
  <c r="D73" i="15"/>
  <c r="C73" i="15"/>
  <c r="B73" i="15"/>
  <c r="D71" i="15"/>
  <c r="G71" i="15" s="1"/>
  <c r="D70" i="15"/>
  <c r="G70" i="15" s="1"/>
  <c r="D69" i="15"/>
  <c r="G69" i="15" s="1"/>
  <c r="H68" i="15"/>
  <c r="E68" i="15"/>
  <c r="H67" i="15"/>
  <c r="E67" i="15"/>
  <c r="H66" i="15"/>
  <c r="E66" i="15"/>
  <c r="H65" i="15"/>
  <c r="E65" i="15"/>
  <c r="H64" i="15"/>
  <c r="E64" i="15"/>
  <c r="D64" i="15"/>
  <c r="H63" i="15"/>
  <c r="E63" i="15"/>
  <c r="D63" i="15"/>
  <c r="H62" i="15"/>
  <c r="E62" i="15"/>
  <c r="D62" i="15"/>
  <c r="D51" i="15"/>
  <c r="C51" i="15"/>
  <c r="B51" i="15"/>
  <c r="D49" i="15"/>
  <c r="G49" i="15" s="1"/>
  <c r="D48" i="15"/>
  <c r="G48" i="15" s="1"/>
  <c r="D47" i="15"/>
  <c r="G47" i="15" s="1"/>
  <c r="H46" i="15"/>
  <c r="E46" i="15"/>
  <c r="H45" i="15"/>
  <c r="E45" i="15"/>
  <c r="H44" i="15"/>
  <c r="E44" i="15"/>
  <c r="H43" i="15"/>
  <c r="E43" i="15"/>
  <c r="H42" i="15"/>
  <c r="E42" i="15"/>
  <c r="D42" i="15"/>
  <c r="H41" i="15"/>
  <c r="E41" i="15"/>
  <c r="D41" i="15"/>
  <c r="H40" i="15"/>
  <c r="E40" i="15"/>
  <c r="D40" i="15"/>
  <c r="C29" i="15"/>
  <c r="B29" i="15"/>
  <c r="D27" i="15"/>
  <c r="G27" i="15" s="1"/>
  <c r="D26" i="15"/>
  <c r="G26" i="15" s="1"/>
  <c r="D25" i="15"/>
  <c r="G25" i="15" s="1"/>
  <c r="H24" i="15"/>
  <c r="E24" i="15"/>
  <c r="F24" i="15" s="1"/>
  <c r="H23" i="15"/>
  <c r="E23" i="15"/>
  <c r="F23" i="15" s="1"/>
  <c r="H22" i="15"/>
  <c r="E22" i="15"/>
  <c r="H21" i="15"/>
  <c r="E21" i="15"/>
  <c r="H20" i="15"/>
  <c r="E20" i="15"/>
  <c r="D20" i="15"/>
  <c r="H19" i="15"/>
  <c r="E19" i="15"/>
  <c r="D19" i="15"/>
  <c r="H18" i="15"/>
  <c r="E18" i="15"/>
  <c r="D18" i="15"/>
  <c r="F41" i="15" l="1"/>
  <c r="B184" i="15"/>
  <c r="F183" i="15" s="1"/>
  <c r="I168" i="15" s="1"/>
  <c r="B74" i="15"/>
  <c r="F73" i="15" s="1"/>
  <c r="I58" i="15" s="1"/>
  <c r="F84" i="15"/>
  <c r="I84" i="15" s="1"/>
  <c r="B118" i="15"/>
  <c r="F117" i="15" s="1"/>
  <c r="I102" i="15" s="1"/>
  <c r="F20" i="15"/>
  <c r="I20" i="15" s="1"/>
  <c r="F45" i="15"/>
  <c r="I45" i="15" s="1"/>
  <c r="F108" i="15"/>
  <c r="I108" i="15" s="1"/>
  <c r="F155" i="15"/>
  <c r="I155" i="15" s="1"/>
  <c r="F218" i="15"/>
  <c r="I218" i="15" s="1"/>
  <c r="F111" i="15"/>
  <c r="I111" i="15" s="1"/>
  <c r="F46" i="15"/>
  <c r="I46" i="15" s="1"/>
  <c r="F150" i="15"/>
  <c r="I150" i="15" s="1"/>
  <c r="B228" i="15"/>
  <c r="F227" i="15" s="1"/>
  <c r="I212" i="15" s="1"/>
  <c r="F156" i="15"/>
  <c r="I156" i="15" s="1"/>
  <c r="B30" i="15"/>
  <c r="F29" i="15" s="1"/>
  <c r="I14" i="15" s="1"/>
  <c r="F107" i="15"/>
  <c r="I107" i="15" s="1"/>
  <c r="F133" i="15"/>
  <c r="I133" i="15" s="1"/>
  <c r="F154" i="15"/>
  <c r="I154" i="15" s="1"/>
  <c r="F87" i="15"/>
  <c r="I87" i="15" s="1"/>
  <c r="F18" i="15"/>
  <c r="I18" i="15" s="1"/>
  <c r="B162" i="15"/>
  <c r="F161" i="15" s="1"/>
  <c r="I146" i="15" s="1"/>
  <c r="F106" i="15"/>
  <c r="I106" i="15" s="1"/>
  <c r="F153" i="15"/>
  <c r="I153" i="15" s="1"/>
  <c r="F216" i="15"/>
  <c r="I216" i="15" s="1"/>
  <c r="F63" i="15"/>
  <c r="I63" i="15" s="1"/>
  <c r="F132" i="15"/>
  <c r="I132" i="15" s="1"/>
  <c r="F19" i="15"/>
  <c r="I19" i="15" s="1"/>
  <c r="F86" i="15"/>
  <c r="I86" i="15" s="1"/>
  <c r="F217" i="15"/>
  <c r="I217" i="15" s="1"/>
  <c r="F44" i="15"/>
  <c r="I44" i="15" s="1"/>
  <c r="F109" i="15"/>
  <c r="I109" i="15" s="1"/>
  <c r="I24" i="15"/>
  <c r="F40" i="15"/>
  <c r="I40" i="15" s="1"/>
  <c r="F64" i="15"/>
  <c r="I64" i="15" s="1"/>
  <c r="B140" i="15"/>
  <c r="F139" i="15" s="1"/>
  <c r="I124" i="15" s="1"/>
  <c r="F173" i="15"/>
  <c r="I173" i="15" s="1"/>
  <c r="F178" i="15"/>
  <c r="I178" i="15" s="1"/>
  <c r="B206" i="15"/>
  <c r="F205" i="15" s="1"/>
  <c r="I190" i="15" s="1"/>
  <c r="I157" i="15"/>
  <c r="I147" i="15" s="1"/>
  <c r="I69" i="15"/>
  <c r="I59" i="15" s="1"/>
  <c r="I41" i="15"/>
  <c r="F175" i="15"/>
  <c r="I175" i="15" s="1"/>
  <c r="F221" i="15"/>
  <c r="I221" i="15" s="1"/>
  <c r="F129" i="15"/>
  <c r="I129" i="15" s="1"/>
  <c r="F128" i="15"/>
  <c r="I128" i="15" s="1"/>
  <c r="F220" i="15"/>
  <c r="I220" i="15" s="1"/>
  <c r="I201" i="15"/>
  <c r="I191" i="15" s="1"/>
  <c r="I113" i="15"/>
  <c r="I103" i="15" s="1"/>
  <c r="F22" i="15"/>
  <c r="I22" i="15" s="1"/>
  <c r="I110" i="15"/>
  <c r="F174" i="15"/>
  <c r="I174" i="15" s="1"/>
  <c r="F197" i="15"/>
  <c r="I197" i="15" s="1"/>
  <c r="I25" i="15"/>
  <c r="I15" i="15" s="1"/>
  <c r="F42" i="15"/>
  <c r="I42" i="15" s="1"/>
  <c r="I47" i="15"/>
  <c r="I37" i="15" s="1"/>
  <c r="F62" i="15"/>
  <c r="I62" i="15" s="1"/>
  <c r="F67" i="15"/>
  <c r="I67" i="15" s="1"/>
  <c r="F89" i="15"/>
  <c r="I89" i="15" s="1"/>
  <c r="F131" i="15"/>
  <c r="I131" i="15" s="1"/>
  <c r="F151" i="15"/>
  <c r="I151" i="15" s="1"/>
  <c r="F172" i="15"/>
  <c r="I172" i="15" s="1"/>
  <c r="F177" i="15"/>
  <c r="I177" i="15" s="1"/>
  <c r="F195" i="15"/>
  <c r="I195" i="15" s="1"/>
  <c r="F200" i="15"/>
  <c r="I200" i="15" s="1"/>
  <c r="I223" i="15"/>
  <c r="I213" i="15" s="1"/>
  <c r="F65" i="15"/>
  <c r="I65" i="15" s="1"/>
  <c r="F198" i="15"/>
  <c r="I198" i="15" s="1"/>
  <c r="F152" i="15"/>
  <c r="I152" i="15" s="1"/>
  <c r="F68" i="15"/>
  <c r="I68" i="15" s="1"/>
  <c r="F43" i="15"/>
  <c r="I43" i="15" s="1"/>
  <c r="F85" i="15"/>
  <c r="I85" i="15" s="1"/>
  <c r="F90" i="15"/>
  <c r="I90" i="15" s="1"/>
  <c r="F134" i="15"/>
  <c r="I134" i="15" s="1"/>
  <c r="F21" i="15"/>
  <c r="I21" i="15" s="1"/>
  <c r="I23" i="15"/>
  <c r="B52" i="15"/>
  <c r="F51" i="15" s="1"/>
  <c r="I36" i="15" s="1"/>
  <c r="B96" i="15"/>
  <c r="F95" i="15" s="1"/>
  <c r="I80" i="15" s="1"/>
  <c r="F112" i="15"/>
  <c r="I112" i="15" s="1"/>
  <c r="F196" i="15"/>
  <c r="I196" i="15" s="1"/>
  <c r="F219" i="15"/>
  <c r="I219" i="15" s="1"/>
  <c r="F66" i="15"/>
  <c r="I66" i="15" s="1"/>
  <c r="F88" i="15"/>
  <c r="I88" i="15" s="1"/>
  <c r="F130" i="15"/>
  <c r="I130" i="15" s="1"/>
  <c r="F176" i="15"/>
  <c r="I176" i="15" s="1"/>
  <c r="F194" i="15"/>
  <c r="I194" i="15" s="1"/>
  <c r="F199" i="15"/>
  <c r="I199" i="15" s="1"/>
  <c r="F222" i="15"/>
  <c r="I222" i="15" s="1"/>
  <c r="I91" i="15"/>
  <c r="I81" i="15" s="1"/>
  <c r="I179" i="15"/>
  <c r="I169" i="15" s="1"/>
  <c r="I135" i="15"/>
  <c r="I125" i="15" s="1"/>
  <c r="D220" i="14"/>
  <c r="G220" i="14" s="1"/>
  <c r="D198" i="14"/>
  <c r="G198" i="14" s="1"/>
  <c r="D176" i="14"/>
  <c r="G176" i="14" s="1"/>
  <c r="D154" i="14"/>
  <c r="G154" i="14" s="1"/>
  <c r="D132" i="14"/>
  <c r="G132" i="14" s="1"/>
  <c r="D110" i="14"/>
  <c r="G110" i="14" s="1"/>
  <c r="D88" i="14"/>
  <c r="G88" i="14" s="1"/>
  <c r="D66" i="14"/>
  <c r="G66" i="14" s="1"/>
  <c r="D44" i="14"/>
  <c r="G44" i="14" s="1"/>
  <c r="D22" i="14"/>
  <c r="G22" i="14" s="1"/>
  <c r="D222" i="14"/>
  <c r="G222" i="14" s="1"/>
  <c r="D221" i="14"/>
  <c r="G221" i="14" s="1"/>
  <c r="D200" i="14"/>
  <c r="G200" i="14" s="1"/>
  <c r="D199" i="14"/>
  <c r="G199" i="14" s="1"/>
  <c r="D178" i="14"/>
  <c r="G178" i="14" s="1"/>
  <c r="D177" i="14"/>
  <c r="G177" i="14" s="1"/>
  <c r="D156" i="14"/>
  <c r="G156" i="14" s="1"/>
  <c r="D155" i="14"/>
  <c r="G155" i="14" s="1"/>
  <c r="D134" i="14"/>
  <c r="G134" i="14" s="1"/>
  <c r="D133" i="14"/>
  <c r="G133" i="14" s="1"/>
  <c r="D112" i="14"/>
  <c r="G112" i="14" s="1"/>
  <c r="D111" i="14"/>
  <c r="G111" i="14" s="1"/>
  <c r="D90" i="14"/>
  <c r="G90" i="14" s="1"/>
  <c r="D89" i="14"/>
  <c r="G89" i="14" s="1"/>
  <c r="D68" i="14"/>
  <c r="G68" i="14" s="1"/>
  <c r="D67" i="14"/>
  <c r="G67" i="14" s="1"/>
  <c r="D46" i="14"/>
  <c r="G46" i="14" s="1"/>
  <c r="D45" i="14"/>
  <c r="G45" i="14" s="1"/>
  <c r="D24" i="14"/>
  <c r="G24" i="14" s="1"/>
  <c r="D23" i="14"/>
  <c r="G23" i="14" s="1"/>
  <c r="H219" i="14"/>
  <c r="H218" i="14"/>
  <c r="H217" i="14"/>
  <c r="H216" i="14"/>
  <c r="H215" i="14"/>
  <c r="H214" i="14"/>
  <c r="H213" i="14"/>
  <c r="H197" i="14"/>
  <c r="H196" i="14"/>
  <c r="H195" i="14"/>
  <c r="H194" i="14"/>
  <c r="H193" i="14"/>
  <c r="H192" i="14"/>
  <c r="H191" i="14"/>
  <c r="H175" i="14"/>
  <c r="H174" i="14"/>
  <c r="H173" i="14"/>
  <c r="H172" i="14"/>
  <c r="H171" i="14"/>
  <c r="H170" i="14"/>
  <c r="H169" i="14"/>
  <c r="H153" i="14"/>
  <c r="H152" i="14"/>
  <c r="H151" i="14"/>
  <c r="H150" i="14"/>
  <c r="H149" i="14"/>
  <c r="H148" i="14"/>
  <c r="H147" i="14"/>
  <c r="H131" i="14"/>
  <c r="H130" i="14"/>
  <c r="H129" i="14"/>
  <c r="H128" i="14"/>
  <c r="H127" i="14"/>
  <c r="H126" i="14"/>
  <c r="H125" i="14"/>
  <c r="H109" i="14"/>
  <c r="H108" i="14"/>
  <c r="H107" i="14"/>
  <c r="H106" i="14"/>
  <c r="H105" i="14"/>
  <c r="H104" i="14"/>
  <c r="H103" i="14"/>
  <c r="H87" i="14"/>
  <c r="H86" i="14"/>
  <c r="H85" i="14"/>
  <c r="H84" i="14"/>
  <c r="H83" i="14"/>
  <c r="H82" i="14"/>
  <c r="H81" i="14"/>
  <c r="H65" i="14"/>
  <c r="H64" i="14"/>
  <c r="H63" i="14"/>
  <c r="H62" i="14"/>
  <c r="H61" i="14"/>
  <c r="H60" i="14"/>
  <c r="H59" i="14"/>
  <c r="H43" i="14"/>
  <c r="H42" i="14"/>
  <c r="H41" i="14"/>
  <c r="H40" i="14"/>
  <c r="H39" i="14"/>
  <c r="H38" i="14"/>
  <c r="H37" i="14"/>
  <c r="D224" i="14"/>
  <c r="C224" i="14"/>
  <c r="B224" i="14"/>
  <c r="E219" i="14"/>
  <c r="D219" i="14"/>
  <c r="E218" i="14"/>
  <c r="D218" i="14"/>
  <c r="E217" i="14"/>
  <c r="D217" i="14"/>
  <c r="E216" i="14"/>
  <c r="D216" i="14"/>
  <c r="E215" i="14"/>
  <c r="D215" i="14"/>
  <c r="E214" i="14"/>
  <c r="D214" i="14"/>
  <c r="E213" i="14"/>
  <c r="D213" i="14"/>
  <c r="D202" i="14"/>
  <c r="C202" i="14"/>
  <c r="B202" i="14"/>
  <c r="E197" i="14"/>
  <c r="D197" i="14"/>
  <c r="E196" i="14"/>
  <c r="D196" i="14"/>
  <c r="E195" i="14"/>
  <c r="D195" i="14"/>
  <c r="E194" i="14"/>
  <c r="D194" i="14"/>
  <c r="E193" i="14"/>
  <c r="D193" i="14"/>
  <c r="E192" i="14"/>
  <c r="D192" i="14"/>
  <c r="E191" i="14"/>
  <c r="D191" i="14"/>
  <c r="D180" i="14"/>
  <c r="C180" i="14"/>
  <c r="B180" i="14"/>
  <c r="E175" i="14"/>
  <c r="D175" i="14"/>
  <c r="E174" i="14"/>
  <c r="D174" i="14"/>
  <c r="E173" i="14"/>
  <c r="D173" i="14"/>
  <c r="E172" i="14"/>
  <c r="D172" i="14"/>
  <c r="E171" i="14"/>
  <c r="D171" i="14"/>
  <c r="E170" i="14"/>
  <c r="D170" i="14"/>
  <c r="E169" i="14"/>
  <c r="D169" i="14"/>
  <c r="D158" i="14"/>
  <c r="C158" i="14"/>
  <c r="B158" i="14"/>
  <c r="E153" i="14"/>
  <c r="D153" i="14"/>
  <c r="E152" i="14"/>
  <c r="D152" i="14"/>
  <c r="E151" i="14"/>
  <c r="D151" i="14"/>
  <c r="E150" i="14"/>
  <c r="D150" i="14"/>
  <c r="E149" i="14"/>
  <c r="D149" i="14"/>
  <c r="E148" i="14"/>
  <c r="D148" i="14"/>
  <c r="E147" i="14"/>
  <c r="D147" i="14"/>
  <c r="D136" i="14"/>
  <c r="C136" i="14"/>
  <c r="B136" i="14"/>
  <c r="E131" i="14"/>
  <c r="D131" i="14"/>
  <c r="E130" i="14"/>
  <c r="D130" i="14"/>
  <c r="E129" i="14"/>
  <c r="D129" i="14"/>
  <c r="E128" i="14"/>
  <c r="D128" i="14"/>
  <c r="E127" i="14"/>
  <c r="D127" i="14"/>
  <c r="E126" i="14"/>
  <c r="D126" i="14"/>
  <c r="E125" i="14"/>
  <c r="D125" i="14"/>
  <c r="D114" i="14"/>
  <c r="C114" i="14"/>
  <c r="B114" i="14"/>
  <c r="E109" i="14"/>
  <c r="D109" i="14"/>
  <c r="E108" i="14"/>
  <c r="D108" i="14"/>
  <c r="E107" i="14"/>
  <c r="D107" i="14"/>
  <c r="E106" i="14"/>
  <c r="D106" i="14"/>
  <c r="E105" i="14"/>
  <c r="D105" i="14"/>
  <c r="E104" i="14"/>
  <c r="D104" i="14"/>
  <c r="E103" i="14"/>
  <c r="D103" i="14"/>
  <c r="D92" i="14"/>
  <c r="C92" i="14"/>
  <c r="B92" i="14"/>
  <c r="E87" i="14"/>
  <c r="D87" i="14"/>
  <c r="E86" i="14"/>
  <c r="D86" i="14"/>
  <c r="E85" i="14"/>
  <c r="D85" i="14"/>
  <c r="E84" i="14"/>
  <c r="D84" i="14"/>
  <c r="E83" i="14"/>
  <c r="D83" i="14"/>
  <c r="E82" i="14"/>
  <c r="D82" i="14"/>
  <c r="E81" i="14"/>
  <c r="D81" i="14"/>
  <c r="D70" i="14"/>
  <c r="C70" i="14"/>
  <c r="B70" i="14"/>
  <c r="E65" i="14"/>
  <c r="D65" i="14"/>
  <c r="E64" i="14"/>
  <c r="D64" i="14"/>
  <c r="E63" i="14"/>
  <c r="D63" i="14"/>
  <c r="E62" i="14"/>
  <c r="D62" i="14"/>
  <c r="E61" i="14"/>
  <c r="D61" i="14"/>
  <c r="E60" i="14"/>
  <c r="D60" i="14"/>
  <c r="E59" i="14"/>
  <c r="D59" i="14"/>
  <c r="D48" i="14"/>
  <c r="C48" i="14"/>
  <c r="B48" i="14"/>
  <c r="E43" i="14"/>
  <c r="D43" i="14"/>
  <c r="E42" i="14"/>
  <c r="D42" i="14"/>
  <c r="E41" i="14"/>
  <c r="D41" i="14"/>
  <c r="E40" i="14"/>
  <c r="D40" i="14"/>
  <c r="E39" i="14"/>
  <c r="D39" i="14"/>
  <c r="E38" i="14"/>
  <c r="D38" i="14"/>
  <c r="E37" i="14"/>
  <c r="D37" i="14"/>
  <c r="D26" i="14"/>
  <c r="C26" i="14"/>
  <c r="B26" i="14"/>
  <c r="H21" i="14"/>
  <c r="E21" i="14"/>
  <c r="D21" i="14"/>
  <c r="H20" i="14"/>
  <c r="E20" i="14"/>
  <c r="D20" i="14"/>
  <c r="H19" i="14"/>
  <c r="E19" i="14"/>
  <c r="D19" i="14"/>
  <c r="H18" i="14"/>
  <c r="E18" i="14"/>
  <c r="D18" i="14"/>
  <c r="H17" i="14"/>
  <c r="E17" i="14"/>
  <c r="D17" i="14"/>
  <c r="H16" i="14"/>
  <c r="E16" i="14"/>
  <c r="D16" i="14"/>
  <c r="H15" i="14"/>
  <c r="E15" i="14"/>
  <c r="D15" i="14"/>
  <c r="L13" i="12"/>
  <c r="K16" i="12" s="1"/>
  <c r="K2" i="12"/>
  <c r="K1" i="12"/>
  <c r="I220" i="14" l="1"/>
  <c r="I210" i="14" s="1"/>
  <c r="I167" i="15"/>
  <c r="I145" i="15"/>
  <c r="I148" i="15" s="1"/>
  <c r="I35" i="15"/>
  <c r="I38" i="15" s="1"/>
  <c r="I4" i="15"/>
  <c r="J4" i="15" s="1"/>
  <c r="I5" i="15"/>
  <c r="J5" i="15" s="1"/>
  <c r="I79" i="15"/>
  <c r="I211" i="15"/>
  <c r="I214" i="15" s="1"/>
  <c r="I57" i="15"/>
  <c r="I60" i="15" s="1"/>
  <c r="I189" i="15"/>
  <c r="I192" i="15" s="1"/>
  <c r="I101" i="15"/>
  <c r="I104" i="15" s="1"/>
  <c r="I13" i="15"/>
  <c r="I170" i="15"/>
  <c r="I123" i="15"/>
  <c r="I126" i="15" s="1"/>
  <c r="I198" i="14"/>
  <c r="I188" i="14" s="1"/>
  <c r="I176" i="14"/>
  <c r="I166" i="14" s="1"/>
  <c r="I154" i="14"/>
  <c r="I144" i="14" s="1"/>
  <c r="I132" i="14"/>
  <c r="I122" i="14" s="1"/>
  <c r="I110" i="14"/>
  <c r="I100" i="14" s="1"/>
  <c r="I88" i="14"/>
  <c r="I78" i="14" s="1"/>
  <c r="I44" i="14"/>
  <c r="I34" i="14" s="1"/>
  <c r="I66" i="14"/>
  <c r="I56" i="14" s="1"/>
  <c r="I22" i="14"/>
  <c r="I12" i="14" s="1"/>
  <c r="F85" i="14"/>
  <c r="I85" i="14" s="1"/>
  <c r="F213" i="14"/>
  <c r="I213" i="14" s="1"/>
  <c r="F217" i="14"/>
  <c r="I217" i="14" s="1"/>
  <c r="F63" i="14"/>
  <c r="I63" i="14" s="1"/>
  <c r="B115" i="14"/>
  <c r="F114" i="14" s="1"/>
  <c r="I99" i="14" s="1"/>
  <c r="F149" i="14"/>
  <c r="I149" i="14" s="1"/>
  <c r="F39" i="14"/>
  <c r="I39" i="14" s="1"/>
  <c r="F43" i="14"/>
  <c r="I43" i="14" s="1"/>
  <c r="F82" i="14"/>
  <c r="I82" i="14" s="1"/>
  <c r="F125" i="14"/>
  <c r="I125" i="14" s="1"/>
  <c r="F129" i="14"/>
  <c r="I129" i="14" s="1"/>
  <c r="F172" i="14"/>
  <c r="I172" i="14" s="1"/>
  <c r="F103" i="14"/>
  <c r="I103" i="14" s="1"/>
  <c r="F107" i="14"/>
  <c r="I107" i="14" s="1"/>
  <c r="F86" i="14"/>
  <c r="I86" i="14" s="1"/>
  <c r="B27" i="14"/>
  <c r="F26" i="14" s="1"/>
  <c r="I11" i="14" s="1"/>
  <c r="F61" i="14"/>
  <c r="I61" i="14" s="1"/>
  <c r="F65" i="14"/>
  <c r="I65" i="14" s="1"/>
  <c r="F104" i="14"/>
  <c r="I104" i="14" s="1"/>
  <c r="F108" i="14"/>
  <c r="I108" i="14" s="1"/>
  <c r="F147" i="14"/>
  <c r="I147" i="14" s="1"/>
  <c r="F151" i="14"/>
  <c r="I151" i="14" s="1"/>
  <c r="F169" i="14"/>
  <c r="I169" i="14" s="1"/>
  <c r="F173" i="14"/>
  <c r="I173" i="14" s="1"/>
  <c r="F194" i="14"/>
  <c r="I194" i="14" s="1"/>
  <c r="F62" i="14"/>
  <c r="I62" i="14" s="1"/>
  <c r="F109" i="14"/>
  <c r="I109" i="14" s="1"/>
  <c r="F148" i="14"/>
  <c r="I148" i="14" s="1"/>
  <c r="F195" i="14"/>
  <c r="I195" i="14" s="1"/>
  <c r="F191" i="14"/>
  <c r="I191" i="14" s="1"/>
  <c r="F196" i="14"/>
  <c r="I196" i="14" s="1"/>
  <c r="F152" i="14"/>
  <c r="I152" i="14" s="1"/>
  <c r="F59" i="14"/>
  <c r="I59" i="14" s="1"/>
  <c r="F105" i="14"/>
  <c r="I105" i="14" s="1"/>
  <c r="F60" i="14"/>
  <c r="I60" i="14" s="1"/>
  <c r="F64" i="14"/>
  <c r="I64" i="14" s="1"/>
  <c r="F81" i="14"/>
  <c r="I81" i="14" s="1"/>
  <c r="F40" i="14"/>
  <c r="I40" i="14" s="1"/>
  <c r="F83" i="14"/>
  <c r="I83" i="14" s="1"/>
  <c r="F87" i="14"/>
  <c r="I87" i="14" s="1"/>
  <c r="F126" i="14"/>
  <c r="I126" i="14" s="1"/>
  <c r="F130" i="14"/>
  <c r="I130" i="14" s="1"/>
  <c r="F216" i="14"/>
  <c r="I216" i="14" s="1"/>
  <c r="F84" i="14"/>
  <c r="I84" i="14" s="1"/>
  <c r="F174" i="14"/>
  <c r="I174" i="14" s="1"/>
  <c r="F192" i="14"/>
  <c r="I192" i="14" s="1"/>
  <c r="F38" i="14"/>
  <c r="I38" i="14" s="1"/>
  <c r="F42" i="14"/>
  <c r="I42" i="14" s="1"/>
  <c r="F128" i="14"/>
  <c r="I128" i="14" s="1"/>
  <c r="F171" i="14"/>
  <c r="I171" i="14" s="1"/>
  <c r="F175" i="14"/>
  <c r="I175" i="14" s="1"/>
  <c r="F214" i="14"/>
  <c r="I214" i="14" s="1"/>
  <c r="F218" i="14"/>
  <c r="I218" i="14" s="1"/>
  <c r="F37" i="14"/>
  <c r="I37" i="14" s="1"/>
  <c r="F127" i="14"/>
  <c r="I127" i="14" s="1"/>
  <c r="F170" i="14"/>
  <c r="I170" i="14" s="1"/>
  <c r="F106" i="14"/>
  <c r="I106" i="14" s="1"/>
  <c r="F153" i="14"/>
  <c r="I153" i="14" s="1"/>
  <c r="F150" i="14"/>
  <c r="I150" i="14" s="1"/>
  <c r="F193" i="14"/>
  <c r="I193" i="14" s="1"/>
  <c r="F197" i="14"/>
  <c r="I197" i="14" s="1"/>
  <c r="F41" i="14"/>
  <c r="I41" i="14" s="1"/>
  <c r="F131" i="14"/>
  <c r="I131" i="14" s="1"/>
  <c r="F215" i="14"/>
  <c r="I215" i="14" s="1"/>
  <c r="F219" i="14"/>
  <c r="I219" i="14" s="1"/>
  <c r="F15" i="14"/>
  <c r="I15" i="14" s="1"/>
  <c r="B137" i="14"/>
  <c r="F136" i="14" s="1"/>
  <c r="I121" i="14" s="1"/>
  <c r="B159" i="14"/>
  <c r="F158" i="14" s="1"/>
  <c r="I143" i="14" s="1"/>
  <c r="B93" i="14"/>
  <c r="F92" i="14" s="1"/>
  <c r="I77" i="14" s="1"/>
  <c r="B181" i="14"/>
  <c r="F180" i="14" s="1"/>
  <c r="I165" i="14" s="1"/>
  <c r="B203" i="14"/>
  <c r="F202" i="14" s="1"/>
  <c r="I187" i="14" s="1"/>
  <c r="B49" i="14"/>
  <c r="F48" i="14" s="1"/>
  <c r="I33" i="14" s="1"/>
  <c r="B225" i="14"/>
  <c r="F224" i="14" s="1"/>
  <c r="I209" i="14" s="1"/>
  <c r="B71" i="14"/>
  <c r="F70" i="14" s="1"/>
  <c r="I55" i="14" s="1"/>
  <c r="F21" i="14"/>
  <c r="I21" i="14" s="1"/>
  <c r="F17" i="14"/>
  <c r="I17" i="14" s="1"/>
  <c r="F16" i="14"/>
  <c r="I16" i="14" s="1"/>
  <c r="F18" i="14"/>
  <c r="I18" i="14" s="1"/>
  <c r="F19" i="14"/>
  <c r="I19" i="14" s="1"/>
  <c r="F20" i="14"/>
  <c r="I20" i="14" s="1"/>
  <c r="K17" i="12"/>
  <c r="K18" i="12" s="1"/>
  <c r="I82" i="15" l="1"/>
  <c r="G5" i="15"/>
  <c r="I3" i="15" s="1"/>
  <c r="I16" i="15"/>
  <c r="I76" i="14"/>
  <c r="I32" i="14"/>
  <c r="I35" i="14" s="1"/>
  <c r="I79" i="14"/>
  <c r="I164" i="14"/>
  <c r="I167" i="14" s="1"/>
  <c r="I120" i="14"/>
  <c r="I123" i="14" s="1"/>
  <c r="I208" i="14"/>
  <c r="I211" i="14" s="1"/>
  <c r="I186" i="14"/>
  <c r="I189" i="14" s="1"/>
  <c r="I142" i="14"/>
  <c r="I145" i="14" s="1"/>
  <c r="I54" i="14"/>
  <c r="I57" i="14" s="1"/>
  <c r="I98" i="14"/>
  <c r="I101" i="14" s="1"/>
  <c r="I5" i="14"/>
  <c r="I4" i="14"/>
  <c r="I10" i="14"/>
  <c r="I13" i="14" s="1"/>
  <c r="F1260" i="5"/>
  <c r="D1260" i="5"/>
  <c r="B1260" i="5"/>
  <c r="D1244" i="5"/>
  <c r="B1244" i="5"/>
  <c r="D1243" i="5"/>
  <c r="H1243" i="5" s="1"/>
  <c r="B1243" i="5"/>
  <c r="D1242" i="5"/>
  <c r="H1242" i="5" s="1"/>
  <c r="B1242" i="5"/>
  <c r="D1241" i="5"/>
  <c r="H1241" i="5" s="1"/>
  <c r="B1241" i="5"/>
  <c r="D1240" i="5"/>
  <c r="H1240" i="5" s="1"/>
  <c r="B1240" i="5"/>
  <c r="D1239" i="5"/>
  <c r="B1239" i="5"/>
  <c r="H1239" i="5" s="1"/>
  <c r="D1238" i="5"/>
  <c r="H1238" i="5" s="1"/>
  <c r="B1238" i="5"/>
  <c r="F1204" i="5"/>
  <c r="D1204" i="5"/>
  <c r="B1204" i="5"/>
  <c r="E1200" i="5"/>
  <c r="E1199" i="5"/>
  <c r="E1198" i="5"/>
  <c r="E1197" i="5"/>
  <c r="E1196" i="5"/>
  <c r="E1195" i="5"/>
  <c r="E1194" i="5"/>
  <c r="E1193" i="5"/>
  <c r="D1188" i="5"/>
  <c r="B1188" i="5"/>
  <c r="D1187" i="5"/>
  <c r="B1187" i="5"/>
  <c r="H1186" i="5"/>
  <c r="D1186" i="5"/>
  <c r="B1186" i="5"/>
  <c r="D1185" i="5"/>
  <c r="H1185" i="5" s="1"/>
  <c r="B1185" i="5"/>
  <c r="D1184" i="5"/>
  <c r="B1184" i="5"/>
  <c r="D1183" i="5"/>
  <c r="H1183" i="5" s="1"/>
  <c r="B1183" i="5"/>
  <c r="D1182" i="5"/>
  <c r="H1182" i="5" s="1"/>
  <c r="B1182" i="5"/>
  <c r="F1149" i="5"/>
  <c r="D1149" i="5"/>
  <c r="G1149" i="5" s="1"/>
  <c r="G1150" i="5" s="1"/>
  <c r="B1149" i="5"/>
  <c r="E1145" i="5"/>
  <c r="E1144" i="5"/>
  <c r="E1143" i="5"/>
  <c r="E1142" i="5"/>
  <c r="E1141" i="5"/>
  <c r="E1140" i="5"/>
  <c r="E1139" i="5"/>
  <c r="E1138" i="5"/>
  <c r="E1137" i="5"/>
  <c r="E1136" i="5"/>
  <c r="D1131" i="5"/>
  <c r="H1131" i="5" s="1"/>
  <c r="B1131" i="5"/>
  <c r="D1130" i="5"/>
  <c r="B1130" i="5"/>
  <c r="H1130" i="5" s="1"/>
  <c r="D1129" i="5"/>
  <c r="B1129" i="5"/>
  <c r="H1128" i="5"/>
  <c r="D1128" i="5"/>
  <c r="B1128" i="5"/>
  <c r="D1127" i="5"/>
  <c r="H1127" i="5" s="1"/>
  <c r="B1127" i="5"/>
  <c r="D1126" i="5"/>
  <c r="B1126" i="5"/>
  <c r="F1091" i="5"/>
  <c r="D1091" i="5"/>
  <c r="G1091" i="5" s="1"/>
  <c r="G1092" i="5" s="1"/>
  <c r="B1091" i="5"/>
  <c r="E1087" i="5"/>
  <c r="E1086" i="5"/>
  <c r="E1085" i="5"/>
  <c r="E1084" i="5"/>
  <c r="E1083" i="5"/>
  <c r="E1082" i="5"/>
  <c r="E1081" i="5"/>
  <c r="E1080" i="5"/>
  <c r="E1079" i="5"/>
  <c r="H1074" i="5"/>
  <c r="D1074" i="5"/>
  <c r="B1074" i="5"/>
  <c r="D1073" i="5"/>
  <c r="B1073" i="5"/>
  <c r="D1072" i="5"/>
  <c r="B1072" i="5"/>
  <c r="D1071" i="5"/>
  <c r="H1071" i="5" s="1"/>
  <c r="B1071" i="5"/>
  <c r="D1070" i="5"/>
  <c r="H1070" i="5" s="1"/>
  <c r="B1070" i="5"/>
  <c r="F1037" i="5"/>
  <c r="D1037" i="5"/>
  <c r="G1037" i="5" s="1"/>
  <c r="G1038" i="5" s="1"/>
  <c r="B1037" i="5"/>
  <c r="E1033" i="5"/>
  <c r="E1032" i="5"/>
  <c r="E1031" i="5"/>
  <c r="E1030" i="5"/>
  <c r="E1027" i="5"/>
  <c r="E1026" i="5"/>
  <c r="E1025" i="5"/>
  <c r="E1024" i="5"/>
  <c r="D1019" i="5"/>
  <c r="H1019" i="5" s="1"/>
  <c r="B1019" i="5"/>
  <c r="H1018" i="5"/>
  <c r="D1018" i="5"/>
  <c r="B1018" i="5"/>
  <c r="D1017" i="5"/>
  <c r="H1017" i="5" s="1"/>
  <c r="B1017" i="5"/>
  <c r="D1016" i="5"/>
  <c r="B1016" i="5"/>
  <c r="D1015" i="5"/>
  <c r="H1015" i="5" s="1"/>
  <c r="B1015" i="5"/>
  <c r="D1014" i="5"/>
  <c r="B1014" i="5"/>
  <c r="F979" i="5"/>
  <c r="D979" i="5"/>
  <c r="G979" i="5" s="1"/>
  <c r="G980" i="5" s="1"/>
  <c r="B979" i="5"/>
  <c r="E975" i="5"/>
  <c r="E974" i="5"/>
  <c r="E973" i="5"/>
  <c r="E972" i="5"/>
  <c r="E971" i="5"/>
  <c r="E970" i="5"/>
  <c r="E969" i="5"/>
  <c r="E968" i="5"/>
  <c r="E967" i="5"/>
  <c r="D962" i="5"/>
  <c r="B962" i="5"/>
  <c r="H962" i="5" s="1"/>
  <c r="H961" i="5"/>
  <c r="D961" i="5"/>
  <c r="B961" i="5"/>
  <c r="D960" i="5"/>
  <c r="H960" i="5" s="1"/>
  <c r="B960" i="5"/>
  <c r="D959" i="5"/>
  <c r="H959" i="5" s="1"/>
  <c r="B959" i="5"/>
  <c r="D958" i="5"/>
  <c r="B958" i="5"/>
  <c r="F929" i="5"/>
  <c r="D929" i="5"/>
  <c r="G929" i="5" s="1"/>
  <c r="G930" i="5" s="1"/>
  <c r="B929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D909" i="5"/>
  <c r="H909" i="5" s="1"/>
  <c r="B909" i="5"/>
  <c r="D908" i="5"/>
  <c r="H908" i="5" s="1"/>
  <c r="B908" i="5"/>
  <c r="D907" i="5"/>
  <c r="B907" i="5"/>
  <c r="D906" i="5"/>
  <c r="B906" i="5"/>
  <c r="D905" i="5"/>
  <c r="B905" i="5"/>
  <c r="D904" i="5"/>
  <c r="B904" i="5"/>
  <c r="H903" i="5"/>
  <c r="D903" i="5"/>
  <c r="B903" i="5"/>
  <c r="D902" i="5"/>
  <c r="H902" i="5" s="1"/>
  <c r="B902" i="5"/>
  <c r="G871" i="5"/>
  <c r="G872" i="5" s="1"/>
  <c r="F871" i="5"/>
  <c r="D871" i="5"/>
  <c r="B871" i="5"/>
  <c r="E867" i="5"/>
  <c r="E866" i="5"/>
  <c r="E865" i="5"/>
  <c r="E864" i="5"/>
  <c r="E863" i="5"/>
  <c r="E862" i="5"/>
  <c r="E861" i="5"/>
  <c r="E860" i="5"/>
  <c r="E859" i="5"/>
  <c r="E858" i="5"/>
  <c r="E857" i="5"/>
  <c r="D852" i="5"/>
  <c r="H852" i="5" s="1"/>
  <c r="B852" i="5"/>
  <c r="D851" i="5"/>
  <c r="B851" i="5"/>
  <c r="D850" i="5"/>
  <c r="B850" i="5"/>
  <c r="H850" i="5" s="1"/>
  <c r="D849" i="5"/>
  <c r="B849" i="5"/>
  <c r="H849" i="5" s="1"/>
  <c r="D848" i="5"/>
  <c r="H848" i="5" s="1"/>
  <c r="B848" i="5"/>
  <c r="D847" i="5"/>
  <c r="H847" i="5" s="1"/>
  <c r="B847" i="5"/>
  <c r="D846" i="5"/>
  <c r="B846" i="5"/>
  <c r="H846" i="5" s="1"/>
  <c r="F817" i="5"/>
  <c r="D817" i="5"/>
  <c r="G817" i="5" s="1"/>
  <c r="G818" i="5" s="1"/>
  <c r="B817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D797" i="5"/>
  <c r="H797" i="5" s="1"/>
  <c r="B797" i="5"/>
  <c r="D796" i="5"/>
  <c r="B796" i="5"/>
  <c r="D795" i="5"/>
  <c r="B795" i="5"/>
  <c r="D794" i="5"/>
  <c r="B794" i="5"/>
  <c r="D793" i="5"/>
  <c r="B793" i="5"/>
  <c r="D792" i="5"/>
  <c r="B792" i="5"/>
  <c r="H791" i="5"/>
  <c r="D791" i="5"/>
  <c r="B791" i="5"/>
  <c r="D790" i="5"/>
  <c r="H790" i="5" s="1"/>
  <c r="B790" i="5"/>
  <c r="F759" i="5"/>
  <c r="D759" i="5"/>
  <c r="B759" i="5"/>
  <c r="G759" i="5" s="1"/>
  <c r="G760" i="5" s="1"/>
  <c r="E755" i="5"/>
  <c r="E754" i="5"/>
  <c r="E753" i="5"/>
  <c r="E752" i="5"/>
  <c r="E751" i="5"/>
  <c r="E750" i="5"/>
  <c r="E749" i="5"/>
  <c r="E748" i="5"/>
  <c r="E747" i="5"/>
  <c r="E746" i="5"/>
  <c r="E745" i="5"/>
  <c r="D740" i="5"/>
  <c r="H740" i="5" s="1"/>
  <c r="B740" i="5"/>
  <c r="D739" i="5"/>
  <c r="B739" i="5"/>
  <c r="D738" i="5"/>
  <c r="B738" i="5"/>
  <c r="H738" i="5" s="1"/>
  <c r="H737" i="5"/>
  <c r="D737" i="5"/>
  <c r="B737" i="5"/>
  <c r="D736" i="5"/>
  <c r="H736" i="5" s="1"/>
  <c r="B736" i="5"/>
  <c r="D735" i="5"/>
  <c r="H735" i="5" s="1"/>
  <c r="B735" i="5"/>
  <c r="D734" i="5"/>
  <c r="B734" i="5"/>
  <c r="H734" i="5" s="1"/>
  <c r="F700" i="5"/>
  <c r="D700" i="5"/>
  <c r="G700" i="5" s="1"/>
  <c r="G701" i="5" s="1"/>
  <c r="B700" i="5"/>
  <c r="E696" i="5"/>
  <c r="E695" i="5"/>
  <c r="E694" i="5"/>
  <c r="E693" i="5"/>
  <c r="E692" i="5"/>
  <c r="E691" i="5"/>
  <c r="E690" i="5"/>
  <c r="E689" i="5"/>
  <c r="D684" i="5"/>
  <c r="B684" i="5"/>
  <c r="D683" i="5"/>
  <c r="B683" i="5"/>
  <c r="H683" i="5" s="1"/>
  <c r="H682" i="5"/>
  <c r="D682" i="5"/>
  <c r="B682" i="5"/>
  <c r="D681" i="5"/>
  <c r="H681" i="5" s="1"/>
  <c r="B681" i="5"/>
  <c r="D680" i="5"/>
  <c r="H680" i="5" s="1"/>
  <c r="B680" i="5"/>
  <c r="D679" i="5"/>
  <c r="B679" i="5"/>
  <c r="H679" i="5" s="1"/>
  <c r="D678" i="5"/>
  <c r="B678" i="5"/>
  <c r="F640" i="5"/>
  <c r="D640" i="5"/>
  <c r="B640" i="5"/>
  <c r="G640" i="5" s="1"/>
  <c r="G641" i="5" s="1"/>
  <c r="E636" i="5"/>
  <c r="E635" i="5"/>
  <c r="E634" i="5"/>
  <c r="E633" i="5"/>
  <c r="E632" i="5"/>
  <c r="E631" i="5"/>
  <c r="D626" i="5"/>
  <c r="B626" i="5"/>
  <c r="D625" i="5"/>
  <c r="B625" i="5"/>
  <c r="D624" i="5"/>
  <c r="B624" i="5"/>
  <c r="D623" i="5"/>
  <c r="H623" i="5" s="1"/>
  <c r="B623" i="5"/>
  <c r="D622" i="5"/>
  <c r="H622" i="5" s="1"/>
  <c r="B622" i="5"/>
  <c r="F588" i="5"/>
  <c r="D588" i="5"/>
  <c r="G588" i="5" s="1"/>
  <c r="G589" i="5" s="1"/>
  <c r="B588" i="5"/>
  <c r="E584" i="5"/>
  <c r="E583" i="5"/>
  <c r="E582" i="5"/>
  <c r="E581" i="5"/>
  <c r="E580" i="5"/>
  <c r="E579" i="5"/>
  <c r="E578" i="5"/>
  <c r="E577" i="5"/>
  <c r="H572" i="5"/>
  <c r="D572" i="5"/>
  <c r="B572" i="5"/>
  <c r="D571" i="5"/>
  <c r="H571" i="5" s="1"/>
  <c r="B571" i="5"/>
  <c r="D570" i="5"/>
  <c r="B570" i="5"/>
  <c r="D569" i="5"/>
  <c r="B569" i="5"/>
  <c r="H569" i="5" s="1"/>
  <c r="D568" i="5"/>
  <c r="H568" i="5" s="1"/>
  <c r="B568" i="5"/>
  <c r="H567" i="5"/>
  <c r="D567" i="5"/>
  <c r="B567" i="5"/>
  <c r="D566" i="5"/>
  <c r="H566" i="5" s="1"/>
  <c r="B566" i="5"/>
  <c r="F534" i="5"/>
  <c r="G534" i="5" s="1"/>
  <c r="G535" i="5" s="1"/>
  <c r="D534" i="5"/>
  <c r="B534" i="5"/>
  <c r="E530" i="5"/>
  <c r="E529" i="5"/>
  <c r="E528" i="5"/>
  <c r="E527" i="5"/>
  <c r="E526" i="5"/>
  <c r="E525" i="5"/>
  <c r="E524" i="5"/>
  <c r="E523" i="5"/>
  <c r="E522" i="5"/>
  <c r="E521" i="5"/>
  <c r="D516" i="5"/>
  <c r="B516" i="5"/>
  <c r="H516" i="5" s="1"/>
  <c r="D515" i="5"/>
  <c r="H515" i="5" s="1"/>
  <c r="B515" i="5"/>
  <c r="D514" i="5"/>
  <c r="B514" i="5"/>
  <c r="D513" i="5"/>
  <c r="B513" i="5"/>
  <c r="D512" i="5"/>
  <c r="B512" i="5"/>
  <c r="D511" i="5"/>
  <c r="H511" i="5" s="1"/>
  <c r="B511" i="5"/>
  <c r="D510" i="5"/>
  <c r="H510" i="5" s="1"/>
  <c r="B510" i="5"/>
  <c r="F474" i="5"/>
  <c r="D474" i="5"/>
  <c r="G474" i="5" s="1"/>
  <c r="G475" i="5" s="1"/>
  <c r="B474" i="5"/>
  <c r="E470" i="5"/>
  <c r="E469" i="5"/>
  <c r="E468" i="5"/>
  <c r="E467" i="5"/>
  <c r="E466" i="5"/>
  <c r="E465" i="5"/>
  <c r="E464" i="5"/>
  <c r="E463" i="5"/>
  <c r="H458" i="5"/>
  <c r="D458" i="5"/>
  <c r="B458" i="5"/>
  <c r="D457" i="5"/>
  <c r="H457" i="5" s="1"/>
  <c r="B457" i="5"/>
  <c r="D456" i="5"/>
  <c r="B456" i="5"/>
  <c r="D455" i="5"/>
  <c r="B455" i="5"/>
  <c r="H455" i="5" s="1"/>
  <c r="D454" i="5"/>
  <c r="H454" i="5" s="1"/>
  <c r="B454" i="5"/>
  <c r="F422" i="5"/>
  <c r="D422" i="5"/>
  <c r="B422" i="5"/>
  <c r="E418" i="5"/>
  <c r="E417" i="5"/>
  <c r="E416" i="5"/>
  <c r="E415" i="5"/>
  <c r="E414" i="5"/>
  <c r="E413" i="5"/>
  <c r="E412" i="5"/>
  <c r="E411" i="5"/>
  <c r="E410" i="5"/>
  <c r="E409" i="5"/>
  <c r="H404" i="5"/>
  <c r="D404" i="5"/>
  <c r="B404" i="5"/>
  <c r="D403" i="5"/>
  <c r="H403" i="5" s="1"/>
  <c r="B403" i="5"/>
  <c r="D402" i="5"/>
  <c r="B402" i="5"/>
  <c r="H402" i="5" s="1"/>
  <c r="D401" i="5"/>
  <c r="H401" i="5" s="1"/>
  <c r="B401" i="5"/>
  <c r="D400" i="5"/>
  <c r="B400" i="5"/>
  <c r="D399" i="5"/>
  <c r="B399" i="5"/>
  <c r="D398" i="5"/>
  <c r="B398" i="5"/>
  <c r="F366" i="5"/>
  <c r="D366" i="5"/>
  <c r="B366" i="5"/>
  <c r="E362" i="5"/>
  <c r="E361" i="5"/>
  <c r="E360" i="5"/>
  <c r="E359" i="5"/>
  <c r="E358" i="5"/>
  <c r="E357" i="5"/>
  <c r="E356" i="5"/>
  <c r="E355" i="5"/>
  <c r="E354" i="5"/>
  <c r="E353" i="5"/>
  <c r="D348" i="5"/>
  <c r="H348" i="5" s="1"/>
  <c r="B348" i="5"/>
  <c r="H347" i="5"/>
  <c r="D347" i="5"/>
  <c r="B347" i="5"/>
  <c r="D346" i="5"/>
  <c r="H346" i="5" s="1"/>
  <c r="B346" i="5"/>
  <c r="D345" i="5"/>
  <c r="B345" i="5"/>
  <c r="H345" i="5" s="1"/>
  <c r="D344" i="5"/>
  <c r="H344" i="5" s="1"/>
  <c r="B344" i="5"/>
  <c r="D343" i="5"/>
  <c r="B343" i="5"/>
  <c r="D342" i="5"/>
  <c r="H342" i="5" s="1"/>
  <c r="B342" i="5"/>
  <c r="F306" i="5"/>
  <c r="D306" i="5"/>
  <c r="B306" i="5"/>
  <c r="E302" i="5"/>
  <c r="E301" i="5"/>
  <c r="E300" i="5"/>
  <c r="E299" i="5"/>
  <c r="E298" i="5"/>
  <c r="E297" i="5"/>
  <c r="E296" i="5"/>
  <c r="E295" i="5"/>
  <c r="D290" i="5"/>
  <c r="B290" i="5"/>
  <c r="H290" i="5" s="1"/>
  <c r="D289" i="5"/>
  <c r="H289" i="5" s="1"/>
  <c r="B289" i="5"/>
  <c r="D288" i="5"/>
  <c r="B288" i="5"/>
  <c r="H287" i="5"/>
  <c r="D287" i="5"/>
  <c r="B287" i="5"/>
  <c r="D286" i="5"/>
  <c r="H286" i="5" s="1"/>
  <c r="B286" i="5"/>
  <c r="F254" i="5"/>
  <c r="D254" i="5"/>
  <c r="G254" i="5" s="1"/>
  <c r="G255" i="5" s="1"/>
  <c r="B254" i="5"/>
  <c r="E250" i="5"/>
  <c r="E249" i="5"/>
  <c r="E248" i="5"/>
  <c r="E247" i="5"/>
  <c r="E246" i="5"/>
  <c r="E245" i="5"/>
  <c r="E244" i="5"/>
  <c r="E243" i="5"/>
  <c r="E242" i="5"/>
  <c r="E241" i="5"/>
  <c r="D236" i="5"/>
  <c r="H236" i="5" s="1"/>
  <c r="B236" i="5"/>
  <c r="D235" i="5"/>
  <c r="B235" i="5"/>
  <c r="H235" i="5" s="1"/>
  <c r="D234" i="5"/>
  <c r="H234" i="5" s="1"/>
  <c r="B234" i="5"/>
  <c r="D233" i="5"/>
  <c r="H233" i="5" s="1"/>
  <c r="B233" i="5"/>
  <c r="D232" i="5"/>
  <c r="B232" i="5"/>
  <c r="D231" i="5"/>
  <c r="B231" i="5"/>
  <c r="H231" i="5" s="1"/>
  <c r="D230" i="5"/>
  <c r="B230" i="5"/>
  <c r="H230" i="5" s="1"/>
  <c r="F191" i="5"/>
  <c r="D191" i="5"/>
  <c r="G191" i="5" s="1"/>
  <c r="G192" i="5" s="1"/>
  <c r="B191" i="5"/>
  <c r="E187" i="5"/>
  <c r="E186" i="5"/>
  <c r="E185" i="5"/>
  <c r="E184" i="5"/>
  <c r="E183" i="5"/>
  <c r="D178" i="5"/>
  <c r="B178" i="5"/>
  <c r="D177" i="5"/>
  <c r="B177" i="5"/>
  <c r="H177" i="5" s="1"/>
  <c r="D176" i="5"/>
  <c r="B176" i="5"/>
  <c r="H176" i="5" s="1"/>
  <c r="D175" i="5"/>
  <c r="H175" i="5" s="1"/>
  <c r="B175" i="5"/>
  <c r="D174" i="5"/>
  <c r="B174" i="5"/>
  <c r="F133" i="5"/>
  <c r="D133" i="5"/>
  <c r="B133" i="5"/>
  <c r="E129" i="5"/>
  <c r="E128" i="5"/>
  <c r="E127" i="5"/>
  <c r="E126" i="5"/>
  <c r="H121" i="5"/>
  <c r="D121" i="5"/>
  <c r="B121" i="5"/>
  <c r="D120" i="5"/>
  <c r="H120" i="5" s="1"/>
  <c r="B120" i="5"/>
  <c r="D119" i="5"/>
  <c r="B119" i="5"/>
  <c r="H119" i="5" s="1"/>
  <c r="D118" i="5"/>
  <c r="H118" i="5" s="1"/>
  <c r="B118" i="5"/>
  <c r="F79" i="5"/>
  <c r="D79" i="5"/>
  <c r="B79" i="5"/>
  <c r="E75" i="5"/>
  <c r="E74" i="5"/>
  <c r="E73" i="5"/>
  <c r="E72" i="5"/>
  <c r="E71" i="5"/>
  <c r="D66" i="5"/>
  <c r="H66" i="5" s="1"/>
  <c r="B66" i="5"/>
  <c r="D65" i="5"/>
  <c r="B65" i="5"/>
  <c r="H65" i="5" s="1"/>
  <c r="D64" i="5"/>
  <c r="H64" i="5" s="1"/>
  <c r="B64" i="5"/>
  <c r="D63" i="5"/>
  <c r="H63" i="5" s="1"/>
  <c r="B63" i="5"/>
  <c r="D62" i="5"/>
  <c r="B62" i="5"/>
  <c r="F23" i="5"/>
  <c r="D23" i="5"/>
  <c r="B23" i="5"/>
  <c r="E19" i="5"/>
  <c r="E18" i="5"/>
  <c r="E17" i="5"/>
  <c r="E16" i="5"/>
  <c r="H11" i="5"/>
  <c r="D11" i="5"/>
  <c r="B11" i="5"/>
  <c r="D10" i="5"/>
  <c r="H10" i="5" s="1"/>
  <c r="B10" i="5"/>
  <c r="D9" i="5"/>
  <c r="B9" i="5"/>
  <c r="D8" i="5"/>
  <c r="H8" i="5" s="1"/>
  <c r="B8" i="5"/>
  <c r="F2422" i="4"/>
  <c r="D2422" i="4"/>
  <c r="B2422" i="4"/>
  <c r="F2421" i="4"/>
  <c r="D2421" i="4"/>
  <c r="B2421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H2400" i="4"/>
  <c r="D2400" i="4"/>
  <c r="B2400" i="4"/>
  <c r="D2399" i="4"/>
  <c r="H2399" i="4" s="1"/>
  <c r="B2399" i="4"/>
  <c r="D2398" i="4"/>
  <c r="H2398" i="4" s="1"/>
  <c r="B2398" i="4"/>
  <c r="D2397" i="4"/>
  <c r="H2397" i="4" s="1"/>
  <c r="B2397" i="4"/>
  <c r="D2396" i="4"/>
  <c r="H2396" i="4" s="1"/>
  <c r="B2396" i="4"/>
  <c r="H2395" i="4"/>
  <c r="D2395" i="4"/>
  <c r="B2395" i="4"/>
  <c r="D2394" i="4"/>
  <c r="B2394" i="4"/>
  <c r="D2393" i="4"/>
  <c r="B2393" i="4"/>
  <c r="H2393" i="4" s="1"/>
  <c r="D2392" i="4"/>
  <c r="H2392" i="4" s="1"/>
  <c r="B2392" i="4"/>
  <c r="D2391" i="4"/>
  <c r="B2391" i="4"/>
  <c r="F2358" i="4"/>
  <c r="D2358" i="4"/>
  <c r="B2358" i="4"/>
  <c r="F2357" i="4"/>
  <c r="D2357" i="4"/>
  <c r="B2357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D2336" i="4"/>
  <c r="H2336" i="4" s="1"/>
  <c r="B2336" i="4"/>
  <c r="H2335" i="4"/>
  <c r="D2335" i="4"/>
  <c r="B2335" i="4"/>
  <c r="H2334" i="4"/>
  <c r="D2334" i="4"/>
  <c r="B2334" i="4"/>
  <c r="D2333" i="4"/>
  <c r="B2333" i="4"/>
  <c r="H2333" i="4" s="1"/>
  <c r="D2332" i="4"/>
  <c r="B2332" i="4"/>
  <c r="D2331" i="4"/>
  <c r="B2331" i="4"/>
  <c r="H2330" i="4"/>
  <c r="D2330" i="4"/>
  <c r="B2330" i="4"/>
  <c r="D2329" i="4"/>
  <c r="H2329" i="4" s="1"/>
  <c r="B2329" i="4"/>
  <c r="D2328" i="4"/>
  <c r="B2328" i="4"/>
  <c r="F2298" i="4"/>
  <c r="D2298" i="4"/>
  <c r="B2298" i="4"/>
  <c r="F2297" i="4"/>
  <c r="D2297" i="4"/>
  <c r="B2297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H2275" i="4"/>
  <c r="D2275" i="4"/>
  <c r="B2275" i="4"/>
  <c r="H2274" i="4"/>
  <c r="D2274" i="4"/>
  <c r="B2274" i="4"/>
  <c r="D2273" i="4"/>
  <c r="H2273" i="4" s="1"/>
  <c r="B2273" i="4"/>
  <c r="D2272" i="4"/>
  <c r="B2272" i="4"/>
  <c r="D2271" i="4"/>
  <c r="B2271" i="4"/>
  <c r="H2271" i="4" s="1"/>
  <c r="D2270" i="4"/>
  <c r="H2270" i="4" s="1"/>
  <c r="B2270" i="4"/>
  <c r="D2269" i="4"/>
  <c r="B2269" i="4"/>
  <c r="D2268" i="4"/>
  <c r="H2268" i="4" s="1"/>
  <c r="B2268" i="4"/>
  <c r="D2267" i="4"/>
  <c r="B2267" i="4"/>
  <c r="H2267" i="4" s="1"/>
  <c r="D2266" i="4"/>
  <c r="B2266" i="4"/>
  <c r="H2266" i="4" s="1"/>
  <c r="D2265" i="4"/>
  <c r="H2265" i="4" s="1"/>
  <c r="B2265" i="4"/>
  <c r="F2242" i="4"/>
  <c r="D2242" i="4"/>
  <c r="B2242" i="4"/>
  <c r="G2242" i="4" s="1"/>
  <c r="F2241" i="4"/>
  <c r="D2241" i="4"/>
  <c r="B2241" i="4"/>
  <c r="F2240" i="4"/>
  <c r="D2240" i="4"/>
  <c r="B2240" i="4"/>
  <c r="G2240" i="4" s="1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D2211" i="4"/>
  <c r="B2211" i="4"/>
  <c r="D2210" i="4"/>
  <c r="B2210" i="4"/>
  <c r="H2210" i="4" s="1"/>
  <c r="D2209" i="4"/>
  <c r="H2209" i="4" s="1"/>
  <c r="B2209" i="4"/>
  <c r="D2208" i="4"/>
  <c r="H2208" i="4" s="1"/>
  <c r="B2208" i="4"/>
  <c r="D2207" i="4"/>
  <c r="H2207" i="4" s="1"/>
  <c r="B2207" i="4"/>
  <c r="D2206" i="4"/>
  <c r="H2206" i="4" s="1"/>
  <c r="B2206" i="4"/>
  <c r="D2205" i="4"/>
  <c r="H2205" i="4" s="1"/>
  <c r="B2205" i="4"/>
  <c r="D2204" i="4"/>
  <c r="B2204" i="4"/>
  <c r="H2204" i="4" s="1"/>
  <c r="D2203" i="4"/>
  <c r="B2203" i="4"/>
  <c r="H2203" i="4" s="1"/>
  <c r="H2202" i="4"/>
  <c r="D2202" i="4"/>
  <c r="B2202" i="4"/>
  <c r="D2201" i="4"/>
  <c r="H2201" i="4" s="1"/>
  <c r="B2201" i="4"/>
  <c r="D2200" i="4"/>
  <c r="H2200" i="4" s="1"/>
  <c r="B2200" i="4"/>
  <c r="F2177" i="4"/>
  <c r="D2177" i="4"/>
  <c r="B2177" i="4"/>
  <c r="F2176" i="4"/>
  <c r="D2176" i="4"/>
  <c r="B2176" i="4"/>
  <c r="F2175" i="4"/>
  <c r="D2175" i="4"/>
  <c r="B2175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H2146" i="4"/>
  <c r="D2146" i="4"/>
  <c r="B2146" i="4"/>
  <c r="D2145" i="4"/>
  <c r="H2145" i="4" s="1"/>
  <c r="B2145" i="4"/>
  <c r="D2144" i="4"/>
  <c r="B2144" i="4"/>
  <c r="D2143" i="4"/>
  <c r="B2143" i="4"/>
  <c r="H2143" i="4" s="1"/>
  <c r="D2142" i="4"/>
  <c r="H2142" i="4" s="1"/>
  <c r="B2142" i="4"/>
  <c r="D2141" i="4"/>
  <c r="B2141" i="4"/>
  <c r="D2140" i="4"/>
  <c r="H2140" i="4" s="1"/>
  <c r="B2140" i="4"/>
  <c r="D2139" i="4"/>
  <c r="B2139" i="4"/>
  <c r="H2139" i="4" s="1"/>
  <c r="H2138" i="4"/>
  <c r="D2138" i="4"/>
  <c r="B2138" i="4"/>
  <c r="D2137" i="4"/>
  <c r="H2137" i="4" s="1"/>
  <c r="B2137" i="4"/>
  <c r="D2136" i="4"/>
  <c r="B2136" i="4"/>
  <c r="D2135" i="4"/>
  <c r="B2135" i="4"/>
  <c r="F2115" i="4"/>
  <c r="D2115" i="4"/>
  <c r="B2115" i="4"/>
  <c r="F2114" i="4"/>
  <c r="D2114" i="4"/>
  <c r="B2114" i="4"/>
  <c r="F2113" i="4"/>
  <c r="D2113" i="4"/>
  <c r="B2113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D2084" i="4"/>
  <c r="H2084" i="4" s="1"/>
  <c r="B2084" i="4"/>
  <c r="D2083" i="4"/>
  <c r="B2083" i="4"/>
  <c r="D2082" i="4"/>
  <c r="B2082" i="4"/>
  <c r="H2082" i="4" s="1"/>
  <c r="D2081" i="4"/>
  <c r="H2081" i="4" s="1"/>
  <c r="B2081" i="4"/>
  <c r="D2080" i="4"/>
  <c r="B2080" i="4"/>
  <c r="D2079" i="4"/>
  <c r="B2079" i="4"/>
  <c r="D2078" i="4"/>
  <c r="B2078" i="4"/>
  <c r="H2077" i="4"/>
  <c r="D2077" i="4"/>
  <c r="B2077" i="4"/>
  <c r="D2076" i="4"/>
  <c r="H2076" i="4" s="1"/>
  <c r="B2076" i="4"/>
  <c r="D2075" i="4"/>
  <c r="B2075" i="4"/>
  <c r="D2074" i="4"/>
  <c r="B2074" i="4"/>
  <c r="D2073" i="4"/>
  <c r="H2073" i="4" s="1"/>
  <c r="B2073" i="4"/>
  <c r="F2052" i="4"/>
  <c r="D2052" i="4"/>
  <c r="B2052" i="4"/>
  <c r="F2051" i="4"/>
  <c r="D2051" i="4"/>
  <c r="G2051" i="4" s="1"/>
  <c r="B2051" i="4"/>
  <c r="F2050" i="4"/>
  <c r="D2050" i="4"/>
  <c r="B2050" i="4"/>
  <c r="G2050" i="4" s="1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D2021" i="4"/>
  <c r="B2021" i="4"/>
  <c r="D2020" i="4"/>
  <c r="B2020" i="4"/>
  <c r="D2019" i="4"/>
  <c r="H2019" i="4" s="1"/>
  <c r="B2019" i="4"/>
  <c r="D2018" i="4"/>
  <c r="B2018" i="4"/>
  <c r="D2017" i="4"/>
  <c r="B2017" i="4"/>
  <c r="H2016" i="4"/>
  <c r="D2016" i="4"/>
  <c r="B2016" i="4"/>
  <c r="D2015" i="4"/>
  <c r="B2015" i="4"/>
  <c r="H2015" i="4" s="1"/>
  <c r="D2014" i="4"/>
  <c r="B2014" i="4"/>
  <c r="D2013" i="4"/>
  <c r="B2013" i="4"/>
  <c r="D2012" i="4"/>
  <c r="B2012" i="4"/>
  <c r="D2011" i="4"/>
  <c r="H2011" i="4" s="1"/>
  <c r="B2011" i="4"/>
  <c r="D2010" i="4"/>
  <c r="B2010" i="4"/>
  <c r="F1984" i="4"/>
  <c r="D1984" i="4"/>
  <c r="B1984" i="4"/>
  <c r="F1983" i="4"/>
  <c r="D1983" i="4"/>
  <c r="B1983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D1957" i="4"/>
  <c r="B1957" i="4"/>
  <c r="H1957" i="4" s="1"/>
  <c r="D1956" i="4"/>
  <c r="B1956" i="4"/>
  <c r="H1955" i="4"/>
  <c r="D1955" i="4"/>
  <c r="B1955" i="4"/>
  <c r="D1954" i="4"/>
  <c r="H1954" i="4" s="1"/>
  <c r="B1954" i="4"/>
  <c r="D1953" i="4"/>
  <c r="H1953" i="4" s="1"/>
  <c r="B1953" i="4"/>
  <c r="D1952" i="4"/>
  <c r="H1952" i="4" s="1"/>
  <c r="B1952" i="4"/>
  <c r="H1951" i="4"/>
  <c r="D1951" i="4"/>
  <c r="B1951" i="4"/>
  <c r="D1950" i="4"/>
  <c r="H1950" i="4" s="1"/>
  <c r="B1950" i="4"/>
  <c r="D1949" i="4"/>
  <c r="B1949" i="4"/>
  <c r="H1949" i="4" s="1"/>
  <c r="D1948" i="4"/>
  <c r="B1948" i="4"/>
  <c r="H1948" i="4" s="1"/>
  <c r="H1947" i="4"/>
  <c r="D1947" i="4"/>
  <c r="B1947" i="4"/>
  <c r="D1946" i="4"/>
  <c r="H1946" i="4" s="1"/>
  <c r="B1946" i="4"/>
  <c r="D1945" i="4"/>
  <c r="H1945" i="4" s="1"/>
  <c r="B1945" i="4"/>
  <c r="H1944" i="4"/>
  <c r="D1944" i="4"/>
  <c r="B1944" i="4"/>
  <c r="F1916" i="4"/>
  <c r="D1916" i="4"/>
  <c r="B1916" i="4"/>
  <c r="F1915" i="4"/>
  <c r="D1915" i="4"/>
  <c r="B1915" i="4"/>
  <c r="G1915" i="4" s="1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D1891" i="4"/>
  <c r="H1891" i="4" s="1"/>
  <c r="B1891" i="4"/>
  <c r="H1890" i="4"/>
  <c r="D1890" i="4"/>
  <c r="B1890" i="4"/>
  <c r="D1889" i="4"/>
  <c r="B1889" i="4"/>
  <c r="H1889" i="4" s="1"/>
  <c r="D1888" i="4"/>
  <c r="H1888" i="4" s="1"/>
  <c r="B1888" i="4"/>
  <c r="D1887" i="4"/>
  <c r="B1887" i="4"/>
  <c r="D1886" i="4"/>
  <c r="B1886" i="4"/>
  <c r="H1886" i="4" s="1"/>
  <c r="D1885" i="4"/>
  <c r="B1885" i="4"/>
  <c r="D1884" i="4"/>
  <c r="B1884" i="4"/>
  <c r="D1883" i="4"/>
  <c r="H1883" i="4" s="1"/>
  <c r="B1883" i="4"/>
  <c r="D1882" i="4"/>
  <c r="B1882" i="4"/>
  <c r="H1882" i="4" s="1"/>
  <c r="F1857" i="4"/>
  <c r="D1857" i="4"/>
  <c r="B1857" i="4"/>
  <c r="G1857" i="4" s="1"/>
  <c r="F1856" i="4"/>
  <c r="D1856" i="4"/>
  <c r="B1856" i="4"/>
  <c r="G1856" i="4" s="1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D1832" i="4"/>
  <c r="B1832" i="4"/>
  <c r="D1831" i="4"/>
  <c r="B1831" i="4"/>
  <c r="H1831" i="4" s="1"/>
  <c r="D1830" i="4"/>
  <c r="B1830" i="4"/>
  <c r="H1830" i="4" s="1"/>
  <c r="D1829" i="4"/>
  <c r="B1829" i="4"/>
  <c r="D1828" i="4"/>
  <c r="B1828" i="4"/>
  <c r="D1827" i="4"/>
  <c r="B1827" i="4"/>
  <c r="D1826" i="4"/>
  <c r="H1826" i="4" s="1"/>
  <c r="B1826" i="4"/>
  <c r="D1825" i="4"/>
  <c r="H1825" i="4" s="1"/>
  <c r="B1825" i="4"/>
  <c r="D1824" i="4"/>
  <c r="B1824" i="4"/>
  <c r="D1823" i="4"/>
  <c r="B1823" i="4"/>
  <c r="H1823" i="4" s="1"/>
  <c r="D1822" i="4"/>
  <c r="B1822" i="4"/>
  <c r="D1821" i="4"/>
  <c r="B1821" i="4"/>
  <c r="D1820" i="4"/>
  <c r="B1820" i="4"/>
  <c r="D1819" i="4"/>
  <c r="B1819" i="4"/>
  <c r="H1819" i="4" s="1"/>
  <c r="F1791" i="4"/>
  <c r="D1791" i="4"/>
  <c r="B1791" i="4"/>
  <c r="F1790" i="4"/>
  <c r="D1790" i="4"/>
  <c r="B1790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D1768" i="4"/>
  <c r="B1768" i="4"/>
  <c r="H1768" i="4" s="1"/>
  <c r="D1767" i="4"/>
  <c r="B1767" i="4"/>
  <c r="D1766" i="4"/>
  <c r="H1766" i="4" s="1"/>
  <c r="B1766" i="4"/>
  <c r="H1765" i="4"/>
  <c r="D1765" i="4"/>
  <c r="B1765" i="4"/>
  <c r="D1764" i="4"/>
  <c r="B1764" i="4"/>
  <c r="H1764" i="4" s="1"/>
  <c r="D1763" i="4"/>
  <c r="H1763" i="4" s="1"/>
  <c r="B1763" i="4"/>
  <c r="D1762" i="4"/>
  <c r="B1762" i="4"/>
  <c r="D1761" i="4"/>
  <c r="B1761" i="4"/>
  <c r="H1761" i="4" s="1"/>
  <c r="D1760" i="4"/>
  <c r="H1760" i="4" s="1"/>
  <c r="B1760" i="4"/>
  <c r="D1759" i="4"/>
  <c r="B1759" i="4"/>
  <c r="D1758" i="4"/>
  <c r="H1758" i="4" s="1"/>
  <c r="B1758" i="4"/>
  <c r="D1757" i="4"/>
  <c r="B1757" i="4"/>
  <c r="H1757" i="4" s="1"/>
  <c r="F1727" i="4"/>
  <c r="D1727" i="4"/>
  <c r="B1727" i="4"/>
  <c r="F1726" i="4"/>
  <c r="D1726" i="4"/>
  <c r="B1726" i="4"/>
  <c r="G1726" i="4" s="1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D1703" i="4"/>
  <c r="B1703" i="4"/>
  <c r="H1702" i="4"/>
  <c r="D1702" i="4"/>
  <c r="B1702" i="4"/>
  <c r="D1701" i="4"/>
  <c r="H1701" i="4" s="1"/>
  <c r="B1701" i="4"/>
  <c r="D1700" i="4"/>
  <c r="B1700" i="4"/>
  <c r="D1699" i="4"/>
  <c r="H1699" i="4" s="1"/>
  <c r="B1699" i="4"/>
  <c r="D1698" i="4"/>
  <c r="H1698" i="4" s="1"/>
  <c r="B1698" i="4"/>
  <c r="D1697" i="4"/>
  <c r="B1697" i="4"/>
  <c r="D1696" i="4"/>
  <c r="B1696" i="4"/>
  <c r="D1695" i="4"/>
  <c r="B1695" i="4"/>
  <c r="H1694" i="4"/>
  <c r="D1694" i="4"/>
  <c r="B1694" i="4"/>
  <c r="F1666" i="4"/>
  <c r="D1666" i="4"/>
  <c r="B1666" i="4"/>
  <c r="F1665" i="4"/>
  <c r="D1665" i="4"/>
  <c r="B1665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D1642" i="4"/>
  <c r="H1642" i="4" s="1"/>
  <c r="B1642" i="4"/>
  <c r="D1641" i="4"/>
  <c r="B1641" i="4"/>
  <c r="D1640" i="4"/>
  <c r="B1640" i="4"/>
  <c r="H1640" i="4" s="1"/>
  <c r="D1639" i="4"/>
  <c r="B1639" i="4"/>
  <c r="D1638" i="4"/>
  <c r="B1638" i="4"/>
  <c r="D1637" i="4"/>
  <c r="B1637" i="4"/>
  <c r="H1637" i="4" s="1"/>
  <c r="D1636" i="4"/>
  <c r="B1636" i="4"/>
  <c r="D1635" i="4"/>
  <c r="H1635" i="4" s="1"/>
  <c r="B1635" i="4"/>
  <c r="D1634" i="4"/>
  <c r="B1634" i="4"/>
  <c r="D1633" i="4"/>
  <c r="H1633" i="4" s="1"/>
  <c r="B1633" i="4"/>
  <c r="D1632" i="4"/>
  <c r="H1632" i="4" s="1"/>
  <c r="B1632" i="4"/>
  <c r="D1631" i="4"/>
  <c r="H1631" i="4" s="1"/>
  <c r="B1631" i="4"/>
  <c r="F1602" i="4"/>
  <c r="D1602" i="4"/>
  <c r="B1602" i="4"/>
  <c r="G1602" i="4" s="1"/>
  <c r="F1601" i="4"/>
  <c r="D1601" i="4"/>
  <c r="G1601" i="4" s="1"/>
  <c r="G1603" i="4" s="1"/>
  <c r="B1601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D1578" i="4"/>
  <c r="B1578" i="4"/>
  <c r="H1578" i="4" s="1"/>
  <c r="D1577" i="4"/>
  <c r="B1577" i="4"/>
  <c r="D1576" i="4"/>
  <c r="H1576" i="4" s="1"/>
  <c r="B1576" i="4"/>
  <c r="H1575" i="4"/>
  <c r="D1575" i="4"/>
  <c r="B1575" i="4"/>
  <c r="D1574" i="4"/>
  <c r="B1574" i="4"/>
  <c r="H1574" i="4" s="1"/>
  <c r="D1573" i="4"/>
  <c r="H1573" i="4" s="1"/>
  <c r="B1573" i="4"/>
  <c r="D1572" i="4"/>
  <c r="B1572" i="4"/>
  <c r="D1571" i="4"/>
  <c r="B1571" i="4"/>
  <c r="H1571" i="4" s="1"/>
  <c r="D1570" i="4"/>
  <c r="H1570" i="4" s="1"/>
  <c r="B1570" i="4"/>
  <c r="D1569" i="4"/>
  <c r="B1569" i="4"/>
  <c r="F1539" i="4"/>
  <c r="G1539" i="4" s="1"/>
  <c r="G1540" i="4" s="1"/>
  <c r="D1539" i="4"/>
  <c r="B1539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D1515" i="4"/>
  <c r="H1515" i="4" s="1"/>
  <c r="D1514" i="4"/>
  <c r="H1514" i="4" s="1"/>
  <c r="D1513" i="4"/>
  <c r="B1513" i="4"/>
  <c r="D1512" i="4"/>
  <c r="B1512" i="4"/>
  <c r="D1511" i="4"/>
  <c r="B1511" i="4"/>
  <c r="D1510" i="4"/>
  <c r="B1510" i="4"/>
  <c r="H1510" i="4" s="1"/>
  <c r="D1509" i="4"/>
  <c r="B1509" i="4"/>
  <c r="H1509" i="4" s="1"/>
  <c r="D1508" i="4"/>
  <c r="B1508" i="4"/>
  <c r="D1507" i="4"/>
  <c r="B1507" i="4"/>
  <c r="F1478" i="4"/>
  <c r="D1478" i="4"/>
  <c r="G1478" i="4" s="1"/>
  <c r="G1479" i="4" s="1"/>
  <c r="B1478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D1454" i="4"/>
  <c r="H1454" i="4" s="1"/>
  <c r="B1454" i="4"/>
  <c r="D1453" i="4"/>
  <c r="B1453" i="4"/>
  <c r="D1452" i="4"/>
  <c r="H1452" i="4" s="1"/>
  <c r="B1452" i="4"/>
  <c r="H1451" i="4"/>
  <c r="D1451" i="4"/>
  <c r="B1451" i="4"/>
  <c r="D1450" i="4"/>
  <c r="H1450" i="4" s="1"/>
  <c r="B1450" i="4"/>
  <c r="D1449" i="4"/>
  <c r="B1449" i="4"/>
  <c r="H1449" i="4" s="1"/>
  <c r="D1448" i="4"/>
  <c r="B1448" i="4"/>
  <c r="H1448" i="4" s="1"/>
  <c r="H1447" i="4"/>
  <c r="D1447" i="4"/>
  <c r="B1447" i="4"/>
  <c r="D1446" i="4"/>
  <c r="H1446" i="4" s="1"/>
  <c r="B1446" i="4"/>
  <c r="D1445" i="4"/>
  <c r="H1445" i="4" s="1"/>
  <c r="B1445" i="4"/>
  <c r="F1414" i="4"/>
  <c r="D1414" i="4"/>
  <c r="B1414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D1392" i="4"/>
  <c r="B1392" i="4"/>
  <c r="H1391" i="4"/>
  <c r="D1391" i="4"/>
  <c r="B1391" i="4"/>
  <c r="D1390" i="4"/>
  <c r="H1390" i="4" s="1"/>
  <c r="B1390" i="4"/>
  <c r="D1389" i="4"/>
  <c r="H1389" i="4" s="1"/>
  <c r="B1389" i="4"/>
  <c r="D1388" i="4"/>
  <c r="H1388" i="4" s="1"/>
  <c r="B1388" i="4"/>
  <c r="D1387" i="4"/>
  <c r="B1387" i="4"/>
  <c r="D1386" i="4"/>
  <c r="H1386" i="4" s="1"/>
  <c r="B1386" i="4"/>
  <c r="D1385" i="4"/>
  <c r="B1385" i="4"/>
  <c r="H1385" i="4" s="1"/>
  <c r="D1384" i="4"/>
  <c r="B1384" i="4"/>
  <c r="D1383" i="4"/>
  <c r="H1383" i="4" s="1"/>
  <c r="B1383" i="4"/>
  <c r="F1349" i="4"/>
  <c r="D1349" i="4"/>
  <c r="B1349" i="4"/>
  <c r="G1349" i="4" s="1"/>
  <c r="G1350" i="4" s="1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D1326" i="4"/>
  <c r="H1326" i="4" s="1"/>
  <c r="B1326" i="4"/>
  <c r="D1325" i="4"/>
  <c r="H1325" i="4" s="1"/>
  <c r="B1325" i="4"/>
  <c r="D1324" i="4"/>
  <c r="H1324" i="4" s="1"/>
  <c r="B1324" i="4"/>
  <c r="D1323" i="4"/>
  <c r="B1323" i="4"/>
  <c r="H1323" i="4" s="1"/>
  <c r="D1322" i="4"/>
  <c r="B1322" i="4"/>
  <c r="H1322" i="4" s="1"/>
  <c r="D1321" i="4"/>
  <c r="B1321" i="4"/>
  <c r="H1321" i="4" s="1"/>
  <c r="D1320" i="4"/>
  <c r="H1320" i="4" s="1"/>
  <c r="B1320" i="4"/>
  <c r="F1289" i="4"/>
  <c r="D1289" i="4"/>
  <c r="B1289" i="4"/>
  <c r="F1288" i="4"/>
  <c r="D1288" i="4"/>
  <c r="B1288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D1266" i="4"/>
  <c r="H1266" i="4" s="1"/>
  <c r="H1265" i="4"/>
  <c r="D1265" i="4"/>
  <c r="B1265" i="4"/>
  <c r="D1264" i="4"/>
  <c r="H1264" i="4" s="1"/>
  <c r="B1264" i="4"/>
  <c r="D1263" i="4"/>
  <c r="B1263" i="4"/>
  <c r="D1262" i="4"/>
  <c r="B1262" i="4"/>
  <c r="D1261" i="4"/>
  <c r="B1261" i="4"/>
  <c r="D1260" i="4"/>
  <c r="H1260" i="4" s="1"/>
  <c r="B1260" i="4"/>
  <c r="D1259" i="4"/>
  <c r="B1259" i="4"/>
  <c r="H1259" i="4" s="1"/>
  <c r="D1258" i="4"/>
  <c r="B1258" i="4"/>
  <c r="F1228" i="4"/>
  <c r="D1228" i="4"/>
  <c r="B1228" i="4"/>
  <c r="F1227" i="4"/>
  <c r="D1227" i="4"/>
  <c r="B1227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D1203" i="4"/>
  <c r="B1203" i="4"/>
  <c r="D1202" i="4"/>
  <c r="B1202" i="4"/>
  <c r="H1202" i="4" s="1"/>
  <c r="H1201" i="4"/>
  <c r="D1201" i="4"/>
  <c r="B1201" i="4"/>
  <c r="D1200" i="4"/>
  <c r="H1200" i="4" s="1"/>
  <c r="B1200" i="4"/>
  <c r="D1199" i="4"/>
  <c r="B1199" i="4"/>
  <c r="H1198" i="4"/>
  <c r="D1198" i="4"/>
  <c r="B1198" i="4"/>
  <c r="D1197" i="4"/>
  <c r="B1197" i="4"/>
  <c r="D1196" i="4"/>
  <c r="B1196" i="4"/>
  <c r="D1195" i="4"/>
  <c r="B1195" i="4"/>
  <c r="H1195" i="4" s="1"/>
  <c r="D1194" i="4"/>
  <c r="B1194" i="4"/>
  <c r="F1171" i="4"/>
  <c r="D1171" i="4"/>
  <c r="B1171" i="4"/>
  <c r="F1170" i="4"/>
  <c r="D1170" i="4"/>
  <c r="B1170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D1141" i="4"/>
  <c r="H1141" i="4" s="1"/>
  <c r="B1141" i="4"/>
  <c r="D1140" i="4"/>
  <c r="B1140" i="4"/>
  <c r="D1139" i="4"/>
  <c r="B1139" i="4"/>
  <c r="H1139" i="4" s="1"/>
  <c r="H1138" i="4"/>
  <c r="D1138" i="4"/>
  <c r="B1138" i="4"/>
  <c r="D1137" i="4"/>
  <c r="B1137" i="4"/>
  <c r="D1136" i="4"/>
  <c r="H1136" i="4" s="1"/>
  <c r="B1136" i="4"/>
  <c r="D1135" i="4"/>
  <c r="H1135" i="4" s="1"/>
  <c r="B1135" i="4"/>
  <c r="D1134" i="4"/>
  <c r="B1134" i="4"/>
  <c r="H1134" i="4" s="1"/>
  <c r="D1133" i="4"/>
  <c r="H1133" i="4" s="1"/>
  <c r="B1133" i="4"/>
  <c r="D1132" i="4"/>
  <c r="B1132" i="4"/>
  <c r="H1132" i="4" s="1"/>
  <c r="F1106" i="4"/>
  <c r="D1106" i="4"/>
  <c r="G1106" i="4" s="1"/>
  <c r="B1106" i="4"/>
  <c r="F1105" i="4"/>
  <c r="D1105" i="4"/>
  <c r="B1105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D1077" i="4"/>
  <c r="B1077" i="4"/>
  <c r="D1076" i="4"/>
  <c r="H1076" i="4" s="1"/>
  <c r="B1076" i="4"/>
  <c r="D1075" i="4"/>
  <c r="H1075" i="4" s="1"/>
  <c r="B1075" i="4"/>
  <c r="D1074" i="4"/>
  <c r="B1074" i="4"/>
  <c r="H1074" i="4" s="1"/>
  <c r="D1073" i="4"/>
  <c r="H1073" i="4" s="1"/>
  <c r="B1073" i="4"/>
  <c r="D1072" i="4"/>
  <c r="B1072" i="4"/>
  <c r="H1072" i="4" s="1"/>
  <c r="D1071" i="4"/>
  <c r="B1071" i="4"/>
  <c r="H1071" i="4" s="1"/>
  <c r="D1070" i="4"/>
  <c r="H1070" i="4" s="1"/>
  <c r="B1070" i="4"/>
  <c r="F1044" i="4"/>
  <c r="D1044" i="4"/>
  <c r="G1044" i="4" s="1"/>
  <c r="B1044" i="4"/>
  <c r="F1043" i="4"/>
  <c r="G1043" i="4" s="1"/>
  <c r="G1045" i="4" s="1"/>
  <c r="D1043" i="4"/>
  <c r="B1043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D1013" i="4"/>
  <c r="B1013" i="4"/>
  <c r="D1012" i="4"/>
  <c r="B1012" i="4"/>
  <c r="H1011" i="4"/>
  <c r="D1011" i="4"/>
  <c r="B1011" i="4"/>
  <c r="D1010" i="4"/>
  <c r="B1010" i="4"/>
  <c r="H1010" i="4" s="1"/>
  <c r="D1009" i="4"/>
  <c r="B1009" i="4"/>
  <c r="D1008" i="4"/>
  <c r="B1008" i="4"/>
  <c r="D1007" i="4"/>
  <c r="B1007" i="4"/>
  <c r="H1007" i="4" s="1"/>
  <c r="D1006" i="4"/>
  <c r="H1006" i="4" s="1"/>
  <c r="B1006" i="4"/>
  <c r="D1005" i="4"/>
  <c r="B1005" i="4"/>
  <c r="F977" i="4"/>
  <c r="D977" i="4"/>
  <c r="B977" i="4"/>
  <c r="F976" i="4"/>
  <c r="D976" i="4"/>
  <c r="G976" i="4" s="1"/>
  <c r="B976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D949" i="4"/>
  <c r="B949" i="4"/>
  <c r="D948" i="4"/>
  <c r="B948" i="4"/>
  <c r="D947" i="4"/>
  <c r="H947" i="4" s="1"/>
  <c r="B947" i="4"/>
  <c r="D946" i="4"/>
  <c r="B946" i="4"/>
  <c r="D945" i="4"/>
  <c r="B945" i="4"/>
  <c r="D944" i="4"/>
  <c r="B944" i="4"/>
  <c r="H944" i="4" s="1"/>
  <c r="D943" i="4"/>
  <c r="B943" i="4"/>
  <c r="F915" i="4"/>
  <c r="D915" i="4"/>
  <c r="B915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D886" i="4"/>
  <c r="B886" i="4"/>
  <c r="D885" i="4"/>
  <c r="B885" i="4"/>
  <c r="D884" i="4"/>
  <c r="B884" i="4"/>
  <c r="D883" i="4"/>
  <c r="H883" i="4" s="1"/>
  <c r="B883" i="4"/>
  <c r="D882" i="4"/>
  <c r="B882" i="4"/>
  <c r="D881" i="4"/>
  <c r="B881" i="4"/>
  <c r="H881" i="4" s="1"/>
  <c r="F857" i="4"/>
  <c r="D857" i="4"/>
  <c r="B857" i="4"/>
  <c r="F856" i="4"/>
  <c r="D856" i="4"/>
  <c r="B856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D828" i="4"/>
  <c r="H828" i="4" s="1"/>
  <c r="B828" i="4"/>
  <c r="D827" i="4"/>
  <c r="B827" i="4"/>
  <c r="D826" i="4"/>
  <c r="B826" i="4"/>
  <c r="D825" i="4"/>
  <c r="B825" i="4"/>
  <c r="D824" i="4"/>
  <c r="H824" i="4" s="1"/>
  <c r="B824" i="4"/>
  <c r="D823" i="4"/>
  <c r="B823" i="4"/>
  <c r="H823" i="4" s="1"/>
  <c r="D822" i="4"/>
  <c r="B822" i="4"/>
  <c r="D821" i="4"/>
  <c r="H821" i="4" s="1"/>
  <c r="B821" i="4"/>
  <c r="D820" i="4"/>
  <c r="H820" i="4" s="1"/>
  <c r="B820" i="4"/>
  <c r="D819" i="4"/>
  <c r="H819" i="4" s="1"/>
  <c r="B819" i="4"/>
  <c r="F794" i="4"/>
  <c r="D794" i="4"/>
  <c r="B794" i="4"/>
  <c r="F793" i="4"/>
  <c r="D793" i="4"/>
  <c r="B793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D765" i="4"/>
  <c r="H765" i="4" s="1"/>
  <c r="B765" i="4"/>
  <c r="D764" i="4"/>
  <c r="B764" i="4"/>
  <c r="D763" i="4"/>
  <c r="B763" i="4"/>
  <c r="D762" i="4"/>
  <c r="H762" i="4" s="1"/>
  <c r="B762" i="4"/>
  <c r="D761" i="4"/>
  <c r="H761" i="4" s="1"/>
  <c r="B761" i="4"/>
  <c r="D760" i="4"/>
  <c r="B760" i="4"/>
  <c r="H759" i="4"/>
  <c r="D759" i="4"/>
  <c r="B759" i="4"/>
  <c r="D758" i="4"/>
  <c r="H758" i="4" s="1"/>
  <c r="B758" i="4"/>
  <c r="D757" i="4"/>
  <c r="B757" i="4"/>
  <c r="F732" i="4"/>
  <c r="D732" i="4"/>
  <c r="B732" i="4"/>
  <c r="F731" i="4"/>
  <c r="D731" i="4"/>
  <c r="B731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D701" i="4"/>
  <c r="B701" i="4"/>
  <c r="D700" i="4"/>
  <c r="B700" i="4"/>
  <c r="H700" i="4" s="1"/>
  <c r="H699" i="4"/>
  <c r="D699" i="4"/>
  <c r="B699" i="4"/>
  <c r="D698" i="4"/>
  <c r="B698" i="4"/>
  <c r="D697" i="4"/>
  <c r="H697" i="4" s="1"/>
  <c r="B697" i="4"/>
  <c r="D696" i="4"/>
  <c r="H696" i="4" s="1"/>
  <c r="B696" i="4"/>
  <c r="D695" i="4"/>
  <c r="B695" i="4"/>
  <c r="H695" i="4" s="1"/>
  <c r="D694" i="4"/>
  <c r="H694" i="4" s="1"/>
  <c r="B694" i="4"/>
  <c r="D693" i="4"/>
  <c r="B693" i="4"/>
  <c r="H693" i="4" s="1"/>
  <c r="D692" i="4"/>
  <c r="B692" i="4"/>
  <c r="H692" i="4" s="1"/>
  <c r="F667" i="4"/>
  <c r="D667" i="4"/>
  <c r="B667" i="4"/>
  <c r="F666" i="4"/>
  <c r="D666" i="4"/>
  <c r="B666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D639" i="4"/>
  <c r="B639" i="4"/>
  <c r="D638" i="4"/>
  <c r="B638" i="4"/>
  <c r="D637" i="4"/>
  <c r="H637" i="4" s="1"/>
  <c r="D636" i="4"/>
  <c r="H636" i="4" s="1"/>
  <c r="D635" i="4"/>
  <c r="B635" i="4"/>
  <c r="D634" i="4"/>
  <c r="B634" i="4"/>
  <c r="H634" i="4" s="1"/>
  <c r="D633" i="4"/>
  <c r="B633" i="4"/>
  <c r="D632" i="4"/>
  <c r="H632" i="4" s="1"/>
  <c r="B632" i="4"/>
  <c r="D631" i="4"/>
  <c r="H631" i="4" s="1"/>
  <c r="B631" i="4"/>
  <c r="F604" i="4"/>
  <c r="D604" i="4"/>
  <c r="B604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D574" i="4"/>
  <c r="B574" i="4"/>
  <c r="D573" i="4"/>
  <c r="B573" i="4"/>
  <c r="H573" i="4" s="1"/>
  <c r="D572" i="4"/>
  <c r="H572" i="4" s="1"/>
  <c r="B572" i="4"/>
  <c r="D571" i="4"/>
  <c r="B571" i="4"/>
  <c r="D570" i="4"/>
  <c r="B570" i="4"/>
  <c r="D569" i="4"/>
  <c r="B569" i="4"/>
  <c r="H569" i="4" s="1"/>
  <c r="D568" i="4"/>
  <c r="H568" i="4" s="1"/>
  <c r="B568" i="4"/>
  <c r="F536" i="4"/>
  <c r="D536" i="4"/>
  <c r="G536" i="4" s="1"/>
  <c r="B536" i="4"/>
  <c r="F535" i="4"/>
  <c r="D535" i="4"/>
  <c r="G535" i="4" s="1"/>
  <c r="G537" i="4" s="1"/>
  <c r="B535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D512" i="4"/>
  <c r="B512" i="4"/>
  <c r="H512" i="4" s="1"/>
  <c r="D511" i="4"/>
  <c r="H511" i="4" s="1"/>
  <c r="B511" i="4"/>
  <c r="D510" i="4"/>
  <c r="H510" i="4" s="1"/>
  <c r="B510" i="4"/>
  <c r="H509" i="4"/>
  <c r="D509" i="4"/>
  <c r="B509" i="4"/>
  <c r="D508" i="4"/>
  <c r="H508" i="4" s="1"/>
  <c r="B508" i="4"/>
  <c r="D507" i="4"/>
  <c r="H507" i="4" s="1"/>
  <c r="B507" i="4"/>
  <c r="D506" i="4"/>
  <c r="B506" i="4"/>
  <c r="D505" i="4"/>
  <c r="B505" i="4"/>
  <c r="H505" i="4" s="1"/>
  <c r="F473" i="4"/>
  <c r="D473" i="4"/>
  <c r="B473" i="4"/>
  <c r="G473" i="4" s="1"/>
  <c r="F472" i="4"/>
  <c r="D472" i="4"/>
  <c r="G472" i="4" s="1"/>
  <c r="G474" i="4" s="1"/>
  <c r="B472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D449" i="4"/>
  <c r="B449" i="4"/>
  <c r="H449" i="4" s="1"/>
  <c r="D448" i="4"/>
  <c r="B448" i="4"/>
  <c r="H448" i="4" s="1"/>
  <c r="D447" i="4"/>
  <c r="B447" i="4"/>
  <c r="D446" i="4"/>
  <c r="B446" i="4"/>
  <c r="D445" i="4"/>
  <c r="B445" i="4"/>
  <c r="H445" i="4" s="1"/>
  <c r="D444" i="4"/>
  <c r="H444" i="4" s="1"/>
  <c r="B444" i="4"/>
  <c r="D443" i="4"/>
  <c r="H443" i="4" s="1"/>
  <c r="B443" i="4"/>
  <c r="F409" i="4"/>
  <c r="D409" i="4"/>
  <c r="B409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D386" i="4"/>
  <c r="H386" i="4" s="1"/>
  <c r="B386" i="4"/>
  <c r="D385" i="4"/>
  <c r="H385" i="4" s="1"/>
  <c r="B385" i="4"/>
  <c r="H384" i="4"/>
  <c r="D384" i="4"/>
  <c r="B384" i="4"/>
  <c r="D383" i="4"/>
  <c r="H383" i="4" s="1"/>
  <c r="B383" i="4"/>
  <c r="D382" i="4"/>
  <c r="H382" i="4" s="1"/>
  <c r="B382" i="4"/>
  <c r="D381" i="4"/>
  <c r="B381" i="4"/>
  <c r="F349" i="4"/>
  <c r="D349" i="4"/>
  <c r="B349" i="4"/>
  <c r="F348" i="4"/>
  <c r="D348" i="4"/>
  <c r="G348" i="4" s="1"/>
  <c r="B348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D326" i="4"/>
  <c r="B326" i="4"/>
  <c r="H325" i="4"/>
  <c r="D325" i="4"/>
  <c r="B325" i="4"/>
  <c r="D324" i="4"/>
  <c r="H324" i="4" s="1"/>
  <c r="B324" i="4"/>
  <c r="D323" i="4"/>
  <c r="B323" i="4"/>
  <c r="D322" i="4"/>
  <c r="B322" i="4"/>
  <c r="D321" i="4"/>
  <c r="H321" i="4" s="1"/>
  <c r="B321" i="4"/>
  <c r="D320" i="4"/>
  <c r="H320" i="4" s="1"/>
  <c r="B320" i="4"/>
  <c r="D319" i="4"/>
  <c r="B319" i="4"/>
  <c r="H319" i="4" s="1"/>
  <c r="D318" i="4"/>
  <c r="B318" i="4"/>
  <c r="F286" i="4"/>
  <c r="D286" i="4"/>
  <c r="B286" i="4"/>
  <c r="G286" i="4" s="1"/>
  <c r="F285" i="4"/>
  <c r="D285" i="4"/>
  <c r="B285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D263" i="4"/>
  <c r="B263" i="4"/>
  <c r="D262" i="4"/>
  <c r="B262" i="4"/>
  <c r="D261" i="4"/>
  <c r="H261" i="4" s="1"/>
  <c r="B261" i="4"/>
  <c r="H260" i="4"/>
  <c r="D260" i="4"/>
  <c r="B260" i="4"/>
  <c r="H259" i="4"/>
  <c r="D259" i="4"/>
  <c r="B259" i="4"/>
  <c r="D258" i="4"/>
  <c r="H258" i="4" s="1"/>
  <c r="B258" i="4"/>
  <c r="D257" i="4"/>
  <c r="B257" i="4"/>
  <c r="D256" i="4"/>
  <c r="B256" i="4"/>
  <c r="H256" i="4" s="1"/>
  <c r="F225" i="4"/>
  <c r="D225" i="4"/>
  <c r="B225" i="4"/>
  <c r="F224" i="4"/>
  <c r="D224" i="4"/>
  <c r="G224" i="4" s="1"/>
  <c r="B224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H202" i="4"/>
  <c r="D202" i="4"/>
  <c r="B202" i="4"/>
  <c r="D201" i="4"/>
  <c r="H201" i="4" s="1"/>
  <c r="B201" i="4"/>
  <c r="D200" i="4"/>
  <c r="H200" i="4" s="1"/>
  <c r="B200" i="4"/>
  <c r="D199" i="4"/>
  <c r="H199" i="4" s="1"/>
  <c r="B199" i="4"/>
  <c r="D198" i="4"/>
  <c r="H198" i="4" s="1"/>
  <c r="B198" i="4"/>
  <c r="D197" i="4"/>
  <c r="H197" i="4" s="1"/>
  <c r="B197" i="4"/>
  <c r="D196" i="4"/>
  <c r="B196" i="4"/>
  <c r="H196" i="4" s="1"/>
  <c r="D195" i="4"/>
  <c r="B195" i="4"/>
  <c r="H195" i="4" s="1"/>
  <c r="H194" i="4"/>
  <c r="D194" i="4"/>
  <c r="B194" i="4"/>
  <c r="F165" i="4"/>
  <c r="D165" i="4"/>
  <c r="G165" i="4" s="1"/>
  <c r="B165" i="4"/>
  <c r="F164" i="4"/>
  <c r="G164" i="4" s="1"/>
  <c r="G166" i="4" s="1"/>
  <c r="D164" i="4"/>
  <c r="B164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D140" i="4"/>
  <c r="B140" i="4"/>
  <c r="H139" i="4"/>
  <c r="D139" i="4"/>
  <c r="B139" i="4"/>
  <c r="D138" i="4"/>
  <c r="H138" i="4" s="1"/>
  <c r="B138" i="4"/>
  <c r="D137" i="4"/>
  <c r="H137" i="4" s="1"/>
  <c r="B137" i="4"/>
  <c r="D136" i="4"/>
  <c r="H136" i="4" s="1"/>
  <c r="B136" i="4"/>
  <c r="D135" i="4"/>
  <c r="H135" i="4" s="1"/>
  <c r="B135" i="4"/>
  <c r="D134" i="4"/>
  <c r="H134" i="4" s="1"/>
  <c r="B134" i="4"/>
  <c r="D133" i="4"/>
  <c r="B133" i="4"/>
  <c r="H133" i="4" s="1"/>
  <c r="D132" i="4"/>
  <c r="B132" i="4"/>
  <c r="H132" i="4" s="1"/>
  <c r="H131" i="4"/>
  <c r="D131" i="4"/>
  <c r="B131" i="4"/>
  <c r="F102" i="4"/>
  <c r="D102" i="4"/>
  <c r="G102" i="4" s="1"/>
  <c r="B102" i="4"/>
  <c r="F101" i="4"/>
  <c r="G101" i="4" s="1"/>
  <c r="G103" i="4" s="1"/>
  <c r="D101" i="4"/>
  <c r="B101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H77" i="4"/>
  <c r="D77" i="4"/>
  <c r="D76" i="4"/>
  <c r="H76" i="4" s="1"/>
  <c r="B76" i="4"/>
  <c r="D75" i="4"/>
  <c r="B75" i="4"/>
  <c r="H75" i="4" s="1"/>
  <c r="D74" i="4"/>
  <c r="B74" i="4"/>
  <c r="H74" i="4" s="1"/>
  <c r="D73" i="4"/>
  <c r="B73" i="4"/>
  <c r="H73" i="4" s="1"/>
  <c r="D72" i="4"/>
  <c r="H72" i="4" s="1"/>
  <c r="D71" i="4"/>
  <c r="B71" i="4"/>
  <c r="H71" i="4" s="1"/>
  <c r="D70" i="4"/>
  <c r="B70" i="4"/>
  <c r="D69" i="4"/>
  <c r="H69" i="4" s="1"/>
  <c r="B69" i="4"/>
  <c r="F38" i="4"/>
  <c r="D38" i="4"/>
  <c r="B38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B14" i="4"/>
  <c r="D13" i="4"/>
  <c r="B13" i="4"/>
  <c r="D12" i="4"/>
  <c r="B12" i="4"/>
  <c r="D11" i="4"/>
  <c r="B11" i="4"/>
  <c r="D10" i="4"/>
  <c r="D14" i="4" s="1"/>
  <c r="B10" i="4"/>
  <c r="H10" i="4" s="1"/>
  <c r="D9" i="4"/>
  <c r="B9" i="4"/>
  <c r="D8" i="4"/>
  <c r="B8" i="4"/>
  <c r="F156" i="2"/>
  <c r="D156" i="2"/>
  <c r="B156" i="2"/>
  <c r="B157" i="2" s="1"/>
  <c r="J150" i="2"/>
  <c r="G150" i="2"/>
  <c r="F150" i="2"/>
  <c r="G149" i="2"/>
  <c r="F149" i="2"/>
  <c r="G148" i="2"/>
  <c r="F148" i="2"/>
  <c r="J148" i="2" s="1"/>
  <c r="G147" i="2"/>
  <c r="F147" i="2"/>
  <c r="G146" i="2"/>
  <c r="F146" i="2"/>
  <c r="J146" i="2" s="1"/>
  <c r="G145" i="2"/>
  <c r="F145" i="2"/>
  <c r="G144" i="2"/>
  <c r="F144" i="2"/>
  <c r="I144" i="2" s="1"/>
  <c r="G143" i="2"/>
  <c r="I143" i="2" s="1"/>
  <c r="F143" i="2"/>
  <c r="G142" i="2"/>
  <c r="F142" i="2"/>
  <c r="I142" i="2" s="1"/>
  <c r="F130" i="2"/>
  <c r="D130" i="2"/>
  <c r="B130" i="2"/>
  <c r="G124" i="2"/>
  <c r="F124" i="2"/>
  <c r="J124" i="2" s="1"/>
  <c r="G123" i="2"/>
  <c r="F123" i="2"/>
  <c r="J122" i="2"/>
  <c r="G122" i="2"/>
  <c r="F122" i="2"/>
  <c r="G121" i="2"/>
  <c r="F121" i="2"/>
  <c r="J121" i="2" s="1"/>
  <c r="J120" i="2"/>
  <c r="G120" i="2"/>
  <c r="F120" i="2"/>
  <c r="G119" i="2"/>
  <c r="F119" i="2"/>
  <c r="G118" i="2"/>
  <c r="F118" i="2"/>
  <c r="I118" i="2" s="1"/>
  <c r="G117" i="2"/>
  <c r="F117" i="2"/>
  <c r="G116" i="2"/>
  <c r="F116" i="2"/>
  <c r="I116" i="2" s="1"/>
  <c r="F104" i="2"/>
  <c r="B105" i="2" s="1"/>
  <c r="D104" i="2"/>
  <c r="B104" i="2"/>
  <c r="G98" i="2"/>
  <c r="F98" i="2"/>
  <c r="J98" i="2" s="1"/>
  <c r="G97" i="2"/>
  <c r="J97" i="2" s="1"/>
  <c r="F97" i="2"/>
  <c r="G96" i="2"/>
  <c r="F96" i="2"/>
  <c r="J96" i="2" s="1"/>
  <c r="G95" i="2"/>
  <c r="F95" i="2"/>
  <c r="G94" i="2"/>
  <c r="F94" i="2"/>
  <c r="I94" i="2" s="1"/>
  <c r="G93" i="2"/>
  <c r="F93" i="2"/>
  <c r="I93" i="2" s="1"/>
  <c r="J92" i="2"/>
  <c r="G92" i="2"/>
  <c r="F92" i="2"/>
  <c r="G91" i="2"/>
  <c r="F91" i="2"/>
  <c r="I91" i="2" s="1"/>
  <c r="F79" i="2"/>
  <c r="D79" i="2"/>
  <c r="B79" i="2"/>
  <c r="G73" i="2"/>
  <c r="F73" i="2"/>
  <c r="G72" i="2"/>
  <c r="F72" i="2"/>
  <c r="J72" i="2" s="1"/>
  <c r="G71" i="2"/>
  <c r="F71" i="2"/>
  <c r="G70" i="2"/>
  <c r="F70" i="2"/>
  <c r="J70" i="2" s="1"/>
  <c r="G69" i="2"/>
  <c r="F69" i="2"/>
  <c r="G68" i="2"/>
  <c r="F68" i="2"/>
  <c r="J68" i="2" s="1"/>
  <c r="G67" i="2"/>
  <c r="I67" i="2" s="1"/>
  <c r="F67" i="2"/>
  <c r="G66" i="2"/>
  <c r="I66" i="2" s="1"/>
  <c r="F66" i="2"/>
  <c r="G65" i="2"/>
  <c r="F65" i="2"/>
  <c r="I65" i="2" s="1"/>
  <c r="G64" i="2"/>
  <c r="I64" i="2" s="1"/>
  <c r="F64" i="2"/>
  <c r="G63" i="2"/>
  <c r="F63" i="2"/>
  <c r="J63" i="2" s="1"/>
  <c r="G62" i="2"/>
  <c r="F62" i="2"/>
  <c r="I62" i="2" s="1"/>
  <c r="F50" i="2"/>
  <c r="D50" i="2"/>
  <c r="B50" i="2"/>
  <c r="G44" i="2"/>
  <c r="F44" i="2"/>
  <c r="J44" i="2" s="1"/>
  <c r="G43" i="2"/>
  <c r="F43" i="2"/>
  <c r="J43" i="2" s="1"/>
  <c r="G42" i="2"/>
  <c r="F42" i="2"/>
  <c r="J42" i="2" s="1"/>
  <c r="G41" i="2"/>
  <c r="I41" i="2" s="1"/>
  <c r="F41" i="2"/>
  <c r="G40" i="2"/>
  <c r="F40" i="2"/>
  <c r="I40" i="2" s="1"/>
  <c r="G39" i="2"/>
  <c r="F39" i="2"/>
  <c r="G38" i="2"/>
  <c r="F38" i="2"/>
  <c r="J38" i="2" s="1"/>
  <c r="G37" i="2"/>
  <c r="F37" i="2"/>
  <c r="I37" i="2" s="1"/>
  <c r="B26" i="2"/>
  <c r="F25" i="2"/>
  <c r="D25" i="2"/>
  <c r="B25" i="2"/>
  <c r="G19" i="2"/>
  <c r="F19" i="2"/>
  <c r="G18" i="2"/>
  <c r="F18" i="2"/>
  <c r="J18" i="2" s="1"/>
  <c r="G17" i="2"/>
  <c r="F17" i="2"/>
  <c r="J17" i="2" s="1"/>
  <c r="G16" i="2"/>
  <c r="F16" i="2"/>
  <c r="J16" i="2" s="1"/>
  <c r="G15" i="2"/>
  <c r="F15" i="2"/>
  <c r="J15" i="2" s="1"/>
  <c r="G14" i="2"/>
  <c r="F14" i="2"/>
  <c r="G13" i="2"/>
  <c r="F13" i="2"/>
  <c r="G12" i="2"/>
  <c r="F12" i="2"/>
  <c r="I12" i="2" s="1"/>
  <c r="G11" i="2"/>
  <c r="F11" i="2"/>
  <c r="J10" i="2"/>
  <c r="G10" i="2"/>
  <c r="F10" i="2"/>
  <c r="G9" i="2"/>
  <c r="F9" i="2"/>
  <c r="I9" i="2" s="1"/>
  <c r="I9" i="15" l="1"/>
  <c r="J3" i="15"/>
  <c r="J9" i="15" s="1"/>
  <c r="G9" i="15" s="1"/>
  <c r="I3" i="14"/>
  <c r="I6" i="14" s="1"/>
  <c r="B22" i="2"/>
  <c r="B76" i="2"/>
  <c r="I11" i="2"/>
  <c r="J147" i="2"/>
  <c r="H70" i="4"/>
  <c r="H322" i="4"/>
  <c r="H635" i="4"/>
  <c r="H698" i="4"/>
  <c r="G731" i="4"/>
  <c r="G794" i="4"/>
  <c r="H825" i="4"/>
  <c r="H884" i="4"/>
  <c r="H948" i="4"/>
  <c r="H1013" i="4"/>
  <c r="H1077" i="4"/>
  <c r="H1137" i="4"/>
  <c r="G1170" i="4"/>
  <c r="G1172" i="4" s="1"/>
  <c r="H1261" i="4"/>
  <c r="G1414" i="4"/>
  <c r="G1415" i="4" s="1"/>
  <c r="H1512" i="4"/>
  <c r="H1639" i="4"/>
  <c r="H1822" i="4"/>
  <c r="H2135" i="4"/>
  <c r="G2175" i="4"/>
  <c r="H794" i="5"/>
  <c r="H702" i="4"/>
  <c r="G1665" i="4"/>
  <c r="J19" i="2"/>
  <c r="I117" i="2"/>
  <c r="B126" i="2" s="1"/>
  <c r="H263" i="4"/>
  <c r="H323" i="4"/>
  <c r="H763" i="4"/>
  <c r="H826" i="4"/>
  <c r="H885" i="4"/>
  <c r="G915" i="4"/>
  <c r="G916" i="4" s="1"/>
  <c r="H945" i="4"/>
  <c r="H949" i="4"/>
  <c r="H1262" i="4"/>
  <c r="H1513" i="4"/>
  <c r="G1666" i="4"/>
  <c r="H1696" i="4"/>
  <c r="H1703" i="4"/>
  <c r="H1767" i="4"/>
  <c r="H2010" i="4"/>
  <c r="G79" i="5"/>
  <c r="G80" i="5" s="1"/>
  <c r="H291" i="5"/>
  <c r="B51" i="2"/>
  <c r="B131" i="2"/>
  <c r="H11" i="4"/>
  <c r="H1455" i="4"/>
  <c r="I13" i="2"/>
  <c r="G349" i="4"/>
  <c r="G350" i="4" s="1"/>
  <c r="G666" i="4"/>
  <c r="G668" i="4" s="1"/>
  <c r="H827" i="4"/>
  <c r="G856" i="4"/>
  <c r="H882" i="4"/>
  <c r="H886" i="4"/>
  <c r="H946" i="4"/>
  <c r="H1197" i="4"/>
  <c r="H1263" i="4"/>
  <c r="H1885" i="4"/>
  <c r="H1892" i="4" s="1"/>
  <c r="H2074" i="4"/>
  <c r="I14" i="2"/>
  <c r="J39" i="2"/>
  <c r="J69" i="2"/>
  <c r="J73" i="2"/>
  <c r="J95" i="2"/>
  <c r="B101" i="2" s="1"/>
  <c r="I119" i="2"/>
  <c r="I145" i="2"/>
  <c r="J149" i="2"/>
  <c r="H140" i="4"/>
  <c r="H571" i="4"/>
  <c r="G604" i="4"/>
  <c r="G605" i="4" s="1"/>
  <c r="H638" i="4"/>
  <c r="H640" i="4" s="1"/>
  <c r="G793" i="4"/>
  <c r="H1005" i="4"/>
  <c r="H1387" i="4"/>
  <c r="H1453" i="4"/>
  <c r="H1634" i="4"/>
  <c r="G225" i="4"/>
  <c r="G226" i="4" s="1"/>
  <c r="H381" i="4"/>
  <c r="H387" i="4" s="1"/>
  <c r="H506" i="4"/>
  <c r="H513" i="4" s="1"/>
  <c r="H639" i="4"/>
  <c r="G667" i="4"/>
  <c r="H701" i="4"/>
  <c r="G1105" i="4"/>
  <c r="H1140" i="4"/>
  <c r="H1142" i="4" s="1"/>
  <c r="G1228" i="4"/>
  <c r="G1289" i="4"/>
  <c r="H1572" i="4"/>
  <c r="G1727" i="4"/>
  <c r="G1728" i="4" s="1"/>
  <c r="G1858" i="4"/>
  <c r="H2020" i="4"/>
  <c r="G2052" i="4"/>
  <c r="G2053" i="4" s="1"/>
  <c r="G2241" i="4"/>
  <c r="G2243" i="4" s="1"/>
  <c r="G2358" i="4"/>
  <c r="H906" i="5"/>
  <c r="J71" i="2"/>
  <c r="B80" i="2"/>
  <c r="J123" i="2"/>
  <c r="H257" i="4"/>
  <c r="G285" i="4"/>
  <c r="G287" i="4" s="1"/>
  <c r="H326" i="4"/>
  <c r="H447" i="4"/>
  <c r="H757" i="4"/>
  <c r="H766" i="4" s="1"/>
  <c r="H760" i="4"/>
  <c r="H764" i="4"/>
  <c r="H1009" i="4"/>
  <c r="H1012" i="4"/>
  <c r="H1194" i="4"/>
  <c r="G1227" i="4"/>
  <c r="G1288" i="4"/>
  <c r="H1392" i="4"/>
  <c r="H1508" i="4"/>
  <c r="H1516" i="4" s="1"/>
  <c r="H1511" i="4"/>
  <c r="H1577" i="4"/>
  <c r="H1636" i="4"/>
  <c r="H1695" i="4"/>
  <c r="H1759" i="4"/>
  <c r="H1769" i="4" s="1"/>
  <c r="G1791" i="4"/>
  <c r="H1821" i="4"/>
  <c r="H1824" i="4"/>
  <c r="H1828" i="4"/>
  <c r="H1884" i="4"/>
  <c r="G1984" i="4"/>
  <c r="H2013" i="4"/>
  <c r="H2080" i="4"/>
  <c r="H2083" i="4"/>
  <c r="G2113" i="4"/>
  <c r="G2116" i="4" s="1"/>
  <c r="H2141" i="4"/>
  <c r="G2177" i="4"/>
  <c r="H2269" i="4"/>
  <c r="G2357" i="4"/>
  <c r="H2391" i="4"/>
  <c r="G2422" i="4"/>
  <c r="H343" i="5"/>
  <c r="H400" i="5"/>
  <c r="H514" i="5"/>
  <c r="H626" i="5"/>
  <c r="H684" i="5"/>
  <c r="H739" i="5"/>
  <c r="H792" i="5"/>
  <c r="H795" i="5"/>
  <c r="H851" i="5"/>
  <c r="H904" i="5"/>
  <c r="H910" i="5" s="1"/>
  <c r="H907" i="5"/>
  <c r="H1188" i="5"/>
  <c r="G2298" i="4"/>
  <c r="G133" i="5"/>
  <c r="G134" i="5" s="1"/>
  <c r="G366" i="5"/>
  <c r="G367" i="5" s="1"/>
  <c r="H796" i="5"/>
  <c r="H1016" i="5"/>
  <c r="H1829" i="4"/>
  <c r="H1832" i="4"/>
  <c r="G1983" i="4"/>
  <c r="G1985" i="4" s="1"/>
  <c r="H2014" i="4"/>
  <c r="H2017" i="4"/>
  <c r="H2021" i="4"/>
  <c r="H2078" i="4"/>
  <c r="G2114" i="4"/>
  <c r="H2136" i="4"/>
  <c r="H2147" i="4" s="1"/>
  <c r="H2331" i="4"/>
  <c r="G23" i="5"/>
  <c r="G24" i="5" s="1"/>
  <c r="H174" i="5"/>
  <c r="H179" i="5" s="1"/>
  <c r="H288" i="5"/>
  <c r="G306" i="5"/>
  <c r="G307" i="5" s="1"/>
  <c r="H398" i="5"/>
  <c r="H512" i="5"/>
  <c r="H517" i="5" s="1"/>
  <c r="H624" i="5"/>
  <c r="H627" i="5" s="1"/>
  <c r="H678" i="5"/>
  <c r="H685" i="5" s="1"/>
  <c r="H793" i="5"/>
  <c r="H905" i="5"/>
  <c r="H1072" i="5"/>
  <c r="G1204" i="5"/>
  <c r="G1205" i="5" s="1"/>
  <c r="H1244" i="5"/>
  <c r="H262" i="4"/>
  <c r="H264" i="4" s="1"/>
  <c r="H318" i="4"/>
  <c r="G409" i="4"/>
  <c r="G410" i="4" s="1"/>
  <c r="H446" i="4"/>
  <c r="H570" i="4"/>
  <c r="H575" i="4" s="1"/>
  <c r="H574" i="4"/>
  <c r="H633" i="4"/>
  <c r="G732" i="4"/>
  <c r="H822" i="4"/>
  <c r="G857" i="4"/>
  <c r="G858" i="4" s="1"/>
  <c r="H943" i="4"/>
  <c r="H950" i="4" s="1"/>
  <c r="G977" i="4"/>
  <c r="H1008" i="4"/>
  <c r="G1171" i="4"/>
  <c r="H1196" i="4"/>
  <c r="H1199" i="4"/>
  <c r="H1203" i="4"/>
  <c r="H1204" i="4" s="1"/>
  <c r="H1258" i="4"/>
  <c r="H1267" i="4" s="1"/>
  <c r="H1384" i="4"/>
  <c r="H1393" i="4" s="1"/>
  <c r="H1507" i="4"/>
  <c r="H1569" i="4"/>
  <c r="H1638" i="4"/>
  <c r="H1641" i="4"/>
  <c r="H1697" i="4"/>
  <c r="H1700" i="4"/>
  <c r="G1790" i="4"/>
  <c r="G1792" i="4" s="1"/>
  <c r="H1820" i="4"/>
  <c r="H1833" i="4" s="1"/>
  <c r="G1916" i="4"/>
  <c r="H1956" i="4"/>
  <c r="H1958" i="4" s="1"/>
  <c r="H2018" i="4"/>
  <c r="H2075" i="4"/>
  <c r="H2079" i="4"/>
  <c r="G2176" i="4"/>
  <c r="H2211" i="4"/>
  <c r="H2212" i="4" s="1"/>
  <c r="H2328" i="4"/>
  <c r="H2337" i="4" s="1"/>
  <c r="H2332" i="4"/>
  <c r="G2421" i="4"/>
  <c r="G2423" i="4" s="1"/>
  <c r="H62" i="5"/>
  <c r="H178" i="5"/>
  <c r="H232" i="5"/>
  <c r="G422" i="5"/>
  <c r="G423" i="5" s="1"/>
  <c r="H456" i="5"/>
  <c r="H570" i="5"/>
  <c r="H573" i="5" s="1"/>
  <c r="H958" i="5"/>
  <c r="H1014" i="5"/>
  <c r="H1020" i="5" s="1"/>
  <c r="G1260" i="5"/>
  <c r="G1261" i="5" s="1"/>
  <c r="H1762" i="4"/>
  <c r="H1827" i="4"/>
  <c r="H1887" i="4"/>
  <c r="H2012" i="4"/>
  <c r="H2022" i="4" s="1"/>
  <c r="G2115" i="4"/>
  <c r="H2144" i="4"/>
  <c r="H2272" i="4"/>
  <c r="H2276" i="4" s="1"/>
  <c r="G2297" i="4"/>
  <c r="H2394" i="4"/>
  <c r="H9" i="5"/>
  <c r="H399" i="5"/>
  <c r="H405" i="5" s="1"/>
  <c r="H513" i="5"/>
  <c r="H625" i="5"/>
  <c r="H1073" i="5"/>
  <c r="H1075" i="5" s="1"/>
  <c r="H1126" i="5"/>
  <c r="H1129" i="5"/>
  <c r="H1184" i="5"/>
  <c r="H1189" i="5" s="1"/>
  <c r="H1187" i="5"/>
  <c r="H1245" i="5"/>
  <c r="H459" i="5"/>
  <c r="H237" i="5"/>
  <c r="H122" i="5"/>
  <c r="H741" i="5"/>
  <c r="H798" i="5"/>
  <c r="H853" i="5"/>
  <c r="H67" i="5"/>
  <c r="H963" i="5"/>
  <c r="H12" i="5"/>
  <c r="H349" i="5"/>
  <c r="H1132" i="5"/>
  <c r="H9" i="4"/>
  <c r="H13" i="4"/>
  <c r="H14" i="4"/>
  <c r="H8" i="4"/>
  <c r="H12" i="4"/>
  <c r="G38" i="4"/>
  <c r="G39" i="4" s="1"/>
  <c r="H1078" i="4"/>
  <c r="H327" i="4"/>
  <c r="H1579" i="4"/>
  <c r="H1643" i="4"/>
  <c r="H203" i="4"/>
  <c r="H1327" i="4"/>
  <c r="H141" i="4"/>
  <c r="H450" i="4"/>
  <c r="H829" i="4"/>
  <c r="H887" i="4"/>
  <c r="H1014" i="4"/>
  <c r="G1290" i="4"/>
  <c r="H1704" i="4"/>
  <c r="H2085" i="4"/>
  <c r="H2401" i="4"/>
  <c r="G795" i="4"/>
  <c r="G978" i="4"/>
  <c r="G1107" i="4"/>
  <c r="H78" i="4"/>
  <c r="G1917" i="4"/>
  <c r="G2178" i="4"/>
  <c r="B46" i="2"/>
  <c r="B153" i="2"/>
  <c r="B152" i="2"/>
  <c r="B127" i="2"/>
  <c r="B21" i="2"/>
  <c r="B23" i="2" s="1"/>
  <c r="B100" i="2"/>
  <c r="B75" i="2"/>
  <c r="B77" i="2" s="1"/>
  <c r="B47" i="2"/>
  <c r="B128" i="2" l="1"/>
  <c r="B154" i="2"/>
  <c r="G733" i="4"/>
  <c r="G1229" i="4"/>
  <c r="B102" i="2"/>
  <c r="G2299" i="4"/>
  <c r="G2359" i="4"/>
  <c r="H15" i="4"/>
  <c r="B48" i="2"/>
  <c r="F18" i="6" l="1"/>
  <c r="I18" i="6" s="1"/>
  <c r="I24" i="6"/>
  <c r="I13" i="6" l="1"/>
  <c r="G5" i="6" l="1"/>
  <c r="I3" i="6" s="1"/>
  <c r="I9" i="6" s="1"/>
  <c r="I16" i="6"/>
  <c r="J3" i="6" l="1"/>
  <c r="J9" i="6" s="1"/>
  <c r="G9" i="6" l="1"/>
  <c r="J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6880A99A-5F5F-7542-A0A9-1DFCAED0B9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3D7EA272-3719-A04E-AB63-42F4878469C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48A8E597-63B0-E149-AA0E-9BB22FA262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5" authorId="0" shapeId="0" xr:uid="{1A05DFA2-760F-6042-8CE6-1BF3D100CF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7" authorId="0" shapeId="0" xr:uid="{AB8CF07E-3C34-044D-ABAD-D361AEE4CBF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8" authorId="0" shapeId="0" xr:uid="{C151A913-F55A-9149-BC4F-1D4E606A020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7" authorId="0" shapeId="0" xr:uid="{831BD327-34B7-1948-B097-0085A89A790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9" authorId="0" shapeId="0" xr:uid="{9FABEA12-73AC-D54C-BB87-EFA0DBA9B7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60" authorId="0" shapeId="0" xr:uid="{FCDF0C07-DD8D-D74B-9E29-CC2CD1BECF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9" authorId="0" shapeId="0" xr:uid="{2A72CBA1-D4BA-F743-A6E3-7059E547BAA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81" authorId="0" shapeId="0" xr:uid="{B5C5451C-4774-6C4F-8D90-70C7AAAB4FD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82" authorId="0" shapeId="0" xr:uid="{3BEEBBB4-35A9-7C44-AA44-B7C7F87967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1" authorId="0" shapeId="0" xr:uid="{8F83A512-B7AB-2545-BCD9-FB96F421328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80B4B10-87A5-3F4D-B7D5-D98D0D7F26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1CF6D0B9-CCD6-ED4D-BDF4-CFCE1BA7BF0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3" authorId="0" shapeId="0" xr:uid="{83413D15-1076-774A-BEAD-B5F1AE38297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5" authorId="0" shapeId="0" xr:uid="{A381ADB7-5164-FE44-BC34-A599278EC5E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6" authorId="0" shapeId="0" xr:uid="{858C1BC1-B35B-714A-82C8-84062072D2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5" authorId="0" shapeId="0" xr:uid="{09DFF983-8727-6A45-8B27-18E38BDD18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7" authorId="0" shapeId="0" xr:uid="{E44E132B-F120-FE44-A125-555223DBD6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8" authorId="0" shapeId="0" xr:uid="{AE007ADC-DCEF-8F41-A8F9-398A60C9B78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7" authorId="0" shapeId="0" xr:uid="{B41B324A-09CA-9A45-95AC-7A8C37F733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9" authorId="0" shapeId="0" xr:uid="{0F0B3AA3-0C44-E44E-81FE-BBDD4AC96B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0" authorId="0" shapeId="0" xr:uid="{7F8A02F9-4682-D24F-84E8-457CAA9E5BD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9" authorId="0" shapeId="0" xr:uid="{01AA39B8-C6B2-994E-AA9B-D1AD1EAF560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1" authorId="0" shapeId="0" xr:uid="{619B4902-D347-A948-A1F0-9990C0D45A1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2" authorId="0" shapeId="0" xr:uid="{C8119A3C-06D3-C740-BC78-67E45A77D9B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1" authorId="0" shapeId="0" xr:uid="{5834F30B-F4A6-864B-B46F-568CE2C2AF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3" authorId="0" shapeId="0" xr:uid="{11D02B4F-D460-6E4D-9554-D338B478DE6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4" authorId="0" shapeId="0" xr:uid="{7047B5FD-49B9-544B-92F5-67DA9A13512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CAE139C4-8C66-CC48-9CAB-2E2029C0CB4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9D27D75F-7DAE-024A-8FD2-0A7425AA0AE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86309A58-3144-0C4A-B5F8-C4BCF44743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2" authorId="0" shapeId="0" xr:uid="{F690D757-55FA-2C45-BF47-3C965E4FF4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8DC1789B-1EE5-D24E-B202-7F515D6527F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2CEEFDCD-DE1A-594C-A6DA-06A7DAA105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1" authorId="0" shapeId="0" xr:uid="{C594649B-F1E9-4844-9260-29FA1428168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4" authorId="0" shapeId="0" xr:uid="{15662727-0B52-6442-B960-B01370A5E03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5" authorId="0" shapeId="0" xr:uid="{B69387A8-D976-DA4E-A3BA-CE99EFDD83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0" authorId="0" shapeId="0" xr:uid="{B934F12A-DBBD-6F4A-922C-C4E42EB1AA6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2C79EF6-E1AA-7C47-BFE8-B9B7990DBC9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08F3B517-245F-4641-B337-5F0B980C60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9" authorId="0" shapeId="0" xr:uid="{3F8086A0-9294-C74C-82B3-A277F9114E9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2" authorId="0" shapeId="0" xr:uid="{D5B8E3C0-61AC-064B-B168-E49C9C01AE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3" authorId="0" shapeId="0" xr:uid="{40E3FDD1-3F79-5D45-8EE4-68891800C25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58" authorId="0" shapeId="0" xr:uid="{923DDC67-8990-244C-8CF9-8653F319F15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1" authorId="0" shapeId="0" xr:uid="{E0F8DCCE-7960-914F-8D5C-5728D755D9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2" authorId="0" shapeId="0" xr:uid="{5D7DE4CD-9FF1-C042-A959-B54EC4174B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7" authorId="0" shapeId="0" xr:uid="{AEFDCFB4-F734-FD46-AE06-3FBA2CDF294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0" authorId="0" shapeId="0" xr:uid="{BFC87698-C662-5F42-82A4-2081FD788EB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1" authorId="0" shapeId="0" xr:uid="{C9715350-F1F5-8640-9650-00BCD88A346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6" authorId="0" shapeId="0" xr:uid="{D26D25BB-0359-4440-8BCA-3B581D1289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9" authorId="0" shapeId="0" xr:uid="{AB7CAD89-2572-3C47-BEEE-1747F7860D4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0" authorId="0" shapeId="0" xr:uid="{BB48A481-4543-834D-98AF-96A2EF004A6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45" authorId="0" shapeId="0" xr:uid="{C91AD45C-04D6-8140-B634-690B5893C3D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48" authorId="0" shapeId="0" xr:uid="{FB4B95A4-325F-9744-85D1-2312507C908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49" authorId="0" shapeId="0" xr:uid="{5F9A2387-0ABA-1341-A704-927DDDE473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74" authorId="0" shapeId="0" xr:uid="{A51CFB96-2FF8-9B4B-8396-693F160D8CC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77" authorId="0" shapeId="0" xr:uid="{768840D0-7C7E-A54D-8A05-F6D9BB7DF64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78" authorId="0" shapeId="0" xr:uid="{2576F2DC-15E0-5745-A52B-1B016D67E4A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50530958-FBA7-F840-A6B3-85EE48365E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A5B753B-6FB9-4A49-B823-D5A2933B196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0F232795-6260-EA44-9BB8-3ECF7CF0D0A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CF211AA-C895-904A-934A-F29E99A23AB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124D98B7-29C1-BB4F-8B4B-4E51E3EB8F5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ECF8B90C-744B-E944-95D4-0C1DB6A7A2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495FBB84-CB62-B541-8364-8C490A340BD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403BB2C1-1D87-E843-83DA-436F4949052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47C97CFB-A0D1-2C43-BD17-16EA4D6DDB0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DF927B8C-F66F-814E-A45A-DC1EC7EE613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6F7EF6A4-D1C8-8B45-A3D6-94926C0F3A8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6BD19CCE-041E-A240-98CF-5C2E291F79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F996D617-3B57-0C4F-B9AE-06C9A5DE55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506704C-A3E2-FB4E-BB2F-74AD524EFB1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E9C72BE6-DDA1-C74C-A8FF-01312EAF766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79D7609B-1B09-CF4A-A676-86A52C14A95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1ADD2843-81EF-494E-96E3-59A4152E1C2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7CC74737-2D99-6A4A-9454-5143BF3256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39E0DFCA-74EE-B443-9071-8C6C35A5A6F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F823E323-FD40-0F4B-8E00-FB974B2B0A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B78CC43A-EE63-2046-BDA7-F7F7597AB4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774B8144-8A6D-014A-AE31-410A2E92FE0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E5963E5E-4B0F-984A-9B8D-A0BE1186D7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CA1B2A2E-66DF-554C-863B-EC4DB9BDB5F5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333AD62C-DA17-3146-8D8C-D64B127DD11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DD6653F8-109D-D04B-B019-E065E646DF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A0A20A3-4658-434C-B0A5-330D11DD7F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BFAADEF7-3053-3B48-A784-799BA228FF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53FF600D-BE15-6345-B7AF-7F9AE7AA379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1C6146E3-F2E6-6742-ABD6-C0F4A4F486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0832ECA5-25B6-1F46-9FA0-23F6403D25B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40FBA20-2C4B-EB43-BF98-69A1049F9CA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12D0BB46-E5E6-C445-B4CE-B270603CCAF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D68A295-3E4D-6B44-A388-D1DCEABB6BD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67F7C80B-F388-7F4F-9B5D-7822260779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021B5BA3-003B-7645-A33F-AF2EC24A86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9A0EF093-8F10-9841-912D-B7C7D0B13D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C2D955A4-C2C1-2648-A188-EECEE69A492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19E03E83-6B48-A749-93D9-CBC83BD9290C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7E877DAE-305A-684F-A50F-A88FAD0B32E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F47CC716-F725-014C-9476-33B43075776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7666B199-E8F1-D447-87FC-E98AA273702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492AE3A5-02EA-5D4C-8271-0B4B184199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9A67F7C-2404-1C4B-A011-1F8BD146B14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8B75CE88-E967-9D45-976F-FB205EC5B02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9D6B4510-D44E-2F4F-A596-5A372AC555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875EB30E-E5C3-FB4A-B1F9-4C935F669E0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DD1FEC7E-51DD-134D-B74D-193FA33937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EA50FD80-837F-6C41-863B-8C56DBDFE8D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8C816845-5E82-6A41-BB13-3119796A042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5B123A56-7361-AD47-BCFC-686EBDD32F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2F9785DD-33E3-1141-A360-FFC2068311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A76218EC-E225-A949-87E7-35B75F70F3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2997DB87-D8E5-0443-ADA3-8BFE2F7C5B2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8BA95A98-BE59-F74F-8348-788D0DFE8F7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6999A806-150D-7643-89E5-00E2618C80A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E9FCFEB-A325-8B4D-993C-7F6DC6C21A4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19A946F1-18E8-2745-B4F8-637C00939F0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DFFD1BA0-224C-2044-ACAC-E5024DB2FAC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9A888B05-BB8E-7948-979B-C41A65D48C3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E8A75DB3-513C-9D4C-9BBD-6B95F43261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1CEC24C7-DD09-444A-9D59-D46D3C85B73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4B12A5B3-7AC3-B847-B806-F7CC9FA8A1C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66B73AD4-B038-AE4D-A322-64897AED6E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35296731-01CA-E147-9A4A-2E517D7D503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85AEC5B2-5BD5-7B45-9BD0-46CC9AE57A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5838793C-6B42-CB40-981A-512BE3ACF57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461E815C-C577-004D-9237-A37511D373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44D696BE-C48A-5840-92C1-3E26A7B5B5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B8DF1075-EC1F-ED4E-992E-E899F4E85D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7A7B784A-30AF-D74C-BC31-ADD79B795C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2E46AE79-676F-3048-BE3F-199EA86F58D8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E55A434D-EC74-A149-B8CC-C7DDBBD8E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DAADA3D4-DE61-C548-B6BE-FEE909BE78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22C1F3BE-3333-4C4E-991E-92BB976DB3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D7117E5A-9056-7944-93FF-AD732F54B02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A3865318-F049-FA4C-8878-E3E4663D5B3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9274B0D7-2791-E942-A21C-FAC9FBB5CE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73BDDE29-6A9E-914A-A06A-BA84BCDC2A2F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960B6EE8-C689-BA40-97A8-A6EEF4B93E4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EFC20F15-A5EA-464A-AB0E-206F07D487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56CF4830-658B-924E-A7BD-2DBE8A5B2B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A559BE68-C89E-1F44-A3DC-C45C0B3E99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3EB6E449-0294-E94C-A830-73122C4175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D6DD9714-C97C-3D43-8592-C76D2EC28CA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93FA3D23-6106-E547-BE39-ACC054854ED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2B9E528E-F918-4847-B6EB-0D573AD0F8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FCA8FB5D-518F-7F4B-842D-0963BF215C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CBB43C3B-F995-E144-A086-EFC97142A9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F779CB90-9FF7-CB4D-A7CE-052C437A111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25624EAE-46C7-CC43-AB94-529AE00723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B66198F3-AFD8-7B43-914C-B017F189191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C03F6869-35E1-2643-BB69-3ABEB29FCD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7C15DB8-D812-9341-8E66-42B8595CD49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91F75CEA-9678-D44A-969A-0D357F5E673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728846C0-E363-1045-934B-14AAB11ABD8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816B03F6-F1B3-BF41-9F60-0521908624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5600954A-9BCB-7745-8811-4D53FE87B6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99FE1C47-1D6B-4A46-9DDB-E0B1D63E3D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695E0D69-B599-C242-AFEF-EF8F26E10B0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8B1A646E-870B-9246-AD7F-3EBC52E1CC0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16364D0B-C7A8-3E4E-B979-B44FA0F27A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28138AA4-5663-DD4D-9772-F4085369DF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7B737C03-821F-0243-89E1-73798E23BAC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715F8E66-699C-1749-97F8-22FD13A3946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BE1FE4F8-869B-EA4F-B572-A290CC1A4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CBEC0249-4C96-5E47-AC39-E192735E89F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2AD7A815-B73E-B849-8605-6EC87BE2CE3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DCD162D1-D7BF-D04C-9989-A17273D2C9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051B260F-8583-3B41-8C34-F8C8C581ED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CD067641-7036-DB41-91E0-1627567E711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0E7168EC-1E12-8E40-A91B-E848778310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950C270F-7622-0E4A-B2DE-DEEF53779A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C3271868-72EE-BF4E-8800-13C9BB88EA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4E1BF18C-7315-5D44-963E-61A7A02C34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BC7F7A37-39AC-9048-B452-1B909B999F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102ADD45-5755-9F47-A6CC-52573867731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2E929CE6-F1B5-3A48-B65B-7400A346EF9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15E302B2-40CA-0845-B372-A05BA9F585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0A2724AB-C2DD-D64A-BE25-8B8A3D85C5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0" authorId="0" shapeId="0" xr:uid="{5C1BA4AC-D4BA-8743-982C-883F755DEB7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" authorId="0" shapeId="0" xr:uid="{9CEBEF17-E3D2-5142-A429-1EC5DEE277D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" authorId="0" shapeId="0" xr:uid="{990F60E2-44B2-0B4B-8DEF-6478E2BDDB0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2" authorId="0" shapeId="0" xr:uid="{F4AA7535-F431-9D49-881A-34EF024C34A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4" authorId="0" shapeId="0" xr:uid="{8FE7F793-5F0A-AB49-96BE-618159A896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5" authorId="0" shapeId="0" xr:uid="{04237A22-359D-994C-A835-00A6FBD2DD9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4" authorId="0" shapeId="0" xr:uid="{36849E42-23ED-0A4E-A460-DEACD727D4C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6" authorId="0" shapeId="0" xr:uid="{F64101E0-FE1E-264C-912F-BEF25F11F0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57" authorId="0" shapeId="0" xr:uid="{F38BCEC7-E102-2C4E-9602-1E3C52CAFCC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6" authorId="0" shapeId="0" xr:uid="{FF73668F-E296-C441-BA56-731C2B56DD6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8" authorId="0" shapeId="0" xr:uid="{A5BED42B-28E5-A543-A0C3-9B053CFBD08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9" authorId="0" shapeId="0" xr:uid="{F2637553-6A79-BD41-ABE4-469311BEFD4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98" authorId="0" shapeId="0" xr:uid="{F4F79608-62D1-4E41-B0E0-7EE9BB3C0C1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0" authorId="0" shapeId="0" xr:uid="{BE0FFEB9-C4A0-564F-9B55-57FC3ECBF56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1" authorId="0" shapeId="0" xr:uid="{2B447717-A2AD-404F-AEE9-489F3CCD5A4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0" authorId="0" shapeId="0" xr:uid="{AA8D94C1-AAAB-E04B-9CA6-E34DCD6819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2" authorId="0" shapeId="0" xr:uid="{95D83B22-EF69-5F47-BE21-FE1A0871F73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3" authorId="0" shapeId="0" xr:uid="{C183B90B-43DA-4D49-9109-37F8A5A7EBB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2" authorId="0" shapeId="0" xr:uid="{61D1B8A7-DDEA-7843-A071-737260CDBF7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4" authorId="0" shapeId="0" xr:uid="{A5B3AA0E-8BCF-BD44-A8C5-B002E020F67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5" authorId="0" shapeId="0" xr:uid="{719C44B5-59EA-D44D-81E1-434FEB78D9C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4" authorId="0" shapeId="0" xr:uid="{B59E3EA9-036C-1048-9356-D7BC323C392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62C3C8AE-749A-9F40-8037-79C26512655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B66C550C-66FC-F64C-B01F-0DE642DB6BC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6" authorId="0" shapeId="0" xr:uid="{6F072CD9-0DBF-6F44-906E-002FED508CE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88" authorId="0" shapeId="0" xr:uid="{5DA15A48-80A8-3541-A540-AE6009D1415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89" authorId="0" shapeId="0" xr:uid="{E24A269E-28D7-384C-807F-19404517744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08" authorId="0" shapeId="0" xr:uid="{E46D8559-A107-7346-83A3-98271B35A7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0" authorId="0" shapeId="0" xr:uid="{B458B7C2-421F-FD47-B8B4-AC43AFDE857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1" authorId="0" shapeId="0" xr:uid="{8DAECFA1-BA8B-0F4B-9B9E-C1F13805BE6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4" authorId="0" shapeId="0" xr:uid="{D691C4DF-5AA2-0047-AE34-2FE83FB41D20}">
      <text>
        <r>
          <rPr>
            <b/>
            <sz val="8"/>
            <color rgb="FF000000"/>
            <rFont val="Tahoma"/>
            <family val="2"/>
          </rPr>
          <t xml:space="preserve">Ingrese la
</t>
        </r>
        <r>
          <rPr>
            <b/>
            <sz val="8"/>
            <color rgb="FF000000"/>
            <rFont val="Tahoma"/>
            <family val="2"/>
          </rPr>
          <t>"cantidad" de elementos</t>
        </r>
      </text>
    </comment>
    <comment ref="B6" authorId="0" shapeId="0" xr:uid="{BB077136-033D-4442-9BB8-0038277E4286}">
      <text>
        <r>
          <rPr>
            <b/>
            <sz val="8"/>
            <color indexed="81"/>
            <rFont val="Tahoma"/>
            <family val="2"/>
          </rPr>
          <t xml:space="preserve">Ingrese el "ancho" del elemento en milímetros
</t>
        </r>
      </text>
    </comment>
    <comment ref="B7" authorId="0" shapeId="0" xr:uid="{F79011D4-FD16-C74A-B590-2621D1B0B78C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27" authorId="0" shapeId="0" xr:uid="{3E8D52BA-8F62-5045-A9C9-F28BBB753DF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32" authorId="0" shapeId="0" xr:uid="{040D4F57-87B1-1B4C-9DE4-E2808AE7BD40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34" authorId="0" shapeId="0" xr:uid="{4441BC3B-29C5-C64F-8EE6-8BA9829732CA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35" authorId="0" shapeId="0" xr:uid="{DA039666-C642-BD42-AD69-17F00522646D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52" authorId="0" shapeId="0" xr:uid="{DA09FED6-40F5-AC48-A935-7294604AC00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57" authorId="0" shapeId="0" xr:uid="{D57B3B34-EFAC-4748-A389-CC61B394153D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59" authorId="0" shapeId="0" xr:uid="{8E8BCCCD-E37D-424A-BB5F-9D2398281181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60" authorId="0" shapeId="0" xr:uid="{4A09927A-68B4-A74D-951F-0FA8FED88285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81" authorId="0" shapeId="0" xr:uid="{C175F668-C201-DA42-B57F-10FFCC58709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86" authorId="0" shapeId="0" xr:uid="{9963A6E6-E073-8248-8F0B-FB135756BF54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88" authorId="0" shapeId="0" xr:uid="{7A869E8F-59ED-1248-B1A5-2F40C3181A90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89" authorId="0" shapeId="0" xr:uid="{229753B6-EC0E-A04B-8AFC-ED1D4773E61A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06" authorId="0" shapeId="0" xr:uid="{C780471E-B129-0147-B691-707C9158C79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111" authorId="0" shapeId="0" xr:uid="{D2500A76-DEDF-AF4B-BA44-4B50BCED2088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13" authorId="0" shapeId="0" xr:uid="{7303BF7E-C2F6-AC4D-A1B5-EAD851EC14DE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14" authorId="0" shapeId="0" xr:uid="{64EDEBC2-D849-724F-A8F5-CDE084319C12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32" authorId="0" shapeId="0" xr:uid="{389E92DF-6DED-234A-802C-5A1FFA10B117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  <comment ref="B137" authorId="0" shapeId="0" xr:uid="{77BF733D-75F4-EF4A-ADBF-3182E2DC2111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39" authorId="0" shapeId="0" xr:uid="{5E332526-B4EF-4D43-8303-BA98331A82F9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40" authorId="0" shapeId="0" xr:uid="{339F7AAB-056A-D345-A463-AADC18B8B0EF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58" authorId="0" shapeId="0" xr:uid="{28280C6B-8F5D-1344-B0A8-708793B9E36C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<sst xmlns="http://schemas.openxmlformats.org/spreadsheetml/2006/main" count="9164" uniqueCount="959">
  <si>
    <t>SELECCIONE TIPO DE VENTANA O PUERTA</t>
  </si>
  <si>
    <t>AL25 CORREDERA</t>
  </si>
  <si>
    <t>AL42 ABATIBLE O PROY</t>
  </si>
  <si>
    <t>AM35 ABATIBLE O VAIVÉN</t>
  </si>
  <si>
    <t>PVC CORREDERA</t>
  </si>
  <si>
    <t>PVC BLANCO ABATIBLE O PROY</t>
  </si>
  <si>
    <t>PVC FOLIO ABATIBLE O PROY</t>
  </si>
  <si>
    <t>PENDIENTE</t>
  </si>
  <si>
    <t xml:space="preserve">ATV ELECTRONIC
RUT </t>
  </si>
  <si>
    <t>Datos del Cliente</t>
  </si>
  <si>
    <t>Empresa:</t>
  </si>
  <si>
    <t>RUT:</t>
  </si>
  <si>
    <t>Dirección:</t>
  </si>
  <si>
    <t>Telefono:</t>
  </si>
  <si>
    <t>Detalles de la Cotización</t>
  </si>
  <si>
    <t>Imagen Referencial</t>
  </si>
  <si>
    <t>Nombre</t>
  </si>
  <si>
    <t>Descripción</t>
  </si>
  <si>
    <t>Tipo</t>
  </si>
  <si>
    <t>Material</t>
  </si>
  <si>
    <t>Ancho</t>
  </si>
  <si>
    <t>Alto</t>
  </si>
  <si>
    <t>Color</t>
  </si>
  <si>
    <t>Cantidad</t>
  </si>
  <si>
    <t>Precio Unitario</t>
  </si>
  <si>
    <t>Precio Total</t>
  </si>
  <si>
    <t>V1</t>
  </si>
  <si>
    <t>VENTANA CORREDERA DE 1492X1625</t>
  </si>
  <si>
    <t>PUERTA C75</t>
  </si>
  <si>
    <t>NOGAL</t>
  </si>
  <si>
    <t>V2</t>
  </si>
  <si>
    <t>VENTANA CORREDERA DE 1493X1623</t>
  </si>
  <si>
    <t>CORREDERA C60</t>
  </si>
  <si>
    <t>Observaciones</t>
  </si>
  <si>
    <t>NETO</t>
  </si>
  <si>
    <t>19% I.V.A</t>
  </si>
  <si>
    <t>TOTAL</t>
  </si>
  <si>
    <t>Condiciones de pago : 50% contado junto O/C, saldo contra Entrega</t>
  </si>
  <si>
    <t>VENTANA CORREDERA AL25</t>
  </si>
  <si>
    <t>MT2 proyecto</t>
  </si>
  <si>
    <t>COSTO TOTAL</t>
  </si>
  <si>
    <t>PRECIO SUGERIDO</t>
  </si>
  <si>
    <t>PERFILES + FACTOR</t>
  </si>
  <si>
    <t>SELECCIÓN TIPO VIDRIO</t>
  </si>
  <si>
    <t>Laminado 6mm</t>
  </si>
  <si>
    <t>PRECIO MT2</t>
  </si>
  <si>
    <t>C. PERFILES</t>
  </si>
  <si>
    <t>VIDRIOS</t>
  </si>
  <si>
    <t>SELECCIÓN LUGAR INSTALACION</t>
  </si>
  <si>
    <t>PONIENTE</t>
  </si>
  <si>
    <t>FACTOR x MT2</t>
  </si>
  <si>
    <t>ACCESORIOS</t>
  </si>
  <si>
    <t>HH</t>
  </si>
  <si>
    <t>FACTOR x MT2: 1 PAREJA</t>
  </si>
  <si>
    <t>MARGEN</t>
  </si>
  <si>
    <t>BONO COLACION</t>
  </si>
  <si>
    <t>FACTOR BONO COLACION</t>
  </si>
  <si>
    <t>HERRAM. E INSUMOS</t>
  </si>
  <si>
    <t xml:space="preserve">FACTOR DE ERROR CÁLCULO LINEAL: </t>
  </si>
  <si>
    <t>GANANCIA</t>
  </si>
  <si>
    <t>LUGAR</t>
  </si>
  <si>
    <t>NOMBRE:</t>
  </si>
  <si>
    <t>DESCRIPCIÓN:</t>
  </si>
  <si>
    <t>VENTANA CORREDERA DE 1000X1500</t>
  </si>
  <si>
    <t>CANTIDAD:</t>
  </si>
  <si>
    <t>COSTO LINEAL</t>
  </si>
  <si>
    <t>DIMENSIONES:</t>
  </si>
  <si>
    <t>Total mt2</t>
  </si>
  <si>
    <t>COSTO VIDRIO</t>
  </si>
  <si>
    <t>ANCHO (X)=</t>
  </si>
  <si>
    <t>COSTO ACC.</t>
  </si>
  <si>
    <t>ALTO (Y)=</t>
  </si>
  <si>
    <t>PERFIL:</t>
  </si>
  <si>
    <t>NUMERO</t>
  </si>
  <si>
    <t>POSICIÓN</t>
  </si>
  <si>
    <t>LARGO</t>
  </si>
  <si>
    <t>CANT.</t>
  </si>
  <si>
    <t>TOTAL LN.</t>
  </si>
  <si>
    <t>PRECIO TIRA</t>
  </si>
  <si>
    <t>PRECIO MT.</t>
  </si>
  <si>
    <t>TOTAL $</t>
  </si>
  <si>
    <t>RIEL SUPERIOR</t>
  </si>
  <si>
    <t>RIEL INFERIOR</t>
  </si>
  <si>
    <t>JAMBA</t>
  </si>
  <si>
    <t>CABEZAL DOBLE VIDRIO</t>
  </si>
  <si>
    <t>ZOCALO DOBLE VIDRIO</t>
  </si>
  <si>
    <t>PIERNA DOBLE VIDRIO</t>
  </si>
  <si>
    <t>TRASLAPO DOBLE VIDRIO</t>
  </si>
  <si>
    <t>ACCESORIOS:</t>
  </si>
  <si>
    <t>FELPA</t>
  </si>
  <si>
    <t>mt</t>
  </si>
  <si>
    <t>Total acc:</t>
  </si>
  <si>
    <t>PESTILLOS HT</t>
  </si>
  <si>
    <t>un.</t>
  </si>
  <si>
    <t>RODAMIENTOS REGULABLES</t>
  </si>
  <si>
    <t>VIDRIOS:</t>
  </si>
  <si>
    <t xml:space="preserve">ANCHO(X) </t>
  </si>
  <si>
    <t>ALTO(Y)</t>
  </si>
  <si>
    <t>PRECIO TOTAL</t>
  </si>
  <si>
    <t>TOTAL MT.2</t>
  </si>
  <si>
    <t>VENTANA CORREDERA DE 1000X2000</t>
  </si>
  <si>
    <t>V3</t>
  </si>
  <si>
    <t>VENTANA CORREDERA DE 1500X1500</t>
  </si>
  <si>
    <t>V4</t>
  </si>
  <si>
    <t>V5</t>
  </si>
  <si>
    <t>V6</t>
  </si>
  <si>
    <t>V7</t>
  </si>
  <si>
    <t>V8</t>
  </si>
  <si>
    <t>V9</t>
  </si>
  <si>
    <t>V10</t>
  </si>
  <si>
    <t>VENTANAS ABATIBLE O PROYECTANTE AL 42</t>
  </si>
  <si>
    <t>VENTANA ABATIBLE BLANCA DE 1000X1500</t>
  </si>
  <si>
    <t>HOJAS:</t>
  </si>
  <si>
    <t>(1: SIMPLE - 2: DOBLE)</t>
  </si>
  <si>
    <t>MARCO SUP.</t>
  </si>
  <si>
    <t>MARCO INF.</t>
  </si>
  <si>
    <t>HOJA SUP.</t>
  </si>
  <si>
    <t>JUNQUILLO</t>
  </si>
  <si>
    <t>HOJA INF.</t>
  </si>
  <si>
    <t>PALILLO</t>
  </si>
  <si>
    <t>PIERNA DER</t>
  </si>
  <si>
    <t>PIERNA IZQ</t>
  </si>
  <si>
    <t>PRECIO LN.</t>
  </si>
  <si>
    <t>Manilla trancacola</t>
  </si>
  <si>
    <t>Par de Brazos 24 pulgadas</t>
  </si>
  <si>
    <t>Burlete base L42</t>
  </si>
  <si>
    <t>mt.</t>
  </si>
  <si>
    <t>Burlete doblecontacto L42</t>
  </si>
  <si>
    <t>VENTANAS PVC 232 CORREDERA BLANCO</t>
  </si>
  <si>
    <t>VENTANA CORREDERA BLANCA DE 1000X1500</t>
  </si>
  <si>
    <t>232-1</t>
  </si>
  <si>
    <t>232-2</t>
  </si>
  <si>
    <t>HOJA H</t>
  </si>
  <si>
    <t>HOJA V</t>
  </si>
  <si>
    <t>232-6</t>
  </si>
  <si>
    <t>222-7</t>
  </si>
  <si>
    <t>RIEL ALUMINIO</t>
  </si>
  <si>
    <t>232-3</t>
  </si>
  <si>
    <t>TRASLAPO</t>
  </si>
  <si>
    <t>REF 232-1</t>
  </si>
  <si>
    <t>REFUERZO MARCO SUP.</t>
  </si>
  <si>
    <t>REFUERZO MARCO INF.</t>
  </si>
  <si>
    <t>REF 232-2</t>
  </si>
  <si>
    <t>REFUERZO HOJA H</t>
  </si>
  <si>
    <t>REFUERZO HOJA V</t>
  </si>
  <si>
    <t>Felpa 7x6</t>
  </si>
  <si>
    <t>Mecanismo DC60 600MM E25 BIPUNTO</t>
  </si>
  <si>
    <t>Rodamientos regulables</t>
  </si>
  <si>
    <t>Manilla cremona C75</t>
  </si>
  <si>
    <t>Tope estanco</t>
  </si>
  <si>
    <t>VENTANAS PVC 232 CORREDERA COLOR O FOLIO</t>
  </si>
  <si>
    <t>TERMOPANEL 4/10/5 incoloro</t>
  </si>
  <si>
    <t>INSTALACIÓN</t>
  </si>
  <si>
    <t>Valor mt2 Neto:</t>
  </si>
  <si>
    <t>VENTANA CORREDERA NOGAL DE 1000X1500</t>
  </si>
  <si>
    <t>VENTANAS PVC 632 ABATIBLE O PROYECTANTE BLANCO</t>
  </si>
  <si>
    <t>632-1</t>
  </si>
  <si>
    <t>632-3</t>
  </si>
  <si>
    <t>632-8</t>
  </si>
  <si>
    <t>JUNQUILLO V</t>
  </si>
  <si>
    <t>JUNQUILLO H</t>
  </si>
  <si>
    <t>632-4</t>
  </si>
  <si>
    <t>REF 632-4</t>
  </si>
  <si>
    <t>REFUERZO PALILLO</t>
  </si>
  <si>
    <t>REF 632-1</t>
  </si>
  <si>
    <t>REF 632-3</t>
  </si>
  <si>
    <t>Cerraderos proyectantes</t>
  </si>
  <si>
    <t>VENTANAS PVC 632 ABATIBLE O PROYECTANTE FOLIO</t>
  </si>
  <si>
    <t>VENTANA ABATIBLE NOGAL DE 1000X1500</t>
  </si>
  <si>
    <t>Zona</t>
  </si>
  <si>
    <t>MT2</t>
  </si>
  <si>
    <t>Días</t>
  </si>
  <si>
    <t>TAG</t>
  </si>
  <si>
    <t>Total TAG</t>
  </si>
  <si>
    <t>Lt. Bencina</t>
  </si>
  <si>
    <t>Precio lt.</t>
  </si>
  <si>
    <t>Total bencina</t>
  </si>
  <si>
    <t>Total final</t>
  </si>
  <si>
    <t>Total x mt2</t>
  </si>
  <si>
    <t>Almuerzo diario</t>
  </si>
  <si>
    <t>Al proy ejemplo</t>
  </si>
  <si>
    <t>Almuerzo x mt2</t>
  </si>
  <si>
    <t>ORIENTE</t>
  </si>
  <si>
    <t>NORTE</t>
  </si>
  <si>
    <t>SUR</t>
  </si>
  <si>
    <t>FUERA DEL CIRCULO RM</t>
  </si>
  <si>
    <t>LINEA AL</t>
  </si>
  <si>
    <t>VENTANA ABATIBLE 1000X1000 L42</t>
  </si>
  <si>
    <t>Código</t>
  </si>
  <si>
    <t>Precio un.</t>
  </si>
  <si>
    <t>Precio total</t>
  </si>
  <si>
    <t>Marco</t>
  </si>
  <si>
    <t>Hoja</t>
  </si>
  <si>
    <t>Junquillo</t>
  </si>
  <si>
    <t>Junquillo TP</t>
  </si>
  <si>
    <t>Palillo</t>
  </si>
  <si>
    <t>VENTANA CORREDERA 1000X1000 L25</t>
  </si>
  <si>
    <t>Jamba</t>
  </si>
  <si>
    <t>Riel Inferior</t>
  </si>
  <si>
    <t>Riel superior</t>
  </si>
  <si>
    <t>Pierna</t>
  </si>
  <si>
    <t>Traslapo</t>
  </si>
  <si>
    <t>Zocalo</t>
  </si>
  <si>
    <t>Cabezal</t>
  </si>
  <si>
    <t>Felpa 2x6</t>
  </si>
  <si>
    <t>Rodamientos regulables L25</t>
  </si>
  <si>
    <t>Pestillos HT</t>
  </si>
  <si>
    <t>PUERTA 2000X1000 AM35</t>
  </si>
  <si>
    <t>LINEA PVC BLANCO</t>
  </si>
  <si>
    <t>LINEA PVC NOGAL</t>
  </si>
  <si>
    <t>VENTANA ABATIBLE 1000X1000 PVC BLANCO</t>
  </si>
  <si>
    <t>VENTANA ABATIBLE 1000X1000 PVC NOGAL</t>
  </si>
  <si>
    <t>Precio desc.</t>
  </si>
  <si>
    <t>Hoja abatir interior</t>
  </si>
  <si>
    <t>632-2</t>
  </si>
  <si>
    <t>Junquillo vidrio 4-5mm</t>
  </si>
  <si>
    <t>Junquillo doble vidrio</t>
  </si>
  <si>
    <t>632-9</t>
  </si>
  <si>
    <t>Refuerzo marco</t>
  </si>
  <si>
    <t>PVCREF232.01</t>
  </si>
  <si>
    <t>Refuerzo hoja</t>
  </si>
  <si>
    <t>PVCREF232.04</t>
  </si>
  <si>
    <t>90049N</t>
  </si>
  <si>
    <t>PVCQ098</t>
  </si>
  <si>
    <t>PVC087</t>
  </si>
  <si>
    <t>VENTANA CORREDERA 1000X1000 PVC BLANCO</t>
  </si>
  <si>
    <t>VENTANA CORREDERA 1000X1000 PVC NOGAL</t>
  </si>
  <si>
    <t>Riel</t>
  </si>
  <si>
    <t>PVC2LAL6000</t>
  </si>
  <si>
    <t>232-4</t>
  </si>
  <si>
    <t>PVCQ018</t>
  </si>
  <si>
    <t>45004R</t>
  </si>
  <si>
    <t>PVCQ028</t>
  </si>
  <si>
    <t>TIPO DE VENTANA</t>
  </si>
  <si>
    <t>MATERIAL</t>
  </si>
  <si>
    <t>IMAGEN</t>
  </si>
  <si>
    <t>Colores</t>
  </si>
  <si>
    <t>CORREDERA AL</t>
  </si>
  <si>
    <t>ALUMINIO</t>
  </si>
  <si>
    <t>BLANCO</t>
  </si>
  <si>
    <t>VENTANAL AL</t>
  </si>
  <si>
    <t>ABATIBLE AL</t>
  </si>
  <si>
    <t>ROBLE DORADO</t>
  </si>
  <si>
    <t>PROYECTANTE AL</t>
  </si>
  <si>
    <t>ASTRACITA</t>
  </si>
  <si>
    <t>FIJA AL</t>
  </si>
  <si>
    <t>NEGRO</t>
  </si>
  <si>
    <t>PUERTA AM</t>
  </si>
  <si>
    <t>PVC</t>
  </si>
  <si>
    <t>ABATIBLE C75</t>
  </si>
  <si>
    <t>PROYECTANTE C75</t>
  </si>
  <si>
    <t>FIJA C75</t>
  </si>
  <si>
    <t>Vidrios Templaglass</t>
  </si>
  <si>
    <t>mt2</t>
  </si>
  <si>
    <t>Valor</t>
  </si>
  <si>
    <t>Monolítico 6mm</t>
  </si>
  <si>
    <t>TERMOPANEL 4/10/4 incoloro</t>
  </si>
  <si>
    <t>TERMOPANEL 4/10/4 saten</t>
  </si>
  <si>
    <t>TERMOPANEL 5/10/5 incoloro</t>
  </si>
  <si>
    <t>TERMOPANEL 5/12/4 saten</t>
  </si>
  <si>
    <t>TERMOPANEL 4/10/6 laminado</t>
  </si>
  <si>
    <t>TERMOPANEL 5/10/6 laminado</t>
  </si>
  <si>
    <t>TERMOPANEL 6/12/4 saten</t>
  </si>
  <si>
    <t>COTIZACION X43 Y X69</t>
  </si>
  <si>
    <t>CÓDIGO</t>
  </si>
  <si>
    <t>DESCRIPCIÓN</t>
  </si>
  <si>
    <t>CANTIDAD</t>
  </si>
  <si>
    <t>UN</t>
  </si>
  <si>
    <t>PRECIO</t>
  </si>
  <si>
    <t>RO4301P</t>
  </si>
  <si>
    <t xml:space="preserve">MARCO DOBLE CONTACTO    </t>
  </si>
  <si>
    <t>TR</t>
  </si>
  <si>
    <t>RO4302P</t>
  </si>
  <si>
    <t xml:space="preserve">HOJA      </t>
  </si>
  <si>
    <t>RO4307P</t>
  </si>
  <si>
    <t xml:space="preserve">JUNQUILLO      </t>
  </si>
  <si>
    <t>RO4308P</t>
  </si>
  <si>
    <t xml:space="preserve">JUNQUILLO DOBLE VIDRIO    </t>
  </si>
  <si>
    <t xml:space="preserve">MANILLA MONACO DERECHA NEGRA X43 (150) </t>
  </si>
  <si>
    <t>CU</t>
  </si>
  <si>
    <t>RO4304P</t>
  </si>
  <si>
    <t xml:space="preserve">PALILLO      </t>
  </si>
  <si>
    <t>BRAZO STORM ACERO INOX. (75KG) 22" (AUS)(20)</t>
  </si>
  <si>
    <t>JG</t>
  </si>
  <si>
    <t>BURLETE SE-427 EPDM SP RL mts. (100)</t>
  </si>
  <si>
    <t>MT</t>
  </si>
  <si>
    <t xml:space="preserve">BURLETE SE-248 EPDM SP mts (100) </t>
  </si>
  <si>
    <t xml:space="preserve">ESCUADRA UNION L X-43 (400)  </t>
  </si>
  <si>
    <t xml:space="preserve">ESCUADRA UNION T X-43 (100)  </t>
  </si>
  <si>
    <t>RO6903P</t>
  </si>
  <si>
    <t xml:space="preserve">JAMBA      </t>
  </si>
  <si>
    <t>RO6902P</t>
  </si>
  <si>
    <t xml:space="preserve">RIEL INFERIOR     </t>
  </si>
  <si>
    <t>RO6901P</t>
  </si>
  <si>
    <t xml:space="preserve">RIEL SUPERIOR NORMAL    </t>
  </si>
  <si>
    <t xml:space="preserve">GUIA TAPA TRASLAPO X-69 (100 UN) </t>
  </si>
  <si>
    <t xml:space="preserve">GUIA CONTRATAPA TRASLAPO X-69 (1000)  </t>
  </si>
  <si>
    <t>RO6995P</t>
  </si>
  <si>
    <t xml:space="preserve">PIERNA ANTEPECHO DOBLE VIDRIO   </t>
  </si>
  <si>
    <t>RO6998P</t>
  </si>
  <si>
    <t xml:space="preserve">PIERNA MONOLITICO     </t>
  </si>
  <si>
    <t>RO6999P</t>
  </si>
  <si>
    <t xml:space="preserve">TRASLAPO MONOLITICO     </t>
  </si>
  <si>
    <t>RO6914P</t>
  </si>
  <si>
    <t xml:space="preserve">TRASLAPO DOBLE VIDRIO    </t>
  </si>
  <si>
    <t>RO6910P</t>
  </si>
  <si>
    <t xml:space="preserve">ZOCALO TERRAZA     </t>
  </si>
  <si>
    <t>RO6915P</t>
  </si>
  <si>
    <t xml:space="preserve">CABEZAL/ ZOCALO TP    </t>
  </si>
  <si>
    <t>RO6909P</t>
  </si>
  <si>
    <t xml:space="preserve">CABEZAL TERRAZA     </t>
  </si>
  <si>
    <t xml:space="preserve">BURLETE SE-430 EPDM 80mts. (160)  </t>
  </si>
  <si>
    <t>BURLETE SE-399 EPDM SP RL mts (50)</t>
  </si>
  <si>
    <t>10709R</t>
  </si>
  <si>
    <t>FELPA 7x8 NEGRA FIN SIL 4P ROLLO 300mts.(4)</t>
  </si>
  <si>
    <t>RL</t>
  </si>
  <si>
    <t>CAJA REGULABLE 1 RUEDA F-493-A 35 KGS (250)</t>
  </si>
  <si>
    <t>49931UD</t>
  </si>
  <si>
    <t xml:space="preserve">PESTILLO 7411/A/37/NEGRO S/LL (180)   </t>
  </si>
  <si>
    <t xml:space="preserve">TOPE ESTANCO 6901 SUP. X-69  </t>
  </si>
  <si>
    <t xml:space="preserve">TOPE ESTANCO 6902 INF. X-69 (500) </t>
  </si>
  <si>
    <t xml:space="preserve">TOPE AMORTIGUADOR 6903 ANTEPECHO   </t>
  </si>
  <si>
    <t>Ventanas Corredera AL 25 con Vidrio Laminado</t>
  </si>
  <si>
    <t>PERFILES</t>
  </si>
  <si>
    <t>CABEZAL</t>
  </si>
  <si>
    <t>ZOCALO REFORZADO</t>
  </si>
  <si>
    <t>PIERNA</t>
  </si>
  <si>
    <t>MODELO:</t>
  </si>
  <si>
    <t>PA35NM-A1</t>
  </si>
  <si>
    <t>PUERTA DE ABATIR SERIE-35 NORMAL VIDRIO MONOLITICO DE UNA HOJA MOVIL (JUNQUILLO INCLINADO)</t>
  </si>
  <si>
    <t>Kg./mt.</t>
  </si>
  <si>
    <t>DESC.</t>
  </si>
  <si>
    <t>CORTE</t>
  </si>
  <si>
    <t>PESO(X)</t>
  </si>
  <si>
    <t>PESO(Y)</t>
  </si>
  <si>
    <t>X</t>
  </si>
  <si>
    <t>45/45</t>
  </si>
  <si>
    <t>Y</t>
  </si>
  <si>
    <t>45/90</t>
  </si>
  <si>
    <t>X-179</t>
  </si>
  <si>
    <t>90/90</t>
  </si>
  <si>
    <t>ZOCALO</t>
  </si>
  <si>
    <t>Y-28</t>
  </si>
  <si>
    <t>Y-168</t>
  </si>
  <si>
    <t>TAPA</t>
  </si>
  <si>
    <t>KILOS ALUMINIO:</t>
  </si>
  <si>
    <t>TOTAL KG./MT.</t>
  </si>
  <si>
    <t>X-188</t>
  </si>
  <si>
    <t>Y-176</t>
  </si>
  <si>
    <t>NOTA:</t>
  </si>
  <si>
    <t>PA35NM-A1-(SUPERBA)</t>
  </si>
  <si>
    <t xml:space="preserve">PUERTA DE ABATIR SERIE-35 NORMAL VIDRIO MONOLITICO DE UNA HOJA MOVIL  </t>
  </si>
  <si>
    <t>Y-22</t>
  </si>
  <si>
    <t>X-56</t>
  </si>
  <si>
    <t>Y-39</t>
  </si>
  <si>
    <t>X-198</t>
  </si>
  <si>
    <t>Y-181</t>
  </si>
  <si>
    <t>PA35NM-AM</t>
  </si>
  <si>
    <t>PUERTA DE ABATIR SERIE-35 NORMAL VIDRIO MONOLITICO DE DOS HOJAS MOVILES (JUNQUILLO INCLINADO)</t>
  </si>
  <si>
    <t>(X/2)-164</t>
  </si>
  <si>
    <t>(X/2)-173</t>
  </si>
  <si>
    <t>PA35NM-AM-(SUPERBA)</t>
  </si>
  <si>
    <t xml:space="preserve">PUERTA DE ABATIR SERIE-35 NORMAL VIDRIO MONOLITICO DE DOS HOJAS MOVILES </t>
  </si>
  <si>
    <t>(X/2)-30</t>
  </si>
  <si>
    <t>(X/2)-172</t>
  </si>
  <si>
    <t>PV35NM-A1</t>
  </si>
  <si>
    <t>PUERTA DE VAIVEN SERIE-35 NORMAL VIDRIO MONOLITICO DE UNA HOJA MOVIL (JUNQUILLO INCLINADO)</t>
  </si>
  <si>
    <t>X-14</t>
  </si>
  <si>
    <t>X-154</t>
  </si>
  <si>
    <t>Y-14</t>
  </si>
  <si>
    <t>Y-154</t>
  </si>
  <si>
    <t>TAPA PORTAFELPA</t>
  </si>
  <si>
    <t>X-165</t>
  </si>
  <si>
    <t>Y-163</t>
  </si>
  <si>
    <t>PV35NM-AM</t>
  </si>
  <si>
    <t>PUERTA DE VAIVEN SERIE-35 NORMAL VIDRIO MONOLITICO DE DOS HOJAS MOVILES (JUNQUILLO INCLINADO)</t>
  </si>
  <si>
    <t>(X/2)-14</t>
  </si>
  <si>
    <t>(X/2)-154</t>
  </si>
  <si>
    <t>(X/2)-165</t>
  </si>
  <si>
    <t>VENTANA CORREDERA X 69 CRISTAL MONOLITICO, 2 HOJAS NORMAL</t>
  </si>
  <si>
    <t>VC-X69M-2HN</t>
  </si>
  <si>
    <t>ANCHO "X" (Mm)</t>
  </si>
  <si>
    <t>ALTO "Y" (Mm)</t>
  </si>
  <si>
    <t>FORMULA</t>
  </si>
  <si>
    <t>DIMENSION</t>
  </si>
  <si>
    <t>POSICION</t>
  </si>
  <si>
    <t>KG/ML</t>
  </si>
  <si>
    <t>KILOS</t>
  </si>
  <si>
    <t>RIEL SUPERIOR NORMAL</t>
  </si>
  <si>
    <t>X/2-13</t>
  </si>
  <si>
    <t>Y-40</t>
  </si>
  <si>
    <t>PIERNA ANTEPECHO</t>
  </si>
  <si>
    <t>Total KL</t>
  </si>
  <si>
    <t>QUINCALLERIA</t>
  </si>
  <si>
    <t>EMPAQUETADURA PERFIL  6901</t>
  </si>
  <si>
    <t>EMPAQUETADURA PERFIL  6902 IZQUIERDA</t>
  </si>
  <si>
    <t>EMPAQUETADURA PERFIL 6902 DERECHA</t>
  </si>
  <si>
    <t>FELPA 5X5</t>
  </si>
  <si>
    <t>4X+4Y</t>
  </si>
  <si>
    <t>FELPA 7X8 FIN SEAL</t>
  </si>
  <si>
    <t>2Y</t>
  </si>
  <si>
    <t>BURLETE EPDM</t>
  </si>
  <si>
    <t>2X+4Y</t>
  </si>
  <si>
    <t>CAJA FIJA SIMPLE BOLA 101M -396</t>
  </si>
  <si>
    <t>GUIA TAPA</t>
  </si>
  <si>
    <t>GUIA CONTRATAPA</t>
  </si>
  <si>
    <t>CIERRE OMNIA 2048</t>
  </si>
  <si>
    <t>KEEPER 2170/80</t>
  </si>
  <si>
    <t>ENGANCHE CURVO (2050,711)</t>
  </si>
  <si>
    <t>TOPE AMORTIGUADOR PERFIL 6903 ANTEPECHO</t>
  </si>
  <si>
    <t>TOPE ESTANCO SUPERIOR PERFIL 6901</t>
  </si>
  <si>
    <t>TOPE ESTANCO INFERIOR 6902</t>
  </si>
  <si>
    <t>TRLCBPH 1"X 8"</t>
  </si>
  <si>
    <t>CRISTAL</t>
  </si>
  <si>
    <t>ANCHO "X" Mm</t>
  </si>
  <si>
    <t>ALTO "Y" Mm</t>
  </si>
  <si>
    <t>M2</t>
  </si>
  <si>
    <t xml:space="preserve"> X/2-55 Y-116</t>
  </si>
  <si>
    <t>TOTAL M2</t>
  </si>
  <si>
    <t>VENTANA CORREDERA X 69 CRISTAL MONOLITICO, 3 HOJAS NORMAL</t>
  </si>
  <si>
    <t>VC-X69M-3HN</t>
  </si>
  <si>
    <t>X/3-13</t>
  </si>
  <si>
    <t>X/3+26</t>
  </si>
  <si>
    <t>4Y</t>
  </si>
  <si>
    <t>2X+6Y</t>
  </si>
  <si>
    <t>Movil  X/3-55 Y-116</t>
  </si>
  <si>
    <t>Fijo X/3-8 Y-116</t>
  </si>
  <si>
    <t>VENTANA CORREDERA X 69 CRISTAL MONOLITICO, 4 HOJAS NORMAL</t>
  </si>
  <si>
    <t>VC-X69M-4HN</t>
  </si>
  <si>
    <t>X/4-13</t>
  </si>
  <si>
    <t>X/4-4</t>
  </si>
  <si>
    <t>ADAPTADOR CUARTA HOJA</t>
  </si>
  <si>
    <t>2X+8Y</t>
  </si>
  <si>
    <t>TOPE AMORTIGUADOR ANTEPECHO</t>
  </si>
  <si>
    <t>Movil X/4-46 Y-116</t>
  </si>
  <si>
    <t>Pasiva X/4-55 Y-116</t>
  </si>
  <si>
    <t>VENTANA CORREDERA X 69 CRISTAL MONOLITICO, 2 HOJAS MONORRIEL</t>
  </si>
  <si>
    <t>VC-X69M-2HM</t>
  </si>
  <si>
    <t>MARCO MONORIEL</t>
  </si>
  <si>
    <t>JAMBA MONORIEL ANTEPECHO</t>
  </si>
  <si>
    <t>X/2-6</t>
  </si>
  <si>
    <t>PORTA VIDRIO ANTEPECHO</t>
  </si>
  <si>
    <t>Y-48</t>
  </si>
  <si>
    <t>TRASLAPO ANTEPECHO</t>
  </si>
  <si>
    <t>Y-20</t>
  </si>
  <si>
    <t>TRASLAPO H F ANTEPECHO</t>
  </si>
  <si>
    <t>EMPAQUETADURA PERFIL  6921 DERECHA</t>
  </si>
  <si>
    <t>EMPAQUETADURA PERFIL  6921 IZQUIERDA</t>
  </si>
  <si>
    <t>2X+2Y</t>
  </si>
  <si>
    <t>X+4Y</t>
  </si>
  <si>
    <t>TOPE ESTANCO PERFIL 6921</t>
  </si>
  <si>
    <t>Movil X/2-55 Y-125</t>
  </si>
  <si>
    <t>Fijo  X/2-14 Y-44</t>
  </si>
  <si>
    <t>VENTANA CORREDERA X 69 CRISTAL MONOLITICO, 3 HOJAS MONORRIEL</t>
  </si>
  <si>
    <t>VC-X69M-3HM</t>
  </si>
  <si>
    <t>X/3+2</t>
  </si>
  <si>
    <t>3X+4Y</t>
  </si>
  <si>
    <t>Movil  X/3-55 Y-125</t>
  </si>
  <si>
    <t>Fijo X/3-6 Y-44</t>
  </si>
  <si>
    <t>VENTANA CORREDERA X 69 CRISTAL MONOLITICO, 4 HOJAS MONORRIEL</t>
  </si>
  <si>
    <t>VC-X69M-4HM</t>
  </si>
  <si>
    <t>JAMBA NONORIEL ANTEPECHO</t>
  </si>
  <si>
    <t>X/4-6</t>
  </si>
  <si>
    <t xml:space="preserve">TRASLAPO ANTEPECHO </t>
  </si>
  <si>
    <t>X/4-3</t>
  </si>
  <si>
    <t>Movil  X/4-45 Y-125</t>
  </si>
  <si>
    <t>Fijo  X/4-14 Y-44</t>
  </si>
  <si>
    <t>VENTANA CORREDERA X 69 CRISTAL TERMOPANEL, 2 HOJAS NORMAL</t>
  </si>
  <si>
    <t>VC-X69T-2HN</t>
  </si>
  <si>
    <t>CABEZAL/ZOCALO D.VIDRIO</t>
  </si>
  <si>
    <t>Y-38</t>
  </si>
  <si>
    <t>PIERNA ANTEPECHO D.VIDRIO</t>
  </si>
  <si>
    <t>4X+6Y</t>
  </si>
  <si>
    <t>CAJA REG. SIMPLE AGUJA 111 E-502A</t>
  </si>
  <si>
    <t>TOPE AMORTIGUADOR PERFIL 6903 PUERTA VENTANA</t>
  </si>
  <si>
    <t xml:space="preserve"> X/2-68 Y-124</t>
  </si>
  <si>
    <t>VENTANA CORREDERA X 69 CRISTAL TERMOPANEL, 3 HOJAS NORMAL</t>
  </si>
  <si>
    <t>VC-X69T-3HN</t>
  </si>
  <si>
    <t>X/3+36</t>
  </si>
  <si>
    <t>CABEZAL/ZOCALO D. VIDRIO</t>
  </si>
  <si>
    <t>PIERNA ANTEPECHO D. VIDRIO</t>
  </si>
  <si>
    <t>4X+8Y</t>
  </si>
  <si>
    <t>Movil X/3-68 Y-124</t>
  </si>
  <si>
    <t>Fijo X/3-20 Y-124</t>
  </si>
  <si>
    <t>VENTANA CORREDERA X 69 CRISTAL TERMOPANEL, 4 HOJAS NORMAL</t>
  </si>
  <si>
    <t>VC-X69T-4HN</t>
  </si>
  <si>
    <t>EMPAQUETADURA PERFIL  6901SUPERIOR</t>
  </si>
  <si>
    <t>4X+10Y</t>
  </si>
  <si>
    <t>Movil  X/4-60 Y-124</t>
  </si>
  <si>
    <t>Pasiva X/4-66 Y-124</t>
  </si>
  <si>
    <t>PUERTA CORREDERA X 69 CRISTAL MONOLITICO, 2 HOJAS NORMAL</t>
  </si>
  <si>
    <t>PC-X69M-2HN</t>
  </si>
  <si>
    <t>CABEZAL PUERTA VENTA</t>
  </si>
  <si>
    <t>ZOCALO PUERTA VENTANA</t>
  </si>
  <si>
    <t>PIERNA PUERTA VENTANA</t>
  </si>
  <si>
    <t>TRASLAPO PUERTA VENTANA</t>
  </si>
  <si>
    <t>EMPAQUETADURA PERFIL  6901 SUPERIOR</t>
  </si>
  <si>
    <t>TOPE ESTANCO PERFIL 6901 SUPERIOR</t>
  </si>
  <si>
    <t>TOPE ESTANCO PERFIL 6902 INFERIOR</t>
  </si>
  <si>
    <t>4X +6Y</t>
  </si>
  <si>
    <t>MECANISMO UNIPUNTO 8626</t>
  </si>
  <si>
    <t>CIERRE MANILLA MARTELINA ROMY</t>
  </si>
  <si>
    <t>KEEPER MARCO 8630</t>
  </si>
  <si>
    <t>SEGURO ANTIELEVACION 8631</t>
  </si>
  <si>
    <t>SUPLE 6903 KEEPER</t>
  </si>
  <si>
    <t>TAPA REFUERZO IZQUIERDA</t>
  </si>
  <si>
    <t>TAPA REFUERZO DERECHA</t>
  </si>
  <si>
    <t>TOPE AMORTIGUADOR  PUERTA VENTANA</t>
  </si>
  <si>
    <t xml:space="preserve"> X/2-68 * Y-124</t>
  </si>
  <si>
    <t>PUERTA CORREDERA X 69 CRISTAL MONOLITICO, 3 HOJAS NORMAL</t>
  </si>
  <si>
    <t>PC-X69M-3HN</t>
  </si>
  <si>
    <t>Movil X/3-68 * Y-124</t>
  </si>
  <si>
    <t>Fijo X/3-20 * Y-124</t>
  </si>
  <si>
    <t>PUERTA CORREDERA X 69 CRISTAL MONOLITICO, 4 HOJAS NORMAL</t>
  </si>
  <si>
    <t>PC-X69M-4HN</t>
  </si>
  <si>
    <t>KEEPER (2170/80)</t>
  </si>
  <si>
    <t>Moviles  X/4-60 * Y-124</t>
  </si>
  <si>
    <t>Pasiva  X/4-68 * Y-124</t>
  </si>
  <si>
    <t>PUERTA CORREDERA X 69 CRISTAL MONOLITICO, 3 HOJAS MONORRIEL</t>
  </si>
  <si>
    <t>PCX69M-3HM</t>
  </si>
  <si>
    <t>CABEZAL PUERTA VENTANA</t>
  </si>
  <si>
    <t>X/3-36</t>
  </si>
  <si>
    <t>PORTA VIDRIO PTA. VENTANA</t>
  </si>
  <si>
    <t>Y-46</t>
  </si>
  <si>
    <t>TRASLAPO PTA. VENTANA MONORIEL</t>
  </si>
  <si>
    <t>TAPA TRASLAPO PTA VENTANA MONORIEL</t>
  </si>
  <si>
    <t>3X+8Y</t>
  </si>
  <si>
    <t>BURLETE "U"  EPDM</t>
  </si>
  <si>
    <t>BURLETE BASE EPDM</t>
  </si>
  <si>
    <t>X+2Y</t>
  </si>
  <si>
    <t>BURLETE CUÑA EPDM</t>
  </si>
  <si>
    <t>CAJA REG. SIMPLE AGUJA 111E-502</t>
  </si>
  <si>
    <t>CIERRE MANILLA MARTELLINA ROMY</t>
  </si>
  <si>
    <t>TAPA REFUERZO IZQUIERDO</t>
  </si>
  <si>
    <t>CALZO MONORIEL</t>
  </si>
  <si>
    <t>TRLCBPH 1"x8"</t>
  </si>
  <si>
    <t>Fijo  X/3-20  Y-50</t>
  </si>
  <si>
    <t>PUERTA CORREDERA X 69 CRISTAL MONOLITICO, 4 HOJAS MONORRIEL</t>
  </si>
  <si>
    <t>PCX69M-4HM</t>
  </si>
  <si>
    <t>JAMBA MONORIEL PTA VENTANA</t>
  </si>
  <si>
    <t>X/4-42</t>
  </si>
  <si>
    <t>PORTA VIDRIO PTA VENTANA</t>
  </si>
  <si>
    <t>TRASLAPO PTA VENTANA MONORIEL</t>
  </si>
  <si>
    <t>Movil  X/4-60  Y-124</t>
  </si>
  <si>
    <t>Fijo  X/4-26  Y-50</t>
  </si>
  <si>
    <t>PUERTA CORREDERA X 69 CRISTAL TERMOPANEL, 2 HOJAS NORMAL</t>
  </si>
  <si>
    <t>PCX69T-2HN</t>
  </si>
  <si>
    <t>CABEZAL /ZOCALO PV D/VIDRIO</t>
  </si>
  <si>
    <t>PIERNA PTA VENTANA D/VIDRIO</t>
  </si>
  <si>
    <t>TRASLAPO PTA VENTANA D/VIDRIO</t>
  </si>
  <si>
    <t>BURLETE "U" EPDM</t>
  </si>
  <si>
    <t xml:space="preserve"> X/2-68    Y-124</t>
  </si>
  <si>
    <t>PUERTA CORREDERA X 69 CRISTAL TERMOPANEL, 3 HOJAS NORMAL</t>
  </si>
  <si>
    <t>PCX69T-3HN</t>
  </si>
  <si>
    <t>CABEZAL /ZOCALO PV D. VIDRIO</t>
  </si>
  <si>
    <t>PIERNA PTA. VENTANA D. VIDRIO</t>
  </si>
  <si>
    <t>TRASLAPO PTA.VENTANA D.VIDRIO</t>
  </si>
  <si>
    <t>CAJA REG. DOBLE AGUJA 111 E-502A</t>
  </si>
  <si>
    <t>Movil   X/3-68   Y-124</t>
  </si>
  <si>
    <t>Fijo  X/3-20    Y-124</t>
  </si>
  <si>
    <t>PUERTA CORREDERA X 69 CRISTAL TERMOPANEL, 4 HOJAS NORMAL</t>
  </si>
  <si>
    <t>PCX69T-4HN</t>
  </si>
  <si>
    <t>CABEZAL /ZOCALO PV D.VIDRIO</t>
  </si>
  <si>
    <t>PIERNA PTA VENTANA D. VIDRIO</t>
  </si>
  <si>
    <t>Fijo   X/4-68   Y-124</t>
  </si>
  <si>
    <t>PUERTA CORREDERA X 69 CRISTAL TERMOPANEL, 3 HOJAS MONORRIEL</t>
  </si>
  <si>
    <t>PCX69T-3HM</t>
  </si>
  <si>
    <t>CABEZAL/ZOCALO DV</t>
  </si>
  <si>
    <t>PIERNA PUERTA VENTANA DV</t>
  </si>
  <si>
    <t>TRASLAPO PTA VENTANA DV</t>
  </si>
  <si>
    <t>TAPA TRASLAPO</t>
  </si>
  <si>
    <t>PORTA VIDRIO PTA VENTANA MONORIEL DV</t>
  </si>
  <si>
    <t>BURLETE CUÑA  EPDM</t>
  </si>
  <si>
    <t>CAJA REG.DOBLE AGUJA 111E-502</t>
  </si>
  <si>
    <t>Movil X/2-68  Y-134</t>
  </si>
  <si>
    <t>Fijo   X/2-16    Y-50</t>
  </si>
  <si>
    <t>PUERTA CORREDERA X 69 CRISTAL TERMOPANEL, 4 HOJAS MONORRIEL</t>
  </si>
  <si>
    <t>PCX69T-4HM</t>
  </si>
  <si>
    <t>JAMBA MONORIEL PTA VENTANA DV</t>
  </si>
  <si>
    <t>JUNQUILLO MONORIEL PTA VENTANA DV</t>
  </si>
  <si>
    <t>TAPA TRASLAPO PTA VENTANA MONORIEL DV</t>
  </si>
  <si>
    <t>X/4-46</t>
  </si>
  <si>
    <t>PORTA VIDRIO PTA VENTANA MONORRIEL DV</t>
  </si>
  <si>
    <t>CAJA REG. DOBLE AGUJA 111E-502</t>
  </si>
  <si>
    <t>CLIP SIMPLE S-43</t>
  </si>
  <si>
    <t>Y/100</t>
  </si>
  <si>
    <t>Movil   X/4-62  Y-134</t>
  </si>
  <si>
    <t>Fijo  X/4-26   Y-50</t>
  </si>
  <si>
    <t xml:space="preserve">PUERTA CORREDERA X 69 CRISTAL MONOLITICO, 2 HOJAS MONORRIEL NORMAL </t>
  </si>
  <si>
    <t>VCX69M-2HMN</t>
  </si>
  <si>
    <t>90º 90º</t>
  </si>
  <si>
    <t>MARCO MONORRIEL</t>
  </si>
  <si>
    <t>JAMBA MONORRIEL PTA VENTANA DV</t>
  </si>
  <si>
    <t xml:space="preserve">JAMBA    </t>
  </si>
  <si>
    <t>TRASLAPO MONORRIEL TERRAZA</t>
  </si>
  <si>
    <t>45º 45º</t>
  </si>
  <si>
    <t>JUNQUILLO MONOLITICO</t>
  </si>
  <si>
    <t>X/2-11</t>
  </si>
  <si>
    <t>PORTA VIDRIO</t>
  </si>
  <si>
    <t>TRASLAPO PTA VENTANA</t>
  </si>
  <si>
    <t>PIERNA PTA VENTANA</t>
  </si>
  <si>
    <t>CABEZAL PV</t>
  </si>
  <si>
    <t>ZOCALO PV</t>
  </si>
  <si>
    <t>EMPAQUETADURA PERF. 6921 DERECHO</t>
  </si>
  <si>
    <t>EMPAQUETADURA PERF. 6921 IZQUIERDO</t>
  </si>
  <si>
    <t>FELPA 5*5</t>
  </si>
  <si>
    <t>FELPA 7*8 FIN-SEAL</t>
  </si>
  <si>
    <t>BURLETE EPDM SEGUN ESPESOR DE VIDRIO</t>
  </si>
  <si>
    <t>1X+2Y</t>
  </si>
  <si>
    <t>CAJA REGULABLE DOBLE AGUJA</t>
  </si>
  <si>
    <t>CIERRE (KIT)</t>
  </si>
  <si>
    <t>TORN. RL CB PH 1*8</t>
  </si>
  <si>
    <t>H Fija X/2-37 Y-44</t>
  </si>
  <si>
    <t>H Movil X/2-66 Y-125</t>
  </si>
  <si>
    <t>PUERTA CORREDERA X 69 CRISTAL TERMOPANEL, 2 HOJAS MONORRIEL</t>
  </si>
  <si>
    <t>VCX69T-2HM</t>
  </si>
  <si>
    <t xml:space="preserve">JAMBA     </t>
  </si>
  <si>
    <t>TRASLAPO MONO TERRAZA</t>
  </si>
  <si>
    <t>JUNQUILLO TP MONO TERRAZA</t>
  </si>
  <si>
    <t>PIERNA PTA VENTANA DV</t>
  </si>
  <si>
    <t>CABEZAL / ZOCALO D VIDRIO</t>
  </si>
  <si>
    <t>CAJA REG. SIMPLE AGUJA</t>
  </si>
  <si>
    <t>Fija  X/2-26 Y-50</t>
  </si>
  <si>
    <t>Movil X/2-66 Y-134</t>
  </si>
  <si>
    <t>PUERTA CORREDERA X 69 5V, CRISTAL MONOLITICO,2 HOJAS NORMAL</t>
  </si>
  <si>
    <t>VC-X695VM-2HN</t>
  </si>
  <si>
    <t>TRASLAPO REFORZADO 5v</t>
  </si>
  <si>
    <t>EMPAQUETADURA PERFIL 6901</t>
  </si>
  <si>
    <t>EMPAQUETADURA PERFIL 6902 DERECHO</t>
  </si>
  <si>
    <t>EMPAQUETADURA PERFIL 6902 IZQUIERDO</t>
  </si>
  <si>
    <t xml:space="preserve">BURLETE EPDM SEGUN ESPESOR DE VIDRIO </t>
  </si>
  <si>
    <t>TOPE ESTANCO SUP. PERFIL 6901</t>
  </si>
  <si>
    <t>TOPE ESTANCO INF. PERFIL 6902</t>
  </si>
  <si>
    <t xml:space="preserve"> X/2-66 Y-116</t>
  </si>
  <si>
    <t>VENTANA CORREDERA X 69 CRISTAL MONOLITICO, 2 HOJAS, RIEL ZONA LLUVIOSA.</t>
  </si>
  <si>
    <t>VC-X69M-2HRZLL</t>
  </si>
  <si>
    <t>RIEL ZONAS LLUVIOSAS</t>
  </si>
  <si>
    <t>Y-54</t>
  </si>
  <si>
    <t>Y-42</t>
  </si>
  <si>
    <t>ZOCALO ALTO</t>
  </si>
  <si>
    <t>EMPAQUETADURA PERFIL 6920 DERECHO</t>
  </si>
  <si>
    <t>EMPAQUETADURA PERFIL 6920 IZQUIERDO</t>
  </si>
  <si>
    <t>BURLETE EPDM SEGUN ESPESOR CRISTAL</t>
  </si>
  <si>
    <t>CAJA FIJA SIMPLE BOLA</t>
  </si>
  <si>
    <t>TOPE ESTANCO INF. PERFIL 6920</t>
  </si>
  <si>
    <t xml:space="preserve"> X/2-54 Y-130</t>
  </si>
  <si>
    <t>PUERTA CORREDERA X 69 CRISTAL MONOLITICO, 2 HOJAS, RIEL ZONA LLUVIOSA</t>
  </si>
  <si>
    <t>PC-X69M-2HRZLL</t>
  </si>
  <si>
    <t>Y-53</t>
  </si>
  <si>
    <t>Y-41</t>
  </si>
  <si>
    <t>CABEZAL PTA VENTANA</t>
  </si>
  <si>
    <t>ZOCALO PTA VENTANA</t>
  </si>
  <si>
    <t>EMPAQUETADURA PERFIL 6901 SUPERIOR</t>
  </si>
  <si>
    <t xml:space="preserve">BURLETE EPDM SEGUN ESPESOR CRISTAL </t>
  </si>
  <si>
    <t>KIT CIERRE MANILLA</t>
  </si>
  <si>
    <t>TAPA REFUERZO IZQ.</t>
  </si>
  <si>
    <t>TAPA REFUERZO DER.</t>
  </si>
  <si>
    <t>TOPE AMORTIGUADOR PERFIL 6903 TERRAZA</t>
  </si>
  <si>
    <t xml:space="preserve"> X/2-66  Y-131</t>
  </si>
  <si>
    <t>PUERTA CORREDERA X 69 CRISTAL TERMOPANEL, 2 HOJAS, RIEL ZONA LLUVIOSA.</t>
  </si>
  <si>
    <t>PC-X69T-2HRZLL</t>
  </si>
  <si>
    <t>PIERNA PTA VENT. D VIDRIO</t>
  </si>
  <si>
    <t>TRASLAPO PTA VENT. D VIDRIO</t>
  </si>
  <si>
    <t>CABEZAL / ZOCALO. D VIDRIO</t>
  </si>
  <si>
    <t>ZOCALO ALTO. D VIDRIO</t>
  </si>
  <si>
    <t>BURLETE TERMOPANEL EPDM</t>
  </si>
  <si>
    <t>CAJA REG. DOBLE AGUJA</t>
  </si>
  <si>
    <t>X/2-66 Y-139</t>
  </si>
  <si>
    <t>VENTANA CORREDERA X 69 CRISTAL TERMOPANEL, 4 HOJAS, NORMAL, ESQUINA LIBERADA</t>
  </si>
  <si>
    <t>VC-X69T-4HN-EL</t>
  </si>
  <si>
    <t>X-7</t>
  </si>
  <si>
    <t>90º 45º</t>
  </si>
  <si>
    <t>45º 90º</t>
  </si>
  <si>
    <t>PIERNA ANTEPECHO D VIDRIO</t>
  </si>
  <si>
    <t>TRASLAPO D VIDRIO</t>
  </si>
  <si>
    <t>PIERNA ESQ. ABIERTA</t>
  </si>
  <si>
    <t>X/2-54</t>
  </si>
  <si>
    <t>8X+8Y</t>
  </si>
  <si>
    <t>CIERRE ALBANY</t>
  </si>
  <si>
    <t>PESTILLO C.E.</t>
  </si>
  <si>
    <t xml:space="preserve">  X/2-66 Y-124</t>
  </si>
  <si>
    <t xml:space="preserve"> X/2-121  Y-124</t>
  </si>
  <si>
    <t>VENTANA CORREDERA X 69 CRISTAL MONOLITICO, 2 HOJAS, MONORRIEL. HOJA FIJA ENMARCADA</t>
  </si>
  <si>
    <t>VC-X69M-2HM-HFE</t>
  </si>
  <si>
    <t>JAMBA FIJO</t>
  </si>
  <si>
    <t>Y-44</t>
  </si>
  <si>
    <t>Y-30</t>
  </si>
  <si>
    <t>PIERNA FIJO</t>
  </si>
  <si>
    <t>X/2+2</t>
  </si>
  <si>
    <t xml:space="preserve">EMPAQUETADURA PERFIL 6901 </t>
  </si>
  <si>
    <t>EMPAQUETADURA PERFIL 6921 DERECHO</t>
  </si>
  <si>
    <t>EMPAQUETADURA PERFIL 6921 IZQUIERDO</t>
  </si>
  <si>
    <t>BURLETE SEGUN ESPESOR DE VIDRIO EPDM</t>
  </si>
  <si>
    <t>TACO HOJA FIJA</t>
  </si>
  <si>
    <t>TOPE ESTANCO INF. PERFIL 6921</t>
  </si>
  <si>
    <t>BURLETE SUP. HOJA FIJA EPDM</t>
  </si>
  <si>
    <t>1X</t>
  </si>
  <si>
    <t>X/2-55  Y-120</t>
  </si>
  <si>
    <t>X/2-20  Y-120</t>
  </si>
  <si>
    <t>VENTANA CORREDERA X 69 CRISTAL MONOLITICO, 3 HOJAS, MONORRIEL. HOJA FIJA ENMARCADA</t>
  </si>
  <si>
    <t>VC-X69M-3HM-HFE</t>
  </si>
  <si>
    <t>X/3-14</t>
  </si>
  <si>
    <t>X/3+28</t>
  </si>
  <si>
    <t>H.Movil X/3-55  Y-120</t>
  </si>
  <si>
    <t>H.Fija X/3-6 Y-120</t>
  </si>
  <si>
    <t>VENTANA CORREDERA X 69 CRISTAL MONOLITICO, 4 HOJAS, MONORRIEL. HOJA FIJA ENMARCADA.</t>
  </si>
  <si>
    <t>VC-X69M-4HM-HFE</t>
  </si>
  <si>
    <t>X/4-2</t>
  </si>
  <si>
    <t>X/4+2</t>
  </si>
  <si>
    <t>H.Movil X/4-45 Y-120</t>
  </si>
  <si>
    <t>H. Fija X/4-20 Y-120</t>
  </si>
  <si>
    <t>PUERTA CORREDERA X 69 CRISTAL MONOLITICO, 2 HOJAS, MONORRIEL. HOJA FIJA ENMARCADA</t>
  </si>
  <si>
    <t>PC-X69M-2HM-HFE</t>
  </si>
  <si>
    <t>Y-29</t>
  </si>
  <si>
    <t>ADAPTADOR MONOLITICO</t>
  </si>
  <si>
    <t>PIERNA FIJO D VIDRIO</t>
  </si>
  <si>
    <t>X/2+7</t>
  </si>
  <si>
    <t>ZOCALO ALTO PV</t>
  </si>
  <si>
    <t xml:space="preserve">CAJA REG. DOBLE AGUJA AGUJA </t>
  </si>
  <si>
    <t>X/2-66  Y-120</t>
  </si>
  <si>
    <t>X/2-26  Y-120</t>
  </si>
  <si>
    <t>PUERTA CORREDERA X 69 CRISTAL MONOLITICO, 3 HOJAS, MONORRIEL. HOJA FIJA ENMARCADA</t>
  </si>
  <si>
    <t>PC-X69M-3HM-HFE</t>
  </si>
  <si>
    <t>X/3+38</t>
  </si>
  <si>
    <t>ZOCALO ALTO PTA VENTANA</t>
  </si>
  <si>
    <t xml:space="preserve">CAJA REG. DOBLE AGUJA </t>
  </si>
  <si>
    <t>H. Movil X/3-66  Y-120</t>
  </si>
  <si>
    <t>H.Fija X/3-18 Y-120</t>
  </si>
  <si>
    <t>PUERTA CORREDERA X 69 CRISTAL MONOLITICO, 4 HOJAS, MONORRIEL, HOJA FIJA ENMARCADA.</t>
  </si>
  <si>
    <t>PC-X69M-4HM-HFE</t>
  </si>
  <si>
    <t>Y-43</t>
  </si>
  <si>
    <t>Y-31</t>
  </si>
  <si>
    <t>Y-137</t>
  </si>
  <si>
    <t>X/4+7</t>
  </si>
  <si>
    <t>ZOCALO ALTO  PTA VENTANA</t>
  </si>
  <si>
    <t>3X+10Y</t>
  </si>
  <si>
    <t>TAPA REFUERZO IZ.</t>
  </si>
  <si>
    <t>SUPLE 8638</t>
  </si>
  <si>
    <t>H.Movil X/4-60 Y-120</t>
  </si>
  <si>
    <t>H.Fija X/4-26  Y-120</t>
  </si>
  <si>
    <t>PUERTA CORREDERA X 69 CRISTAL MONOLITICO, 3 HOJAS, NORMAL, TRES LINEAS</t>
  </si>
  <si>
    <t>PC-X69M-3HN-3L</t>
  </si>
  <si>
    <t>RIEL INFERIOR TRES LIENAS</t>
  </si>
  <si>
    <t>RIEL SUPERIOR TRES LINEAS</t>
  </si>
  <si>
    <t>JAMBA TRES LINEAS</t>
  </si>
  <si>
    <t>TRASLAPO SIMPLE</t>
  </si>
  <si>
    <t>X/3+34</t>
  </si>
  <si>
    <t>CABEZAL PTA VENTANA  HA</t>
  </si>
  <si>
    <t>ZOCALO PTA VENTANA   HA</t>
  </si>
  <si>
    <t>X/3+5</t>
  </si>
  <si>
    <t>CABEZAL PTA VENTANA  HB</t>
  </si>
  <si>
    <t>ZOCALO PTA VENTANA   HB</t>
  </si>
  <si>
    <t>X/3-28</t>
  </si>
  <si>
    <t>CABEZAL PTA VENTANA  HC</t>
  </si>
  <si>
    <t>ZOCALO PTA VENTANA  HC</t>
  </si>
  <si>
    <t>EMPAQUETADURA PERFIL 6958 SUPERIOR</t>
  </si>
  <si>
    <t>EMPAQUETADURA PERFIL 6959 DERECHO</t>
  </si>
  <si>
    <t>EMPAQUETADURA PERFIL 6959 IZQUIERDO</t>
  </si>
  <si>
    <t>FELPA 7*8  FIN-SEAL</t>
  </si>
  <si>
    <t>BURLETE EPDM SEGUN ESPESOR DE CRISTAL</t>
  </si>
  <si>
    <t>MECANISMO UNIPUNTO 8626 SAE</t>
  </si>
  <si>
    <t>KEEPER  MARCO 8630 SAE</t>
  </si>
  <si>
    <t>SEGURO ANTIELEVACION 8631 SAE</t>
  </si>
  <si>
    <t>GOLILLA D EAJUSTE CIERRE X-69</t>
  </si>
  <si>
    <t>TOPE ESTANCO SUP. PERFIL 6958</t>
  </si>
  <si>
    <t>TOPE ESTANCO INF. PERFIL 6959</t>
  </si>
  <si>
    <t>TOPE AMORTIGUADOR PERFIL 6960</t>
  </si>
  <si>
    <t>HOJA A</t>
  </si>
  <si>
    <t>X/3-23 Y-116</t>
  </si>
  <si>
    <t>HOJA B</t>
  </si>
  <si>
    <t>X/3-52  Y-116</t>
  </si>
  <si>
    <t>HOJA C</t>
  </si>
  <si>
    <t>X/3-82  Y-116</t>
  </si>
  <si>
    <t>PUERTA CORREDERA X 69 CRISTAL TERMO PANEL, 3 HOJAS, NORMAL, TRES LINEAS</t>
  </si>
  <si>
    <t>PC-X69TP-3HN-3L</t>
  </si>
  <si>
    <t>TRASLAPO  T/PANEL</t>
  </si>
  <si>
    <t>RODAMIENTO</t>
  </si>
  <si>
    <t>X/3-21 Y-114</t>
  </si>
  <si>
    <t>X/3-50  Y-114</t>
  </si>
  <si>
    <t>X/3-80  Y-114</t>
  </si>
  <si>
    <t>PUERTA CORREDERA X 69 CRISTAL MONOLITICO, 3 HOJAS, NORMAL, TRES LINEAS , CIERRE BIPUNTO</t>
  </si>
  <si>
    <t>PC-X69M-3HN-3L.CV</t>
  </si>
  <si>
    <t xml:space="preserve">PIERNA LARGA </t>
  </si>
  <si>
    <t>X/3+30</t>
  </si>
  <si>
    <t>MECANISMO DOSPUNTOS 8628 SAE</t>
  </si>
  <si>
    <t>X/3-27 Y-116</t>
  </si>
  <si>
    <t>PUERTA CORREDERA X 69 CRISTAL  T/PANEL, 3 HOJAS, NORMAL, TRES LINEAS , CIERRE BIPUNTO</t>
  </si>
  <si>
    <t>PIERNA LARGA T/PANEL</t>
  </si>
  <si>
    <t>TRASLAPO PTA VENT T/P</t>
  </si>
  <si>
    <t>TRASLAPO SIMPLE T/P</t>
  </si>
  <si>
    <t>X/3-25Y-114</t>
  </si>
  <si>
    <t>VENTANA CORREDERA X 69 CRISTAL TERMOPANEL, 2 HOJAS MONORRIEL, HOJA FIJA ENMARCADA.</t>
  </si>
  <si>
    <t>VC-X69T-2HM-HFE</t>
  </si>
  <si>
    <t>CABEZAL / ZOCALO D ALTO</t>
  </si>
  <si>
    <t>BURLETE  U TERMOPANEL EPDM</t>
  </si>
  <si>
    <t>KIT CIERRE</t>
  </si>
  <si>
    <t>X/2-66  Y-129</t>
  </si>
  <si>
    <t>X/2-26  Y-129</t>
  </si>
  <si>
    <t>VENTANA CORREDERA X 69 CRISTAL TERMOPANEL, 3 HOJAS MONORRIEL. HOJA FIJA ENMARCADA.</t>
  </si>
  <si>
    <t>VC-X69T-3HM-HFE</t>
  </si>
  <si>
    <t>H Movil X/3-66  Y-129</t>
  </si>
  <si>
    <t>H Fija X/3-18  Y-129</t>
  </si>
  <si>
    <t>PUERTA CORREDERA X 69 CRISTAL TERMOPANEL, 4 HOJAS MONORRIEL, HOJA FIJA ENMARCADA.</t>
  </si>
  <si>
    <t>PC-X69T-4HM-HFE</t>
  </si>
  <si>
    <t>ZOCALO D VIDRIO</t>
  </si>
  <si>
    <t>X/4-26  Y-129</t>
  </si>
  <si>
    <t>X/4-60  Y-129</t>
  </si>
  <si>
    <t xml:space="preserve">PAÑO FIJO. X43 CRISTAL MONOLITICO, 1 HOJA </t>
  </si>
  <si>
    <t>PF-X43M-1H</t>
  </si>
  <si>
    <t>MARCO DOBLE CONTACTO</t>
  </si>
  <si>
    <t>X-44</t>
  </si>
  <si>
    <t xml:space="preserve">UNION L S-43 </t>
  </si>
  <si>
    <t>BURLETE CUÑA PVC</t>
  </si>
  <si>
    <t>X/100</t>
  </si>
  <si>
    <t>1 X-64 Y-64</t>
  </si>
  <si>
    <t>TOTAL MT2</t>
  </si>
  <si>
    <t>PAÑO FIJO. X43 CRISTAL MONOLITICO, 2 HOJAS</t>
  </si>
  <si>
    <t>PF-X43M-2H</t>
  </si>
  <si>
    <t>X/2-34</t>
  </si>
  <si>
    <t>Y-37</t>
  </si>
  <si>
    <t>UNION T S-43</t>
  </si>
  <si>
    <t>2 X/2-53  Y-64</t>
  </si>
  <si>
    <t xml:space="preserve">PAÑO FIJO. X43 CRISTAL TERMOPANEL, 1 HOJA </t>
  </si>
  <si>
    <t>PF-X43T-1H</t>
  </si>
  <si>
    <t>X/100+Y/100</t>
  </si>
  <si>
    <t>1 X-64  Y-64</t>
  </si>
  <si>
    <t xml:space="preserve">PAÑO FIJO. X43 CRISTAL TERMOPANEL, 2 HOJAS </t>
  </si>
  <si>
    <t>PF-X43T-2H</t>
  </si>
  <si>
    <t>X/100+Y/50</t>
  </si>
  <si>
    <t>2 X/2-53 Y-64</t>
  </si>
  <si>
    <t>VENTANA PROYECTANTE X43 CRISTAL MONOLITICO, 1 HOJA</t>
  </si>
  <si>
    <t>VP-X43M-1H</t>
  </si>
  <si>
    <t>X-32</t>
  </si>
  <si>
    <t>HOJA</t>
  </si>
  <si>
    <t>Y-32</t>
  </si>
  <si>
    <t>X-112</t>
  </si>
  <si>
    <t>Y-112</t>
  </si>
  <si>
    <t>X/2-95</t>
  </si>
  <si>
    <t>VARILLA</t>
  </si>
  <si>
    <t>MANILLA CREMONA 879</t>
  </si>
  <si>
    <t>KIT DE CIERRE K-4000E DOS PUNTAS 1 HOJA EXT.</t>
  </si>
  <si>
    <t>BRAZO DE PROYECCION</t>
  </si>
  <si>
    <t>1 PAR</t>
  </si>
  <si>
    <t>BURLETE DOBLE CONTACTO SID 064 EPDM</t>
  </si>
  <si>
    <t>CONECTOR APERTURA EXTERIOR S-43</t>
  </si>
  <si>
    <t>BULON 8MM</t>
  </si>
  <si>
    <t>1 X-132 Y-132</t>
  </si>
  <si>
    <t>VENTANA PROYECTANTE X43 CRISTAL MONOLITICO, 1 HOJA INTEGRADA</t>
  </si>
  <si>
    <t>VP-X43M-1HI</t>
  </si>
  <si>
    <t>HOJA INTEGRADA</t>
  </si>
  <si>
    <t>1 X-130 Y-130</t>
  </si>
  <si>
    <t xml:space="preserve">VENTANA PROYECTANTE X43 CRISTAL TERMOPANEL, 1 HOJA </t>
  </si>
  <si>
    <t>VP-X43T-1H</t>
  </si>
  <si>
    <t xml:space="preserve">HOJA </t>
  </si>
  <si>
    <t>1 X-134 Y-134</t>
  </si>
  <si>
    <t xml:space="preserve">VENTANA ABATIR EXTERIOR X43 CRISTAL MONOLITICO, 1 HOJA </t>
  </si>
  <si>
    <t>VAE-X43M-1H</t>
  </si>
  <si>
    <t>Y/2-95</t>
  </si>
  <si>
    <t>KIT DE K-4000E DOS PUNTAS 1 HOJA EXT.</t>
  </si>
  <si>
    <t>BISAGRA 2 PALETAS 6010</t>
  </si>
  <si>
    <t>CONECTOR APERTURA EXTERIOR</t>
  </si>
  <si>
    <t>VENTANA ABATIR EXTERIOR X43 CRISTAL MONOLITICO, 1 HOJA INTEGRADA</t>
  </si>
  <si>
    <t>VAE-X43M-1HI</t>
  </si>
  <si>
    <t>BURLETE BASE  EPDM</t>
  </si>
  <si>
    <t xml:space="preserve">VENTANA ABATIR EXTERIOR X43 CRISTAL TERMOPANEL, 1 HOJA </t>
  </si>
  <si>
    <t>VAE-X43T-1H</t>
  </si>
  <si>
    <t>JUNQUILLO DOBLE VIDRIO</t>
  </si>
  <si>
    <t xml:space="preserve">VENTANA ABATIR INTERIOR X43 CRISTAL MONOLITICO, 1 HOJA </t>
  </si>
  <si>
    <t>VAI-X43M-1H</t>
  </si>
  <si>
    <t>X/2-148</t>
  </si>
  <si>
    <t>KIT DE K-4000 DOS PUNTAS 1 HOJA INT.</t>
  </si>
  <si>
    <t>VENTANA ABATIR INTERIOR X43 CRISTAL MONOLITICO, 1 HOJA INTEGRADA</t>
  </si>
  <si>
    <t>VAI-X43M-1HI</t>
  </si>
  <si>
    <t>Y/2-148</t>
  </si>
  <si>
    <t xml:space="preserve">VENTANA ABATIR INTERIOR X43 CRISTAL TERMOPANEL, 1 HOJA </t>
  </si>
  <si>
    <t>VAI-X43T-1H</t>
  </si>
  <si>
    <t>PUERTA ABATIR X43 CRISTAL MONOLITICO, 1 HOJA</t>
  </si>
  <si>
    <t>PA-X43M-1H</t>
  </si>
  <si>
    <t>X-30</t>
  </si>
  <si>
    <t>BASTIDOR PUERTA</t>
  </si>
  <si>
    <t>Y-25</t>
  </si>
  <si>
    <t>X-212</t>
  </si>
  <si>
    <t>ZOCALO PUERTA</t>
  </si>
  <si>
    <t>Y-212</t>
  </si>
  <si>
    <t>Y-174</t>
  </si>
  <si>
    <t>UNIO L S-43</t>
  </si>
  <si>
    <t>BISAGRA 3 PALETAS 6013</t>
  </si>
  <si>
    <t>MANON 874 SAVIO</t>
  </si>
  <si>
    <t>1 JGO</t>
  </si>
  <si>
    <t>CERRADURA 44221,30 CISA</t>
  </si>
  <si>
    <t>CONTRAPLACA S-43</t>
  </si>
  <si>
    <t>CLIP DOBLE S-43</t>
  </si>
  <si>
    <t>BURLETE DC EPDM</t>
  </si>
  <si>
    <t>TRCBPH 5/8" X 8</t>
  </si>
  <si>
    <t>SOPORTE X-43 PERFIL 4317 X48mm</t>
  </si>
  <si>
    <t>1  X-230 Y-193</t>
  </si>
  <si>
    <t>PUERTA ABATIR X43 CRISTAL MONOLITICO, 2 HOJAS</t>
  </si>
  <si>
    <t>PA-X43M-2H</t>
  </si>
  <si>
    <t>TRASLAPO INVERSO</t>
  </si>
  <si>
    <t>X/2-20</t>
  </si>
  <si>
    <t>X/2-201</t>
  </si>
  <si>
    <t xml:space="preserve">BURLETE EPDM DC SID-064 </t>
  </si>
  <si>
    <t>PESTILLO SUP E INF. HOJA PASIVA</t>
  </si>
  <si>
    <t>2  X/2-220  Y-193</t>
  </si>
  <si>
    <t>PUERTA ABATIR X43 CRISTAL TERMOPANEL, 1 HOJA</t>
  </si>
  <si>
    <t>PA-X43T-1H</t>
  </si>
  <si>
    <t>1JGO</t>
  </si>
  <si>
    <t>BURLETE EPDM DC SID-064</t>
  </si>
  <si>
    <t>1 X-230  Y-193</t>
  </si>
  <si>
    <t>PUERTA ABATIR X43 CRISTAL TERMOPANEL, 2 HOJA</t>
  </si>
  <si>
    <t>PA-X43T-2H</t>
  </si>
  <si>
    <t>PESTILLO SUP. E INF. HOJA PASIVA</t>
  </si>
  <si>
    <t>PUERTA VAIVEN X43 CRISTAL MONOLITICO, 1 HOJA</t>
  </si>
  <si>
    <t>PV-X43M-1H</t>
  </si>
  <si>
    <t>Y-12</t>
  </si>
  <si>
    <t>TAPA PORTA FELPA</t>
  </si>
  <si>
    <t>X-128</t>
  </si>
  <si>
    <t>JUNQUILLO ORIZONTAL</t>
  </si>
  <si>
    <t>Y-128</t>
  </si>
  <si>
    <t>JUNQUILLO VERTICAL</t>
  </si>
  <si>
    <t>QUICIO MECANICO O HIDRAULICO</t>
  </si>
  <si>
    <t>TIRADOR</t>
  </si>
  <si>
    <t>CLIP DOBLE VIDRIO S-43</t>
  </si>
  <si>
    <t>CERRADURA</t>
  </si>
  <si>
    <t>PUERTA VAIVEN X43 CRISTAL MONOLITICO, 2 HOJAS</t>
  </si>
  <si>
    <t>PV-X43M-2H</t>
  </si>
  <si>
    <t>X-12</t>
  </si>
  <si>
    <t>TAPA TALONERA</t>
  </si>
  <si>
    <t>X/2-128</t>
  </si>
  <si>
    <t xml:space="preserve">JUNQUILLO   </t>
  </si>
  <si>
    <t>2 JGO</t>
  </si>
  <si>
    <t>3Y</t>
  </si>
  <si>
    <t>2 X/2-147  Y-148</t>
  </si>
  <si>
    <t>PUERTA VAIVEN X43 CRISTAL TERMOPANEL, 1 HOJA</t>
  </si>
  <si>
    <t>PV-X43T-1H</t>
  </si>
  <si>
    <t>HOJA HORIZONTAL</t>
  </si>
  <si>
    <t xml:space="preserve">JUNQUILLO HORIZONTAL   </t>
  </si>
  <si>
    <t>HOJA VERTICAL</t>
  </si>
  <si>
    <t>1  X-148  Y-148</t>
  </si>
  <si>
    <t>PUERTA VAIVEN X43 CRISTAL TERMOPANEL, 2 HOJAS</t>
  </si>
  <si>
    <t>PV-X43T-2H</t>
  </si>
  <si>
    <t>PAÑO FIJO + VENTANA PROYECTANTE X43 CRISTAL MONOLITICO. 2 HOJAS , C/ PERFIL OCULTO</t>
  </si>
  <si>
    <t>PF+VP-X43M-2HPO</t>
  </si>
  <si>
    <t>MARCO</t>
  </si>
  <si>
    <t>X/2-19</t>
  </si>
  <si>
    <t xml:space="preserve">FIJO </t>
  </si>
  <si>
    <t>FIJO</t>
  </si>
  <si>
    <t>ESC. MARCO</t>
  </si>
  <si>
    <t>ESC. HOJA</t>
  </si>
  <si>
    <t>UNION T</t>
  </si>
  <si>
    <t>BURLETE EPDM DOBLE CONTACTO</t>
  </si>
  <si>
    <t>CIERRE MANILLA</t>
  </si>
  <si>
    <t>NORTON 6*6</t>
  </si>
  <si>
    <t>BOND. BRAKE</t>
  </si>
  <si>
    <t>1Y</t>
  </si>
  <si>
    <t>X/2-19  Y-30</t>
  </si>
  <si>
    <t>PAÑO FIJO + VENTANA PROYECTANTE X43 CRISTAL TERMOPANEL,  2 HOJAS , C/ PERFIL OCULTO</t>
  </si>
  <si>
    <t>PF+VP-X43T-2HPO</t>
  </si>
  <si>
    <t>2 X/2-19  Y-30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</si>
</sst>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#,##0.000"/>
    <numFmt numFmtId="165" formatCode="0.000"/>
    <numFmt numFmtId="166" formatCode="_-&quot;$&quot;\ * #,##0_-;\-&quot;$&quot;\ * #,##0_-;_-&quot;$&quot;\ * &quot;-&quot;??_-;_-@_-"/>
    <numFmt numFmtId="167" formatCode="_-* #,##0.0_-;\-* #,##0.0_-;_-* &quot;-&quot;??_-;_-@_-"/>
    <numFmt numFmtId="168" formatCode="_-* #,##0_-;\-* #,##0_-;_-* &quot;-&quot;??_-;_-@_-"/>
    <numFmt numFmtId="169" formatCode="0.0"/>
    <numFmt numFmtId="170" formatCode="[$-F800]dddd\,\ mmmm\ dd\,\ yyyy"/>
    <numFmt numFmtId="171" formatCode="&quot;$&quot;#,##0"/>
    <numFmt numFmtId="172" formatCode="_ &quot;$&quot;* #,##0.000_ ;_ &quot;$&quot;* \-#,##0.000_ ;_ &quot;$&quot;* &quot;-&quot;_ ;_ @_ "/>
    <numFmt numFmtId="173" formatCode="_ &quot;$&quot;* #,##0_ ;_ &quot;$&quot;* \-#,##0_ ;_ &quot;$&quot;* &quot;-&quot;??_ ;_ @_ "/>
  </numFmts>
  <fonts count="4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sz val="10"/>
      <color indexed="5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indexed="58"/>
      <name val="Arial"/>
      <family val="2"/>
    </font>
    <font>
      <i/>
      <sz val="10"/>
      <color indexed="58"/>
      <name val="Arial"/>
      <family val="2"/>
    </font>
    <font>
      <i/>
      <sz val="10"/>
      <name val="Arial"/>
      <family val="2"/>
    </font>
    <font>
      <b/>
      <i/>
      <sz val="9"/>
      <color indexed="58"/>
      <name val="Arial"/>
      <family val="2"/>
    </font>
    <font>
      <b/>
      <sz val="8"/>
      <color indexed="81"/>
      <name val="Tahoma"/>
      <family val="2"/>
    </font>
    <font>
      <b/>
      <sz val="8"/>
      <color rgb="FF000000"/>
      <name val="Tahoma"/>
      <family val="2"/>
    </font>
    <font>
      <b/>
      <sz val="12"/>
      <name val="Times New Roman"/>
      <family val="1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7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  <font>
      <sz val="11"/>
      <name val="Arial"/>
      <family val="2"/>
    </font>
    <font>
      <sz val="10"/>
      <name val="Lucida Sans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sz val="12"/>
      <name val="Arial"/>
      <family val="2"/>
    </font>
    <font>
      <b/>
      <sz val="9"/>
      <name val="Times New Roman"/>
      <family val="1"/>
    </font>
    <font>
      <b/>
      <sz val="10"/>
      <name val="Lucida Sans"/>
      <family val="2"/>
    </font>
    <font>
      <b/>
      <sz val="12"/>
      <color theme="1"/>
      <name val="Aptos Narrow"/>
      <family val="2"/>
      <scheme val="minor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u val="singleAccounting"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 val="singleAccounting"/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5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0"/>
      </left>
      <right/>
      <top style="thin">
        <color theme="0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3">
    <xf numFmtId="0" fontId="0" fillId="0" borderId="0" xfId="0"/>
    <xf numFmtId="0" fontId="2" fillId="2" borderId="1" xfId="0" applyFont="1" applyFill="1" applyBorder="1"/>
    <xf numFmtId="0" fontId="3" fillId="0" borderId="1" xfId="0" applyFont="1" applyBorder="1" applyAlignment="1">
      <alignment horizontal="left"/>
    </xf>
    <xf numFmtId="0" fontId="4" fillId="0" borderId="0" xfId="0" applyFont="1"/>
    <xf numFmtId="0" fontId="2" fillId="2" borderId="0" xfId="0" applyFont="1" applyFill="1"/>
    <xf numFmtId="0" fontId="4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5" fillId="3" borderId="2" xfId="0" applyFont="1" applyFill="1" applyBorder="1" applyProtection="1">
      <protection locked="0"/>
    </xf>
    <xf numFmtId="0" fontId="0" fillId="0" borderId="3" xfId="0" applyBorder="1"/>
    <xf numFmtId="0" fontId="0" fillId="0" borderId="3" xfId="0" applyBorder="1" applyAlignment="1">
      <alignment horizontal="left" vertical="top" wrapText="1"/>
    </xf>
    <xf numFmtId="0" fontId="2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2" fillId="2" borderId="0" xfId="0" applyFont="1" applyFill="1" applyAlignment="1">
      <alignment horizontal="right"/>
    </xf>
    <xf numFmtId="0" fontId="5" fillId="3" borderId="0" xfId="0" applyFont="1" applyFill="1" applyProtection="1">
      <protection locked="0"/>
    </xf>
    <xf numFmtId="0" fontId="7" fillId="0" borderId="0" xfId="0" applyFont="1"/>
    <xf numFmtId="0" fontId="2" fillId="2" borderId="1" xfId="0" applyFont="1" applyFill="1" applyBorder="1" applyAlignment="1">
      <alignment horizontal="right"/>
    </xf>
    <xf numFmtId="0" fontId="5" fillId="3" borderId="1" xfId="0" applyFont="1" applyFill="1" applyBorder="1" applyProtection="1">
      <protection locked="0"/>
    </xf>
    <xf numFmtId="0" fontId="8" fillId="2" borderId="1" xfId="0" applyFont="1" applyFill="1" applyBorder="1"/>
    <xf numFmtId="0" fontId="4" fillId="2" borderId="0" xfId="0" applyFont="1" applyFill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/>
    </xf>
    <xf numFmtId="164" fontId="9" fillId="0" borderId="0" xfId="0" applyNumberFormat="1" applyFont="1"/>
    <xf numFmtId="0" fontId="4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3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64" fontId="9" fillId="0" borderId="1" xfId="0" applyNumberFormat="1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6" fillId="0" borderId="0" xfId="0" applyNumberFormat="1" applyFont="1"/>
    <xf numFmtId="164" fontId="2" fillId="0" borderId="0" xfId="0" applyNumberFormat="1" applyFont="1"/>
    <xf numFmtId="0" fontId="2" fillId="2" borderId="1" xfId="0" applyFont="1" applyFill="1" applyBorder="1" applyAlignment="1">
      <alignment horizontal="left"/>
    </xf>
    <xf numFmtId="164" fontId="6" fillId="0" borderId="1" xfId="0" applyNumberFormat="1" applyFont="1" applyBorder="1"/>
    <xf numFmtId="0" fontId="2" fillId="2" borderId="3" xfId="0" applyFont="1" applyFill="1" applyBorder="1"/>
    <xf numFmtId="4" fontId="6" fillId="0" borderId="2" xfId="0" applyNumberFormat="1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4" borderId="4" xfId="0" applyFont="1" applyFill="1" applyBorder="1"/>
    <xf numFmtId="0" fontId="7" fillId="4" borderId="3" xfId="0" applyFont="1" applyFill="1" applyBorder="1"/>
    <xf numFmtId="0" fontId="7" fillId="4" borderId="5" xfId="0" applyFont="1" applyFill="1" applyBorder="1"/>
    <xf numFmtId="0" fontId="14" fillId="5" borderId="6" xfId="0" applyFont="1" applyFill="1" applyBorder="1"/>
    <xf numFmtId="0" fontId="15" fillId="5" borderId="0" xfId="0" applyFont="1" applyFill="1" applyAlignment="1">
      <alignment horizontal="left"/>
    </xf>
    <xf numFmtId="0" fontId="15" fillId="5" borderId="0" xfId="0" applyFont="1" applyFill="1"/>
    <xf numFmtId="0" fontId="6" fillId="5" borderId="0" xfId="0" applyFont="1" applyFill="1"/>
    <xf numFmtId="0" fontId="7" fillId="4" borderId="7" xfId="0" applyFont="1" applyFill="1" applyBorder="1"/>
    <xf numFmtId="0" fontId="7" fillId="4" borderId="6" xfId="0" applyFont="1" applyFill="1" applyBorder="1"/>
    <xf numFmtId="0" fontId="7" fillId="4" borderId="0" xfId="0" applyFont="1" applyFill="1"/>
    <xf numFmtId="0" fontId="6" fillId="4" borderId="0" xfId="0" applyFont="1" applyFill="1"/>
    <xf numFmtId="0" fontId="6" fillId="4" borderId="11" xfId="0" applyFont="1" applyFill="1" applyBorder="1" applyAlignment="1">
      <alignment horizontal="center"/>
    </xf>
    <xf numFmtId="0" fontId="6" fillId="5" borderId="12" xfId="0" applyFont="1" applyFill="1" applyBorder="1" applyAlignment="1" applyProtection="1">
      <alignment horizontal="center"/>
      <protection locked="0"/>
    </xf>
    <xf numFmtId="0" fontId="6" fillId="4" borderId="6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left"/>
    </xf>
    <xf numFmtId="0" fontId="7" fillId="4" borderId="13" xfId="0" applyFont="1" applyFill="1" applyBorder="1" applyAlignment="1">
      <alignment horizontal="center"/>
    </xf>
    <xf numFmtId="0" fontId="16" fillId="4" borderId="13" xfId="0" applyFont="1" applyFill="1" applyBorder="1"/>
    <xf numFmtId="165" fontId="7" fillId="4" borderId="13" xfId="0" applyNumberFormat="1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5" fontId="7" fillId="4" borderId="3" xfId="0" applyNumberFormat="1" applyFont="1" applyFill="1" applyBorder="1" applyAlignment="1">
      <alignment horizontal="center"/>
    </xf>
    <xf numFmtId="165" fontId="7" fillId="4" borderId="7" xfId="0" applyNumberFormat="1" applyFont="1" applyFill="1" applyBorder="1" applyAlignment="1">
      <alignment horizontal="center"/>
    </xf>
    <xf numFmtId="165" fontId="7" fillId="4" borderId="0" xfId="0" applyNumberFormat="1" applyFont="1" applyFill="1" applyAlignment="1">
      <alignment horizontal="center"/>
    </xf>
    <xf numFmtId="0" fontId="6" fillId="4" borderId="14" xfId="0" applyFont="1" applyFill="1" applyBorder="1"/>
    <xf numFmtId="0" fontId="7" fillId="4" borderId="2" xfId="0" applyFont="1" applyFill="1" applyBorder="1"/>
    <xf numFmtId="0" fontId="7" fillId="4" borderId="15" xfId="0" applyFont="1" applyFill="1" applyBorder="1"/>
    <xf numFmtId="0" fontId="6" fillId="4" borderId="7" xfId="0" applyFont="1" applyFill="1" applyBorder="1"/>
    <xf numFmtId="0" fontId="7" fillId="4" borderId="1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" fontId="7" fillId="4" borderId="13" xfId="0" applyNumberFormat="1" applyFont="1" applyFill="1" applyBorder="1"/>
    <xf numFmtId="166" fontId="7" fillId="4" borderId="0" xfId="2" applyNumberFormat="1" applyFont="1" applyFill="1" applyBorder="1" applyProtection="1"/>
    <xf numFmtId="166" fontId="7" fillId="4" borderId="7" xfId="2" applyNumberFormat="1" applyFont="1" applyFill="1" applyBorder="1" applyProtection="1"/>
    <xf numFmtId="1" fontId="7" fillId="4" borderId="13" xfId="1" applyNumberFormat="1" applyFont="1" applyFill="1" applyBorder="1" applyAlignment="1" applyProtection="1">
      <alignment horizontal="right"/>
    </xf>
    <xf numFmtId="0" fontId="7" fillId="4" borderId="6" xfId="0" applyFont="1" applyFill="1" applyBorder="1" applyAlignment="1">
      <alignment horizontal="left"/>
    </xf>
    <xf numFmtId="166" fontId="7" fillId="4" borderId="7" xfId="0" applyNumberFormat="1" applyFont="1" applyFill="1" applyBorder="1"/>
    <xf numFmtId="0" fontId="17" fillId="4" borderId="14" xfId="0" applyFont="1" applyFill="1" applyBorder="1" applyAlignment="1">
      <alignment horizontal="left"/>
    </xf>
    <xf numFmtId="166" fontId="7" fillId="4" borderId="0" xfId="0" applyNumberFormat="1" applyFont="1" applyFill="1"/>
    <xf numFmtId="0" fontId="7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7" fillId="4" borderId="13" xfId="0" applyFont="1" applyFill="1" applyBorder="1"/>
    <xf numFmtId="0" fontId="1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67" fontId="7" fillId="4" borderId="13" xfId="1" applyNumberFormat="1" applyFont="1" applyFill="1" applyBorder="1" applyAlignment="1" applyProtection="1">
      <alignment horizontal="center"/>
    </xf>
    <xf numFmtId="2" fontId="7" fillId="4" borderId="7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167" fontId="7" fillId="4" borderId="13" xfId="0" applyNumberFormat="1" applyFont="1" applyFill="1" applyBorder="1"/>
    <xf numFmtId="167" fontId="7" fillId="4" borderId="0" xfId="0" applyNumberFormat="1" applyFont="1" applyFill="1"/>
    <xf numFmtId="0" fontId="7" fillId="4" borderId="3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67" fontId="7" fillId="4" borderId="3" xfId="0" applyNumberFormat="1" applyFont="1" applyFill="1" applyBorder="1"/>
    <xf numFmtId="0" fontId="7" fillId="4" borderId="1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8" fillId="4" borderId="7" xfId="0" applyFont="1" applyFill="1" applyBorder="1"/>
    <xf numFmtId="0" fontId="16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center"/>
    </xf>
    <xf numFmtId="168" fontId="7" fillId="4" borderId="13" xfId="1" applyNumberFormat="1" applyFont="1" applyFill="1" applyBorder="1" applyAlignment="1" applyProtection="1">
      <alignment horizontal="right"/>
    </xf>
    <xf numFmtId="168" fontId="7" fillId="4" borderId="13" xfId="0" applyNumberFormat="1" applyFont="1" applyFill="1" applyBorder="1"/>
    <xf numFmtId="0" fontId="17" fillId="4" borderId="1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left"/>
    </xf>
    <xf numFmtId="0" fontId="17" fillId="5" borderId="0" xfId="0" applyFont="1" applyFill="1" applyAlignment="1">
      <alignment horizontal="left"/>
    </xf>
    <xf numFmtId="0" fontId="17" fillId="5" borderId="0" xfId="0" applyFont="1" applyFill="1"/>
    <xf numFmtId="0" fontId="0" fillId="5" borderId="0" xfId="0" applyFill="1"/>
    <xf numFmtId="168" fontId="7" fillId="4" borderId="13" xfId="1" applyNumberFormat="1" applyFont="1" applyFill="1" applyBorder="1" applyAlignment="1" applyProtection="1"/>
    <xf numFmtId="168" fontId="7" fillId="4" borderId="13" xfId="0" applyNumberFormat="1" applyFont="1" applyFill="1" applyBorder="1" applyAlignment="1">
      <alignment horizontal="right"/>
    </xf>
    <xf numFmtId="0" fontId="20" fillId="4" borderId="13" xfId="0" applyFont="1" applyFill="1" applyBorder="1" applyAlignment="1">
      <alignment horizontal="left"/>
    </xf>
    <xf numFmtId="0" fontId="20" fillId="4" borderId="13" xfId="0" applyFont="1" applyFill="1" applyBorder="1" applyAlignment="1">
      <alignment horizontal="center"/>
    </xf>
    <xf numFmtId="0" fontId="21" fillId="4" borderId="13" xfId="0" applyFont="1" applyFill="1" applyBorder="1" applyAlignment="1">
      <alignment horizontal="left"/>
    </xf>
    <xf numFmtId="1" fontId="20" fillId="4" borderId="13" xfId="0" applyNumberFormat="1" applyFont="1" applyFill="1" applyBorder="1" applyAlignment="1">
      <alignment horizontal="center"/>
    </xf>
    <xf numFmtId="0" fontId="22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right"/>
    </xf>
    <xf numFmtId="0" fontId="15" fillId="5" borderId="0" xfId="0" applyFont="1" applyFill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7" fillId="4" borderId="13" xfId="0" applyFont="1" applyFill="1" applyBorder="1" applyAlignment="1">
      <alignment horizontal="left"/>
    </xf>
    <xf numFmtId="0" fontId="6" fillId="4" borderId="4" xfId="0" applyFont="1" applyFill="1" applyBorder="1"/>
    <xf numFmtId="168" fontId="7" fillId="4" borderId="14" xfId="1" applyNumberFormat="1" applyFont="1" applyFill="1" applyBorder="1" applyAlignment="1" applyProtection="1"/>
    <xf numFmtId="168" fontId="7" fillId="4" borderId="14" xfId="0" applyNumberFormat="1" applyFont="1" applyFill="1" applyBorder="1" applyAlignment="1">
      <alignment horizontal="right"/>
    </xf>
    <xf numFmtId="168" fontId="7" fillId="4" borderId="0" xfId="0" applyNumberFormat="1" applyFont="1" applyFill="1"/>
    <xf numFmtId="0" fontId="7" fillId="4" borderId="4" xfId="0" applyFont="1" applyFill="1" applyBorder="1" applyAlignment="1">
      <alignment horizontal="left"/>
    </xf>
    <xf numFmtId="0" fontId="23" fillId="4" borderId="13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18" fillId="5" borderId="7" xfId="0" applyFont="1" applyFill="1" applyBorder="1"/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6" fillId="4" borderId="0" xfId="0" applyFont="1" applyFill="1" applyAlignment="1">
      <alignment horizontal="center"/>
    </xf>
    <xf numFmtId="0" fontId="7" fillId="0" borderId="14" xfId="0" applyFont="1" applyBorder="1"/>
    <xf numFmtId="166" fontId="7" fillId="4" borderId="6" xfId="2" applyNumberFormat="1" applyFont="1" applyFill="1" applyBorder="1" applyProtection="1"/>
    <xf numFmtId="0" fontId="7" fillId="0" borderId="6" xfId="0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24" fillId="4" borderId="0" xfId="0" applyFont="1" applyFill="1" applyAlignment="1">
      <alignment horizontal="left"/>
    </xf>
    <xf numFmtId="0" fontId="24" fillId="4" borderId="3" xfId="0" applyFont="1" applyFill="1" applyBorder="1"/>
    <xf numFmtId="0" fontId="24" fillId="4" borderId="0" xfId="0" applyFont="1" applyFill="1"/>
    <xf numFmtId="0" fontId="24" fillId="4" borderId="6" xfId="0" applyFont="1" applyFill="1" applyBorder="1" applyAlignment="1">
      <alignment horizontal="left"/>
    </xf>
    <xf numFmtId="0" fontId="25" fillId="0" borderId="13" xfId="0" applyFont="1" applyBorder="1" applyAlignment="1">
      <alignment horizontal="center"/>
    </xf>
    <xf numFmtId="0" fontId="7" fillId="0" borderId="4" xfId="0" applyFont="1" applyBorder="1"/>
    <xf numFmtId="0" fontId="24" fillId="4" borderId="3" xfId="0" applyFont="1" applyFill="1" applyBorder="1" applyAlignment="1">
      <alignment horizontal="left"/>
    </xf>
    <xf numFmtId="0" fontId="26" fillId="5" borderId="6" xfId="0" applyFont="1" applyFill="1" applyBorder="1"/>
    <xf numFmtId="169" fontId="7" fillId="4" borderId="13" xfId="0" applyNumberFormat="1" applyFont="1" applyFill="1" applyBorder="1" applyAlignment="1">
      <alignment horizontal="right"/>
    </xf>
    <xf numFmtId="0" fontId="27" fillId="5" borderId="6" xfId="0" applyFont="1" applyFill="1" applyBorder="1"/>
    <xf numFmtId="169" fontId="7" fillId="4" borderId="13" xfId="0" applyNumberFormat="1" applyFont="1" applyFill="1" applyBorder="1" applyAlignment="1">
      <alignment horizontal="center"/>
    </xf>
    <xf numFmtId="0" fontId="24" fillId="4" borderId="1" xfId="0" applyFont="1" applyFill="1" applyBorder="1" applyAlignment="1">
      <alignment horizontal="left"/>
    </xf>
    <xf numFmtId="167" fontId="7" fillId="4" borderId="13" xfId="1" applyNumberFormat="1" applyFont="1" applyFill="1" applyBorder="1" applyAlignment="1" applyProtection="1">
      <alignment horizontal="right"/>
    </xf>
    <xf numFmtId="0" fontId="7" fillId="0" borderId="1" xfId="0" applyFont="1" applyBorder="1"/>
    <xf numFmtId="0" fontId="24" fillId="0" borderId="3" xfId="0" applyFont="1" applyBorder="1" applyAlignment="1">
      <alignment horizontal="left"/>
    </xf>
    <xf numFmtId="0" fontId="7" fillId="0" borderId="6" xfId="0" applyFont="1" applyBorder="1"/>
    <xf numFmtId="0" fontId="7" fillId="0" borderId="3" xfId="0" applyFont="1" applyBorder="1"/>
    <xf numFmtId="0" fontId="7" fillId="0" borderId="13" xfId="0" applyFont="1" applyBorder="1" applyAlignment="1">
      <alignment horizontal="right"/>
    </xf>
    <xf numFmtId="0" fontId="7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right"/>
    </xf>
    <xf numFmtId="167" fontId="7" fillId="4" borderId="1" xfId="0" applyNumberFormat="1" applyFont="1" applyFill="1" applyBorder="1"/>
    <xf numFmtId="0" fontId="28" fillId="4" borderId="6" xfId="0" applyFont="1" applyFill="1" applyBorder="1"/>
    <xf numFmtId="0" fontId="28" fillId="4" borderId="0" xfId="0" applyFont="1" applyFill="1" applyAlignment="1">
      <alignment horizontal="left"/>
    </xf>
    <xf numFmtId="0" fontId="28" fillId="4" borderId="0" xfId="0" applyFont="1" applyFill="1"/>
    <xf numFmtId="0" fontId="28" fillId="4" borderId="0" xfId="0" applyFont="1" applyFill="1" applyAlignment="1">
      <alignment horizontal="right"/>
    </xf>
    <xf numFmtId="167" fontId="28" fillId="4" borderId="0" xfId="0" applyNumberFormat="1" applyFont="1" applyFill="1"/>
    <xf numFmtId="0" fontId="28" fillId="4" borderId="7" xfId="0" applyFont="1" applyFill="1" applyBorder="1"/>
    <xf numFmtId="0" fontId="29" fillId="5" borderId="6" xfId="0" applyFont="1" applyFill="1" applyBorder="1"/>
    <xf numFmtId="0" fontId="15" fillId="4" borderId="0" xfId="0" applyFont="1" applyFill="1"/>
    <xf numFmtId="0" fontId="24" fillId="4" borderId="4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6" fillId="4" borderId="12" xfId="0" applyFont="1" applyFill="1" applyBorder="1" applyAlignment="1" applyProtection="1">
      <alignment horizontal="center"/>
      <protection locked="0"/>
    </xf>
    <xf numFmtId="0" fontId="7" fillId="4" borderId="16" xfId="0" applyFont="1" applyFill="1" applyBorder="1"/>
    <xf numFmtId="0" fontId="7" fillId="4" borderId="17" xfId="0" applyFont="1" applyFill="1" applyBorder="1"/>
    <xf numFmtId="0" fontId="14" fillId="5" borderId="6" xfId="0" applyFont="1" applyFill="1" applyBorder="1" applyAlignment="1">
      <alignment horizontal="left"/>
    </xf>
    <xf numFmtId="1" fontId="7" fillId="4" borderId="14" xfId="0" applyNumberFormat="1" applyFont="1" applyFill="1" applyBorder="1"/>
    <xf numFmtId="0" fontId="30" fillId="5" borderId="6" xfId="0" applyFont="1" applyFill="1" applyBorder="1" applyAlignment="1">
      <alignment horizontal="left"/>
    </xf>
    <xf numFmtId="0" fontId="30" fillId="5" borderId="0" xfId="0" applyFont="1" applyFill="1" applyAlignment="1">
      <alignment horizontal="right"/>
    </xf>
    <xf numFmtId="0" fontId="24" fillId="0" borderId="6" xfId="0" applyFont="1" applyBorder="1" applyAlignment="1">
      <alignment horizontal="center"/>
    </xf>
    <xf numFmtId="0" fontId="24" fillId="4" borderId="6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3" fillId="6" borderId="1" xfId="0" applyFont="1" applyFill="1" applyBorder="1" applyAlignment="1">
      <alignment horizontal="left"/>
    </xf>
    <xf numFmtId="0" fontId="0" fillId="0" borderId="19" xfId="0" applyBorder="1"/>
    <xf numFmtId="0" fontId="33" fillId="0" borderId="24" xfId="0" applyFont="1" applyBorder="1"/>
    <xf numFmtId="0" fontId="33" fillId="0" borderId="26" xfId="0" applyFont="1" applyBorder="1"/>
    <xf numFmtId="42" fontId="33" fillId="0" borderId="23" xfId="0" applyNumberFormat="1" applyFont="1" applyBorder="1"/>
    <xf numFmtId="42" fontId="33" fillId="0" borderId="22" xfId="0" applyNumberFormat="1" applyFont="1" applyBorder="1"/>
    <xf numFmtId="0" fontId="33" fillId="0" borderId="27" xfId="0" applyFont="1" applyBorder="1"/>
    <xf numFmtId="42" fontId="33" fillId="0" borderId="0" xfId="0" applyNumberFormat="1" applyFont="1"/>
    <xf numFmtId="42" fontId="33" fillId="0" borderId="28" xfId="0" applyNumberFormat="1" applyFont="1" applyBorder="1"/>
    <xf numFmtId="42" fontId="33" fillId="0" borderId="21" xfId="0" applyNumberFormat="1" applyFont="1" applyBorder="1"/>
    <xf numFmtId="42" fontId="33" fillId="0" borderId="18" xfId="0" applyNumberFormat="1" applyFont="1" applyBorder="1"/>
    <xf numFmtId="0" fontId="33" fillId="0" borderId="31" xfId="0" applyFont="1" applyBorder="1"/>
    <xf numFmtId="0" fontId="34" fillId="7" borderId="0" xfId="0" applyFont="1" applyFill="1"/>
    <xf numFmtId="0" fontId="33" fillId="7" borderId="0" xfId="0" applyFont="1" applyFill="1" applyAlignment="1">
      <alignment horizontal="left" vertical="top"/>
    </xf>
    <xf numFmtId="42" fontId="33" fillId="7" borderId="20" xfId="0" applyNumberFormat="1" applyFont="1" applyFill="1" applyBorder="1"/>
    <xf numFmtId="0" fontId="33" fillId="0" borderId="0" xfId="0" applyFont="1"/>
    <xf numFmtId="0" fontId="33" fillId="0" borderId="32" xfId="0" applyFont="1" applyBorder="1"/>
    <xf numFmtId="0" fontId="33" fillId="0" borderId="35" xfId="0" applyFont="1" applyBorder="1"/>
    <xf numFmtId="0" fontId="33" fillId="0" borderId="36" xfId="0" applyFont="1" applyBorder="1"/>
    <xf numFmtId="0" fontId="33" fillId="0" borderId="22" xfId="0" applyFont="1" applyBorder="1"/>
    <xf numFmtId="0" fontId="33" fillId="0" borderId="40" xfId="0" applyFont="1" applyBorder="1"/>
    <xf numFmtId="0" fontId="33" fillId="0" borderId="41" xfId="0" applyFont="1" applyBorder="1" applyAlignment="1">
      <alignment horizontal="center"/>
    </xf>
    <xf numFmtId="0" fontId="33" fillId="0" borderId="42" xfId="0" applyFont="1" applyBorder="1" applyAlignment="1">
      <alignment horizontal="left"/>
    </xf>
    <xf numFmtId="0" fontId="33" fillId="0" borderId="43" xfId="0" applyFont="1" applyBorder="1" applyAlignment="1">
      <alignment horizontal="center"/>
    </xf>
    <xf numFmtId="0" fontId="33" fillId="0" borderId="42" xfId="0" applyFont="1" applyBorder="1" applyAlignment="1">
      <alignment horizontal="center"/>
    </xf>
    <xf numFmtId="0" fontId="34" fillId="7" borderId="22" xfId="0" applyFont="1" applyFill="1" applyBorder="1"/>
    <xf numFmtId="0" fontId="33" fillId="7" borderId="22" xfId="0" applyFont="1" applyFill="1" applyBorder="1" applyAlignment="1">
      <alignment horizontal="left" vertical="top"/>
    </xf>
    <xf numFmtId="0" fontId="33" fillId="7" borderId="20" xfId="0" applyFont="1" applyFill="1" applyBorder="1" applyAlignment="1">
      <alignment horizontal="left" vertical="top"/>
    </xf>
    <xf numFmtId="42" fontId="33" fillId="7" borderId="22" xfId="0" applyNumberFormat="1" applyFont="1" applyFill="1" applyBorder="1"/>
    <xf numFmtId="0" fontId="33" fillId="7" borderId="23" xfId="0" applyFont="1" applyFill="1" applyBorder="1" applyAlignment="1">
      <alignment horizontal="left" vertical="top"/>
    </xf>
    <xf numFmtId="0" fontId="33" fillId="0" borderId="19" xfId="0" applyFont="1" applyBorder="1"/>
    <xf numFmtId="0" fontId="28" fillId="8" borderId="44" xfId="0" applyFont="1" applyFill="1" applyBorder="1" applyAlignment="1">
      <alignment horizontal="center" vertical="center"/>
    </xf>
    <xf numFmtId="42" fontId="28" fillId="8" borderId="44" xfId="0" applyNumberFormat="1" applyFont="1" applyFill="1" applyBorder="1" applyAlignment="1">
      <alignment horizontal="center" vertical="center"/>
    </xf>
    <xf numFmtId="171" fontId="28" fillId="8" borderId="44" xfId="0" applyNumberFormat="1" applyFont="1" applyFill="1" applyBorder="1" applyAlignment="1">
      <alignment horizontal="center" vertical="center"/>
    </xf>
    <xf numFmtId="0" fontId="33" fillId="0" borderId="46" xfId="0" applyFont="1" applyBorder="1"/>
    <xf numFmtId="0" fontId="33" fillId="0" borderId="47" xfId="0" applyFont="1" applyBorder="1"/>
    <xf numFmtId="42" fontId="33" fillId="0" borderId="46" xfId="0" applyNumberFormat="1" applyFont="1" applyBorder="1"/>
    <xf numFmtId="0" fontId="33" fillId="0" borderId="50" xfId="0" applyFont="1" applyBorder="1" applyAlignment="1">
      <alignment vertical="center"/>
    </xf>
    <xf numFmtId="0" fontId="33" fillId="0" borderId="52" xfId="0" applyFont="1" applyBorder="1"/>
    <xf numFmtId="0" fontId="33" fillId="0" borderId="59" xfId="0" applyFont="1" applyBorder="1" applyAlignment="1">
      <alignment vertical="center"/>
    </xf>
    <xf numFmtId="0" fontId="33" fillId="0" borderId="60" xfId="0" applyFont="1" applyBorder="1"/>
    <xf numFmtId="42" fontId="0" fillId="0" borderId="0" xfId="0" applyNumberFormat="1"/>
    <xf numFmtId="0" fontId="0" fillId="0" borderId="20" xfId="0" applyBorder="1"/>
    <xf numFmtId="0" fontId="33" fillId="0" borderId="45" xfId="0" applyFont="1" applyBorder="1" applyAlignment="1">
      <alignment vertical="center"/>
    </xf>
    <xf numFmtId="0" fontId="0" fillId="0" borderId="0" xfId="0" applyAlignment="1">
      <alignment vertical="center"/>
    </xf>
    <xf numFmtId="42" fontId="0" fillId="0" borderId="0" xfId="3" applyFont="1"/>
    <xf numFmtId="42" fontId="31" fillId="0" borderId="0" xfId="0" applyNumberFormat="1" applyFont="1"/>
    <xf numFmtId="0" fontId="31" fillId="0" borderId="0" xfId="0" applyFont="1"/>
    <xf numFmtId="0" fontId="38" fillId="0" borderId="0" xfId="0" applyFont="1"/>
    <xf numFmtId="0" fontId="31" fillId="0" borderId="0" xfId="0" applyFont="1" applyAlignment="1">
      <alignment horizontal="center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6" borderId="13" xfId="0" applyFont="1" applyFill="1" applyBorder="1" applyAlignment="1">
      <alignment horizontal="left"/>
    </xf>
    <xf numFmtId="0" fontId="5" fillId="3" borderId="13" xfId="0" applyFont="1" applyFill="1" applyBorder="1" applyProtection="1">
      <protection locked="0"/>
    </xf>
    <xf numFmtId="0" fontId="3" fillId="2" borderId="2" xfId="0" applyFont="1" applyFill="1" applyBorder="1" applyAlignment="1">
      <alignment horizontal="left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Alignment="1">
      <alignment horizontal="right"/>
    </xf>
    <xf numFmtId="0" fontId="3" fillId="2" borderId="1" xfId="0" applyFont="1" applyFill="1" applyBorder="1" applyAlignment="1">
      <alignment horizontal="right"/>
    </xf>
    <xf numFmtId="172" fontId="0" fillId="0" borderId="0" xfId="0" applyNumberFormat="1"/>
    <xf numFmtId="42" fontId="31" fillId="0" borderId="0" xfId="3" applyFont="1"/>
    <xf numFmtId="42" fontId="40" fillId="0" borderId="0" xfId="3" applyFont="1"/>
    <xf numFmtId="42" fontId="31" fillId="6" borderId="0" xfId="3" applyFont="1" applyFill="1"/>
    <xf numFmtId="1" fontId="31" fillId="0" borderId="6" xfId="0" applyNumberFormat="1" applyFont="1" applyBorder="1"/>
    <xf numFmtId="1" fontId="31" fillId="0" borderId="4" xfId="0" applyNumberFormat="1" applyFont="1" applyBorder="1"/>
    <xf numFmtId="42" fontId="0" fillId="0" borderId="3" xfId="3" applyFont="1" applyBorder="1"/>
    <xf numFmtId="172" fontId="0" fillId="0" borderId="3" xfId="0" applyNumberFormat="1" applyBorder="1"/>
    <xf numFmtId="42" fontId="0" fillId="0" borderId="3" xfId="0" applyNumberFormat="1" applyBorder="1"/>
    <xf numFmtId="42" fontId="31" fillId="0" borderId="3" xfId="3" applyFont="1" applyBorder="1"/>
    <xf numFmtId="42" fontId="0" fillId="0" borderId="14" xfId="3" applyFont="1" applyBorder="1"/>
    <xf numFmtId="42" fontId="31" fillId="0" borderId="2" xfId="3" applyFont="1" applyBorder="1"/>
    <xf numFmtId="1" fontId="31" fillId="0" borderId="16" xfId="0" applyNumberFormat="1" applyFont="1" applyBorder="1"/>
    <xf numFmtId="42" fontId="0" fillId="0" borderId="1" xfId="3" applyFont="1" applyBorder="1"/>
    <xf numFmtId="172" fontId="0" fillId="0" borderId="1" xfId="0" applyNumberFormat="1" applyBorder="1"/>
    <xf numFmtId="42" fontId="0" fillId="0" borderId="1" xfId="0" applyNumberFormat="1" applyBorder="1"/>
    <xf numFmtId="0" fontId="0" fillId="0" borderId="61" xfId="0" applyBorder="1"/>
    <xf numFmtId="42" fontId="31" fillId="0" borderId="62" xfId="3" applyFont="1" applyBorder="1"/>
    <xf numFmtId="0" fontId="0" fillId="0" borderId="63" xfId="0" applyBorder="1"/>
    <xf numFmtId="42" fontId="36" fillId="6" borderId="64" xfId="3" applyFont="1" applyFill="1" applyBorder="1"/>
    <xf numFmtId="42" fontId="31" fillId="0" borderId="9" xfId="3" applyFont="1" applyBorder="1"/>
    <xf numFmtId="0" fontId="42" fillId="0" borderId="10" xfId="0" applyFont="1" applyBorder="1"/>
    <xf numFmtId="42" fontId="36" fillId="0" borderId="9" xfId="3" applyFont="1" applyBorder="1"/>
    <xf numFmtId="0" fontId="42" fillId="0" borderId="11" xfId="0" applyFont="1" applyBorder="1"/>
    <xf numFmtId="42" fontId="36" fillId="0" borderId="62" xfId="3" applyFont="1" applyBorder="1"/>
    <xf numFmtId="0" fontId="42" fillId="0" borderId="65" xfId="0" applyFont="1" applyBorder="1"/>
    <xf numFmtId="42" fontId="43" fillId="0" borderId="62" xfId="3" applyFont="1" applyBorder="1"/>
    <xf numFmtId="0" fontId="42" fillId="0" borderId="66" xfId="0" applyFont="1" applyBorder="1"/>
    <xf numFmtId="0" fontId="31" fillId="0" borderId="10" xfId="0" applyFont="1" applyBorder="1"/>
    <xf numFmtId="1" fontId="31" fillId="0" borderId="67" xfId="0" applyNumberFormat="1" applyFont="1" applyBorder="1"/>
    <xf numFmtId="1" fontId="0" fillId="0" borderId="0" xfId="0" applyNumberFormat="1"/>
    <xf numFmtId="42" fontId="0" fillId="0" borderId="62" xfId="3" applyFont="1" applyBorder="1"/>
    <xf numFmtId="1" fontId="0" fillId="0" borderId="68" xfId="0" applyNumberFormat="1" applyBorder="1"/>
    <xf numFmtId="42" fontId="0" fillId="0" borderId="64" xfId="3" applyFont="1" applyBorder="1"/>
    <xf numFmtId="0" fontId="4" fillId="0" borderId="3" xfId="0" applyFont="1" applyBorder="1"/>
    <xf numFmtId="3" fontId="0" fillId="0" borderId="3" xfId="0" applyNumberFormat="1" applyBorder="1"/>
    <xf numFmtId="0" fontId="0" fillId="0" borderId="3" xfId="0" applyBorder="1" applyAlignment="1">
      <alignment horizontal="center"/>
    </xf>
    <xf numFmtId="3" fontId="35" fillId="0" borderId="0" xfId="0" applyNumberFormat="1" applyFont="1"/>
    <xf numFmtId="0" fontId="35" fillId="0" borderId="1" xfId="0" applyFont="1" applyBorder="1"/>
    <xf numFmtId="0" fontId="31" fillId="0" borderId="13" xfId="0" applyFont="1" applyBorder="1"/>
    <xf numFmtId="42" fontId="31" fillId="0" borderId="13" xfId="3" applyFont="1" applyBorder="1"/>
    <xf numFmtId="0" fontId="0" fillId="0" borderId="13" xfId="0" applyBorder="1"/>
    <xf numFmtId="42" fontId="0" fillId="0" borderId="13" xfId="3" applyFont="1" applyBorder="1"/>
    <xf numFmtId="0" fontId="0" fillId="0" borderId="69" xfId="0" applyBorder="1"/>
    <xf numFmtId="42" fontId="41" fillId="0" borderId="0" xfId="3" applyFont="1"/>
    <xf numFmtId="0" fontId="4" fillId="0" borderId="2" xfId="0" applyFont="1" applyBorder="1" applyAlignment="1">
      <alignment horizontal="left"/>
    </xf>
    <xf numFmtId="0" fontId="4" fillId="0" borderId="2" xfId="0" applyFont="1" applyBorder="1"/>
    <xf numFmtId="3" fontId="0" fillId="0" borderId="2" xfId="0" applyNumberFormat="1" applyBorder="1"/>
    <xf numFmtId="0" fontId="0" fillId="0" borderId="2" xfId="0" applyBorder="1" applyAlignment="1">
      <alignment horizontal="center"/>
    </xf>
    <xf numFmtId="172" fontId="0" fillId="0" borderId="2" xfId="0" applyNumberFormat="1" applyBorder="1"/>
    <xf numFmtId="42" fontId="0" fillId="0" borderId="2" xfId="0" applyNumberFormat="1" applyBorder="1"/>
    <xf numFmtId="0" fontId="2" fillId="2" borderId="2" xfId="0" applyFont="1" applyFill="1" applyBorder="1"/>
    <xf numFmtId="0" fontId="44" fillId="0" borderId="0" xfId="0" applyFont="1"/>
    <xf numFmtId="1" fontId="31" fillId="0" borderId="13" xfId="0" applyNumberFormat="1" applyFont="1" applyBorder="1"/>
    <xf numFmtId="0" fontId="3" fillId="2" borderId="0" xfId="0" applyFont="1" applyFill="1" applyAlignment="1">
      <alignment horizontal="left"/>
    </xf>
    <xf numFmtId="0" fontId="37" fillId="0" borderId="0" xfId="0" applyFont="1" applyAlignment="1">
      <alignment horizontal="center" vertical="center"/>
    </xf>
    <xf numFmtId="0" fontId="0" fillId="10" borderId="0" xfId="0" applyFill="1"/>
    <xf numFmtId="0" fontId="39" fillId="10" borderId="0" xfId="0" applyFont="1" applyFill="1"/>
    <xf numFmtId="0" fontId="37" fillId="10" borderId="0" xfId="0" applyFont="1" applyFill="1" applyAlignment="1">
      <alignment horizontal="center" vertical="center"/>
    </xf>
    <xf numFmtId="0" fontId="37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42" fontId="0" fillId="0" borderId="0" xfId="3" applyFont="1" applyBorder="1"/>
    <xf numFmtId="1" fontId="0" fillId="0" borderId="0" xfId="3" applyNumberFormat="1" applyFont="1" applyBorder="1"/>
    <xf numFmtId="0" fontId="31" fillId="0" borderId="14" xfId="0" applyFont="1" applyBorder="1"/>
    <xf numFmtId="1" fontId="31" fillId="0" borderId="2" xfId="0" applyNumberFormat="1" applyFont="1" applyBorder="1"/>
    <xf numFmtId="0" fontId="0" fillId="0" borderId="6" xfId="0" applyBorder="1"/>
    <xf numFmtId="42" fontId="0" fillId="0" borderId="69" xfId="3" applyFont="1" applyBorder="1"/>
    <xf numFmtId="0" fontId="0" fillId="0" borderId="16" xfId="0" applyBorder="1"/>
    <xf numFmtId="1" fontId="0" fillId="0" borderId="1" xfId="0" applyNumberFormat="1" applyBorder="1"/>
    <xf numFmtId="42" fontId="0" fillId="0" borderId="70" xfId="3" applyFont="1" applyBorder="1"/>
    <xf numFmtId="0" fontId="36" fillId="0" borderId="12" xfId="0" applyFont="1" applyBorder="1" applyAlignment="1">
      <alignment horizontal="center" vertical="center"/>
    </xf>
    <xf numFmtId="2" fontId="36" fillId="6" borderId="66" xfId="0" applyNumberFormat="1" applyFont="1" applyFill="1" applyBorder="1" applyAlignment="1">
      <alignment horizontal="center" vertical="center"/>
    </xf>
    <xf numFmtId="0" fontId="45" fillId="0" borderId="0" xfId="0" applyFont="1"/>
    <xf numFmtId="173" fontId="0" fillId="0" borderId="0" xfId="0" applyNumberFormat="1"/>
    <xf numFmtId="173" fontId="4" fillId="0" borderId="0" xfId="0" applyNumberFormat="1" applyFont="1"/>
    <xf numFmtId="42" fontId="36" fillId="6" borderId="66" xfId="3" applyFont="1" applyFill="1" applyBorder="1" applyAlignment="1">
      <alignment horizontal="center" vertical="center"/>
    </xf>
    <xf numFmtId="42" fontId="36" fillId="0" borderId="12" xfId="3" applyFont="1" applyBorder="1"/>
    <xf numFmtId="42" fontId="36" fillId="6" borderId="66" xfId="3" applyFont="1" applyFill="1" applyBorder="1"/>
    <xf numFmtId="42" fontId="36" fillId="0" borderId="12" xfId="3" applyFont="1" applyBorder="1" applyAlignment="1">
      <alignment horizontal="center"/>
    </xf>
    <xf numFmtId="9" fontId="36" fillId="6" borderId="12" xfId="4" applyFont="1" applyFill="1" applyBorder="1" applyAlignment="1">
      <alignment horizontal="center"/>
    </xf>
    <xf numFmtId="42" fontId="42" fillId="0" borderId="62" xfId="3" applyFont="1" applyBorder="1"/>
    <xf numFmtId="42" fontId="36" fillId="0" borderId="65" xfId="0" applyNumberFormat="1" applyFont="1" applyBorder="1"/>
    <xf numFmtId="171" fontId="0" fillId="0" borderId="0" xfId="3" applyNumberFormat="1" applyFont="1"/>
    <xf numFmtId="0" fontId="33" fillId="0" borderId="34" xfId="0" applyFont="1" applyBorder="1"/>
    <xf numFmtId="0" fontId="33" fillId="0" borderId="4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0" borderId="45" xfId="0" applyFont="1" applyBorder="1" applyAlignment="1">
      <alignment horizontal="center" vertical="center" wrapText="1"/>
    </xf>
    <xf numFmtId="0" fontId="34" fillId="7" borderId="0" xfId="0" applyFont="1" applyFill="1" applyAlignment="1">
      <alignment wrapText="1"/>
    </xf>
    <xf numFmtId="0" fontId="33" fillId="0" borderId="34" xfId="0" applyFont="1" applyBorder="1" applyAlignment="1">
      <alignment wrapText="1"/>
    </xf>
    <xf numFmtId="0" fontId="33" fillId="0" borderId="36" xfId="0" applyFont="1" applyBorder="1" applyAlignment="1">
      <alignment wrapText="1"/>
    </xf>
    <xf numFmtId="0" fontId="33" fillId="0" borderId="40" xfId="0" applyFont="1" applyBorder="1" applyAlignment="1">
      <alignment wrapText="1"/>
    </xf>
    <xf numFmtId="0" fontId="28" fillId="8" borderId="4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2" fontId="33" fillId="0" borderId="45" xfId="3" applyFont="1" applyBorder="1" applyAlignment="1">
      <alignment horizontal="center" vertical="center"/>
    </xf>
    <xf numFmtId="42" fontId="31" fillId="0" borderId="0" xfId="3" applyFont="1" applyFill="1" applyBorder="1"/>
    <xf numFmtId="0" fontId="33" fillId="0" borderId="0" xfId="0" applyFont="1" applyAlignment="1">
      <alignment horizontal="center" vertical="center"/>
    </xf>
    <xf numFmtId="165" fontId="3" fillId="0" borderId="0" xfId="0" applyNumberFormat="1" applyFont="1"/>
    <xf numFmtId="0" fontId="31" fillId="11" borderId="12" xfId="0" applyFont="1" applyFill="1" applyBorder="1" applyAlignment="1">
      <alignment horizontal="center"/>
    </xf>
    <xf numFmtId="1" fontId="3" fillId="0" borderId="0" xfId="0" applyNumberFormat="1" applyFont="1"/>
    <xf numFmtId="9" fontId="31" fillId="0" borderId="0" xfId="4" applyFont="1"/>
    <xf numFmtId="0" fontId="31" fillId="9" borderId="12" xfId="0" applyFont="1" applyFill="1" applyBorder="1" applyAlignment="1">
      <alignment horizontal="center"/>
    </xf>
    <xf numFmtId="2" fontId="3" fillId="0" borderId="0" xfId="0" applyNumberFormat="1" applyFont="1"/>
    <xf numFmtId="173" fontId="31" fillId="0" borderId="0" xfId="0" applyNumberFormat="1" applyFont="1"/>
    <xf numFmtId="42" fontId="35" fillId="0" borderId="0" xfId="0" applyNumberFormat="1" applyFont="1"/>
    <xf numFmtId="0" fontId="47" fillId="0" borderId="0" xfId="0" applyFont="1"/>
    <xf numFmtId="173" fontId="47" fillId="0" borderId="0" xfId="0" applyNumberFormat="1" applyFont="1"/>
    <xf numFmtId="42" fontId="1" fillId="0" borderId="0" xfId="3" applyFont="1" applyBorder="1"/>
    <xf numFmtId="42" fontId="1" fillId="0" borderId="3" xfId="3" applyFont="1" applyBorder="1"/>
    <xf numFmtId="42" fontId="1" fillId="0" borderId="13" xfId="3" applyFont="1" applyBorder="1"/>
    <xf numFmtId="0" fontId="33" fillId="0" borderId="33" xfId="0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33" fillId="0" borderId="34" xfId="0" applyFont="1" applyBorder="1" applyAlignment="1">
      <alignment horizontal="left"/>
    </xf>
    <xf numFmtId="0" fontId="0" fillId="0" borderId="18" xfId="0" applyBorder="1" applyAlignment="1">
      <alignment horizontal="left"/>
    </xf>
    <xf numFmtId="42" fontId="32" fillId="0" borderId="19" xfId="0" applyNumberFormat="1" applyFont="1" applyBorder="1" applyAlignment="1">
      <alignment horizontal="left" vertical="center"/>
    </xf>
    <xf numFmtId="42" fontId="32" fillId="0" borderId="0" xfId="0" applyNumberFormat="1" applyFont="1" applyAlignment="1">
      <alignment horizontal="left" vertical="center"/>
    </xf>
    <xf numFmtId="0" fontId="33" fillId="0" borderId="20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25" xfId="0" applyFont="1" applyBorder="1" applyAlignment="1">
      <alignment horizontal="left" vertical="top"/>
    </xf>
    <xf numFmtId="0" fontId="33" fillId="0" borderId="29" xfId="0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170" fontId="33" fillId="0" borderId="22" xfId="0" applyNumberFormat="1" applyFont="1" applyBorder="1" applyAlignment="1">
      <alignment horizontal="left"/>
    </xf>
    <xf numFmtId="170" fontId="33" fillId="0" borderId="23" xfId="0" applyNumberFormat="1" applyFont="1" applyBorder="1" applyAlignment="1">
      <alignment horizontal="left"/>
    </xf>
    <xf numFmtId="0" fontId="33" fillId="0" borderId="48" xfId="0" applyFont="1" applyBorder="1" applyAlignment="1">
      <alignment horizontal="left"/>
    </xf>
    <xf numFmtId="0" fontId="33" fillId="0" borderId="56" xfId="0" applyFont="1" applyBorder="1" applyAlignment="1">
      <alignment horizontal="left"/>
    </xf>
    <xf numFmtId="0" fontId="3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37" xfId="0" applyFont="1" applyBorder="1" applyAlignment="1">
      <alignment horizontal="left"/>
    </xf>
    <xf numFmtId="0" fontId="33" fillId="0" borderId="39" xfId="0" applyFont="1" applyBorder="1" applyAlignment="1">
      <alignment horizontal="left"/>
    </xf>
    <xf numFmtId="0" fontId="33" fillId="0" borderId="48" xfId="0" applyFont="1" applyBorder="1" applyAlignment="1">
      <alignment horizontal="left" vertical="center"/>
    </xf>
    <xf numFmtId="0" fontId="33" fillId="0" borderId="49" xfId="0" applyFont="1" applyBorder="1" applyAlignment="1">
      <alignment horizontal="left" vertical="center"/>
    </xf>
    <xf numFmtId="42" fontId="33" fillId="0" borderId="51" xfId="0" applyNumberFormat="1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3" fillId="0" borderId="57" xfId="0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42" fontId="33" fillId="0" borderId="55" xfId="0" applyNumberFormat="1" applyFont="1" applyBorder="1" applyAlignment="1">
      <alignment horizontal="center" vertical="center"/>
    </xf>
    <xf numFmtId="42" fontId="33" fillId="0" borderId="56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top" wrapText="1"/>
    </xf>
    <xf numFmtId="0" fontId="3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42" fontId="36" fillId="0" borderId="10" xfId="3" applyFont="1" applyBorder="1" applyAlignment="1">
      <alignment horizontal="center"/>
    </xf>
    <xf numFmtId="42" fontId="36" fillId="0" borderId="9" xfId="3" applyFont="1" applyBorder="1" applyAlignment="1">
      <alignment horizontal="center"/>
    </xf>
    <xf numFmtId="0" fontId="31" fillId="0" borderId="62" xfId="0" applyFont="1" applyBorder="1" applyAlignment="1">
      <alignment horizontal="center"/>
    </xf>
    <xf numFmtId="0" fontId="31" fillId="6" borderId="13" xfId="0" applyFont="1" applyFill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1" fillId="6" borderId="14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15" xfId="0" applyFont="1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5" borderId="8" xfId="0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" fontId="7" fillId="4" borderId="14" xfId="0" applyNumberFormat="1" applyFont="1" applyFill="1" applyBorder="1" applyAlignment="1">
      <alignment horizontal="center"/>
    </xf>
    <xf numFmtId="1" fontId="7" fillId="4" borderId="15" xfId="0" applyNumberFormat="1" applyFont="1" applyFill="1" applyBorder="1" applyAlignment="1">
      <alignment horizontal="center"/>
    </xf>
    <xf numFmtId="0" fontId="6" fillId="4" borderId="8" xfId="0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</cellXfs>
  <cellStyles count="5">
    <cellStyle name="Millares" xfId="1" builtinId="3"/>
    <cellStyle name="Moneda" xfId="2" builtinId="4"/>
    <cellStyle name="Moneda [0]" xfId="3" builtinId="7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image" Target="../media/image12.jpg"/><Relationship Id="rId6" Type="http://schemas.openxmlformats.org/officeDocument/2006/relationships/image" Target="../media/image17.jpg"/><Relationship Id="rId5" Type="http://schemas.openxmlformats.org/officeDocument/2006/relationships/image" Target="../media/image16.jpg"/><Relationship Id="rId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7</xdr:row>
          <xdr:rowOff>180975</xdr:rowOff>
        </xdr:from>
        <xdr:to>
          <xdr:col>3</xdr:col>
          <xdr:colOff>419100</xdr:colOff>
          <xdr:row>11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1028700</xdr:colOff>
          <xdr:row>7</xdr:row>
          <xdr:rowOff>180975</xdr:rowOff>
        </xdr:from>
        <xdr:to>
          <xdr:col>5</xdr:col>
          <xdr:colOff>314325</xdr:colOff>
          <xdr:row>12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7</xdr:row>
          <xdr:rowOff>180975</xdr:rowOff>
        </xdr:from>
        <xdr:to>
          <xdr:col>7</xdr:col>
          <xdr:colOff>333375</xdr:colOff>
          <xdr:row>11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11</xdr:row>
          <xdr:rowOff>161925</xdr:rowOff>
        </xdr:from>
        <xdr:to>
          <xdr:col>7</xdr:col>
          <xdr:colOff>333375</xdr:colOff>
          <xdr:row>14</xdr:row>
          <xdr:rowOff>190500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16</xdr:row>
          <xdr:rowOff>47625</xdr:rowOff>
        </xdr:from>
        <xdr:to>
          <xdr:col>7</xdr:col>
          <xdr:colOff>333375</xdr:colOff>
          <xdr:row>19</xdr:row>
          <xdr:rowOff>76200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20</xdr:row>
          <xdr:rowOff>38100</xdr:rowOff>
        </xdr:from>
        <xdr:to>
          <xdr:col>7</xdr:col>
          <xdr:colOff>333375</xdr:colOff>
          <xdr:row>23</xdr:row>
          <xdr:rowOff>66675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7</xdr:row>
          <xdr:rowOff>190500</xdr:rowOff>
        </xdr:from>
        <xdr:to>
          <xdr:col>9</xdr:col>
          <xdr:colOff>419100</xdr:colOff>
          <xdr:row>12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13</xdr:row>
          <xdr:rowOff>123825</xdr:rowOff>
        </xdr:from>
        <xdr:to>
          <xdr:col>9</xdr:col>
          <xdr:colOff>409575</xdr:colOff>
          <xdr:row>18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8</xdr:row>
          <xdr:rowOff>28575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730250</xdr:colOff>
      <xdr:row>2</xdr:row>
      <xdr:rowOff>311599</xdr:rowOff>
    </xdr:from>
    <xdr:to>
      <xdr:col>9</xdr:col>
      <xdr:colOff>543983</xdr:colOff>
      <xdr:row>5</xdr:row>
      <xdr:rowOff>1155455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0264A0-ED42-5F56-F0B3-DC61DAFED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9250" y="1528682"/>
          <a:ext cx="1898650" cy="1722273"/>
        </a:xfrm>
        <a:prstGeom prst="rect">
          <a:avLst/>
        </a:prstGeom>
      </xdr:spPr>
    </xdr:pic>
    <xdr:clientData/>
  </xdr:twoCellAnchor>
  <xdr:twoCellAnchor editAs="oneCell">
    <xdr:from>
      <xdr:col>12</xdr:col>
      <xdr:colOff>918634</xdr:colOff>
      <xdr:row>2</xdr:row>
      <xdr:rowOff>238197</xdr:rowOff>
    </xdr:from>
    <xdr:to>
      <xdr:col>13</xdr:col>
      <xdr:colOff>1538817</xdr:colOff>
      <xdr:row>5</xdr:row>
      <xdr:rowOff>1240201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5853C4C-A6E4-F446-B260-4413D993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40934" y="784297"/>
          <a:ext cx="1686983" cy="1891004"/>
        </a:xfrm>
        <a:prstGeom prst="rect">
          <a:avLst/>
        </a:prstGeom>
      </xdr:spPr>
    </xdr:pic>
    <xdr:clientData/>
  </xdr:twoCellAnchor>
  <xdr:twoCellAnchor editAs="oneCell">
    <xdr:from>
      <xdr:col>6</xdr:col>
      <xdr:colOff>166324</xdr:colOff>
      <xdr:row>2</xdr:row>
      <xdr:rowOff>243417</xdr:rowOff>
    </xdr:from>
    <xdr:to>
      <xdr:col>6</xdr:col>
      <xdr:colOff>1304065</xdr:colOff>
      <xdr:row>5</xdr:row>
      <xdr:rowOff>1443566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154E77D-BFA4-9028-3669-C05E197E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19424" y="789517"/>
          <a:ext cx="1137741" cy="2089149"/>
        </a:xfrm>
        <a:prstGeom prst="rect">
          <a:avLst/>
        </a:prstGeom>
      </xdr:spPr>
    </xdr:pic>
    <xdr:clientData/>
  </xdr:twoCellAnchor>
  <xdr:twoCellAnchor editAs="oneCell">
    <xdr:from>
      <xdr:col>1</xdr:col>
      <xdr:colOff>137584</xdr:colOff>
      <xdr:row>5</xdr:row>
      <xdr:rowOff>98721</xdr:rowOff>
    </xdr:from>
    <xdr:to>
      <xdr:col>3</xdr:col>
      <xdr:colOff>783167</xdr:colOff>
      <xdr:row>5</xdr:row>
      <xdr:rowOff>1303066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DFA933-2475-0306-B676-E6E293F41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84" y="2194221"/>
          <a:ext cx="2296583" cy="1204345"/>
        </a:xfrm>
        <a:prstGeom prst="rect">
          <a:avLst/>
        </a:prstGeom>
      </xdr:spPr>
    </xdr:pic>
    <xdr:clientData/>
  </xdr:twoCellAnchor>
  <xdr:twoCellAnchor editAs="oneCell">
    <xdr:from>
      <xdr:col>3</xdr:col>
      <xdr:colOff>1231902</xdr:colOff>
      <xdr:row>3</xdr:row>
      <xdr:rowOff>88329</xdr:rowOff>
    </xdr:from>
    <xdr:to>
      <xdr:col>5</xdr:col>
      <xdr:colOff>366706</xdr:colOff>
      <xdr:row>5</xdr:row>
      <xdr:rowOff>1322917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5FF1ADC-32B8-9D4A-FBC9-F333B983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25802" y="977329"/>
          <a:ext cx="1687504" cy="17806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8</xdr:row>
          <xdr:rowOff>9525</xdr:rowOff>
        </xdr:from>
        <xdr:to>
          <xdr:col>14</xdr:col>
          <xdr:colOff>542925</xdr:colOff>
          <xdr:row>13</xdr:row>
          <xdr:rowOff>104775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1536700</xdr:colOff>
      <xdr:row>3</xdr:row>
      <xdr:rowOff>20499</xdr:rowOff>
    </xdr:from>
    <xdr:to>
      <xdr:col>11</xdr:col>
      <xdr:colOff>12700</xdr:colOff>
      <xdr:row>5</xdr:row>
      <xdr:rowOff>1180393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8EB13-C196-A869-3E78-3AF64A3A9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07700" y="909499"/>
          <a:ext cx="1803400" cy="17059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104775</xdr:rowOff>
        </xdr:from>
        <xdr:to>
          <xdr:col>13</xdr:col>
          <xdr:colOff>28575</xdr:colOff>
          <xdr:row>8</xdr:row>
          <xdr:rowOff>76200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2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809625</xdr:colOff>
          <xdr:row>11</xdr:row>
          <xdr:rowOff>47625</xdr:rowOff>
        </xdr:from>
        <xdr:to>
          <xdr:col>13</xdr:col>
          <xdr:colOff>390525</xdr:colOff>
          <xdr:row>14</xdr:row>
          <xdr:rowOff>123825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5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264583</xdr:colOff>
      <xdr:row>5</xdr:row>
      <xdr:rowOff>95251</xdr:rowOff>
    </xdr:from>
    <xdr:to>
      <xdr:col>10</xdr:col>
      <xdr:colOff>582083</xdr:colOff>
      <xdr:row>7</xdr:row>
      <xdr:rowOff>241301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FFB71146-5EC7-65ED-667C-49972ECD3BEE}"/>
            </a:ext>
          </a:extLst>
        </xdr:cNvPr>
        <xdr:cNvSpPr/>
      </xdr:nvSpPr>
      <xdr:spPr>
        <a:xfrm>
          <a:off x="13675783" y="1492251"/>
          <a:ext cx="317500" cy="654050"/>
        </a:xfrm>
        <a:prstGeom prst="rightBrace">
          <a:avLst>
            <a:gd name="adj1" fmla="val 8333"/>
            <a:gd name="adj2" fmla="val 48508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114300</xdr:rowOff>
        </xdr:from>
        <xdr:to>
          <xdr:col>12</xdr:col>
          <xdr:colOff>466725</xdr:colOff>
          <xdr:row>4</xdr:row>
          <xdr:rowOff>114300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E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4</v>
  </rv>
  <rv s="0">
    <v>2</v>
    <v>4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2</v>
    <v>5</v>
  </rv>
  <rv s="0">
    <v>9</v>
    <v>5</v>
  </rv>
  <rv s="0">
    <v>10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A4D43-3CBA-C649-9F3E-DDAAB06DC0B0}">
  <sheetPr codeName="Hoja1"/>
  <dimension ref="A1:P30"/>
  <sheetViews>
    <sheetView showGridLines="0" showRowColHeaders="0" topLeftCell="A3" zoomScale="70" zoomScaleNormal="70" workbookViewId="0">
      <selection activeCell="D25" sqref="D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x14ac:dyDescent="0.25"/>
  <cols>
    <col min="1" max="1" width="4.5" customWidth="1"/>
    <col min="4" max="4" width="22.625" customWidth="1"/>
    <col min="6" max="6" width="15.875" customWidth="1"/>
    <col min="7" max="7" width="18.875" customWidth="1"/>
    <col min="8" max="8" width="16.5" customWidth="1"/>
    <col min="10" max="10" width="21" customWidth="1"/>
    <col min="11" max="11" width="22.625" customWidth="1"/>
    <col min="12" max="12" width="9.5" customWidth="1"/>
    <col min="13" max="13" width="14" customWidth="1"/>
    <col min="14" max="14" width="22.625" customWidth="1"/>
  </cols>
  <sheetData>
    <row r="1" spans="1:16" x14ac:dyDescent="0.25">
      <c r="A1" s="301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</row>
    <row r="2" spans="1:16" ht="26.25" x14ac:dyDescent="0.4">
      <c r="A2" s="301"/>
      <c r="B2" s="301"/>
      <c r="C2" s="301"/>
      <c r="D2" s="301"/>
      <c r="E2" s="301"/>
      <c r="F2" s="301"/>
      <c r="G2" s="302" t="s">
        <v>0</v>
      </c>
      <c r="H2" s="301"/>
      <c r="I2" s="301"/>
      <c r="J2" s="301"/>
      <c r="K2" s="301"/>
      <c r="L2" s="301"/>
      <c r="M2" s="301"/>
      <c r="N2" s="301"/>
      <c r="O2" s="301"/>
      <c r="P2" s="301"/>
    </row>
    <row r="3" spans="1:16" ht="26.25" x14ac:dyDescent="0.4">
      <c r="A3" s="301"/>
      <c r="B3" s="301"/>
      <c r="C3" s="301"/>
      <c r="D3" s="301"/>
      <c r="E3" s="301"/>
      <c r="F3" s="301"/>
      <c r="G3" s="302"/>
      <c r="H3" s="301"/>
      <c r="I3" s="301"/>
      <c r="J3" s="301"/>
      <c r="K3" s="301"/>
      <c r="L3" s="301"/>
      <c r="M3" s="301"/>
      <c r="N3" s="301"/>
      <c r="O3" s="301"/>
      <c r="P3" s="301"/>
    </row>
    <row r="4" spans="1:16" ht="26.25" x14ac:dyDescent="0.4">
      <c r="A4" s="301"/>
      <c r="B4" s="301"/>
      <c r="C4" s="301"/>
      <c r="D4" s="301"/>
      <c r="E4" s="301"/>
      <c r="F4" s="301"/>
      <c r="G4" s="302"/>
      <c r="H4" s="301"/>
      <c r="I4" s="301"/>
      <c r="J4" s="301"/>
      <c r="K4" s="301"/>
      <c r="L4" s="301"/>
      <c r="M4" s="301"/>
      <c r="N4" s="301"/>
      <c r="O4" s="301"/>
      <c r="P4" s="301"/>
    </row>
    <row r="5" spans="1:16" x14ac:dyDescent="0.25">
      <c r="A5" s="301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</row>
    <row r="6" spans="1:16" ht="123.95" customHeight="1" x14ac:dyDescent="0.25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</row>
    <row r="7" spans="1:16" s="300" customFormat="1" ht="53.1" customHeight="1" x14ac:dyDescent="0.25">
      <c r="A7" s="303"/>
      <c r="B7" s="303"/>
      <c r="C7" s="303" t="s">
        <v>1</v>
      </c>
      <c r="D7" s="303"/>
      <c r="E7" s="303" t="s">
        <v>2</v>
      </c>
      <c r="F7" s="303"/>
      <c r="G7" s="304" t="s">
        <v>3</v>
      </c>
      <c r="H7" s="303"/>
      <c r="I7" s="303" t="s">
        <v>4</v>
      </c>
      <c r="J7" s="303"/>
      <c r="K7" s="304" t="s">
        <v>5</v>
      </c>
      <c r="L7" s="303"/>
      <c r="M7" s="303"/>
      <c r="N7" s="304" t="s">
        <v>6</v>
      </c>
      <c r="O7" s="303"/>
      <c r="P7" s="303"/>
    </row>
    <row r="8" spans="1:16" x14ac:dyDescent="0.25">
      <c r="A8" s="301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</row>
    <row r="9" spans="1:16" x14ac:dyDescent="0.25">
      <c r="A9" s="301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</row>
    <row r="10" spans="1:16" x14ac:dyDescent="0.25">
      <c r="A10" s="301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</row>
    <row r="11" spans="1:16" x14ac:dyDescent="0.25">
      <c r="A11" s="301"/>
      <c r="B11" s="301"/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</row>
    <row r="12" spans="1:16" x14ac:dyDescent="0.25">
      <c r="A12" s="301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</row>
    <row r="13" spans="1:16" x14ac:dyDescent="0.25">
      <c r="A13" s="301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</row>
    <row r="14" spans="1:16" x14ac:dyDescent="0.25">
      <c r="A14" s="301"/>
      <c r="B14" s="301"/>
      <c r="C14" s="305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</row>
    <row r="15" spans="1:16" x14ac:dyDescent="0.25">
      <c r="A15" s="301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</row>
    <row r="16" spans="1:16" x14ac:dyDescent="0.25">
      <c r="A16" s="301"/>
      <c r="B16" s="301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</row>
    <row r="17" spans="1:16" x14ac:dyDescent="0.25">
      <c r="A17" s="301"/>
      <c r="B17" s="301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</row>
    <row r="18" spans="1:16" x14ac:dyDescent="0.25">
      <c r="A18" s="301"/>
      <c r="B18" s="301"/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</row>
    <row r="19" spans="1:16" x14ac:dyDescent="0.2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</row>
    <row r="20" spans="1:16" x14ac:dyDescent="0.25">
      <c r="A20" s="301"/>
      <c r="B20" s="301"/>
      <c r="C20" s="301"/>
      <c r="D20" s="301"/>
      <c r="E20" s="301"/>
      <c r="F20" s="301"/>
      <c r="G20" s="301"/>
      <c r="H20" s="301"/>
      <c r="I20" s="305"/>
      <c r="J20" s="301"/>
      <c r="K20" s="301"/>
      <c r="L20" s="301"/>
      <c r="M20" s="301"/>
      <c r="N20" s="301"/>
      <c r="O20" s="301"/>
      <c r="P20" s="301"/>
    </row>
    <row r="21" spans="1:16" x14ac:dyDescent="0.25">
      <c r="A21" s="301"/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</row>
    <row r="22" spans="1:16" x14ac:dyDescent="0.25">
      <c r="A22" s="301"/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</row>
    <row r="23" spans="1:16" x14ac:dyDescent="0.25">
      <c r="A23" s="301"/>
      <c r="B23" s="301"/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</row>
    <row r="24" spans="1:16" x14ac:dyDescent="0.25">
      <c r="A24" s="301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</row>
    <row r="25" spans="1:16" x14ac:dyDescent="0.25">
      <c r="A25" s="301"/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</row>
    <row r="26" spans="1:16" x14ac:dyDescent="0.25">
      <c r="A26" s="301"/>
      <c r="B26" s="301"/>
      <c r="C26" s="301"/>
      <c r="D26" s="301"/>
      <c r="E26" s="301"/>
      <c r="F26" s="301"/>
      <c r="G26" s="301" t="s">
        <v>7</v>
      </c>
      <c r="H26" s="301"/>
      <c r="I26" s="301"/>
      <c r="J26" s="301"/>
      <c r="K26" s="301"/>
      <c r="L26" s="301"/>
      <c r="M26" s="301"/>
      <c r="N26" s="301"/>
      <c r="O26" s="301"/>
      <c r="P26" s="301"/>
    </row>
    <row r="27" spans="1:16" x14ac:dyDescent="0.2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</row>
    <row r="28" spans="1:16" x14ac:dyDescent="0.25">
      <c r="A28" s="301"/>
      <c r="B28" s="301"/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</row>
    <row r="29" spans="1:16" x14ac:dyDescent="0.25">
      <c r="A29" s="301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</row>
    <row r="30" spans="1:16" x14ac:dyDescent="0.25">
      <c r="A30" s="301"/>
      <c r="B30" s="301"/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CORREDERA_TERMO">
                <anchor moveWithCells="1" sizeWithCells="1">
                  <from>
                    <xdr:col>1</xdr:col>
                    <xdr:colOff>390525</xdr:colOff>
                    <xdr:row>7</xdr:row>
                    <xdr:rowOff>180975</xdr:rowOff>
                  </from>
                  <to>
                    <xdr:col>3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AL42AB">
                <anchor moveWithCells="1" sizeWithCells="1">
                  <from>
                    <xdr:col>3</xdr:col>
                    <xdr:colOff>1028700</xdr:colOff>
                    <xdr:row>7</xdr:row>
                    <xdr:rowOff>180975</xdr:rowOff>
                  </from>
                  <to>
                    <xdr:col>5</xdr:col>
                    <xdr:colOff>314325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5" name="Button 11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7</xdr:row>
                    <xdr:rowOff>180975</xdr:rowOff>
                  </from>
                  <to>
                    <xdr:col>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6" name="Button 12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11</xdr:row>
                    <xdr:rowOff>161925</xdr:rowOff>
                  </from>
                  <to>
                    <xdr:col>7</xdr:col>
                    <xdr:colOff>333375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7" name="Button 13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16</xdr:row>
                    <xdr:rowOff>47625</xdr:rowOff>
                  </from>
                  <to>
                    <xdr:col>7</xdr:col>
                    <xdr:colOff>333375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8" name="Button 14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20</xdr:row>
                    <xdr:rowOff>38100</xdr:rowOff>
                  </from>
                  <to>
                    <xdr:col>7</xdr:col>
                    <xdr:colOff>333375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9" name="Button 19">
              <controlPr defaultSize="0" print="0" autoFill="0" autoPict="0" macro="[0]!CORRPVCBL">
                <anchor moveWithCells="1" sizeWithCells="1">
                  <from>
                    <xdr:col>7</xdr:col>
                    <xdr:colOff>828675</xdr:colOff>
                    <xdr:row>7</xdr:row>
                    <xdr:rowOff>190500</xdr:rowOff>
                  </from>
                  <to>
                    <xdr:col>9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0" name="Button 21">
              <controlPr defaultSize="0" print="0" autoFill="0" autoPict="0" macro="[0]!CORRPVCFOL">
                <anchor moveWithCells="1" sizeWithCells="1">
                  <from>
                    <xdr:col>7</xdr:col>
                    <xdr:colOff>809625</xdr:colOff>
                    <xdr:row>13</xdr:row>
                    <xdr:rowOff>123825</xdr:rowOff>
                  </from>
                  <to>
                    <xdr:col>9</xdr:col>
                    <xdr:colOff>409575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1" name="Button 23">
              <controlPr defaultSize="0" print="0" autoFill="0" autoPict="0" macro="[0]!ABATPVCBL">
                <anchor moveWithCells="1" sizeWithCells="1">
                  <from>
                    <xdr:col>9</xdr:col>
                    <xdr:colOff>885825</xdr:colOff>
                    <xdr:row>8</xdr:row>
                    <xdr:rowOff>28575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2" name="Button 35">
              <controlPr defaultSize="0" print="0" autoFill="0" autoPict="0" macro="[0]!ABATPVCFOL">
                <anchor moveWithCells="1" sizeWithCells="1">
                  <from>
                    <xdr:col>12</xdr:col>
                    <xdr:colOff>542925</xdr:colOff>
                    <xdr:row>8</xdr:row>
                    <xdr:rowOff>9525</xdr:rowOff>
                  </from>
                  <to>
                    <xdr:col>14</xdr:col>
                    <xdr:colOff>542925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09DC-C7F4-9F47-960F-CBEFB3D154BB}">
  <sheetPr codeName="Hoja8">
    <tabColor theme="3" tint="0.249977111117893"/>
  </sheetPr>
  <dimension ref="B1:M21"/>
  <sheetViews>
    <sheetView topLeftCell="A2" zoomScale="55" zoomScaleNormal="55" workbookViewId="0">
      <selection activeCell="E13" sqref="E13"/>
    </sheetView>
  </sheetViews>
  <sheetFormatPr baseColWidth="10" defaultColWidth="11" defaultRowHeight="15.75" x14ac:dyDescent="0.25"/>
  <cols>
    <col min="1" max="1" width="4.625" customWidth="1"/>
    <col min="2" max="2" width="32" customWidth="1"/>
    <col min="3" max="3" width="8.5" bestFit="1" customWidth="1"/>
    <col min="4" max="4" width="23.875" style="337" customWidth="1"/>
    <col min="5" max="5" width="20.625" bestFit="1" customWidth="1"/>
    <col min="6" max="6" width="10.875" bestFit="1" customWidth="1"/>
    <col min="7" max="7" width="8.375" customWidth="1"/>
    <col min="8" max="8" width="6.5" customWidth="1"/>
    <col min="9" max="9" width="17.5" bestFit="1" customWidth="1"/>
    <col min="11" max="11" width="15.625" bestFit="1" customWidth="1"/>
    <col min="12" max="12" width="16.625" customWidth="1"/>
  </cols>
  <sheetData>
    <row r="1" spans="2:13" ht="84.95" customHeight="1" x14ac:dyDescent="0.25">
      <c r="B1" s="357" t="e" vm="1">
        <v>#VALUE!</v>
      </c>
      <c r="C1" s="357"/>
      <c r="D1" s="357"/>
      <c r="E1" s="357"/>
      <c r="F1" s="357"/>
      <c r="G1" s="357"/>
      <c r="H1" s="357"/>
      <c r="I1" s="357"/>
      <c r="J1" s="357"/>
      <c r="K1" s="358" t="str">
        <f ca="1">"COTIZACIÓN N°: " &amp; RANDBETWEEN(1000,10000)</f>
        <v>COTIZACIÓN N°: 8377</v>
      </c>
      <c r="L1" s="359"/>
      <c r="M1" s="187"/>
    </row>
    <row r="2" spans="2:13" x14ac:dyDescent="0.25">
      <c r="B2" s="360" t="s">
        <v>8</v>
      </c>
      <c r="C2" s="360"/>
      <c r="D2" s="360"/>
      <c r="E2" s="360"/>
      <c r="F2" s="360"/>
      <c r="G2" s="361"/>
      <c r="H2" s="361"/>
      <c r="I2" s="361"/>
      <c r="J2" s="362"/>
      <c r="K2" s="367">
        <f ca="1">TODAY()</f>
        <v>45881</v>
      </c>
      <c r="L2" s="368"/>
      <c r="M2" s="188"/>
    </row>
    <row r="3" spans="2:13" x14ac:dyDescent="0.25">
      <c r="B3" s="363"/>
      <c r="C3" s="363"/>
      <c r="D3" s="363"/>
      <c r="E3" s="363"/>
      <c r="F3" s="363"/>
      <c r="G3" s="363"/>
      <c r="H3" s="363"/>
      <c r="I3" s="363"/>
      <c r="J3" s="364"/>
      <c r="K3" s="367"/>
      <c r="L3" s="368"/>
      <c r="M3" s="189"/>
    </row>
    <row r="4" spans="2:13" x14ac:dyDescent="0.25">
      <c r="B4" s="363"/>
      <c r="C4" s="363"/>
      <c r="D4" s="363"/>
      <c r="E4" s="363"/>
      <c r="F4" s="363"/>
      <c r="G4" s="363"/>
      <c r="H4" s="363"/>
      <c r="I4" s="363"/>
      <c r="J4" s="364"/>
      <c r="K4" s="190"/>
      <c r="L4" s="191"/>
      <c r="M4" s="192"/>
    </row>
    <row r="5" spans="2:13" x14ac:dyDescent="0.25">
      <c r="B5" s="363"/>
      <c r="C5" s="363"/>
      <c r="D5" s="363"/>
      <c r="E5" s="363"/>
      <c r="F5" s="363"/>
      <c r="G5" s="363"/>
      <c r="H5" s="363"/>
      <c r="I5" s="363"/>
      <c r="J5" s="364"/>
      <c r="K5" s="193"/>
      <c r="L5" s="194"/>
      <c r="M5" s="189"/>
    </row>
    <row r="6" spans="2:13" x14ac:dyDescent="0.25">
      <c r="B6" s="365"/>
      <c r="C6" s="365"/>
      <c r="D6" s="365"/>
      <c r="E6" s="365"/>
      <c r="F6" s="365"/>
      <c r="G6" s="365"/>
      <c r="H6" s="365"/>
      <c r="I6" s="365"/>
      <c r="J6" s="366"/>
      <c r="K6" s="195"/>
      <c r="L6" s="196"/>
      <c r="M6" s="197"/>
    </row>
    <row r="7" spans="2:13" x14ac:dyDescent="0.25">
      <c r="B7" s="198" t="s">
        <v>9</v>
      </c>
      <c r="C7" s="198"/>
      <c r="D7" s="332"/>
      <c r="E7" s="198"/>
      <c r="F7" s="198"/>
      <c r="G7" s="199"/>
      <c r="H7" s="199"/>
      <c r="I7" s="199"/>
      <c r="J7" s="199"/>
      <c r="K7" s="200"/>
      <c r="L7" s="199"/>
      <c r="M7" s="201"/>
    </row>
    <row r="8" spans="2:13" x14ac:dyDescent="0.25">
      <c r="B8" s="202" t="s">
        <v>10</v>
      </c>
      <c r="C8" s="328"/>
      <c r="D8" s="333"/>
      <c r="E8" s="328"/>
      <c r="F8" s="328"/>
      <c r="G8" s="354"/>
      <c r="H8" s="355"/>
      <c r="I8" s="356" t="s">
        <v>11</v>
      </c>
      <c r="J8" s="356"/>
      <c r="K8" s="354"/>
      <c r="L8" s="355"/>
      <c r="M8" s="203"/>
    </row>
    <row r="9" spans="2:13" x14ac:dyDescent="0.25">
      <c r="B9" s="204" t="s">
        <v>12</v>
      </c>
      <c r="C9" s="204"/>
      <c r="D9" s="334"/>
      <c r="E9" s="204"/>
      <c r="F9" s="204"/>
      <c r="G9" s="371"/>
      <c r="H9" s="372"/>
      <c r="I9" s="373" t="s">
        <v>13</v>
      </c>
      <c r="J9" s="374"/>
      <c r="K9" s="372"/>
      <c r="L9" s="372"/>
      <c r="M9" s="205"/>
    </row>
    <row r="10" spans="2:13" x14ac:dyDescent="0.25">
      <c r="B10" s="206"/>
      <c r="C10" s="206"/>
      <c r="D10" s="335"/>
      <c r="E10" s="206"/>
      <c r="F10" s="206"/>
      <c r="G10" s="207"/>
      <c r="H10" s="207"/>
      <c r="I10" s="208"/>
      <c r="J10" s="208"/>
      <c r="K10" s="209"/>
      <c r="L10" s="210"/>
      <c r="M10" s="188"/>
    </row>
    <row r="11" spans="2:13" x14ac:dyDescent="0.25">
      <c r="B11" s="211" t="s">
        <v>14</v>
      </c>
      <c r="C11" s="198"/>
      <c r="D11" s="332"/>
      <c r="E11" s="198"/>
      <c r="F11" s="198"/>
      <c r="G11" s="199"/>
      <c r="H11" s="212"/>
      <c r="I11" s="212"/>
      <c r="J11" s="213"/>
      <c r="K11" s="214"/>
      <c r="L11" s="215"/>
      <c r="M11" s="216"/>
    </row>
    <row r="12" spans="2:13" ht="16.5" thickBot="1" x14ac:dyDescent="0.3">
      <c r="B12" s="217" t="s">
        <v>15</v>
      </c>
      <c r="C12" s="217" t="s">
        <v>16</v>
      </c>
      <c r="D12" s="336" t="s">
        <v>17</v>
      </c>
      <c r="E12" s="217" t="s">
        <v>18</v>
      </c>
      <c r="F12" s="217" t="s">
        <v>19</v>
      </c>
      <c r="G12" s="217" t="s">
        <v>20</v>
      </c>
      <c r="H12" s="217" t="s">
        <v>21</v>
      </c>
      <c r="I12" s="217" t="s">
        <v>22</v>
      </c>
      <c r="J12" s="217" t="s">
        <v>23</v>
      </c>
      <c r="K12" s="218" t="s">
        <v>24</v>
      </c>
      <c r="L12" s="219" t="s">
        <v>25</v>
      </c>
      <c r="M12" s="205"/>
    </row>
    <row r="13" spans="2:13" s="329" customFormat="1" ht="141" customHeight="1" x14ac:dyDescent="0.25">
      <c r="B13" s="329" t="e" vm="2">
        <f>VLOOKUP(E13,IMAGENES!A1:D12,3,0)</f>
        <v>#VALUE!</v>
      </c>
      <c r="C13" s="329" t="s">
        <v>26</v>
      </c>
      <c r="D13" s="331" t="s">
        <v>27</v>
      </c>
      <c r="E13" s="329" t="s">
        <v>28</v>
      </c>
      <c r="F13" s="329" t="str">
        <f>VLOOKUP(E13,IMAGENES!A1:D12,2,0)</f>
        <v>PVC</v>
      </c>
      <c r="G13" s="329">
        <v>1492</v>
      </c>
      <c r="H13" s="329">
        <v>1625</v>
      </c>
      <c r="I13" s="329" t="s">
        <v>29</v>
      </c>
      <c r="J13" s="329">
        <v>1</v>
      </c>
      <c r="K13" s="338">
        <v>312241</v>
      </c>
      <c r="L13" s="338">
        <f>K13*J13</f>
        <v>312241</v>
      </c>
    </row>
    <row r="14" spans="2:13" s="340" customFormat="1" ht="141" customHeight="1" x14ac:dyDescent="0.25">
      <c r="B14" s="329" t="e" vm="3">
        <f>VLOOKUP(E14,IMAGENES!A2:D13,3,0)</f>
        <v>#VALUE!</v>
      </c>
      <c r="C14" s="329" t="s">
        <v>30</v>
      </c>
      <c r="D14" s="331" t="s">
        <v>31</v>
      </c>
      <c r="E14" s="329" t="s">
        <v>32</v>
      </c>
      <c r="F14" s="329" t="str">
        <f>VLOOKUP(E14,IMAGENES!A2:D13,2,0)</f>
        <v>PVC</v>
      </c>
      <c r="G14" s="329">
        <v>1493</v>
      </c>
      <c r="H14" s="329">
        <v>1623</v>
      </c>
      <c r="I14" s="329" t="s">
        <v>29</v>
      </c>
      <c r="J14" s="329">
        <v>1</v>
      </c>
      <c r="K14" s="338">
        <v>312076</v>
      </c>
      <c r="L14" s="338">
        <f>K14*J14</f>
        <v>312076</v>
      </c>
      <c r="M14" s="329"/>
    </row>
    <row r="15" spans="2:13" x14ac:dyDescent="0.25">
      <c r="B15" s="329"/>
      <c r="C15" s="329"/>
      <c r="D15" s="331"/>
      <c r="E15" s="229"/>
      <c r="F15" s="229"/>
      <c r="G15" s="220"/>
      <c r="H15" s="221"/>
      <c r="I15" s="221"/>
      <c r="J15" s="221"/>
      <c r="K15" s="222"/>
      <c r="L15" s="193"/>
      <c r="M15" s="188"/>
    </row>
    <row r="16" spans="2:13" x14ac:dyDescent="0.25">
      <c r="B16" s="375" t="s">
        <v>33</v>
      </c>
      <c r="C16" s="375"/>
      <c r="D16" s="375"/>
      <c r="E16" s="375"/>
      <c r="F16" s="375"/>
      <c r="G16" s="375"/>
      <c r="H16" s="375"/>
      <c r="I16" s="376"/>
      <c r="J16" s="223" t="s">
        <v>34</v>
      </c>
      <c r="K16" s="377">
        <f>SUM(L:L)</f>
        <v>624317</v>
      </c>
      <c r="L16" s="377"/>
      <c r="M16" s="224"/>
    </row>
    <row r="17" spans="2:13" x14ac:dyDescent="0.25">
      <c r="B17" s="378"/>
      <c r="C17" s="378"/>
      <c r="D17" s="378"/>
      <c r="E17" s="378"/>
      <c r="F17" s="378"/>
      <c r="G17" s="378"/>
      <c r="H17" s="378"/>
      <c r="I17" s="379"/>
      <c r="J17" s="223" t="s">
        <v>35</v>
      </c>
      <c r="K17" s="382">
        <f>K16*0.19</f>
        <v>118620.23</v>
      </c>
      <c r="L17" s="383"/>
      <c r="M17" s="224"/>
    </row>
    <row r="18" spans="2:13" x14ac:dyDescent="0.25">
      <c r="B18" s="380"/>
      <c r="C18" s="380"/>
      <c r="D18" s="380"/>
      <c r="E18" s="380"/>
      <c r="F18" s="380"/>
      <c r="G18" s="380"/>
      <c r="H18" s="380"/>
      <c r="I18" s="381"/>
      <c r="J18" s="225" t="s">
        <v>36</v>
      </c>
      <c r="K18" s="382">
        <f>K16+K17</f>
        <v>742937.23</v>
      </c>
      <c r="L18" s="383"/>
      <c r="M18" s="226"/>
    </row>
    <row r="19" spans="2:13" x14ac:dyDescent="0.25">
      <c r="B19" s="369" t="s">
        <v>37</v>
      </c>
      <c r="C19" s="369"/>
      <c r="D19" s="369"/>
      <c r="E19" s="369"/>
      <c r="F19" s="369"/>
      <c r="G19" s="369"/>
      <c r="H19" s="369"/>
      <c r="I19" s="369"/>
      <c r="J19" s="369"/>
      <c r="K19" s="369"/>
      <c r="L19" s="370"/>
      <c r="M19" s="201"/>
    </row>
    <row r="20" spans="2:13" x14ac:dyDescent="0.25">
      <c r="K20" s="227"/>
      <c r="L20" s="227"/>
      <c r="M20" s="228"/>
    </row>
    <row r="21" spans="2:13" x14ac:dyDescent="0.25">
      <c r="K21" s="227"/>
      <c r="L21" s="227"/>
    </row>
  </sheetData>
  <mergeCells count="17">
    <mergeCell ref="B19:L19"/>
    <mergeCell ref="G9:H9"/>
    <mergeCell ref="I9:J9"/>
    <mergeCell ref="K9:L9"/>
    <mergeCell ref="B16:I16"/>
    <mergeCell ref="K16:L16"/>
    <mergeCell ref="B17:I18"/>
    <mergeCell ref="K17:L17"/>
    <mergeCell ref="K18:L18"/>
    <mergeCell ref="G8:H8"/>
    <mergeCell ref="I8:J8"/>
    <mergeCell ref="K8:L8"/>
    <mergeCell ref="B1:J1"/>
    <mergeCell ref="K1:L1"/>
    <mergeCell ref="B2:J6"/>
    <mergeCell ref="K2:L2"/>
    <mergeCell ref="K3:L3"/>
  </mergeCells>
  <phoneticPr fontId="46" type="noConversion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6CB173-E24C-264D-BBF0-59C627923A2B}">
          <x14:formula1>
            <xm:f>IMAGENES!$G$2:$G$6</xm:f>
          </x14:formula1>
          <xm:sqref>I13:I14</xm:sqref>
        </x14:dataValidation>
        <x14:dataValidation type="list" allowBlank="1" showInputMessage="1" showErrorMessage="1" xr:uid="{B33F2F3D-F572-B947-8DA0-EC5A1C1DFBBB}">
          <x14:formula1>
            <xm:f>IMAGENES!$A$2:$A$12</xm:f>
          </x14:formula1>
          <xm:sqref>E13:E14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96B7-851B-2D44-BF31-CC3E87DC056D}">
  <sheetPr codeName="Hoja7">
    <tabColor theme="0" tint="-0.499984740745262"/>
  </sheetPr>
  <dimension ref="A1:O231"/>
  <sheetViews>
    <sheetView showGridLines="0" zoomScale="70" zoomScaleNormal="70" workbookViewId="0">
      <selection activeCell="I9" sqref="I9"/>
    </sheetView>
  </sheetViews>
  <sheetFormatPr baseColWidth="10" defaultColWidth="11" defaultRowHeight="15.75" outlineLevelRow="1" x14ac:dyDescent="0.25"/>
  <cols>
    <col min="1" max="1" width="15.875" bestFit="1" customWidth="1"/>
    <col min="2" max="2" width="12.12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customWidth="1"/>
    <col min="9" max="9" width="11.5" style="231" bestFit="1" customWidth="1"/>
    <col min="10" max="10" width="21.125" bestFit="1" customWidth="1"/>
    <col min="13" max="13" width="18.875" customWidth="1"/>
    <col min="14" max="14" width="4.5" customWidth="1"/>
    <col min="15" max="15" width="10.875" style="231"/>
  </cols>
  <sheetData>
    <row r="1" spans="1:12" ht="16.5" thickBot="1" x14ac:dyDescent="0.3"/>
    <row r="2" spans="1:12" ht="24.75" thickBot="1" x14ac:dyDescent="0.45">
      <c r="A2" s="386" t="s">
        <v>38</v>
      </c>
      <c r="B2" s="386"/>
      <c r="C2" s="386"/>
      <c r="D2" s="386"/>
      <c r="E2" s="386"/>
      <c r="F2" s="386"/>
      <c r="G2" s="315" t="s">
        <v>39</v>
      </c>
      <c r="H2" s="387" t="s">
        <v>40</v>
      </c>
      <c r="I2" s="388"/>
      <c r="J2" s="321" t="s">
        <v>41</v>
      </c>
      <c r="L2" s="327"/>
    </row>
    <row r="3" spans="1:12" ht="19.5" thickBot="1" x14ac:dyDescent="0.35">
      <c r="G3" s="316">
        <f>B14+B36+B58+B80+B102+B124+B146+B168+B190+B212</f>
        <v>1</v>
      </c>
      <c r="H3" s="268" t="s">
        <v>42</v>
      </c>
      <c r="I3" s="325">
        <f>G5*(1+D8)</f>
        <v>34987.669933333331</v>
      </c>
      <c r="J3" s="326">
        <f t="shared" ref="J3:J8" si="0">I3/(1-G$7)</f>
        <v>49982.385619047622</v>
      </c>
    </row>
    <row r="4" spans="1:12" ht="19.5" thickBot="1" x14ac:dyDescent="0.35">
      <c r="A4" s="385" t="s">
        <v>43</v>
      </c>
      <c r="B4" s="385"/>
      <c r="C4" s="345" t="s">
        <v>44</v>
      </c>
      <c r="D4" s="246">
        <f>VLOOKUP(C4,'COSTOS VIDRIOS'!A2:C11,3,0)</f>
        <v>21000</v>
      </c>
      <c r="E4" s="317" t="s">
        <v>45</v>
      </c>
      <c r="G4" s="315" t="s">
        <v>46</v>
      </c>
      <c r="H4" s="270" t="s">
        <v>47</v>
      </c>
      <c r="I4" s="325">
        <f>I14+I36+I58+I80+I102+I124+I146+I168+I190+I212</f>
        <v>15676.08</v>
      </c>
      <c r="J4" s="326">
        <f t="shared" si="0"/>
        <v>22394.400000000001</v>
      </c>
    </row>
    <row r="5" spans="1:12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I13+I35+I57+I79+I101+I123+I145+I167+I189+I211</f>
        <v>31806.972666666661</v>
      </c>
      <c r="H5" s="270" t="s">
        <v>51</v>
      </c>
      <c r="I5" s="325">
        <f>I15+I37+I59+I81+I103+I125+I147+I169+I191+I213</f>
        <v>7935.2</v>
      </c>
      <c r="J5" s="326">
        <f t="shared" si="0"/>
        <v>11336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2" ht="19.5" thickBot="1" x14ac:dyDescent="0.35">
      <c r="A8" s="235"/>
      <c r="B8" s="235"/>
      <c r="C8" s="235" t="s">
        <v>58</v>
      </c>
      <c r="D8" s="246">
        <v>0.1</v>
      </c>
      <c r="F8" s="231"/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2" ht="19.5" thickBot="1" x14ac:dyDescent="0.35">
      <c r="F9" s="318"/>
      <c r="G9" s="320">
        <f>J9-I9</f>
        <v>28619.549971428583</v>
      </c>
      <c r="H9" s="272"/>
      <c r="I9" s="264">
        <f>SUM(I3:I8)</f>
        <v>66778.949933333322</v>
      </c>
      <c r="J9" s="322">
        <f>SUM(J3:J8)</f>
        <v>95398.499904761906</v>
      </c>
    </row>
    <row r="10" spans="1:12" x14ac:dyDescent="0.25">
      <c r="A10" s="1" t="s">
        <v>61</v>
      </c>
      <c r="B10" s="238" t="s">
        <v>26</v>
      </c>
      <c r="C10" s="237"/>
      <c r="E10" s="3"/>
      <c r="F10" s="319"/>
    </row>
    <row r="11" spans="1:12" ht="15.95" customHeight="1" x14ac:dyDescent="0.25">
      <c r="A11" s="4" t="s">
        <v>62</v>
      </c>
      <c r="B11" s="384" t="s">
        <v>63</v>
      </c>
      <c r="C11" s="384"/>
      <c r="D11" s="384"/>
      <c r="E11" s="384"/>
      <c r="F11" s="236"/>
    </row>
    <row r="12" spans="1:12" x14ac:dyDescent="0.25">
      <c r="A12" s="5"/>
      <c r="B12" s="384"/>
      <c r="C12" s="384"/>
      <c r="D12" s="384"/>
      <c r="E12" s="384"/>
      <c r="F12" s="236"/>
    </row>
    <row r="13" spans="1:12" x14ac:dyDescent="0.25">
      <c r="A13" s="240" t="s">
        <v>64</v>
      </c>
      <c r="B13" s="239">
        <v>1</v>
      </c>
      <c r="C13" s="237"/>
      <c r="E13" s="3"/>
      <c r="F13" s="236"/>
      <c r="H13" t="s">
        <v>65</v>
      </c>
      <c r="I13" s="232">
        <f>SUM(I18:I24)</f>
        <v>31806.972666666661</v>
      </c>
    </row>
    <row r="14" spans="1:12" x14ac:dyDescent="0.25">
      <c r="A14" s="241" t="s">
        <v>66</v>
      </c>
      <c r="B14" s="346">
        <f>(B15*B16)/1000000*B13</f>
        <v>1</v>
      </c>
      <c r="C14" s="11" t="s">
        <v>67</v>
      </c>
      <c r="D14" s="12"/>
      <c r="E14" s="12"/>
      <c r="F14" s="12"/>
      <c r="H14" t="s">
        <v>68</v>
      </c>
      <c r="I14" s="246">
        <f>F29</f>
        <v>15676.08</v>
      </c>
    </row>
    <row r="15" spans="1:12" ht="18" x14ac:dyDescent="0.4">
      <c r="A15" s="243" t="s">
        <v>69</v>
      </c>
      <c r="B15" s="14">
        <v>1000</v>
      </c>
      <c r="F15" s="15"/>
      <c r="H15" t="s">
        <v>70</v>
      </c>
      <c r="I15" s="247">
        <f>I25</f>
        <v>7935.2</v>
      </c>
    </row>
    <row r="16" spans="1:12" x14ac:dyDescent="0.25">
      <c r="A16" s="244" t="s">
        <v>71</v>
      </c>
      <c r="B16" s="17">
        <v>1000</v>
      </c>
      <c r="H16" t="s">
        <v>36</v>
      </c>
      <c r="I16" s="248">
        <f>SUM(I13:I15)</f>
        <v>55418.25266666666</v>
      </c>
      <c r="J16" s="227"/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>
        <v>2501</v>
      </c>
      <c r="C18" s="3" t="s">
        <v>81</v>
      </c>
      <c r="D18" s="23">
        <f>B15-16</f>
        <v>984</v>
      </c>
      <c r="E18" s="24">
        <f>1*B13</f>
        <v>1</v>
      </c>
      <c r="F18" s="250">
        <f t="shared" ref="F18:F24" si="1">E18*D18</f>
        <v>984</v>
      </c>
      <c r="G18" s="251">
        <v>22000</v>
      </c>
      <c r="H18" s="252">
        <f>G18/6000</f>
        <v>3.6666666666666665</v>
      </c>
      <c r="I18" s="253">
        <f t="shared" ref="I18:I24" si="2">H18*F18</f>
        <v>3608</v>
      </c>
    </row>
    <row r="19" spans="1:9" hidden="1" outlineLevel="1" x14ac:dyDescent="0.25">
      <c r="A19" s="19"/>
      <c r="B19" s="20">
        <v>2502</v>
      </c>
      <c r="C19" s="3" t="s">
        <v>82</v>
      </c>
      <c r="D19" s="23">
        <f>B15-16</f>
        <v>984</v>
      </c>
      <c r="E19" s="24">
        <f>1*B13</f>
        <v>1</v>
      </c>
      <c r="F19" s="249">
        <f t="shared" si="1"/>
        <v>984</v>
      </c>
      <c r="G19" s="231">
        <v>22000</v>
      </c>
      <c r="H19" s="245">
        <f t="shared" ref="H19:H24" si="3">G19/6000</f>
        <v>3.6666666666666665</v>
      </c>
      <c r="I19" s="227">
        <f t="shared" si="2"/>
        <v>3608</v>
      </c>
    </row>
    <row r="20" spans="1:9" hidden="1" outlineLevel="1" x14ac:dyDescent="0.25">
      <c r="A20" s="19"/>
      <c r="B20" s="26">
        <v>2503</v>
      </c>
      <c r="C20" s="28" t="s">
        <v>83</v>
      </c>
      <c r="D20" s="30">
        <f>B16</f>
        <v>1000</v>
      </c>
      <c r="E20" s="31">
        <f>2*B13</f>
        <v>2</v>
      </c>
      <c r="F20" s="249">
        <f t="shared" si="1"/>
        <v>2000</v>
      </c>
      <c r="G20" s="231">
        <v>18000</v>
      </c>
      <c r="H20" s="245">
        <f t="shared" si="3"/>
        <v>3</v>
      </c>
      <c r="I20" s="227">
        <f t="shared" si="2"/>
        <v>6000</v>
      </c>
    </row>
    <row r="21" spans="1:9" hidden="1" outlineLevel="1" x14ac:dyDescent="0.25">
      <c r="A21" s="19"/>
      <c r="B21" s="20">
        <v>2504</v>
      </c>
      <c r="C21" s="3" t="s">
        <v>84</v>
      </c>
      <c r="D21" s="23">
        <f>(B15/2)+3</f>
        <v>503</v>
      </c>
      <c r="E21" s="24">
        <f>2*B13</f>
        <v>2</v>
      </c>
      <c r="F21" s="249">
        <f t="shared" si="1"/>
        <v>1006</v>
      </c>
      <c r="G21" s="231">
        <v>22283</v>
      </c>
      <c r="H21" s="245">
        <f t="shared" si="3"/>
        <v>3.7138333333333335</v>
      </c>
      <c r="I21" s="227">
        <f t="shared" si="2"/>
        <v>3736.1163333333334</v>
      </c>
    </row>
    <row r="22" spans="1:9" hidden="1" outlineLevel="1" x14ac:dyDescent="0.25">
      <c r="A22" s="19"/>
      <c r="B22" s="20">
        <v>2515</v>
      </c>
      <c r="C22" s="3" t="s">
        <v>85</v>
      </c>
      <c r="D22" s="23">
        <f>(B15/2)+3</f>
        <v>503</v>
      </c>
      <c r="E22" s="24">
        <f>2*B13</f>
        <v>2</v>
      </c>
      <c r="F22" s="249">
        <f t="shared" si="1"/>
        <v>1006</v>
      </c>
      <c r="G22" s="231">
        <v>22283</v>
      </c>
      <c r="H22" s="245">
        <f t="shared" si="3"/>
        <v>3.7138333333333335</v>
      </c>
      <c r="I22" s="227">
        <f t="shared" si="2"/>
        <v>3736.1163333333334</v>
      </c>
    </row>
    <row r="23" spans="1:9" hidden="1" outlineLevel="1" x14ac:dyDescent="0.25">
      <c r="A23" s="19"/>
      <c r="B23" s="20">
        <v>2506</v>
      </c>
      <c r="C23" s="3" t="s">
        <v>86</v>
      </c>
      <c r="D23" s="23">
        <f>B16-58</f>
        <v>942</v>
      </c>
      <c r="E23" s="24">
        <f>2*B13</f>
        <v>2</v>
      </c>
      <c r="F23" s="249">
        <f t="shared" si="1"/>
        <v>1884</v>
      </c>
      <c r="G23" s="231">
        <v>18941</v>
      </c>
      <c r="H23" s="245">
        <f t="shared" si="3"/>
        <v>3.1568333333333332</v>
      </c>
      <c r="I23" s="227">
        <f t="shared" si="2"/>
        <v>5947.4739999999993</v>
      </c>
    </row>
    <row r="24" spans="1:9" hidden="1" outlineLevel="1" x14ac:dyDescent="0.25">
      <c r="A24" s="5"/>
      <c r="B24" s="26">
        <v>2507</v>
      </c>
      <c r="C24" s="28" t="s">
        <v>87</v>
      </c>
      <c r="D24" s="30">
        <f>B16-58</f>
        <v>942</v>
      </c>
      <c r="E24" s="31">
        <f>2*B13</f>
        <v>2</v>
      </c>
      <c r="F24" s="257">
        <f t="shared" si="1"/>
        <v>1884</v>
      </c>
      <c r="G24" s="258">
        <v>16469</v>
      </c>
      <c r="H24" s="259">
        <f t="shared" si="3"/>
        <v>2.7448333333333332</v>
      </c>
      <c r="I24" s="260">
        <f t="shared" si="2"/>
        <v>5171.2659999999996</v>
      </c>
    </row>
    <row r="25" spans="1:9" hidden="1" outlineLevel="1" x14ac:dyDescent="0.25">
      <c r="A25" s="4" t="s">
        <v>88</v>
      </c>
      <c r="B25" s="20"/>
      <c r="C25" s="3" t="s">
        <v>89</v>
      </c>
      <c r="D25" s="23">
        <f>(B15*B16)/1000000*10*B13</f>
        <v>10</v>
      </c>
      <c r="E25" s="24" t="s">
        <v>90</v>
      </c>
      <c r="F25" s="351">
        <v>33.520000000000003</v>
      </c>
      <c r="G25" s="227">
        <f>F25*D25</f>
        <v>335.20000000000005</v>
      </c>
      <c r="H25" s="4" t="s">
        <v>91</v>
      </c>
      <c r="I25" s="246">
        <f>SUM(G25:G27)</f>
        <v>7935.2</v>
      </c>
    </row>
    <row r="26" spans="1:9" hidden="1" outlineLevel="1" x14ac:dyDescent="0.25">
      <c r="A26" s="4"/>
      <c r="B26" s="20"/>
      <c r="C26" s="3" t="s">
        <v>92</v>
      </c>
      <c r="D26" s="23">
        <f>4*B13</f>
        <v>4</v>
      </c>
      <c r="E26" s="24" t="s">
        <v>93</v>
      </c>
      <c r="F26" s="351">
        <v>1200</v>
      </c>
      <c r="G26" s="227">
        <f>F26*D26</f>
        <v>4800</v>
      </c>
    </row>
    <row r="27" spans="1:9" hidden="1" outlineLevel="1" x14ac:dyDescent="0.25">
      <c r="A27" s="19"/>
      <c r="B27" s="20"/>
      <c r="C27" s="3" t="s">
        <v>94</v>
      </c>
      <c r="D27" s="23">
        <f>2*B13</f>
        <v>2</v>
      </c>
      <c r="E27" s="24" t="s">
        <v>93</v>
      </c>
      <c r="F27" s="351">
        <v>1400</v>
      </c>
      <c r="G27" s="227">
        <f>F27*D27</f>
        <v>2800</v>
      </c>
    </row>
    <row r="28" spans="1:9" hidden="1" outlineLevel="1" x14ac:dyDescent="0.25">
      <c r="A28" s="40" t="s">
        <v>95</v>
      </c>
      <c r="B28" s="1" t="s">
        <v>76</v>
      </c>
      <c r="C28" s="1" t="s">
        <v>96</v>
      </c>
      <c r="D28" s="1" t="s">
        <v>97</v>
      </c>
      <c r="E28" s="4" t="s">
        <v>45</v>
      </c>
      <c r="F28" s="4" t="s">
        <v>98</v>
      </c>
    </row>
    <row r="29" spans="1:9" hidden="1" outlineLevel="1" x14ac:dyDescent="0.25">
      <c r="A29" s="5"/>
      <c r="B29" s="31">
        <f>2*B13</f>
        <v>2</v>
      </c>
      <c r="C29" s="32">
        <f>(B15/2)-66</f>
        <v>434</v>
      </c>
      <c r="D29" s="32">
        <f>B16-140</f>
        <v>860</v>
      </c>
      <c r="E29" s="255">
        <f>D4</f>
        <v>21000</v>
      </c>
      <c r="F29" s="256">
        <f>E29*B30</f>
        <v>15676.08</v>
      </c>
    </row>
    <row r="30" spans="1:9" hidden="1" outlineLevel="1" x14ac:dyDescent="0.25">
      <c r="A30" s="6" t="s">
        <v>99</v>
      </c>
      <c r="B30" s="41">
        <f>(B29*C29*D29)/1000000</f>
        <v>0.74648000000000003</v>
      </c>
    </row>
    <row r="31" spans="1:9" collapsed="1" x14ac:dyDescent="0.25"/>
    <row r="32" spans="1:9" x14ac:dyDescent="0.25">
      <c r="A32" s="1" t="s">
        <v>61</v>
      </c>
      <c r="B32" s="238" t="s">
        <v>30</v>
      </c>
      <c r="C32" s="237"/>
      <c r="E32" s="3"/>
    </row>
    <row r="33" spans="1:9" x14ac:dyDescent="0.25">
      <c r="A33" s="4" t="s">
        <v>62</v>
      </c>
      <c r="B33" s="384" t="s">
        <v>100</v>
      </c>
      <c r="C33" s="384"/>
      <c r="D33" s="384"/>
      <c r="E33" s="384"/>
    </row>
    <row r="34" spans="1:9" x14ac:dyDescent="0.25">
      <c r="A34" s="5"/>
      <c r="B34" s="384"/>
      <c r="C34" s="384"/>
      <c r="D34" s="384"/>
      <c r="E34" s="384"/>
    </row>
    <row r="35" spans="1:9" x14ac:dyDescent="0.25">
      <c r="A35" s="240" t="s">
        <v>64</v>
      </c>
      <c r="B35" s="239">
        <v>0</v>
      </c>
      <c r="C35" s="8"/>
      <c r="D35" s="8"/>
      <c r="E35" s="8"/>
      <c r="H35" t="s">
        <v>65</v>
      </c>
      <c r="I35" s="232">
        <f>SUM(I40:I46)</f>
        <v>0</v>
      </c>
    </row>
    <row r="36" spans="1:9" x14ac:dyDescent="0.25">
      <c r="A36" s="241" t="s">
        <v>66</v>
      </c>
      <c r="B36" s="346">
        <f>(B37*B38)/1000000*B35</f>
        <v>0</v>
      </c>
      <c r="C36" s="11" t="s">
        <v>67</v>
      </c>
      <c r="D36" s="12"/>
      <c r="E36" s="12"/>
      <c r="H36" t="s">
        <v>68</v>
      </c>
      <c r="I36" s="246">
        <f>F51</f>
        <v>0</v>
      </c>
    </row>
    <row r="37" spans="1:9" ht="18" x14ac:dyDescent="0.4">
      <c r="A37" s="243" t="s">
        <v>69</v>
      </c>
      <c r="B37" s="14">
        <v>1493</v>
      </c>
      <c r="H37" t="s">
        <v>70</v>
      </c>
      <c r="I37" s="247">
        <f>I47</f>
        <v>0</v>
      </c>
    </row>
    <row r="38" spans="1:9" x14ac:dyDescent="0.25">
      <c r="A38" s="244" t="s">
        <v>71</v>
      </c>
      <c r="B38" s="17">
        <v>1693</v>
      </c>
      <c r="H38" t="s">
        <v>36</v>
      </c>
      <c r="I38" s="248">
        <f>SUM(I35:I37)</f>
        <v>0</v>
      </c>
    </row>
    <row r="39" spans="1:9" hidden="1" outlineLevel="1" x14ac:dyDescent="0.25">
      <c r="A39" s="4" t="s">
        <v>72</v>
      </c>
      <c r="B39" s="1" t="s">
        <v>73</v>
      </c>
      <c r="C39" s="1" t="s">
        <v>74</v>
      </c>
      <c r="D39" s="1" t="s">
        <v>75</v>
      </c>
      <c r="E39" s="1" t="s">
        <v>76</v>
      </c>
      <c r="F39" s="4" t="s">
        <v>77</v>
      </c>
      <c r="G39" s="4" t="s">
        <v>78</v>
      </c>
      <c r="H39" s="4" t="s">
        <v>79</v>
      </c>
      <c r="I39" s="4" t="s">
        <v>80</v>
      </c>
    </row>
    <row r="40" spans="1:9" hidden="1" outlineLevel="1" x14ac:dyDescent="0.25">
      <c r="A40" s="19"/>
      <c r="B40" s="20">
        <v>2501</v>
      </c>
      <c r="C40" s="3" t="s">
        <v>81</v>
      </c>
      <c r="D40" s="23">
        <f>B37-16</f>
        <v>1477</v>
      </c>
      <c r="E40" s="24">
        <f>1*B35</f>
        <v>0</v>
      </c>
      <c r="F40" s="250">
        <f t="shared" ref="F40:F46" si="4">E40*D40</f>
        <v>0</v>
      </c>
      <c r="G40" s="251">
        <v>22000</v>
      </c>
      <c r="H40" s="252">
        <f>G40/6000</f>
        <v>3.6666666666666665</v>
      </c>
      <c r="I40" s="253">
        <f t="shared" ref="I40:I46" si="5">H40*F40</f>
        <v>0</v>
      </c>
    </row>
    <row r="41" spans="1:9" hidden="1" outlineLevel="1" x14ac:dyDescent="0.25">
      <c r="A41" s="19"/>
      <c r="B41" s="20">
        <v>2502</v>
      </c>
      <c r="C41" s="3" t="s">
        <v>82</v>
      </c>
      <c r="D41" s="23">
        <f>B37-16</f>
        <v>1477</v>
      </c>
      <c r="E41" s="24">
        <f>1*B35</f>
        <v>0</v>
      </c>
      <c r="F41" s="249">
        <f t="shared" si="4"/>
        <v>0</v>
      </c>
      <c r="G41" s="231">
        <v>22000</v>
      </c>
      <c r="H41" s="245">
        <f t="shared" ref="H41:H46" si="6">G41/6000</f>
        <v>3.6666666666666665</v>
      </c>
      <c r="I41" s="227">
        <f t="shared" si="5"/>
        <v>0</v>
      </c>
    </row>
    <row r="42" spans="1:9" hidden="1" outlineLevel="1" x14ac:dyDescent="0.25">
      <c r="A42" s="19"/>
      <c r="B42" s="26">
        <v>2503</v>
      </c>
      <c r="C42" s="28" t="s">
        <v>83</v>
      </c>
      <c r="D42" s="30">
        <f>B38</f>
        <v>1693</v>
      </c>
      <c r="E42" s="31">
        <f>2*B35</f>
        <v>0</v>
      </c>
      <c r="F42" s="249">
        <f t="shared" si="4"/>
        <v>0</v>
      </c>
      <c r="G42" s="231">
        <v>18000</v>
      </c>
      <c r="H42" s="245">
        <f t="shared" si="6"/>
        <v>3</v>
      </c>
      <c r="I42" s="227">
        <f t="shared" si="5"/>
        <v>0</v>
      </c>
    </row>
    <row r="43" spans="1:9" hidden="1" outlineLevel="1" x14ac:dyDescent="0.25">
      <c r="A43" s="19"/>
      <c r="B43" s="20">
        <v>2504</v>
      </c>
      <c r="C43" s="3" t="s">
        <v>84</v>
      </c>
      <c r="D43" s="23">
        <f>(B37/2)+3</f>
        <v>749.5</v>
      </c>
      <c r="E43" s="24">
        <f>2*B35</f>
        <v>0</v>
      </c>
      <c r="F43" s="249">
        <f t="shared" si="4"/>
        <v>0</v>
      </c>
      <c r="G43" s="231">
        <v>22283</v>
      </c>
      <c r="H43" s="245">
        <f t="shared" si="6"/>
        <v>3.7138333333333335</v>
      </c>
      <c r="I43" s="227">
        <f t="shared" si="5"/>
        <v>0</v>
      </c>
    </row>
    <row r="44" spans="1:9" hidden="1" outlineLevel="1" x14ac:dyDescent="0.25">
      <c r="A44" s="19"/>
      <c r="B44" s="20">
        <v>2515</v>
      </c>
      <c r="C44" s="3" t="s">
        <v>85</v>
      </c>
      <c r="D44" s="23">
        <f>(B37/2)+3</f>
        <v>749.5</v>
      </c>
      <c r="E44" s="24">
        <f>2*B35</f>
        <v>0</v>
      </c>
      <c r="F44" s="249">
        <f t="shared" si="4"/>
        <v>0</v>
      </c>
      <c r="G44" s="231">
        <v>22283</v>
      </c>
      <c r="H44" s="245">
        <f t="shared" si="6"/>
        <v>3.7138333333333335</v>
      </c>
      <c r="I44" s="227">
        <f t="shared" si="5"/>
        <v>0</v>
      </c>
    </row>
    <row r="45" spans="1:9" hidden="1" outlineLevel="1" x14ac:dyDescent="0.25">
      <c r="A45" s="19"/>
      <c r="B45" s="20">
        <v>2506</v>
      </c>
      <c r="C45" s="3" t="s">
        <v>86</v>
      </c>
      <c r="D45" s="23">
        <f>B38-58</f>
        <v>1635</v>
      </c>
      <c r="E45" s="24">
        <f>2*B35</f>
        <v>0</v>
      </c>
      <c r="F45" s="249">
        <f t="shared" si="4"/>
        <v>0</v>
      </c>
      <c r="G45" s="231">
        <v>18941</v>
      </c>
      <c r="H45" s="245">
        <f t="shared" si="6"/>
        <v>3.1568333333333332</v>
      </c>
      <c r="I45" s="227">
        <f t="shared" si="5"/>
        <v>0</v>
      </c>
    </row>
    <row r="46" spans="1:9" hidden="1" outlineLevel="1" x14ac:dyDescent="0.25">
      <c r="A46" s="5"/>
      <c r="B46" s="26">
        <v>2507</v>
      </c>
      <c r="C46" s="28" t="s">
        <v>87</v>
      </c>
      <c r="D46" s="30">
        <f>B38-58</f>
        <v>1635</v>
      </c>
      <c r="E46" s="31">
        <f>2*B35</f>
        <v>0</v>
      </c>
      <c r="F46" s="257">
        <f t="shared" si="4"/>
        <v>0</v>
      </c>
      <c r="G46" s="258">
        <v>16469</v>
      </c>
      <c r="H46" s="259">
        <f t="shared" si="6"/>
        <v>2.7448333333333332</v>
      </c>
      <c r="I46" s="260">
        <f t="shared" si="5"/>
        <v>0</v>
      </c>
    </row>
    <row r="47" spans="1:9" hidden="1" outlineLevel="1" x14ac:dyDescent="0.25">
      <c r="A47" s="4" t="s">
        <v>88</v>
      </c>
      <c r="B47" s="20"/>
      <c r="C47" s="3" t="s">
        <v>89</v>
      </c>
      <c r="D47" s="23">
        <f>(B37*B38)/1000000*10*B35</f>
        <v>0</v>
      </c>
      <c r="E47" s="24" t="s">
        <v>90</v>
      </c>
      <c r="F47" s="351">
        <v>33.520000000000003</v>
      </c>
      <c r="G47" s="227">
        <f>F47*D47</f>
        <v>0</v>
      </c>
      <c r="H47" s="4" t="s">
        <v>91</v>
      </c>
      <c r="I47" s="246">
        <f>SUM(G47:G49)</f>
        <v>0</v>
      </c>
    </row>
    <row r="48" spans="1:9" hidden="1" outlineLevel="1" x14ac:dyDescent="0.25">
      <c r="A48" s="4"/>
      <c r="B48" s="20"/>
      <c r="C48" s="3" t="s">
        <v>92</v>
      </c>
      <c r="D48" s="23">
        <f>4*B35</f>
        <v>0</v>
      </c>
      <c r="E48" s="24" t="s">
        <v>93</v>
      </c>
      <c r="F48" s="351">
        <v>1200</v>
      </c>
      <c r="G48" s="227">
        <f>F48*D48</f>
        <v>0</v>
      </c>
    </row>
    <row r="49" spans="1:9" hidden="1" outlineLevel="1" x14ac:dyDescent="0.25">
      <c r="A49" s="19"/>
      <c r="B49" s="20"/>
      <c r="C49" s="3" t="s">
        <v>94</v>
      </c>
      <c r="D49" s="23">
        <f>2*B35</f>
        <v>0</v>
      </c>
      <c r="E49" s="24" t="s">
        <v>93</v>
      </c>
      <c r="F49" s="351">
        <v>1400</v>
      </c>
      <c r="G49" s="227">
        <f>F49*D49</f>
        <v>0</v>
      </c>
    </row>
    <row r="50" spans="1:9" hidden="1" outlineLevel="1" x14ac:dyDescent="0.25">
      <c r="A50" s="40" t="s">
        <v>95</v>
      </c>
      <c r="B50" s="1" t="s">
        <v>76</v>
      </c>
      <c r="C50" s="1" t="s">
        <v>96</v>
      </c>
      <c r="D50" s="1" t="s">
        <v>97</v>
      </c>
      <c r="E50" s="4" t="s">
        <v>45</v>
      </c>
      <c r="F50" s="4" t="s">
        <v>98</v>
      </c>
      <c r="G50" s="231"/>
    </row>
    <row r="51" spans="1:9" hidden="1" outlineLevel="1" x14ac:dyDescent="0.25">
      <c r="A51" s="5"/>
      <c r="B51" s="31">
        <f>2*B35</f>
        <v>0</v>
      </c>
      <c r="C51" s="32">
        <f>(B37/2)-66</f>
        <v>680.5</v>
      </c>
      <c r="D51" s="32">
        <f>B38-116</f>
        <v>1577</v>
      </c>
      <c r="E51" s="255">
        <f>D4</f>
        <v>21000</v>
      </c>
      <c r="F51" s="256">
        <f>E51*B52</f>
        <v>0</v>
      </c>
      <c r="G51" s="231"/>
      <c r="I51"/>
    </row>
    <row r="52" spans="1:9" hidden="1" outlineLevel="1" x14ac:dyDescent="0.25">
      <c r="A52" s="6" t="s">
        <v>99</v>
      </c>
      <c r="B52" s="41">
        <f>(B51*C51*D51)/1000000</f>
        <v>0</v>
      </c>
    </row>
    <row r="53" spans="1:9" collapsed="1" x14ac:dyDescent="0.25"/>
    <row r="54" spans="1:9" x14ac:dyDescent="0.25">
      <c r="A54" s="1" t="s">
        <v>61</v>
      </c>
      <c r="B54" s="238" t="s">
        <v>101</v>
      </c>
      <c r="C54" s="237"/>
      <c r="E54" s="3"/>
    </row>
    <row r="55" spans="1:9" x14ac:dyDescent="0.25">
      <c r="A55" s="4" t="s">
        <v>62</v>
      </c>
      <c r="B55" s="384" t="s">
        <v>102</v>
      </c>
      <c r="C55" s="384"/>
      <c r="D55" s="384"/>
      <c r="E55" s="384"/>
    </row>
    <row r="56" spans="1:9" x14ac:dyDescent="0.25">
      <c r="A56" s="5"/>
      <c r="B56" s="384"/>
      <c r="C56" s="384"/>
      <c r="D56" s="384"/>
      <c r="E56" s="384"/>
    </row>
    <row r="57" spans="1:9" x14ac:dyDescent="0.25">
      <c r="A57" s="240" t="s">
        <v>64</v>
      </c>
      <c r="B57" s="239">
        <v>0</v>
      </c>
      <c r="C57" s="8"/>
      <c r="D57" s="8"/>
      <c r="E57" s="8"/>
      <c r="H57" t="s">
        <v>65</v>
      </c>
      <c r="I57" s="232">
        <f>SUM(I62:I68)</f>
        <v>0</v>
      </c>
    </row>
    <row r="58" spans="1:9" x14ac:dyDescent="0.25">
      <c r="A58" s="241" t="s">
        <v>66</v>
      </c>
      <c r="B58" s="346">
        <f>(B59*B60)/1000000*B57</f>
        <v>0</v>
      </c>
      <c r="C58" s="11" t="s">
        <v>67</v>
      </c>
      <c r="D58" s="12"/>
      <c r="E58" s="12"/>
      <c r="H58" t="s">
        <v>68</v>
      </c>
      <c r="I58" s="246">
        <f>F73</f>
        <v>0</v>
      </c>
    </row>
    <row r="59" spans="1:9" ht="18" x14ac:dyDescent="0.4">
      <c r="A59" s="243" t="s">
        <v>69</v>
      </c>
      <c r="B59" s="14">
        <v>2000</v>
      </c>
      <c r="H59" t="s">
        <v>70</v>
      </c>
      <c r="I59" s="247">
        <f>I69</f>
        <v>0</v>
      </c>
    </row>
    <row r="60" spans="1:9" x14ac:dyDescent="0.25">
      <c r="A60" s="244" t="s">
        <v>71</v>
      </c>
      <c r="B60" s="17">
        <v>1085</v>
      </c>
      <c r="H60" t="s">
        <v>36</v>
      </c>
      <c r="I60" s="248">
        <f>SUM(I57:I59)</f>
        <v>0</v>
      </c>
    </row>
    <row r="61" spans="1:9" hidden="1" outlineLevel="1" x14ac:dyDescent="0.25">
      <c r="A61" s="4" t="s">
        <v>72</v>
      </c>
      <c r="B61" s="1" t="s">
        <v>73</v>
      </c>
      <c r="C61" s="1" t="s">
        <v>74</v>
      </c>
      <c r="D61" s="1" t="s">
        <v>75</v>
      </c>
      <c r="E61" s="1" t="s">
        <v>76</v>
      </c>
      <c r="F61" s="4" t="s">
        <v>77</v>
      </c>
      <c r="G61" s="4" t="s">
        <v>78</v>
      </c>
      <c r="H61" s="4" t="s">
        <v>79</v>
      </c>
      <c r="I61" s="4" t="s">
        <v>80</v>
      </c>
    </row>
    <row r="62" spans="1:9" hidden="1" outlineLevel="1" x14ac:dyDescent="0.25">
      <c r="A62" s="19"/>
      <c r="B62" s="20">
        <v>2501</v>
      </c>
      <c r="C62" s="3" t="s">
        <v>81</v>
      </c>
      <c r="D62" s="23">
        <f>B59-16</f>
        <v>1984</v>
      </c>
      <c r="E62" s="24">
        <f>1*B57</f>
        <v>0</v>
      </c>
      <c r="F62" s="250">
        <f t="shared" ref="F62:F68" si="7">E62*D62</f>
        <v>0</v>
      </c>
      <c r="G62" s="251">
        <v>22000</v>
      </c>
      <c r="H62" s="252">
        <f t="shared" ref="H62:H68" si="8">G62/6000</f>
        <v>3.6666666666666665</v>
      </c>
      <c r="I62" s="253">
        <f t="shared" ref="I62:I68" si="9">H62*F62</f>
        <v>0</v>
      </c>
    </row>
    <row r="63" spans="1:9" hidden="1" outlineLevel="1" x14ac:dyDescent="0.25">
      <c r="A63" s="19"/>
      <c r="B63" s="20">
        <v>2502</v>
      </c>
      <c r="C63" s="3" t="s">
        <v>82</v>
      </c>
      <c r="D63" s="23">
        <f>B59-16</f>
        <v>1984</v>
      </c>
      <c r="E63" s="24">
        <f>1*B57</f>
        <v>0</v>
      </c>
      <c r="F63" s="249">
        <f t="shared" si="7"/>
        <v>0</v>
      </c>
      <c r="G63" s="231">
        <v>22000</v>
      </c>
      <c r="H63" s="245">
        <f t="shared" si="8"/>
        <v>3.6666666666666665</v>
      </c>
      <c r="I63" s="227">
        <f t="shared" si="9"/>
        <v>0</v>
      </c>
    </row>
    <row r="64" spans="1:9" hidden="1" outlineLevel="1" x14ac:dyDescent="0.25">
      <c r="A64" s="19"/>
      <c r="B64" s="26">
        <v>2503</v>
      </c>
      <c r="C64" s="28" t="s">
        <v>83</v>
      </c>
      <c r="D64" s="30">
        <f>B60</f>
        <v>1085</v>
      </c>
      <c r="E64" s="31">
        <f>2*B57</f>
        <v>0</v>
      </c>
      <c r="F64" s="249">
        <f t="shared" si="7"/>
        <v>0</v>
      </c>
      <c r="G64" s="231">
        <v>18000</v>
      </c>
      <c r="H64" s="245">
        <f t="shared" si="8"/>
        <v>3</v>
      </c>
      <c r="I64" s="227">
        <f t="shared" si="9"/>
        <v>0</v>
      </c>
    </row>
    <row r="65" spans="1:9" hidden="1" outlineLevel="1" x14ac:dyDescent="0.25">
      <c r="A65" s="19"/>
      <c r="B65" s="20">
        <v>2504</v>
      </c>
      <c r="C65" s="3" t="s">
        <v>84</v>
      </c>
      <c r="D65" s="23">
        <f>(B59/2)+3</f>
        <v>1003</v>
      </c>
      <c r="E65" s="24">
        <f>2*B57</f>
        <v>0</v>
      </c>
      <c r="F65" s="249">
        <f t="shared" si="7"/>
        <v>0</v>
      </c>
      <c r="G65" s="231">
        <v>22283</v>
      </c>
      <c r="H65" s="245">
        <f t="shared" si="8"/>
        <v>3.7138333333333335</v>
      </c>
      <c r="I65" s="227">
        <f t="shared" si="9"/>
        <v>0</v>
      </c>
    </row>
    <row r="66" spans="1:9" hidden="1" outlineLevel="1" x14ac:dyDescent="0.25">
      <c r="A66" s="19"/>
      <c r="B66" s="20">
        <v>2515</v>
      </c>
      <c r="C66" s="3" t="s">
        <v>85</v>
      </c>
      <c r="D66" s="23">
        <f>(B59/2)+3</f>
        <v>1003</v>
      </c>
      <c r="E66" s="24">
        <f>2*B57</f>
        <v>0</v>
      </c>
      <c r="F66" s="249">
        <f t="shared" si="7"/>
        <v>0</v>
      </c>
      <c r="G66" s="231">
        <v>22283</v>
      </c>
      <c r="H66" s="245">
        <f t="shared" si="8"/>
        <v>3.7138333333333335</v>
      </c>
      <c r="I66" s="227">
        <f t="shared" si="9"/>
        <v>0</v>
      </c>
    </row>
    <row r="67" spans="1:9" hidden="1" outlineLevel="1" x14ac:dyDescent="0.25">
      <c r="A67" s="19"/>
      <c r="B67" s="20">
        <v>2506</v>
      </c>
      <c r="C67" s="3" t="s">
        <v>86</v>
      </c>
      <c r="D67" s="23">
        <f>B60-58</f>
        <v>1027</v>
      </c>
      <c r="E67" s="24">
        <f>2*B57</f>
        <v>0</v>
      </c>
      <c r="F67" s="249">
        <f t="shared" si="7"/>
        <v>0</v>
      </c>
      <c r="G67" s="231">
        <v>18941</v>
      </c>
      <c r="H67" s="245">
        <f t="shared" si="8"/>
        <v>3.1568333333333332</v>
      </c>
      <c r="I67" s="227">
        <f t="shared" si="9"/>
        <v>0</v>
      </c>
    </row>
    <row r="68" spans="1:9" hidden="1" outlineLevel="1" x14ac:dyDescent="0.25">
      <c r="A68" s="5"/>
      <c r="B68" s="26">
        <v>2507</v>
      </c>
      <c r="C68" s="28" t="s">
        <v>87</v>
      </c>
      <c r="D68" s="30">
        <f>B60-58</f>
        <v>1027</v>
      </c>
      <c r="E68" s="31">
        <f>2*B57</f>
        <v>0</v>
      </c>
      <c r="F68" s="257">
        <f t="shared" si="7"/>
        <v>0</v>
      </c>
      <c r="G68" s="258">
        <v>16469</v>
      </c>
      <c r="H68" s="259">
        <f t="shared" si="8"/>
        <v>2.7448333333333332</v>
      </c>
      <c r="I68" s="260">
        <f t="shared" si="9"/>
        <v>0</v>
      </c>
    </row>
    <row r="69" spans="1:9" hidden="1" outlineLevel="1" x14ac:dyDescent="0.25">
      <c r="A69" s="4" t="s">
        <v>88</v>
      </c>
      <c r="B69" s="20"/>
      <c r="C69" s="3" t="s">
        <v>89</v>
      </c>
      <c r="D69" s="23">
        <f>(B59*B60)/1000000*10*B57</f>
        <v>0</v>
      </c>
      <c r="E69" s="24" t="s">
        <v>90</v>
      </c>
      <c r="F69" s="351">
        <v>33.520000000000003</v>
      </c>
      <c r="G69" s="227">
        <f>F69*D69</f>
        <v>0</v>
      </c>
      <c r="H69" s="4" t="s">
        <v>91</v>
      </c>
      <c r="I69" s="246">
        <f>SUM(G69:G71)</f>
        <v>0</v>
      </c>
    </row>
    <row r="70" spans="1:9" hidden="1" outlineLevel="1" x14ac:dyDescent="0.25">
      <c r="A70" s="4"/>
      <c r="B70" s="20"/>
      <c r="C70" s="3" t="s">
        <v>92</v>
      </c>
      <c r="D70" s="23">
        <f>4*B57</f>
        <v>0</v>
      </c>
      <c r="E70" s="24" t="s">
        <v>93</v>
      </c>
      <c r="F70" s="351">
        <v>1200</v>
      </c>
      <c r="G70" s="227">
        <f>F70*D70</f>
        <v>0</v>
      </c>
    </row>
    <row r="71" spans="1:9" hidden="1" outlineLevel="1" x14ac:dyDescent="0.25">
      <c r="A71" s="19"/>
      <c r="B71" s="20"/>
      <c r="C71" s="3" t="s">
        <v>94</v>
      </c>
      <c r="D71" s="23">
        <f>2*B57</f>
        <v>0</v>
      </c>
      <c r="E71" s="24" t="s">
        <v>93</v>
      </c>
      <c r="F71" s="351">
        <v>1400</v>
      </c>
      <c r="G71" s="227">
        <f>F71*D71</f>
        <v>0</v>
      </c>
    </row>
    <row r="72" spans="1:9" hidden="1" outlineLevel="1" x14ac:dyDescent="0.25">
      <c r="A72" s="40" t="s">
        <v>95</v>
      </c>
      <c r="B72" s="1" t="s">
        <v>76</v>
      </c>
      <c r="C72" s="1" t="s">
        <v>96</v>
      </c>
      <c r="D72" s="1" t="s">
        <v>97</v>
      </c>
      <c r="E72" s="4" t="s">
        <v>45</v>
      </c>
      <c r="F72" s="4" t="s">
        <v>98</v>
      </c>
      <c r="G72" s="231"/>
    </row>
    <row r="73" spans="1:9" hidden="1" outlineLevel="1" x14ac:dyDescent="0.25">
      <c r="A73" s="5"/>
      <c r="B73" s="31">
        <f>2*B57</f>
        <v>0</v>
      </c>
      <c r="C73" s="32">
        <f>(B59/2)-66</f>
        <v>934</v>
      </c>
      <c r="D73" s="32">
        <f>B60-116</f>
        <v>969</v>
      </c>
      <c r="E73" s="255">
        <f>D4</f>
        <v>21000</v>
      </c>
      <c r="F73" s="256">
        <f>E73*B74</f>
        <v>0</v>
      </c>
      <c r="G73" s="231"/>
      <c r="I73"/>
    </row>
    <row r="74" spans="1:9" hidden="1" outlineLevel="1" x14ac:dyDescent="0.25">
      <c r="A74" s="6" t="s">
        <v>99</v>
      </c>
      <c r="B74" s="41">
        <f>(B73*C73*D73)/1000000</f>
        <v>0</v>
      </c>
    </row>
    <row r="75" spans="1:9" collapsed="1" x14ac:dyDescent="0.25"/>
    <row r="76" spans="1:9" x14ac:dyDescent="0.25">
      <c r="A76" s="1" t="s">
        <v>61</v>
      </c>
      <c r="B76" s="238" t="s">
        <v>103</v>
      </c>
      <c r="C76" s="237"/>
      <c r="E76" s="3"/>
    </row>
    <row r="77" spans="1:9" x14ac:dyDescent="0.25">
      <c r="A77" s="4" t="s">
        <v>62</v>
      </c>
      <c r="B77" s="384" t="s">
        <v>63</v>
      </c>
      <c r="C77" s="384"/>
      <c r="D77" s="384"/>
      <c r="E77" s="384"/>
    </row>
    <row r="78" spans="1:9" x14ac:dyDescent="0.25">
      <c r="A78" s="5"/>
      <c r="B78" s="384"/>
      <c r="C78" s="384"/>
      <c r="D78" s="384"/>
      <c r="E78" s="384"/>
    </row>
    <row r="79" spans="1:9" x14ac:dyDescent="0.25">
      <c r="A79" s="240" t="s">
        <v>64</v>
      </c>
      <c r="B79" s="239">
        <v>0</v>
      </c>
      <c r="C79" s="8"/>
      <c r="D79" s="8"/>
      <c r="E79" s="8"/>
      <c r="H79" t="s">
        <v>65</v>
      </c>
      <c r="I79" s="232">
        <f>SUM(I84:I90)</f>
        <v>0</v>
      </c>
    </row>
    <row r="80" spans="1:9" x14ac:dyDescent="0.25">
      <c r="A80" s="241" t="s">
        <v>66</v>
      </c>
      <c r="B80" s="346">
        <f>(B81*B82)/1000000*B79</f>
        <v>0</v>
      </c>
      <c r="C80" s="11" t="s">
        <v>67</v>
      </c>
      <c r="D80" s="12"/>
      <c r="E80" s="12"/>
      <c r="H80" t="s">
        <v>68</v>
      </c>
      <c r="I80" s="246">
        <f>F95</f>
        <v>0</v>
      </c>
    </row>
    <row r="81" spans="1:9" ht="18" x14ac:dyDescent="0.4">
      <c r="A81" s="243" t="s">
        <v>69</v>
      </c>
      <c r="B81" s="14">
        <v>1197</v>
      </c>
      <c r="H81" t="s">
        <v>70</v>
      </c>
      <c r="I81" s="247">
        <f>I91</f>
        <v>0</v>
      </c>
    </row>
    <row r="82" spans="1:9" x14ac:dyDescent="0.25">
      <c r="A82" s="244" t="s">
        <v>71</v>
      </c>
      <c r="B82" s="17">
        <v>1102</v>
      </c>
      <c r="H82" t="s">
        <v>36</v>
      </c>
      <c r="I82" s="248">
        <f>SUM(I79:I81)</f>
        <v>0</v>
      </c>
    </row>
    <row r="83" spans="1:9" hidden="1" outlineLevel="1" x14ac:dyDescent="0.25">
      <c r="A83" s="4" t="s">
        <v>72</v>
      </c>
      <c r="B83" s="1" t="s">
        <v>73</v>
      </c>
      <c r="C83" s="1" t="s">
        <v>74</v>
      </c>
      <c r="D83" s="1" t="s">
        <v>75</v>
      </c>
      <c r="E83" s="1" t="s">
        <v>76</v>
      </c>
      <c r="F83" s="4" t="s">
        <v>77</v>
      </c>
      <c r="G83" s="4" t="s">
        <v>78</v>
      </c>
      <c r="H83" s="4" t="s">
        <v>79</v>
      </c>
      <c r="I83" s="4" t="s">
        <v>80</v>
      </c>
    </row>
    <row r="84" spans="1:9" hidden="1" outlineLevel="1" x14ac:dyDescent="0.25">
      <c r="A84" s="19"/>
      <c r="B84" s="20">
        <v>2501</v>
      </c>
      <c r="C84" s="3" t="s">
        <v>81</v>
      </c>
      <c r="D84" s="23">
        <f>B81-16</f>
        <v>1181</v>
      </c>
      <c r="E84" s="24">
        <f>1*B79</f>
        <v>0</v>
      </c>
      <c r="F84" s="250">
        <f t="shared" ref="F84:F90" si="10">E84*D84</f>
        <v>0</v>
      </c>
      <c r="G84" s="251">
        <v>22000</v>
      </c>
      <c r="H84" s="252">
        <f>G84/6000</f>
        <v>3.6666666666666665</v>
      </c>
      <c r="I84" s="253">
        <f t="shared" ref="I84:I90" si="11">H84*F84</f>
        <v>0</v>
      </c>
    </row>
    <row r="85" spans="1:9" hidden="1" outlineLevel="1" x14ac:dyDescent="0.25">
      <c r="A85" s="19"/>
      <c r="B85" s="20">
        <v>2502</v>
      </c>
      <c r="C85" s="3" t="s">
        <v>82</v>
      </c>
      <c r="D85" s="23">
        <f>B81-16</f>
        <v>1181</v>
      </c>
      <c r="E85" s="24">
        <f>1*B79</f>
        <v>0</v>
      </c>
      <c r="F85" s="249">
        <f t="shared" si="10"/>
        <v>0</v>
      </c>
      <c r="G85" s="231">
        <v>22000</v>
      </c>
      <c r="H85" s="245">
        <f t="shared" ref="H85:H90" si="12">G85/6000</f>
        <v>3.6666666666666665</v>
      </c>
      <c r="I85" s="227">
        <f t="shared" si="11"/>
        <v>0</v>
      </c>
    </row>
    <row r="86" spans="1:9" hidden="1" outlineLevel="1" x14ac:dyDescent="0.25">
      <c r="A86" s="19"/>
      <c r="B86" s="26">
        <v>2503</v>
      </c>
      <c r="C86" s="28" t="s">
        <v>83</v>
      </c>
      <c r="D86" s="30">
        <f>B82</f>
        <v>1102</v>
      </c>
      <c r="E86" s="31">
        <f>2*B79</f>
        <v>0</v>
      </c>
      <c r="F86" s="249">
        <f t="shared" si="10"/>
        <v>0</v>
      </c>
      <c r="G86" s="231">
        <v>18000</v>
      </c>
      <c r="H86" s="245">
        <f t="shared" si="12"/>
        <v>3</v>
      </c>
      <c r="I86" s="227">
        <f t="shared" si="11"/>
        <v>0</v>
      </c>
    </row>
    <row r="87" spans="1:9" hidden="1" outlineLevel="1" x14ac:dyDescent="0.25">
      <c r="A87" s="19"/>
      <c r="B87" s="20">
        <v>2504</v>
      </c>
      <c r="C87" s="3" t="s">
        <v>84</v>
      </c>
      <c r="D87" s="23">
        <f>(B81/2)+3</f>
        <v>601.5</v>
      </c>
      <c r="E87" s="24">
        <f>2*B79</f>
        <v>0</v>
      </c>
      <c r="F87" s="249">
        <f t="shared" si="10"/>
        <v>0</v>
      </c>
      <c r="G87" s="231">
        <v>22283</v>
      </c>
      <c r="H87" s="245">
        <f t="shared" si="12"/>
        <v>3.7138333333333335</v>
      </c>
      <c r="I87" s="227">
        <f t="shared" si="11"/>
        <v>0</v>
      </c>
    </row>
    <row r="88" spans="1:9" hidden="1" outlineLevel="1" x14ac:dyDescent="0.25">
      <c r="A88" s="19"/>
      <c r="B88" s="20">
        <v>2515</v>
      </c>
      <c r="C88" s="3" t="s">
        <v>85</v>
      </c>
      <c r="D88" s="23">
        <f>(B81/2)+3</f>
        <v>601.5</v>
      </c>
      <c r="E88" s="24">
        <f>2*B79</f>
        <v>0</v>
      </c>
      <c r="F88" s="249">
        <f t="shared" si="10"/>
        <v>0</v>
      </c>
      <c r="G88" s="231">
        <v>22283</v>
      </c>
      <c r="H88" s="245">
        <f t="shared" si="12"/>
        <v>3.7138333333333335</v>
      </c>
      <c r="I88" s="227">
        <f t="shared" si="11"/>
        <v>0</v>
      </c>
    </row>
    <row r="89" spans="1:9" hidden="1" outlineLevel="1" x14ac:dyDescent="0.25">
      <c r="A89" s="19"/>
      <c r="B89" s="20">
        <v>2506</v>
      </c>
      <c r="C89" s="3" t="s">
        <v>86</v>
      </c>
      <c r="D89" s="23">
        <f>B82-58</f>
        <v>1044</v>
      </c>
      <c r="E89" s="24">
        <f>2*B79</f>
        <v>0</v>
      </c>
      <c r="F89" s="249">
        <f t="shared" si="10"/>
        <v>0</v>
      </c>
      <c r="G89" s="231">
        <v>18941</v>
      </c>
      <c r="H89" s="245">
        <f t="shared" si="12"/>
        <v>3.1568333333333332</v>
      </c>
      <c r="I89" s="227">
        <f t="shared" si="11"/>
        <v>0</v>
      </c>
    </row>
    <row r="90" spans="1:9" hidden="1" outlineLevel="1" x14ac:dyDescent="0.25">
      <c r="A90" s="5"/>
      <c r="B90" s="26">
        <v>2507</v>
      </c>
      <c r="C90" s="28" t="s">
        <v>87</v>
      </c>
      <c r="D90" s="30">
        <f>B82-58</f>
        <v>1044</v>
      </c>
      <c r="E90" s="31">
        <f>2*B79</f>
        <v>0</v>
      </c>
      <c r="F90" s="257">
        <f t="shared" si="10"/>
        <v>0</v>
      </c>
      <c r="G90" s="258">
        <v>16469</v>
      </c>
      <c r="H90" s="259">
        <f t="shared" si="12"/>
        <v>2.7448333333333332</v>
      </c>
      <c r="I90" s="260">
        <f t="shared" si="11"/>
        <v>0</v>
      </c>
    </row>
    <row r="91" spans="1:9" hidden="1" outlineLevel="1" x14ac:dyDescent="0.25">
      <c r="A91" s="4" t="s">
        <v>88</v>
      </c>
      <c r="B91" s="20"/>
      <c r="C91" s="3" t="s">
        <v>89</v>
      </c>
      <c r="D91" s="23">
        <f>(B81*B82)/1000000*10*B79</f>
        <v>0</v>
      </c>
      <c r="E91" s="24" t="s">
        <v>90</v>
      </c>
      <c r="F91" s="351">
        <v>33.520000000000003</v>
      </c>
      <c r="G91" s="227">
        <f>F91*D91</f>
        <v>0</v>
      </c>
      <c r="H91" s="4" t="s">
        <v>91</v>
      </c>
      <c r="I91" s="246">
        <f>SUM(G91:G93)</f>
        <v>0</v>
      </c>
    </row>
    <row r="92" spans="1:9" hidden="1" outlineLevel="1" x14ac:dyDescent="0.25">
      <c r="A92" s="4"/>
      <c r="B92" s="20"/>
      <c r="C92" s="3" t="s">
        <v>92</v>
      </c>
      <c r="D92" s="23">
        <f>4*B79</f>
        <v>0</v>
      </c>
      <c r="E92" s="24" t="s">
        <v>93</v>
      </c>
      <c r="F92" s="351">
        <v>1200</v>
      </c>
      <c r="G92" s="227">
        <f>F92*D92</f>
        <v>0</v>
      </c>
    </row>
    <row r="93" spans="1:9" hidden="1" outlineLevel="1" x14ac:dyDescent="0.25">
      <c r="A93" s="19"/>
      <c r="B93" s="20"/>
      <c r="C93" s="3" t="s">
        <v>94</v>
      </c>
      <c r="D93" s="23">
        <f>2*B79</f>
        <v>0</v>
      </c>
      <c r="E93" s="24" t="s">
        <v>93</v>
      </c>
      <c r="F93" s="351">
        <v>1400</v>
      </c>
      <c r="G93" s="227">
        <f>F93*D93</f>
        <v>0</v>
      </c>
    </row>
    <row r="94" spans="1:9" hidden="1" outlineLevel="1" x14ac:dyDescent="0.25">
      <c r="A94" s="40" t="s">
        <v>95</v>
      </c>
      <c r="B94" s="1" t="s">
        <v>76</v>
      </c>
      <c r="C94" s="1" t="s">
        <v>96</v>
      </c>
      <c r="D94" s="1" t="s">
        <v>97</v>
      </c>
      <c r="E94" s="4" t="s">
        <v>45</v>
      </c>
      <c r="F94" s="4" t="s">
        <v>98</v>
      </c>
      <c r="G94" s="231"/>
    </row>
    <row r="95" spans="1:9" hidden="1" outlineLevel="1" x14ac:dyDescent="0.25">
      <c r="A95" s="5"/>
      <c r="B95" s="31">
        <f>2*B79</f>
        <v>0</v>
      </c>
      <c r="C95" s="32">
        <f>(B81/2)-66</f>
        <v>532.5</v>
      </c>
      <c r="D95" s="32">
        <f>B82-116</f>
        <v>986</v>
      </c>
      <c r="E95" s="255">
        <f>D4</f>
        <v>21000</v>
      </c>
      <c r="F95" s="256">
        <f>E95*B96</f>
        <v>0</v>
      </c>
      <c r="G95" s="231"/>
      <c r="I95"/>
    </row>
    <row r="96" spans="1:9" hidden="1" outlineLevel="1" x14ac:dyDescent="0.25">
      <c r="A96" s="6" t="s">
        <v>99</v>
      </c>
      <c r="B96" s="41">
        <f>(B95*C95*D95)/1000000</f>
        <v>0</v>
      </c>
    </row>
    <row r="97" spans="1:9" collapsed="1" x14ac:dyDescent="0.25"/>
    <row r="98" spans="1:9" x14ac:dyDescent="0.25">
      <c r="A98" s="1" t="s">
        <v>61</v>
      </c>
      <c r="B98" s="238" t="s">
        <v>104</v>
      </c>
      <c r="C98" s="237"/>
      <c r="E98" s="3"/>
    </row>
    <row r="99" spans="1:9" x14ac:dyDescent="0.25">
      <c r="A99" s="4" t="s">
        <v>62</v>
      </c>
      <c r="B99" s="384" t="s">
        <v>63</v>
      </c>
      <c r="C99" s="384"/>
      <c r="D99" s="384"/>
      <c r="E99" s="384"/>
    </row>
    <row r="100" spans="1:9" x14ac:dyDescent="0.25">
      <c r="A100" s="5"/>
      <c r="B100" s="384"/>
      <c r="C100" s="384"/>
      <c r="D100" s="384"/>
      <c r="E100" s="384"/>
    </row>
    <row r="101" spans="1:9" x14ac:dyDescent="0.25">
      <c r="A101" s="240" t="s">
        <v>64</v>
      </c>
      <c r="B101" s="239">
        <v>0</v>
      </c>
      <c r="C101" s="8"/>
      <c r="D101" s="8"/>
      <c r="E101" s="8"/>
      <c r="H101" t="s">
        <v>65</v>
      </c>
      <c r="I101" s="232">
        <f>SUM(I106:I112)</f>
        <v>0</v>
      </c>
    </row>
    <row r="102" spans="1:9" x14ac:dyDescent="0.25">
      <c r="A102" s="241" t="s">
        <v>66</v>
      </c>
      <c r="B102" s="346">
        <f>(B103*B104)/1000000*B101</f>
        <v>0</v>
      </c>
      <c r="C102" s="11" t="s">
        <v>67</v>
      </c>
      <c r="D102" s="12"/>
      <c r="E102" s="12"/>
      <c r="H102" t="s">
        <v>68</v>
      </c>
      <c r="I102" s="246">
        <f>F117</f>
        <v>0</v>
      </c>
    </row>
    <row r="103" spans="1:9" ht="18" x14ac:dyDescent="0.4">
      <c r="A103" s="243" t="s">
        <v>69</v>
      </c>
      <c r="B103" s="14">
        <v>1597</v>
      </c>
      <c r="H103" t="s">
        <v>70</v>
      </c>
      <c r="I103" s="247">
        <f>I113</f>
        <v>0</v>
      </c>
    </row>
    <row r="104" spans="1:9" x14ac:dyDescent="0.25">
      <c r="A104" s="244" t="s">
        <v>71</v>
      </c>
      <c r="B104" s="17">
        <v>1097</v>
      </c>
      <c r="H104" t="s">
        <v>36</v>
      </c>
      <c r="I104" s="248">
        <f>SUM(I101:I103)</f>
        <v>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2501</v>
      </c>
      <c r="C106" s="3" t="s">
        <v>81</v>
      </c>
      <c r="D106" s="23">
        <f>B103-16</f>
        <v>1581</v>
      </c>
      <c r="E106" s="24">
        <f>1*B101</f>
        <v>0</v>
      </c>
      <c r="F106" s="250">
        <f t="shared" ref="F106:F112" si="13">E106*D106</f>
        <v>0</v>
      </c>
      <c r="G106" s="251">
        <v>22000</v>
      </c>
      <c r="H106" s="252">
        <f>G106/6000</f>
        <v>3.6666666666666665</v>
      </c>
      <c r="I106" s="253">
        <f t="shared" ref="I106:I112" si="14">H106*F106</f>
        <v>0</v>
      </c>
    </row>
    <row r="107" spans="1:9" hidden="1" outlineLevel="1" x14ac:dyDescent="0.25">
      <c r="A107" s="19"/>
      <c r="B107" s="20">
        <v>2502</v>
      </c>
      <c r="C107" s="3" t="s">
        <v>82</v>
      </c>
      <c r="D107" s="23">
        <f>B103-16</f>
        <v>1581</v>
      </c>
      <c r="E107" s="24">
        <f>1*B101</f>
        <v>0</v>
      </c>
      <c r="F107" s="249">
        <f t="shared" si="13"/>
        <v>0</v>
      </c>
      <c r="G107" s="231">
        <v>22000</v>
      </c>
      <c r="H107" s="245">
        <f t="shared" ref="H107:H112" si="15">G107/6000</f>
        <v>3.6666666666666665</v>
      </c>
      <c r="I107" s="227">
        <f t="shared" si="14"/>
        <v>0</v>
      </c>
    </row>
    <row r="108" spans="1:9" hidden="1" outlineLevel="1" x14ac:dyDescent="0.25">
      <c r="A108" s="19"/>
      <c r="B108" s="26">
        <v>2503</v>
      </c>
      <c r="C108" s="28" t="s">
        <v>83</v>
      </c>
      <c r="D108" s="30">
        <f>B104</f>
        <v>1097</v>
      </c>
      <c r="E108" s="31">
        <f>2*B101</f>
        <v>0</v>
      </c>
      <c r="F108" s="249">
        <f t="shared" si="13"/>
        <v>0</v>
      </c>
      <c r="G108" s="231">
        <v>18000</v>
      </c>
      <c r="H108" s="245">
        <f t="shared" si="15"/>
        <v>3</v>
      </c>
      <c r="I108" s="227">
        <f t="shared" si="14"/>
        <v>0</v>
      </c>
    </row>
    <row r="109" spans="1:9" hidden="1" outlineLevel="1" x14ac:dyDescent="0.25">
      <c r="A109" s="19"/>
      <c r="B109" s="20">
        <v>2504</v>
      </c>
      <c r="C109" s="3" t="s">
        <v>84</v>
      </c>
      <c r="D109" s="23">
        <f>(B103/2)+3</f>
        <v>801.5</v>
      </c>
      <c r="E109" s="24">
        <f>2*B101</f>
        <v>0</v>
      </c>
      <c r="F109" s="249">
        <f t="shared" si="13"/>
        <v>0</v>
      </c>
      <c r="G109" s="231">
        <v>22283</v>
      </c>
      <c r="H109" s="245">
        <f t="shared" si="15"/>
        <v>3.7138333333333335</v>
      </c>
      <c r="I109" s="227">
        <f t="shared" si="14"/>
        <v>0</v>
      </c>
    </row>
    <row r="110" spans="1:9" hidden="1" outlineLevel="1" x14ac:dyDescent="0.25">
      <c r="A110" s="19"/>
      <c r="B110" s="20">
        <v>2515</v>
      </c>
      <c r="C110" s="3" t="s">
        <v>85</v>
      </c>
      <c r="D110" s="23">
        <f>(B103/2)+3</f>
        <v>801.5</v>
      </c>
      <c r="E110" s="24">
        <f>2*B101</f>
        <v>0</v>
      </c>
      <c r="F110" s="249">
        <f t="shared" si="13"/>
        <v>0</v>
      </c>
      <c r="G110" s="231">
        <v>22283</v>
      </c>
      <c r="H110" s="245">
        <f t="shared" si="15"/>
        <v>3.7138333333333335</v>
      </c>
      <c r="I110" s="227">
        <f t="shared" si="14"/>
        <v>0</v>
      </c>
    </row>
    <row r="111" spans="1:9" hidden="1" outlineLevel="1" x14ac:dyDescent="0.25">
      <c r="A111" s="19"/>
      <c r="B111" s="20">
        <v>2506</v>
      </c>
      <c r="C111" s="3" t="s">
        <v>86</v>
      </c>
      <c r="D111" s="23">
        <f>B104-58</f>
        <v>1039</v>
      </c>
      <c r="E111" s="24">
        <f>2*B101</f>
        <v>0</v>
      </c>
      <c r="F111" s="249">
        <f t="shared" si="13"/>
        <v>0</v>
      </c>
      <c r="G111" s="231">
        <v>18941</v>
      </c>
      <c r="H111" s="245">
        <f t="shared" si="15"/>
        <v>3.1568333333333332</v>
      </c>
      <c r="I111" s="227">
        <f t="shared" si="14"/>
        <v>0</v>
      </c>
    </row>
    <row r="112" spans="1:9" hidden="1" outlineLevel="1" x14ac:dyDescent="0.25">
      <c r="A112" s="5"/>
      <c r="B112" s="26">
        <v>2507</v>
      </c>
      <c r="C112" s="28" t="s">
        <v>87</v>
      </c>
      <c r="D112" s="30">
        <f>B104-58</f>
        <v>1039</v>
      </c>
      <c r="E112" s="31">
        <f>2*B101</f>
        <v>0</v>
      </c>
      <c r="F112" s="257">
        <f t="shared" si="13"/>
        <v>0</v>
      </c>
      <c r="G112" s="258">
        <v>16469</v>
      </c>
      <c r="H112" s="259">
        <f t="shared" si="15"/>
        <v>2.7448333333333332</v>
      </c>
      <c r="I112" s="260">
        <f t="shared" si="14"/>
        <v>0</v>
      </c>
    </row>
    <row r="113" spans="1:9" hidden="1" outlineLevel="1" x14ac:dyDescent="0.25">
      <c r="A113" s="4" t="s">
        <v>88</v>
      </c>
      <c r="B113" s="20"/>
      <c r="C113" s="3" t="s">
        <v>89</v>
      </c>
      <c r="D113" s="23">
        <f>(B103*B104)/1000000*10*B101</f>
        <v>0</v>
      </c>
      <c r="E113" s="24" t="s">
        <v>90</v>
      </c>
      <c r="F113" s="351">
        <v>33.520000000000003</v>
      </c>
      <c r="G113" s="227">
        <f>F113*D113</f>
        <v>0</v>
      </c>
      <c r="H113" s="4" t="s">
        <v>91</v>
      </c>
      <c r="I113" s="246">
        <f>SUM(G113:G115)</f>
        <v>0</v>
      </c>
    </row>
    <row r="114" spans="1:9" hidden="1" outlineLevel="1" x14ac:dyDescent="0.25">
      <c r="A114" s="4"/>
      <c r="B114" s="20"/>
      <c r="C114" s="3" t="s">
        <v>92</v>
      </c>
      <c r="D114" s="23">
        <f>4*B101</f>
        <v>0</v>
      </c>
      <c r="E114" s="24" t="s">
        <v>93</v>
      </c>
      <c r="F114" s="351">
        <v>1200</v>
      </c>
      <c r="G114" s="227">
        <f>F114*D114</f>
        <v>0</v>
      </c>
    </row>
    <row r="115" spans="1:9" hidden="1" outlineLevel="1" x14ac:dyDescent="0.25">
      <c r="A115" s="19"/>
      <c r="B115" s="20"/>
      <c r="C115" s="3" t="s">
        <v>94</v>
      </c>
      <c r="D115" s="23">
        <f>2*B101</f>
        <v>0</v>
      </c>
      <c r="E115" s="24" t="s">
        <v>93</v>
      </c>
      <c r="F115" s="351">
        <v>1400</v>
      </c>
      <c r="G115" s="227">
        <f>F115*D115</f>
        <v>0</v>
      </c>
    </row>
    <row r="116" spans="1:9" hidden="1" outlineLevel="1" x14ac:dyDescent="0.25">
      <c r="A116" s="40" t="s">
        <v>95</v>
      </c>
      <c r="B116" s="1" t="s">
        <v>76</v>
      </c>
      <c r="C116" s="1" t="s">
        <v>96</v>
      </c>
      <c r="D116" s="1" t="s">
        <v>97</v>
      </c>
      <c r="E116" s="4" t="s">
        <v>45</v>
      </c>
      <c r="F116" s="4" t="s">
        <v>98</v>
      </c>
      <c r="G116" s="231"/>
    </row>
    <row r="117" spans="1:9" hidden="1" outlineLevel="1" x14ac:dyDescent="0.25">
      <c r="A117" s="5"/>
      <c r="B117" s="31">
        <f>2*B101</f>
        <v>0</v>
      </c>
      <c r="C117" s="32">
        <f>(B103/2)-66</f>
        <v>732.5</v>
      </c>
      <c r="D117" s="32">
        <f>B104-116</f>
        <v>981</v>
      </c>
      <c r="E117" s="255">
        <f>D4</f>
        <v>21000</v>
      </c>
      <c r="F117" s="256">
        <f>E117*B118</f>
        <v>0</v>
      </c>
      <c r="G117" s="231"/>
      <c r="I117"/>
    </row>
    <row r="118" spans="1:9" hidden="1" outlineLevel="1" x14ac:dyDescent="0.25">
      <c r="A118" s="6" t="s">
        <v>99</v>
      </c>
      <c r="B118" s="41">
        <f>(B117*C117*D117)/1000000</f>
        <v>0</v>
      </c>
    </row>
    <row r="119" spans="1:9" collapsed="1" x14ac:dyDescent="0.25"/>
    <row r="120" spans="1:9" x14ac:dyDescent="0.25">
      <c r="A120" s="1" t="s">
        <v>61</v>
      </c>
      <c r="B120" s="238" t="s">
        <v>105</v>
      </c>
      <c r="C120" s="237"/>
      <c r="E120" s="3"/>
    </row>
    <row r="121" spans="1:9" x14ac:dyDescent="0.25">
      <c r="A121" s="4" t="s">
        <v>62</v>
      </c>
      <c r="B121" s="384" t="s">
        <v>63</v>
      </c>
      <c r="C121" s="384"/>
      <c r="D121" s="384"/>
      <c r="E121" s="384"/>
    </row>
    <row r="122" spans="1:9" x14ac:dyDescent="0.25">
      <c r="A122" s="5"/>
      <c r="B122" s="384"/>
      <c r="C122" s="384"/>
      <c r="D122" s="384"/>
      <c r="E122" s="384"/>
    </row>
    <row r="123" spans="1:9" x14ac:dyDescent="0.25">
      <c r="A123" s="240" t="s">
        <v>64</v>
      </c>
      <c r="B123" s="239">
        <v>0</v>
      </c>
      <c r="C123" s="8"/>
      <c r="D123" s="8"/>
      <c r="E123" s="8"/>
      <c r="H123" t="s">
        <v>65</v>
      </c>
      <c r="I123" s="232">
        <f>SUM(I128:I134)</f>
        <v>0</v>
      </c>
    </row>
    <row r="124" spans="1:9" x14ac:dyDescent="0.25">
      <c r="A124" s="241" t="s">
        <v>66</v>
      </c>
      <c r="B124" s="242">
        <f>(B125*B126)/1000000*B123</f>
        <v>0</v>
      </c>
      <c r="C124" s="11" t="s">
        <v>67</v>
      </c>
      <c r="D124" s="12"/>
      <c r="E124" s="12"/>
      <c r="H124" t="s">
        <v>68</v>
      </c>
      <c r="I124" s="246">
        <f>F139</f>
        <v>0</v>
      </c>
    </row>
    <row r="125" spans="1:9" ht="18" x14ac:dyDescent="0.4">
      <c r="A125" s="243" t="s">
        <v>69</v>
      </c>
      <c r="B125" s="14">
        <v>1000</v>
      </c>
      <c r="H125" t="s">
        <v>70</v>
      </c>
      <c r="I125" s="247">
        <f>I135</f>
        <v>0</v>
      </c>
    </row>
    <row r="126" spans="1:9" x14ac:dyDescent="0.25">
      <c r="A126" s="244" t="s">
        <v>71</v>
      </c>
      <c r="B126" s="17">
        <v>1500</v>
      </c>
      <c r="H126" t="s">
        <v>36</v>
      </c>
      <c r="I126" s="248">
        <f>SUM(I123:I125)</f>
        <v>0</v>
      </c>
    </row>
    <row r="127" spans="1:9" hidden="1" outlineLevel="1" x14ac:dyDescent="0.25">
      <c r="A127" s="4" t="s">
        <v>72</v>
      </c>
      <c r="B127" s="1" t="s">
        <v>73</v>
      </c>
      <c r="C127" s="1" t="s">
        <v>74</v>
      </c>
      <c r="D127" s="1" t="s">
        <v>75</v>
      </c>
      <c r="E127" s="1" t="s">
        <v>76</v>
      </c>
      <c r="F127" s="4" t="s">
        <v>77</v>
      </c>
      <c r="G127" s="4" t="s">
        <v>78</v>
      </c>
      <c r="H127" s="4" t="s">
        <v>79</v>
      </c>
      <c r="I127" s="4" t="s">
        <v>80</v>
      </c>
    </row>
    <row r="128" spans="1:9" hidden="1" outlineLevel="1" x14ac:dyDescent="0.25">
      <c r="A128" s="19"/>
      <c r="B128" s="20">
        <v>2501</v>
      </c>
      <c r="C128" s="3" t="s">
        <v>81</v>
      </c>
      <c r="D128" s="23">
        <f>B125-16</f>
        <v>984</v>
      </c>
      <c r="E128" s="24">
        <f>1*B123</f>
        <v>0</v>
      </c>
      <c r="F128" s="250">
        <f t="shared" ref="F128:F134" si="16">E128*D128</f>
        <v>0</v>
      </c>
      <c r="G128" s="251">
        <v>22000</v>
      </c>
      <c r="H128" s="252">
        <f>G128/6000</f>
        <v>3.6666666666666665</v>
      </c>
      <c r="I128" s="253">
        <f t="shared" ref="I128:I134" si="17">H128*F128</f>
        <v>0</v>
      </c>
    </row>
    <row r="129" spans="1:9" hidden="1" outlineLevel="1" x14ac:dyDescent="0.25">
      <c r="A129" s="19"/>
      <c r="B129" s="20">
        <v>2502</v>
      </c>
      <c r="C129" s="3" t="s">
        <v>82</v>
      </c>
      <c r="D129" s="23">
        <f>B125-16</f>
        <v>984</v>
      </c>
      <c r="E129" s="24">
        <f>1*B123</f>
        <v>0</v>
      </c>
      <c r="F129" s="249">
        <f t="shared" si="16"/>
        <v>0</v>
      </c>
      <c r="G129" s="231">
        <v>22000</v>
      </c>
      <c r="H129" s="245">
        <f t="shared" ref="H129:H134" si="18">G129/6000</f>
        <v>3.6666666666666665</v>
      </c>
      <c r="I129" s="227">
        <f t="shared" si="17"/>
        <v>0</v>
      </c>
    </row>
    <row r="130" spans="1:9" hidden="1" outlineLevel="1" x14ac:dyDescent="0.25">
      <c r="A130" s="19"/>
      <c r="B130" s="26">
        <v>2503</v>
      </c>
      <c r="C130" s="28" t="s">
        <v>83</v>
      </c>
      <c r="D130" s="30">
        <f>B126</f>
        <v>1500</v>
      </c>
      <c r="E130" s="31">
        <f>2*B123</f>
        <v>0</v>
      </c>
      <c r="F130" s="249">
        <f t="shared" si="16"/>
        <v>0</v>
      </c>
      <c r="G130" s="231">
        <v>18000</v>
      </c>
      <c r="H130" s="245">
        <f t="shared" si="18"/>
        <v>3</v>
      </c>
      <c r="I130" s="227">
        <f t="shared" si="17"/>
        <v>0</v>
      </c>
    </row>
    <row r="131" spans="1:9" hidden="1" outlineLevel="1" x14ac:dyDescent="0.25">
      <c r="A131" s="19"/>
      <c r="B131" s="20">
        <v>2504</v>
      </c>
      <c r="C131" s="3" t="s">
        <v>84</v>
      </c>
      <c r="D131" s="23">
        <f>(B125/2)+3</f>
        <v>503</v>
      </c>
      <c r="E131" s="24">
        <f>2*B123</f>
        <v>0</v>
      </c>
      <c r="F131" s="249">
        <f t="shared" si="16"/>
        <v>0</v>
      </c>
      <c r="G131" s="231">
        <v>22283</v>
      </c>
      <c r="H131" s="245">
        <f t="shared" si="18"/>
        <v>3.7138333333333335</v>
      </c>
      <c r="I131" s="227">
        <f t="shared" si="17"/>
        <v>0</v>
      </c>
    </row>
    <row r="132" spans="1:9" hidden="1" outlineLevel="1" x14ac:dyDescent="0.25">
      <c r="A132" s="19"/>
      <c r="B132" s="20">
        <v>2515</v>
      </c>
      <c r="C132" s="3" t="s">
        <v>85</v>
      </c>
      <c r="D132" s="23">
        <f>(B125/2)+3</f>
        <v>503</v>
      </c>
      <c r="E132" s="24">
        <f>2*B123</f>
        <v>0</v>
      </c>
      <c r="F132" s="249">
        <f t="shared" si="16"/>
        <v>0</v>
      </c>
      <c r="G132" s="231">
        <v>22283</v>
      </c>
      <c r="H132" s="245">
        <f t="shared" si="18"/>
        <v>3.7138333333333335</v>
      </c>
      <c r="I132" s="227">
        <f t="shared" si="17"/>
        <v>0</v>
      </c>
    </row>
    <row r="133" spans="1:9" hidden="1" outlineLevel="1" x14ac:dyDescent="0.25">
      <c r="A133" s="19"/>
      <c r="B133" s="20">
        <v>2506</v>
      </c>
      <c r="C133" s="3" t="s">
        <v>86</v>
      </c>
      <c r="D133" s="23">
        <f>B126-58</f>
        <v>1442</v>
      </c>
      <c r="E133" s="24">
        <f>2*B123</f>
        <v>0</v>
      </c>
      <c r="F133" s="249">
        <f t="shared" si="16"/>
        <v>0</v>
      </c>
      <c r="G133" s="231">
        <v>18941</v>
      </c>
      <c r="H133" s="245">
        <f t="shared" si="18"/>
        <v>3.1568333333333332</v>
      </c>
      <c r="I133" s="227">
        <f t="shared" si="17"/>
        <v>0</v>
      </c>
    </row>
    <row r="134" spans="1:9" hidden="1" outlineLevel="1" x14ac:dyDescent="0.25">
      <c r="A134" s="5"/>
      <c r="B134" s="26">
        <v>2507</v>
      </c>
      <c r="C134" s="28" t="s">
        <v>87</v>
      </c>
      <c r="D134" s="30">
        <f>B126-58</f>
        <v>1442</v>
      </c>
      <c r="E134" s="31">
        <f>2*B123</f>
        <v>0</v>
      </c>
      <c r="F134" s="257">
        <f t="shared" si="16"/>
        <v>0</v>
      </c>
      <c r="G134" s="258">
        <v>16469</v>
      </c>
      <c r="H134" s="259">
        <f t="shared" si="18"/>
        <v>2.7448333333333332</v>
      </c>
      <c r="I134" s="260">
        <f t="shared" si="17"/>
        <v>0</v>
      </c>
    </row>
    <row r="135" spans="1:9" hidden="1" outlineLevel="1" x14ac:dyDescent="0.25">
      <c r="A135" s="4" t="s">
        <v>88</v>
      </c>
      <c r="B135" s="20"/>
      <c r="C135" s="3" t="s">
        <v>89</v>
      </c>
      <c r="D135" s="23">
        <f>(B125*B126)/1000000*10*B123</f>
        <v>0</v>
      </c>
      <c r="E135" s="24" t="s">
        <v>90</v>
      </c>
      <c r="F135" s="351">
        <v>33.520000000000003</v>
      </c>
      <c r="G135" s="227">
        <f>F135*D135</f>
        <v>0</v>
      </c>
      <c r="H135" s="4" t="s">
        <v>91</v>
      </c>
      <c r="I135" s="246">
        <f>SUM(G135:G137)</f>
        <v>0</v>
      </c>
    </row>
    <row r="136" spans="1:9" hidden="1" outlineLevel="1" x14ac:dyDescent="0.25">
      <c r="A136" s="4"/>
      <c r="B136" s="20"/>
      <c r="C136" s="3" t="s">
        <v>92</v>
      </c>
      <c r="D136" s="23">
        <f>4*B123</f>
        <v>0</v>
      </c>
      <c r="E136" s="24" t="s">
        <v>93</v>
      </c>
      <c r="F136" s="351">
        <v>1200</v>
      </c>
      <c r="G136" s="227">
        <f>F136*D136</f>
        <v>0</v>
      </c>
    </row>
    <row r="137" spans="1:9" hidden="1" outlineLevel="1" x14ac:dyDescent="0.25">
      <c r="A137" s="19"/>
      <c r="B137" s="20"/>
      <c r="C137" s="3" t="s">
        <v>94</v>
      </c>
      <c r="D137" s="23">
        <f>2*B123</f>
        <v>0</v>
      </c>
      <c r="E137" s="24" t="s">
        <v>93</v>
      </c>
      <c r="F137" s="351">
        <v>1400</v>
      </c>
      <c r="G137" s="227">
        <f>F137*D137</f>
        <v>0</v>
      </c>
    </row>
    <row r="138" spans="1:9" hidden="1" outlineLevel="1" x14ac:dyDescent="0.25">
      <c r="A138" s="40" t="s">
        <v>95</v>
      </c>
      <c r="B138" s="1" t="s">
        <v>76</v>
      </c>
      <c r="C138" s="1" t="s">
        <v>96</v>
      </c>
      <c r="D138" s="1" t="s">
        <v>97</v>
      </c>
      <c r="E138" s="4" t="s">
        <v>45</v>
      </c>
      <c r="F138" s="4" t="s">
        <v>98</v>
      </c>
      <c r="G138" s="231"/>
    </row>
    <row r="139" spans="1:9" hidden="1" outlineLevel="1" x14ac:dyDescent="0.25">
      <c r="A139" s="5"/>
      <c r="B139" s="31">
        <f>2*B123</f>
        <v>0</v>
      </c>
      <c r="C139" s="32">
        <f>(B125/2)-66</f>
        <v>434</v>
      </c>
      <c r="D139" s="32">
        <f>B126-116</f>
        <v>1384</v>
      </c>
      <c r="E139" s="255">
        <f>D4</f>
        <v>21000</v>
      </c>
      <c r="F139" s="256">
        <f>E139*B140</f>
        <v>0</v>
      </c>
      <c r="G139" s="231"/>
      <c r="I139"/>
    </row>
    <row r="140" spans="1:9" hidden="1" outlineLevel="1" x14ac:dyDescent="0.25">
      <c r="A140" s="6" t="s">
        <v>99</v>
      </c>
      <c r="B140" s="41">
        <f>(B139*C139*D139)/1000000</f>
        <v>0</v>
      </c>
    </row>
    <row r="141" spans="1:9" collapsed="1" x14ac:dyDescent="0.25"/>
    <row r="142" spans="1:9" x14ac:dyDescent="0.25">
      <c r="A142" s="1" t="s">
        <v>61</v>
      </c>
      <c r="B142" s="238" t="s">
        <v>106</v>
      </c>
      <c r="C142" s="237"/>
      <c r="E142" s="3"/>
    </row>
    <row r="143" spans="1:9" x14ac:dyDescent="0.25">
      <c r="A143" s="4" t="s">
        <v>62</v>
      </c>
      <c r="B143" s="384" t="s">
        <v>63</v>
      </c>
      <c r="C143" s="384"/>
      <c r="D143" s="384"/>
      <c r="E143" s="384"/>
    </row>
    <row r="144" spans="1:9" x14ac:dyDescent="0.25">
      <c r="A144" s="5"/>
      <c r="B144" s="384"/>
      <c r="C144" s="384"/>
      <c r="D144" s="384"/>
      <c r="E144" s="384"/>
    </row>
    <row r="145" spans="1:9" x14ac:dyDescent="0.25">
      <c r="A145" s="240" t="s">
        <v>64</v>
      </c>
      <c r="B145" s="239">
        <v>0</v>
      </c>
      <c r="C145" s="8"/>
      <c r="D145" s="8"/>
      <c r="E145" s="8"/>
      <c r="H145" t="s">
        <v>65</v>
      </c>
      <c r="I145" s="232">
        <f>SUM(I150:I156)</f>
        <v>0</v>
      </c>
    </row>
    <row r="146" spans="1:9" x14ac:dyDescent="0.25">
      <c r="A146" s="241" t="s">
        <v>66</v>
      </c>
      <c r="B146" s="242">
        <f>(B147*B148)/1000000*B145</f>
        <v>0</v>
      </c>
      <c r="C146" s="11" t="s">
        <v>67</v>
      </c>
      <c r="D146" s="12"/>
      <c r="E146" s="12"/>
      <c r="H146" t="s">
        <v>68</v>
      </c>
      <c r="I146" s="246">
        <f>F161</f>
        <v>0</v>
      </c>
    </row>
    <row r="147" spans="1:9" ht="18" x14ac:dyDescent="0.4">
      <c r="A147" s="243" t="s">
        <v>69</v>
      </c>
      <c r="B147" s="14">
        <v>1000</v>
      </c>
      <c r="H147" t="s">
        <v>70</v>
      </c>
      <c r="I147" s="247">
        <f>I157</f>
        <v>0</v>
      </c>
    </row>
    <row r="148" spans="1:9" x14ac:dyDescent="0.25">
      <c r="A148" s="244" t="s">
        <v>71</v>
      </c>
      <c r="B148" s="17">
        <v>1500</v>
      </c>
      <c r="H148" t="s">
        <v>36</v>
      </c>
      <c r="I148" s="248">
        <f>SUM(I145:I147)</f>
        <v>0</v>
      </c>
    </row>
    <row r="149" spans="1:9" hidden="1" outlineLevel="1" x14ac:dyDescent="0.25">
      <c r="A149" s="4" t="s">
        <v>72</v>
      </c>
      <c r="B149" s="1" t="s">
        <v>73</v>
      </c>
      <c r="C149" s="1" t="s">
        <v>74</v>
      </c>
      <c r="D149" s="1" t="s">
        <v>75</v>
      </c>
      <c r="E149" s="1" t="s">
        <v>76</v>
      </c>
      <c r="F149" s="4" t="s">
        <v>77</v>
      </c>
      <c r="G149" s="4" t="s">
        <v>78</v>
      </c>
      <c r="H149" s="4" t="s">
        <v>79</v>
      </c>
      <c r="I149" s="4" t="s">
        <v>80</v>
      </c>
    </row>
    <row r="150" spans="1:9" hidden="1" outlineLevel="1" x14ac:dyDescent="0.25">
      <c r="A150" s="19"/>
      <c r="B150" s="20">
        <v>2501</v>
      </c>
      <c r="C150" s="3" t="s">
        <v>81</v>
      </c>
      <c r="D150" s="23">
        <f>B147-16</f>
        <v>984</v>
      </c>
      <c r="E150" s="24">
        <f>1*B145</f>
        <v>0</v>
      </c>
      <c r="F150" s="250">
        <f t="shared" ref="F150:F156" si="19">E150*D150</f>
        <v>0</v>
      </c>
      <c r="G150" s="251">
        <v>22000</v>
      </c>
      <c r="H150" s="252">
        <f>G150/6000</f>
        <v>3.6666666666666665</v>
      </c>
      <c r="I150" s="253">
        <f t="shared" ref="I150:I156" si="20">H150*F150</f>
        <v>0</v>
      </c>
    </row>
    <row r="151" spans="1:9" hidden="1" outlineLevel="1" x14ac:dyDescent="0.25">
      <c r="A151" s="19"/>
      <c r="B151" s="20">
        <v>2502</v>
      </c>
      <c r="C151" s="3" t="s">
        <v>82</v>
      </c>
      <c r="D151" s="23">
        <f>B147-16</f>
        <v>984</v>
      </c>
      <c r="E151" s="24">
        <f>1*B145</f>
        <v>0</v>
      </c>
      <c r="F151" s="249">
        <f t="shared" si="19"/>
        <v>0</v>
      </c>
      <c r="G151" s="231">
        <v>22000</v>
      </c>
      <c r="H151" s="245">
        <f t="shared" ref="H151:H156" si="21">G151/6000</f>
        <v>3.6666666666666665</v>
      </c>
      <c r="I151" s="227">
        <f t="shared" si="20"/>
        <v>0</v>
      </c>
    </row>
    <row r="152" spans="1:9" hidden="1" outlineLevel="1" x14ac:dyDescent="0.25">
      <c r="A152" s="19"/>
      <c r="B152" s="26">
        <v>2503</v>
      </c>
      <c r="C152" s="28" t="s">
        <v>83</v>
      </c>
      <c r="D152" s="30">
        <f>B148</f>
        <v>1500</v>
      </c>
      <c r="E152" s="31">
        <f>2*B145</f>
        <v>0</v>
      </c>
      <c r="F152" s="249">
        <f t="shared" si="19"/>
        <v>0</v>
      </c>
      <c r="G152" s="231">
        <v>18000</v>
      </c>
      <c r="H152" s="245">
        <f t="shared" si="21"/>
        <v>3</v>
      </c>
      <c r="I152" s="227">
        <f t="shared" si="20"/>
        <v>0</v>
      </c>
    </row>
    <row r="153" spans="1:9" hidden="1" outlineLevel="1" x14ac:dyDescent="0.25">
      <c r="A153" s="19"/>
      <c r="B153" s="20">
        <v>2504</v>
      </c>
      <c r="C153" s="3" t="s">
        <v>84</v>
      </c>
      <c r="D153" s="23">
        <f>(B147/2)+3</f>
        <v>503</v>
      </c>
      <c r="E153" s="24">
        <f>2*B145</f>
        <v>0</v>
      </c>
      <c r="F153" s="249">
        <f t="shared" si="19"/>
        <v>0</v>
      </c>
      <c r="G153" s="231">
        <v>22283</v>
      </c>
      <c r="H153" s="245">
        <f t="shared" si="21"/>
        <v>3.7138333333333335</v>
      </c>
      <c r="I153" s="227">
        <f t="shared" si="20"/>
        <v>0</v>
      </c>
    </row>
    <row r="154" spans="1:9" hidden="1" outlineLevel="1" x14ac:dyDescent="0.25">
      <c r="A154" s="19"/>
      <c r="B154" s="20">
        <v>2515</v>
      </c>
      <c r="C154" s="3" t="s">
        <v>85</v>
      </c>
      <c r="D154" s="23">
        <f>(B147/2)+3</f>
        <v>503</v>
      </c>
      <c r="E154" s="24">
        <f>2*B145</f>
        <v>0</v>
      </c>
      <c r="F154" s="249">
        <f t="shared" si="19"/>
        <v>0</v>
      </c>
      <c r="G154" s="231">
        <v>22283</v>
      </c>
      <c r="H154" s="245">
        <f t="shared" si="21"/>
        <v>3.7138333333333335</v>
      </c>
      <c r="I154" s="227">
        <f t="shared" si="20"/>
        <v>0</v>
      </c>
    </row>
    <row r="155" spans="1:9" hidden="1" outlineLevel="1" x14ac:dyDescent="0.25">
      <c r="A155" s="19"/>
      <c r="B155" s="20">
        <v>2506</v>
      </c>
      <c r="C155" s="3" t="s">
        <v>86</v>
      </c>
      <c r="D155" s="23">
        <f>B148-58</f>
        <v>1442</v>
      </c>
      <c r="E155" s="24">
        <f>2*B145</f>
        <v>0</v>
      </c>
      <c r="F155" s="249">
        <f t="shared" si="19"/>
        <v>0</v>
      </c>
      <c r="G155" s="231">
        <v>18941</v>
      </c>
      <c r="H155" s="245">
        <f t="shared" si="21"/>
        <v>3.1568333333333332</v>
      </c>
      <c r="I155" s="227">
        <f t="shared" si="20"/>
        <v>0</v>
      </c>
    </row>
    <row r="156" spans="1:9" hidden="1" outlineLevel="1" x14ac:dyDescent="0.25">
      <c r="A156" s="5"/>
      <c r="B156" s="26">
        <v>2507</v>
      </c>
      <c r="C156" s="28" t="s">
        <v>87</v>
      </c>
      <c r="D156" s="30">
        <f>B148-58</f>
        <v>1442</v>
      </c>
      <c r="E156" s="31">
        <f>2*B145</f>
        <v>0</v>
      </c>
      <c r="F156" s="257">
        <f t="shared" si="19"/>
        <v>0</v>
      </c>
      <c r="G156" s="258">
        <v>16469</v>
      </c>
      <c r="H156" s="259">
        <f t="shared" si="21"/>
        <v>2.7448333333333332</v>
      </c>
      <c r="I156" s="260">
        <f t="shared" si="20"/>
        <v>0</v>
      </c>
    </row>
    <row r="157" spans="1:9" hidden="1" outlineLevel="1" x14ac:dyDescent="0.25">
      <c r="A157" s="4" t="s">
        <v>88</v>
      </c>
      <c r="B157" s="20"/>
      <c r="C157" s="3" t="s">
        <v>89</v>
      </c>
      <c r="D157" s="23">
        <f>(B147*B148)/1000000*10*B145</f>
        <v>0</v>
      </c>
      <c r="E157" s="24" t="s">
        <v>90</v>
      </c>
      <c r="F157" s="351">
        <v>33.520000000000003</v>
      </c>
      <c r="G157" s="227">
        <f>F157*D157</f>
        <v>0</v>
      </c>
      <c r="H157" s="4" t="s">
        <v>91</v>
      </c>
      <c r="I157" s="246">
        <f>SUM(G157:G159)</f>
        <v>0</v>
      </c>
    </row>
    <row r="158" spans="1:9" hidden="1" outlineLevel="1" x14ac:dyDescent="0.25">
      <c r="A158" s="4"/>
      <c r="B158" s="20"/>
      <c r="C158" s="3" t="s">
        <v>92</v>
      </c>
      <c r="D158" s="23">
        <f>4*B145</f>
        <v>0</v>
      </c>
      <c r="E158" s="24" t="s">
        <v>93</v>
      </c>
      <c r="F158" s="351">
        <v>1200</v>
      </c>
      <c r="G158" s="227">
        <f>F158*D158</f>
        <v>0</v>
      </c>
    </row>
    <row r="159" spans="1:9" hidden="1" outlineLevel="1" x14ac:dyDescent="0.25">
      <c r="A159" s="19"/>
      <c r="B159" s="20"/>
      <c r="C159" s="3" t="s">
        <v>94</v>
      </c>
      <c r="D159" s="23">
        <f>2*B145</f>
        <v>0</v>
      </c>
      <c r="E159" s="24" t="s">
        <v>93</v>
      </c>
      <c r="F159" s="351">
        <v>1400</v>
      </c>
      <c r="G159" s="227">
        <f>F159*D159</f>
        <v>0</v>
      </c>
    </row>
    <row r="160" spans="1:9" hidden="1" outlineLevel="1" x14ac:dyDescent="0.25">
      <c r="A160" s="40" t="s">
        <v>95</v>
      </c>
      <c r="B160" s="1" t="s">
        <v>76</v>
      </c>
      <c r="C160" s="1" t="s">
        <v>96</v>
      </c>
      <c r="D160" s="1" t="s">
        <v>97</v>
      </c>
      <c r="E160" s="4" t="s">
        <v>45</v>
      </c>
      <c r="F160" s="4" t="s">
        <v>98</v>
      </c>
      <c r="G160" s="231"/>
    </row>
    <row r="161" spans="1:9" hidden="1" outlineLevel="1" x14ac:dyDescent="0.25">
      <c r="A161" s="5"/>
      <c r="B161" s="31">
        <f>2*B145</f>
        <v>0</v>
      </c>
      <c r="C161" s="32">
        <f>(B147/2)-66</f>
        <v>434</v>
      </c>
      <c r="D161" s="32">
        <f>B148-116</f>
        <v>1384</v>
      </c>
      <c r="E161" s="255">
        <f>D4</f>
        <v>21000</v>
      </c>
      <c r="F161" s="256">
        <f>E161*B162</f>
        <v>0</v>
      </c>
      <c r="G161" s="231"/>
      <c r="I161"/>
    </row>
    <row r="162" spans="1:9" hidden="1" outlineLevel="1" x14ac:dyDescent="0.25">
      <c r="A162" s="6" t="s">
        <v>99</v>
      </c>
      <c r="B162" s="41">
        <f>(B161*C161*D161)/1000000</f>
        <v>0</v>
      </c>
    </row>
    <row r="163" spans="1:9" collapsed="1" x14ac:dyDescent="0.25"/>
    <row r="164" spans="1:9" x14ac:dyDescent="0.25">
      <c r="A164" s="1" t="s">
        <v>61</v>
      </c>
      <c r="B164" s="238" t="s">
        <v>107</v>
      </c>
      <c r="C164" s="237"/>
      <c r="E164" s="3"/>
    </row>
    <row r="165" spans="1:9" x14ac:dyDescent="0.25">
      <c r="A165" s="4" t="s">
        <v>62</v>
      </c>
      <c r="B165" s="384" t="s">
        <v>63</v>
      </c>
      <c r="C165" s="384"/>
      <c r="D165" s="384"/>
      <c r="E165" s="384"/>
    </row>
    <row r="166" spans="1:9" x14ac:dyDescent="0.25">
      <c r="A166" s="5"/>
      <c r="B166" s="384"/>
      <c r="C166" s="384"/>
      <c r="D166" s="384"/>
      <c r="E166" s="384"/>
    </row>
    <row r="167" spans="1:9" x14ac:dyDescent="0.25">
      <c r="A167" s="240" t="s">
        <v>64</v>
      </c>
      <c r="B167" s="239">
        <v>0</v>
      </c>
      <c r="C167" s="8"/>
      <c r="D167" s="8"/>
      <c r="E167" s="8"/>
      <c r="H167" t="s">
        <v>65</v>
      </c>
      <c r="I167" s="232">
        <f>SUM(I172:I178)</f>
        <v>0</v>
      </c>
    </row>
    <row r="168" spans="1:9" x14ac:dyDescent="0.25">
      <c r="A168" s="241" t="s">
        <v>66</v>
      </c>
      <c r="B168" s="242">
        <f>(B169*B170)/1000000*B167</f>
        <v>0</v>
      </c>
      <c r="C168" s="11" t="s">
        <v>67</v>
      </c>
      <c r="D168" s="12"/>
      <c r="E168" s="12"/>
      <c r="H168" t="s">
        <v>68</v>
      </c>
      <c r="I168" s="246">
        <f>F183</f>
        <v>0</v>
      </c>
    </row>
    <row r="169" spans="1:9" ht="18" x14ac:dyDescent="0.4">
      <c r="A169" s="243" t="s">
        <v>69</v>
      </c>
      <c r="B169" s="14">
        <v>1000</v>
      </c>
      <c r="H169" t="s">
        <v>70</v>
      </c>
      <c r="I169" s="247">
        <f>I179</f>
        <v>0</v>
      </c>
    </row>
    <row r="170" spans="1:9" x14ac:dyDescent="0.25">
      <c r="A170" s="244" t="s">
        <v>71</v>
      </c>
      <c r="B170" s="17">
        <v>1500</v>
      </c>
      <c r="H170" t="s">
        <v>36</v>
      </c>
      <c r="I170" s="248">
        <f>SUM(I167:I169)</f>
        <v>0</v>
      </c>
    </row>
    <row r="171" spans="1:9" hidden="1" outlineLevel="1" x14ac:dyDescent="0.25">
      <c r="A171" s="4" t="s">
        <v>72</v>
      </c>
      <c r="B171" s="1" t="s">
        <v>73</v>
      </c>
      <c r="C171" s="1" t="s">
        <v>74</v>
      </c>
      <c r="D171" s="1" t="s">
        <v>75</v>
      </c>
      <c r="E171" s="1" t="s">
        <v>76</v>
      </c>
      <c r="F171" s="4" t="s">
        <v>77</v>
      </c>
      <c r="G171" s="4" t="s">
        <v>78</v>
      </c>
      <c r="H171" s="4" t="s">
        <v>79</v>
      </c>
      <c r="I171" s="4" t="s">
        <v>80</v>
      </c>
    </row>
    <row r="172" spans="1:9" hidden="1" outlineLevel="1" x14ac:dyDescent="0.25">
      <c r="A172" s="19"/>
      <c r="B172" s="20">
        <v>2501</v>
      </c>
      <c r="C172" s="3" t="s">
        <v>81</v>
      </c>
      <c r="D172" s="23">
        <f>B169-16</f>
        <v>984</v>
      </c>
      <c r="E172" s="24">
        <f>1*B167</f>
        <v>0</v>
      </c>
      <c r="F172" s="250">
        <f t="shared" ref="F172:F178" si="22">E172*D172</f>
        <v>0</v>
      </c>
      <c r="G172" s="251">
        <v>22000</v>
      </c>
      <c r="H172" s="252">
        <f>G172/6000</f>
        <v>3.6666666666666665</v>
      </c>
      <c r="I172" s="253">
        <f t="shared" ref="I172:I178" si="23">H172*F172</f>
        <v>0</v>
      </c>
    </row>
    <row r="173" spans="1:9" hidden="1" outlineLevel="1" x14ac:dyDescent="0.25">
      <c r="A173" s="19"/>
      <c r="B173" s="20">
        <v>2502</v>
      </c>
      <c r="C173" s="3" t="s">
        <v>82</v>
      </c>
      <c r="D173" s="23">
        <f>B169-16</f>
        <v>984</v>
      </c>
      <c r="E173" s="24">
        <f>1*B167</f>
        <v>0</v>
      </c>
      <c r="F173" s="249">
        <f t="shared" si="22"/>
        <v>0</v>
      </c>
      <c r="G173" s="231">
        <v>22000</v>
      </c>
      <c r="H173" s="245">
        <f t="shared" ref="H173:H178" si="24">G173/6000</f>
        <v>3.6666666666666665</v>
      </c>
      <c r="I173" s="227">
        <f t="shared" si="23"/>
        <v>0</v>
      </c>
    </row>
    <row r="174" spans="1:9" hidden="1" outlineLevel="1" x14ac:dyDescent="0.25">
      <c r="A174" s="19"/>
      <c r="B174" s="26">
        <v>2503</v>
      </c>
      <c r="C174" s="28" t="s">
        <v>83</v>
      </c>
      <c r="D174" s="30">
        <f>B170</f>
        <v>1500</v>
      </c>
      <c r="E174" s="31">
        <f>2*B167</f>
        <v>0</v>
      </c>
      <c r="F174" s="249">
        <f t="shared" si="22"/>
        <v>0</v>
      </c>
      <c r="G174" s="231">
        <v>18000</v>
      </c>
      <c r="H174" s="245">
        <f t="shared" si="24"/>
        <v>3</v>
      </c>
      <c r="I174" s="227">
        <f t="shared" si="23"/>
        <v>0</v>
      </c>
    </row>
    <row r="175" spans="1:9" hidden="1" outlineLevel="1" x14ac:dyDescent="0.25">
      <c r="A175" s="19"/>
      <c r="B175" s="20">
        <v>2504</v>
      </c>
      <c r="C175" s="3" t="s">
        <v>84</v>
      </c>
      <c r="D175" s="23">
        <f>(B169/2)+3</f>
        <v>503</v>
      </c>
      <c r="E175" s="24">
        <f>2*B167</f>
        <v>0</v>
      </c>
      <c r="F175" s="249">
        <f t="shared" si="22"/>
        <v>0</v>
      </c>
      <c r="G175" s="231">
        <v>22283</v>
      </c>
      <c r="H175" s="245">
        <f t="shared" si="24"/>
        <v>3.7138333333333335</v>
      </c>
      <c r="I175" s="227">
        <f t="shared" si="23"/>
        <v>0</v>
      </c>
    </row>
    <row r="176" spans="1:9" hidden="1" outlineLevel="1" x14ac:dyDescent="0.25">
      <c r="A176" s="19"/>
      <c r="B176" s="20">
        <v>2515</v>
      </c>
      <c r="C176" s="3" t="s">
        <v>85</v>
      </c>
      <c r="D176" s="23">
        <f>(B169/2)+3</f>
        <v>503</v>
      </c>
      <c r="E176" s="24">
        <f>2*B167</f>
        <v>0</v>
      </c>
      <c r="F176" s="249">
        <f t="shared" si="22"/>
        <v>0</v>
      </c>
      <c r="G176" s="231">
        <v>22283</v>
      </c>
      <c r="H176" s="245">
        <f t="shared" si="24"/>
        <v>3.7138333333333335</v>
      </c>
      <c r="I176" s="227">
        <f t="shared" si="23"/>
        <v>0</v>
      </c>
    </row>
    <row r="177" spans="1:9" hidden="1" outlineLevel="1" x14ac:dyDescent="0.25">
      <c r="A177" s="19"/>
      <c r="B177" s="20">
        <v>2506</v>
      </c>
      <c r="C177" s="3" t="s">
        <v>86</v>
      </c>
      <c r="D177" s="23">
        <f>B170-58</f>
        <v>1442</v>
      </c>
      <c r="E177" s="24">
        <f>2*B167</f>
        <v>0</v>
      </c>
      <c r="F177" s="249">
        <f t="shared" si="22"/>
        <v>0</v>
      </c>
      <c r="G177" s="231">
        <v>18941</v>
      </c>
      <c r="H177" s="245">
        <f t="shared" si="24"/>
        <v>3.1568333333333332</v>
      </c>
      <c r="I177" s="227">
        <f t="shared" si="23"/>
        <v>0</v>
      </c>
    </row>
    <row r="178" spans="1:9" hidden="1" outlineLevel="1" x14ac:dyDescent="0.25">
      <c r="A178" s="5"/>
      <c r="B178" s="26">
        <v>2507</v>
      </c>
      <c r="C178" s="28" t="s">
        <v>87</v>
      </c>
      <c r="D178" s="30">
        <f>B170-58</f>
        <v>1442</v>
      </c>
      <c r="E178" s="31">
        <f>2*B167</f>
        <v>0</v>
      </c>
      <c r="F178" s="257">
        <f t="shared" si="22"/>
        <v>0</v>
      </c>
      <c r="G178" s="258">
        <v>16469</v>
      </c>
      <c r="H178" s="259">
        <f t="shared" si="24"/>
        <v>2.7448333333333332</v>
      </c>
      <c r="I178" s="260">
        <f t="shared" si="23"/>
        <v>0</v>
      </c>
    </row>
    <row r="179" spans="1:9" hidden="1" outlineLevel="1" x14ac:dyDescent="0.25">
      <c r="A179" s="4" t="s">
        <v>88</v>
      </c>
      <c r="B179" s="20"/>
      <c r="C179" s="3" t="s">
        <v>89</v>
      </c>
      <c r="D179" s="23">
        <f>(B169*B170)/1000000*10*B167</f>
        <v>0</v>
      </c>
      <c r="E179" s="24" t="s">
        <v>90</v>
      </c>
      <c r="F179" s="351">
        <v>33.520000000000003</v>
      </c>
      <c r="G179" s="227">
        <f>F179*D179</f>
        <v>0</v>
      </c>
      <c r="H179" s="4" t="s">
        <v>91</v>
      </c>
      <c r="I179" s="246">
        <f>SUM(G179:G181)</f>
        <v>0</v>
      </c>
    </row>
    <row r="180" spans="1:9" hidden="1" outlineLevel="1" x14ac:dyDescent="0.25">
      <c r="A180" s="4"/>
      <c r="B180" s="20"/>
      <c r="C180" s="3" t="s">
        <v>92</v>
      </c>
      <c r="D180" s="23">
        <f>4*B167</f>
        <v>0</v>
      </c>
      <c r="E180" s="24" t="s">
        <v>93</v>
      </c>
      <c r="F180" s="351">
        <v>1200</v>
      </c>
      <c r="G180" s="227">
        <f>F180*D180</f>
        <v>0</v>
      </c>
    </row>
    <row r="181" spans="1:9" hidden="1" outlineLevel="1" x14ac:dyDescent="0.25">
      <c r="A181" s="19"/>
      <c r="B181" s="20"/>
      <c r="C181" s="3" t="s">
        <v>94</v>
      </c>
      <c r="D181" s="23">
        <f>2*B167</f>
        <v>0</v>
      </c>
      <c r="E181" s="24" t="s">
        <v>93</v>
      </c>
      <c r="F181" s="351">
        <v>1400</v>
      </c>
      <c r="G181" s="227">
        <f>F181*D181</f>
        <v>0</v>
      </c>
    </row>
    <row r="182" spans="1:9" hidden="1" outlineLevel="1" x14ac:dyDescent="0.25">
      <c r="A182" s="40" t="s">
        <v>95</v>
      </c>
      <c r="B182" s="1" t="s">
        <v>76</v>
      </c>
      <c r="C182" s="1" t="s">
        <v>96</v>
      </c>
      <c r="D182" s="1" t="s">
        <v>97</v>
      </c>
      <c r="E182" s="4" t="s">
        <v>45</v>
      </c>
      <c r="F182" s="4" t="s">
        <v>98</v>
      </c>
      <c r="G182" s="231"/>
    </row>
    <row r="183" spans="1:9" hidden="1" outlineLevel="1" x14ac:dyDescent="0.25">
      <c r="A183" s="5"/>
      <c r="B183" s="31">
        <f>2*B167</f>
        <v>0</v>
      </c>
      <c r="C183" s="32">
        <f>(B169/2)-66</f>
        <v>434</v>
      </c>
      <c r="D183" s="32">
        <f>B170-116</f>
        <v>1384</v>
      </c>
      <c r="E183" s="255">
        <f>D4</f>
        <v>21000</v>
      </c>
      <c r="F183" s="256">
        <f>E183*B184</f>
        <v>0</v>
      </c>
      <c r="G183" s="231"/>
      <c r="I183"/>
    </row>
    <row r="184" spans="1:9" hidden="1" outlineLevel="1" x14ac:dyDescent="0.25">
      <c r="A184" s="6" t="s">
        <v>99</v>
      </c>
      <c r="B184" s="41">
        <f>(B183*C183*D183)/1000000</f>
        <v>0</v>
      </c>
    </row>
    <row r="185" spans="1:9" collapsed="1" x14ac:dyDescent="0.25"/>
    <row r="186" spans="1:9" x14ac:dyDescent="0.25">
      <c r="A186" s="1" t="s">
        <v>61</v>
      </c>
      <c r="B186" s="238" t="s">
        <v>108</v>
      </c>
      <c r="C186" s="237"/>
      <c r="E186" s="3"/>
    </row>
    <row r="187" spans="1:9" x14ac:dyDescent="0.25">
      <c r="A187" s="4" t="s">
        <v>62</v>
      </c>
      <c r="B187" s="384" t="s">
        <v>63</v>
      </c>
      <c r="C187" s="384"/>
      <c r="D187" s="384"/>
      <c r="E187" s="384"/>
    </row>
    <row r="188" spans="1:9" x14ac:dyDescent="0.25">
      <c r="A188" s="5"/>
      <c r="B188" s="384"/>
      <c r="C188" s="384"/>
      <c r="D188" s="384"/>
      <c r="E188" s="384"/>
    </row>
    <row r="189" spans="1:9" x14ac:dyDescent="0.25">
      <c r="A189" s="240" t="s">
        <v>64</v>
      </c>
      <c r="B189" s="239">
        <v>0</v>
      </c>
      <c r="C189" s="8"/>
      <c r="D189" s="8"/>
      <c r="E189" s="8"/>
      <c r="H189" t="s">
        <v>65</v>
      </c>
      <c r="I189" s="232">
        <f>SUM(I194:I200)</f>
        <v>0</v>
      </c>
    </row>
    <row r="190" spans="1:9" x14ac:dyDescent="0.25">
      <c r="A190" s="241" t="s">
        <v>66</v>
      </c>
      <c r="B190" s="242">
        <f>(B191*B192)/1000000*B189</f>
        <v>0</v>
      </c>
      <c r="C190" s="11" t="s">
        <v>67</v>
      </c>
      <c r="D190" s="12"/>
      <c r="E190" s="12"/>
      <c r="H190" t="s">
        <v>68</v>
      </c>
      <c r="I190" s="246">
        <f>F205</f>
        <v>0</v>
      </c>
    </row>
    <row r="191" spans="1:9" ht="18" x14ac:dyDescent="0.4">
      <c r="A191" s="243" t="s">
        <v>69</v>
      </c>
      <c r="B191" s="14">
        <v>1000</v>
      </c>
      <c r="H191" t="s">
        <v>70</v>
      </c>
      <c r="I191" s="247">
        <f>I201</f>
        <v>0</v>
      </c>
    </row>
    <row r="192" spans="1:9" x14ac:dyDescent="0.25">
      <c r="A192" s="244" t="s">
        <v>71</v>
      </c>
      <c r="B192" s="17">
        <v>1500</v>
      </c>
      <c r="H192" t="s">
        <v>36</v>
      </c>
      <c r="I192" s="248">
        <f>SUM(I189:I191)</f>
        <v>0</v>
      </c>
    </row>
    <row r="193" spans="1:9" hidden="1" outlineLevel="1" x14ac:dyDescent="0.25">
      <c r="A193" s="4" t="s">
        <v>72</v>
      </c>
      <c r="B193" s="1" t="s">
        <v>73</v>
      </c>
      <c r="C193" s="1" t="s">
        <v>74</v>
      </c>
      <c r="D193" s="1" t="s">
        <v>75</v>
      </c>
      <c r="E193" s="1" t="s">
        <v>76</v>
      </c>
      <c r="F193" s="4" t="s">
        <v>77</v>
      </c>
      <c r="G193" s="4" t="s">
        <v>78</v>
      </c>
      <c r="H193" s="4" t="s">
        <v>79</v>
      </c>
      <c r="I193" s="4" t="s">
        <v>80</v>
      </c>
    </row>
    <row r="194" spans="1:9" hidden="1" outlineLevel="1" x14ac:dyDescent="0.25">
      <c r="A194" s="19"/>
      <c r="B194" s="20">
        <v>2501</v>
      </c>
      <c r="C194" s="3" t="s">
        <v>81</v>
      </c>
      <c r="D194" s="23">
        <f>B191-16</f>
        <v>984</v>
      </c>
      <c r="E194" s="24">
        <f>1*B189</f>
        <v>0</v>
      </c>
      <c r="F194" s="250">
        <f t="shared" ref="F194:F200" si="25">E194*D194</f>
        <v>0</v>
      </c>
      <c r="G194" s="251">
        <v>22000</v>
      </c>
      <c r="H194" s="252">
        <f>G194/6000</f>
        <v>3.6666666666666665</v>
      </c>
      <c r="I194" s="253">
        <f t="shared" ref="I194:I200" si="26">H194*F194</f>
        <v>0</v>
      </c>
    </row>
    <row r="195" spans="1:9" hidden="1" outlineLevel="1" x14ac:dyDescent="0.25">
      <c r="A195" s="19"/>
      <c r="B195" s="20">
        <v>2502</v>
      </c>
      <c r="C195" s="3" t="s">
        <v>82</v>
      </c>
      <c r="D195" s="23">
        <f>B191-16</f>
        <v>984</v>
      </c>
      <c r="E195" s="24">
        <f>1*B189</f>
        <v>0</v>
      </c>
      <c r="F195" s="249">
        <f t="shared" si="25"/>
        <v>0</v>
      </c>
      <c r="G195" s="231">
        <v>22000</v>
      </c>
      <c r="H195" s="245">
        <f t="shared" ref="H195:H200" si="27">G195/6000</f>
        <v>3.6666666666666665</v>
      </c>
      <c r="I195" s="227">
        <f t="shared" si="26"/>
        <v>0</v>
      </c>
    </row>
    <row r="196" spans="1:9" hidden="1" outlineLevel="1" x14ac:dyDescent="0.25">
      <c r="A196" s="19"/>
      <c r="B196" s="26">
        <v>2503</v>
      </c>
      <c r="C196" s="28" t="s">
        <v>83</v>
      </c>
      <c r="D196" s="30">
        <f>B192</f>
        <v>1500</v>
      </c>
      <c r="E196" s="31">
        <f>2*B189</f>
        <v>0</v>
      </c>
      <c r="F196" s="249">
        <f t="shared" si="25"/>
        <v>0</v>
      </c>
      <c r="G196" s="231">
        <v>18000</v>
      </c>
      <c r="H196" s="245">
        <f t="shared" si="27"/>
        <v>3</v>
      </c>
      <c r="I196" s="227">
        <f t="shared" si="26"/>
        <v>0</v>
      </c>
    </row>
    <row r="197" spans="1:9" hidden="1" outlineLevel="1" x14ac:dyDescent="0.25">
      <c r="A197" s="19"/>
      <c r="B197" s="20">
        <v>2504</v>
      </c>
      <c r="C197" s="3" t="s">
        <v>84</v>
      </c>
      <c r="D197" s="23">
        <f>(B191/2)+3</f>
        <v>503</v>
      </c>
      <c r="E197" s="24">
        <f>2*B189</f>
        <v>0</v>
      </c>
      <c r="F197" s="249">
        <f t="shared" si="25"/>
        <v>0</v>
      </c>
      <c r="G197" s="231">
        <v>22283</v>
      </c>
      <c r="H197" s="245">
        <f t="shared" si="27"/>
        <v>3.7138333333333335</v>
      </c>
      <c r="I197" s="227">
        <f t="shared" si="26"/>
        <v>0</v>
      </c>
    </row>
    <row r="198" spans="1:9" hidden="1" outlineLevel="1" x14ac:dyDescent="0.25">
      <c r="A198" s="19"/>
      <c r="B198" s="20">
        <v>2515</v>
      </c>
      <c r="C198" s="3" t="s">
        <v>85</v>
      </c>
      <c r="D198" s="23">
        <f>(B191/2)+3</f>
        <v>503</v>
      </c>
      <c r="E198" s="24">
        <f>2*B189</f>
        <v>0</v>
      </c>
      <c r="F198" s="249">
        <f t="shared" si="25"/>
        <v>0</v>
      </c>
      <c r="G198" s="231">
        <v>22283</v>
      </c>
      <c r="H198" s="245">
        <f t="shared" si="27"/>
        <v>3.7138333333333335</v>
      </c>
      <c r="I198" s="227">
        <f t="shared" si="26"/>
        <v>0</v>
      </c>
    </row>
    <row r="199" spans="1:9" hidden="1" outlineLevel="1" x14ac:dyDescent="0.25">
      <c r="A199" s="19"/>
      <c r="B199" s="20">
        <v>2506</v>
      </c>
      <c r="C199" s="3" t="s">
        <v>86</v>
      </c>
      <c r="D199" s="23">
        <f>B192-58</f>
        <v>1442</v>
      </c>
      <c r="E199" s="24">
        <f>2*B189</f>
        <v>0</v>
      </c>
      <c r="F199" s="249">
        <f t="shared" si="25"/>
        <v>0</v>
      </c>
      <c r="G199" s="231">
        <v>18941</v>
      </c>
      <c r="H199" s="245">
        <f t="shared" si="27"/>
        <v>3.1568333333333332</v>
      </c>
      <c r="I199" s="227">
        <f t="shared" si="26"/>
        <v>0</v>
      </c>
    </row>
    <row r="200" spans="1:9" hidden="1" outlineLevel="1" x14ac:dyDescent="0.25">
      <c r="A200" s="5"/>
      <c r="B200" s="26">
        <v>2507</v>
      </c>
      <c r="C200" s="28" t="s">
        <v>87</v>
      </c>
      <c r="D200" s="30">
        <f>B192-58</f>
        <v>1442</v>
      </c>
      <c r="E200" s="31">
        <f>2*B189</f>
        <v>0</v>
      </c>
      <c r="F200" s="257">
        <f t="shared" si="25"/>
        <v>0</v>
      </c>
      <c r="G200" s="258">
        <v>16469</v>
      </c>
      <c r="H200" s="259">
        <f t="shared" si="27"/>
        <v>2.7448333333333332</v>
      </c>
      <c r="I200" s="260">
        <f t="shared" si="26"/>
        <v>0</v>
      </c>
    </row>
    <row r="201" spans="1:9" hidden="1" outlineLevel="1" x14ac:dyDescent="0.25">
      <c r="A201" s="4" t="s">
        <v>88</v>
      </c>
      <c r="B201" s="20"/>
      <c r="C201" s="3" t="s">
        <v>89</v>
      </c>
      <c r="D201" s="23">
        <f>(B191*B192)/1000000*10*B189</f>
        <v>0</v>
      </c>
      <c r="E201" s="24" t="s">
        <v>90</v>
      </c>
      <c r="F201" s="351">
        <v>33.520000000000003</v>
      </c>
      <c r="G201" s="227">
        <f>F201*D201</f>
        <v>0</v>
      </c>
      <c r="H201" s="4" t="s">
        <v>91</v>
      </c>
      <c r="I201" s="246">
        <f>SUM(G201:G203)</f>
        <v>0</v>
      </c>
    </row>
    <row r="202" spans="1:9" hidden="1" outlineLevel="1" x14ac:dyDescent="0.25">
      <c r="A202" s="4"/>
      <c r="B202" s="20"/>
      <c r="C202" s="3" t="s">
        <v>92</v>
      </c>
      <c r="D202" s="23">
        <f>4*B189</f>
        <v>0</v>
      </c>
      <c r="E202" s="24" t="s">
        <v>93</v>
      </c>
      <c r="F202" s="351">
        <v>1200</v>
      </c>
      <c r="G202" s="227">
        <f>F202*D202</f>
        <v>0</v>
      </c>
    </row>
    <row r="203" spans="1:9" hidden="1" outlineLevel="1" x14ac:dyDescent="0.25">
      <c r="A203" s="19"/>
      <c r="B203" s="20"/>
      <c r="C203" s="3" t="s">
        <v>94</v>
      </c>
      <c r="D203" s="23">
        <f>2*B189</f>
        <v>0</v>
      </c>
      <c r="E203" s="24" t="s">
        <v>93</v>
      </c>
      <c r="F203" s="351">
        <v>1400</v>
      </c>
      <c r="G203" s="227">
        <f>F203*D203</f>
        <v>0</v>
      </c>
    </row>
    <row r="204" spans="1:9" hidden="1" outlineLevel="1" x14ac:dyDescent="0.25">
      <c r="A204" s="40" t="s">
        <v>95</v>
      </c>
      <c r="B204" s="1" t="s">
        <v>76</v>
      </c>
      <c r="C204" s="1" t="s">
        <v>96</v>
      </c>
      <c r="D204" s="1" t="s">
        <v>97</v>
      </c>
      <c r="E204" s="4" t="s">
        <v>45</v>
      </c>
      <c r="F204" s="4" t="s">
        <v>98</v>
      </c>
      <c r="G204" s="231"/>
    </row>
    <row r="205" spans="1:9" hidden="1" outlineLevel="1" x14ac:dyDescent="0.25">
      <c r="A205" s="5"/>
      <c r="B205" s="31">
        <f>2*B189</f>
        <v>0</v>
      </c>
      <c r="C205" s="32">
        <f>(B191/2)-66</f>
        <v>434</v>
      </c>
      <c r="D205" s="32">
        <f>B192-116</f>
        <v>1384</v>
      </c>
      <c r="E205" s="255">
        <f>D4</f>
        <v>21000</v>
      </c>
      <c r="F205" s="256">
        <f>E205*B206</f>
        <v>0</v>
      </c>
      <c r="G205" s="231"/>
      <c r="I205"/>
    </row>
    <row r="206" spans="1:9" hidden="1" outlineLevel="1" x14ac:dyDescent="0.25">
      <c r="A206" s="6" t="s">
        <v>99</v>
      </c>
      <c r="B206" s="41">
        <f>(B205*C205*D205)/1000000</f>
        <v>0</v>
      </c>
    </row>
    <row r="207" spans="1:9" collapsed="1" x14ac:dyDescent="0.25"/>
    <row r="208" spans="1:9" x14ac:dyDescent="0.25">
      <c r="A208" s="1" t="s">
        <v>61</v>
      </c>
      <c r="B208" s="238" t="s">
        <v>109</v>
      </c>
      <c r="C208" s="237"/>
      <c r="E208" s="3"/>
    </row>
    <row r="209" spans="1:9" x14ac:dyDescent="0.25">
      <c r="A209" s="4" t="s">
        <v>62</v>
      </c>
      <c r="B209" s="384" t="s">
        <v>63</v>
      </c>
      <c r="C209" s="384"/>
      <c r="D209" s="384"/>
      <c r="E209" s="384"/>
    </row>
    <row r="210" spans="1:9" x14ac:dyDescent="0.25">
      <c r="A210" s="5"/>
      <c r="B210" s="384"/>
      <c r="C210" s="384"/>
      <c r="D210" s="384"/>
      <c r="E210" s="384"/>
    </row>
    <row r="211" spans="1:9" x14ac:dyDescent="0.25">
      <c r="A211" s="240" t="s">
        <v>64</v>
      </c>
      <c r="B211" s="239">
        <v>0</v>
      </c>
      <c r="C211" s="8"/>
      <c r="D211" s="8"/>
      <c r="E211" s="8"/>
      <c r="H211" t="s">
        <v>65</v>
      </c>
      <c r="I211" s="232">
        <f>SUM(I216:I222)</f>
        <v>0</v>
      </c>
    </row>
    <row r="212" spans="1:9" x14ac:dyDescent="0.25">
      <c r="A212" s="241" t="s">
        <v>66</v>
      </c>
      <c r="B212" s="242">
        <f>(B213*B214)/1000000*B211</f>
        <v>0</v>
      </c>
      <c r="C212" s="11" t="s">
        <v>67</v>
      </c>
      <c r="D212" s="12"/>
      <c r="E212" s="12"/>
      <c r="H212" t="s">
        <v>68</v>
      </c>
      <c r="I212" s="246">
        <f>F227</f>
        <v>0</v>
      </c>
    </row>
    <row r="213" spans="1:9" ht="18" x14ac:dyDescent="0.4">
      <c r="A213" s="243" t="s">
        <v>69</v>
      </c>
      <c r="B213" s="14">
        <v>1000</v>
      </c>
      <c r="H213" t="s">
        <v>70</v>
      </c>
      <c r="I213" s="247">
        <f>I223</f>
        <v>0</v>
      </c>
    </row>
    <row r="214" spans="1:9" x14ac:dyDescent="0.25">
      <c r="A214" s="244" t="s">
        <v>71</v>
      </c>
      <c r="B214" s="17">
        <v>1500</v>
      </c>
      <c r="H214" t="s">
        <v>36</v>
      </c>
      <c r="I214" s="248">
        <f>SUM(I211:I213)</f>
        <v>0</v>
      </c>
    </row>
    <row r="215" spans="1:9" hidden="1" outlineLevel="1" x14ac:dyDescent="0.25">
      <c r="A215" s="4" t="s">
        <v>72</v>
      </c>
      <c r="B215" s="1" t="s">
        <v>73</v>
      </c>
      <c r="C215" s="1" t="s">
        <v>74</v>
      </c>
      <c r="D215" s="1" t="s">
        <v>75</v>
      </c>
      <c r="E215" s="1" t="s">
        <v>76</v>
      </c>
      <c r="F215" s="4" t="s">
        <v>77</v>
      </c>
      <c r="G215" s="4" t="s">
        <v>78</v>
      </c>
      <c r="H215" s="4" t="s">
        <v>79</v>
      </c>
      <c r="I215" s="4" t="s">
        <v>80</v>
      </c>
    </row>
    <row r="216" spans="1:9" hidden="1" outlineLevel="1" x14ac:dyDescent="0.25">
      <c r="A216" s="19"/>
      <c r="B216" s="20">
        <v>2501</v>
      </c>
      <c r="C216" s="3" t="s">
        <v>81</v>
      </c>
      <c r="D216" s="23">
        <f>B213-16</f>
        <v>984</v>
      </c>
      <c r="E216" s="24">
        <f>1*B211</f>
        <v>0</v>
      </c>
      <c r="F216" s="250">
        <f t="shared" ref="F216:F222" si="28">E216*D216</f>
        <v>0</v>
      </c>
      <c r="G216" s="251">
        <v>22000</v>
      </c>
      <c r="H216" s="252">
        <f>G216/6000</f>
        <v>3.6666666666666665</v>
      </c>
      <c r="I216" s="253">
        <f t="shared" ref="I216:I222" si="29">H216*F216</f>
        <v>0</v>
      </c>
    </row>
    <row r="217" spans="1:9" hidden="1" outlineLevel="1" x14ac:dyDescent="0.25">
      <c r="A217" s="19"/>
      <c r="B217" s="20">
        <v>2502</v>
      </c>
      <c r="C217" s="3" t="s">
        <v>82</v>
      </c>
      <c r="D217" s="23">
        <f>B213-16</f>
        <v>984</v>
      </c>
      <c r="E217" s="24">
        <f>1*B211</f>
        <v>0</v>
      </c>
      <c r="F217" s="249">
        <f t="shared" si="28"/>
        <v>0</v>
      </c>
      <c r="G217" s="231">
        <v>22000</v>
      </c>
      <c r="H217" s="245">
        <f t="shared" ref="H217:H222" si="30">G217/6000</f>
        <v>3.6666666666666665</v>
      </c>
      <c r="I217" s="227">
        <f t="shared" si="29"/>
        <v>0</v>
      </c>
    </row>
    <row r="218" spans="1:9" hidden="1" outlineLevel="1" x14ac:dyDescent="0.25">
      <c r="A218" s="19"/>
      <c r="B218" s="26">
        <v>2503</v>
      </c>
      <c r="C218" s="28" t="s">
        <v>83</v>
      </c>
      <c r="D218" s="30">
        <f>B214</f>
        <v>1500</v>
      </c>
      <c r="E218" s="31">
        <f>2*B211</f>
        <v>0</v>
      </c>
      <c r="F218" s="249">
        <f t="shared" si="28"/>
        <v>0</v>
      </c>
      <c r="G218" s="231">
        <v>18000</v>
      </c>
      <c r="H218" s="245">
        <f t="shared" si="30"/>
        <v>3</v>
      </c>
      <c r="I218" s="227">
        <f t="shared" si="29"/>
        <v>0</v>
      </c>
    </row>
    <row r="219" spans="1:9" hidden="1" outlineLevel="1" x14ac:dyDescent="0.25">
      <c r="A219" s="19"/>
      <c r="B219" s="20">
        <v>2504</v>
      </c>
      <c r="C219" s="3" t="s">
        <v>84</v>
      </c>
      <c r="D219" s="23">
        <f>(B213/2)+3</f>
        <v>503</v>
      </c>
      <c r="E219" s="24">
        <f>2*B211</f>
        <v>0</v>
      </c>
      <c r="F219" s="249">
        <f t="shared" si="28"/>
        <v>0</v>
      </c>
      <c r="G219" s="231">
        <v>22283</v>
      </c>
      <c r="H219" s="245">
        <f t="shared" si="30"/>
        <v>3.7138333333333335</v>
      </c>
      <c r="I219" s="227">
        <f t="shared" si="29"/>
        <v>0</v>
      </c>
    </row>
    <row r="220" spans="1:9" hidden="1" outlineLevel="1" x14ac:dyDescent="0.25">
      <c r="A220" s="19"/>
      <c r="B220" s="20">
        <v>2515</v>
      </c>
      <c r="C220" s="3" t="s">
        <v>85</v>
      </c>
      <c r="D220" s="23">
        <f>(B213/2)+3</f>
        <v>503</v>
      </c>
      <c r="E220" s="24">
        <f>2*B211</f>
        <v>0</v>
      </c>
      <c r="F220" s="249">
        <f t="shared" si="28"/>
        <v>0</v>
      </c>
      <c r="G220" s="231">
        <v>22283</v>
      </c>
      <c r="H220" s="245">
        <f t="shared" si="30"/>
        <v>3.7138333333333335</v>
      </c>
      <c r="I220" s="227">
        <f t="shared" si="29"/>
        <v>0</v>
      </c>
    </row>
    <row r="221" spans="1:9" hidden="1" outlineLevel="1" x14ac:dyDescent="0.25">
      <c r="A221" s="19"/>
      <c r="B221" s="20">
        <v>2506</v>
      </c>
      <c r="C221" s="3" t="s">
        <v>86</v>
      </c>
      <c r="D221" s="23">
        <f>B214-58</f>
        <v>1442</v>
      </c>
      <c r="E221" s="24">
        <f>2*B211</f>
        <v>0</v>
      </c>
      <c r="F221" s="249">
        <f t="shared" si="28"/>
        <v>0</v>
      </c>
      <c r="G221" s="231">
        <v>18941</v>
      </c>
      <c r="H221" s="245">
        <f t="shared" si="30"/>
        <v>3.1568333333333332</v>
      </c>
      <c r="I221" s="227">
        <f t="shared" si="29"/>
        <v>0</v>
      </c>
    </row>
    <row r="222" spans="1:9" hidden="1" outlineLevel="1" x14ac:dyDescent="0.25">
      <c r="A222" s="5"/>
      <c r="B222" s="26">
        <v>2507</v>
      </c>
      <c r="C222" s="28" t="s">
        <v>87</v>
      </c>
      <c r="D222" s="30">
        <f>B214-58</f>
        <v>1442</v>
      </c>
      <c r="E222" s="31">
        <f>2*B211</f>
        <v>0</v>
      </c>
      <c r="F222" s="257">
        <f t="shared" si="28"/>
        <v>0</v>
      </c>
      <c r="G222" s="258">
        <v>16469</v>
      </c>
      <c r="H222" s="259">
        <f t="shared" si="30"/>
        <v>2.7448333333333332</v>
      </c>
      <c r="I222" s="260">
        <f t="shared" si="29"/>
        <v>0</v>
      </c>
    </row>
    <row r="223" spans="1:9" hidden="1" outlineLevel="1" x14ac:dyDescent="0.25">
      <c r="A223" s="4" t="s">
        <v>88</v>
      </c>
      <c r="B223" s="20"/>
      <c r="C223" s="3" t="s">
        <v>89</v>
      </c>
      <c r="D223" s="23">
        <f>(B213*B214)/1000000*10*B211</f>
        <v>0</v>
      </c>
      <c r="E223" s="24" t="s">
        <v>90</v>
      </c>
      <c r="F223" s="351">
        <v>33.520000000000003</v>
      </c>
      <c r="G223" s="227">
        <f>F223*D223</f>
        <v>0</v>
      </c>
      <c r="H223" s="4" t="s">
        <v>91</v>
      </c>
      <c r="I223" s="246">
        <f>SUM(G223:G225)</f>
        <v>0</v>
      </c>
    </row>
    <row r="224" spans="1:9" hidden="1" outlineLevel="1" x14ac:dyDescent="0.25">
      <c r="A224" s="4"/>
      <c r="B224" s="20"/>
      <c r="C224" s="3" t="s">
        <v>92</v>
      </c>
      <c r="D224" s="23">
        <f>4*B211</f>
        <v>0</v>
      </c>
      <c r="E224" s="24" t="s">
        <v>93</v>
      </c>
      <c r="F224" s="351">
        <v>1200</v>
      </c>
      <c r="G224" s="227">
        <f>F224*D224</f>
        <v>0</v>
      </c>
    </row>
    <row r="225" spans="1:7" hidden="1" outlineLevel="1" x14ac:dyDescent="0.25">
      <c r="A225" s="19"/>
      <c r="B225" s="20"/>
      <c r="C225" s="3" t="s">
        <v>94</v>
      </c>
      <c r="D225" s="23">
        <f>2*B211</f>
        <v>0</v>
      </c>
      <c r="E225" s="24" t="s">
        <v>93</v>
      </c>
      <c r="F225" s="351">
        <v>1400</v>
      </c>
      <c r="G225" s="227">
        <f>F225*D225</f>
        <v>0</v>
      </c>
    </row>
    <row r="226" spans="1:7" hidden="1" outlineLevel="1" x14ac:dyDescent="0.25">
      <c r="A226" s="40" t="s">
        <v>95</v>
      </c>
      <c r="B226" s="1" t="s">
        <v>76</v>
      </c>
      <c r="C226" s="1" t="s">
        <v>96</v>
      </c>
      <c r="D226" s="1" t="s">
        <v>97</v>
      </c>
      <c r="E226" s="4" t="s">
        <v>45</v>
      </c>
      <c r="F226" s="4" t="s">
        <v>98</v>
      </c>
    </row>
    <row r="227" spans="1:7" hidden="1" outlineLevel="1" x14ac:dyDescent="0.25">
      <c r="A227" s="5"/>
      <c r="B227" s="31">
        <f>2*B211</f>
        <v>0</v>
      </c>
      <c r="C227" s="32">
        <f>(B213/2)-66</f>
        <v>434</v>
      </c>
      <c r="D227" s="32">
        <f>B214-116</f>
        <v>1384</v>
      </c>
      <c r="E227" s="255">
        <f>D4</f>
        <v>21000</v>
      </c>
      <c r="F227" s="256">
        <f>E227*B228</f>
        <v>0</v>
      </c>
    </row>
    <row r="228" spans="1:7" hidden="1" outlineLevel="1" x14ac:dyDescent="0.25">
      <c r="A228" s="6" t="s">
        <v>99</v>
      </c>
      <c r="B228" s="41">
        <f>(B227*C227*D227)/1000000</f>
        <v>0</v>
      </c>
    </row>
    <row r="229" spans="1:7" collapsed="1" x14ac:dyDescent="0.25"/>
    <row r="231" spans="1:7" x14ac:dyDescent="0.25">
      <c r="A231" s="233"/>
    </row>
  </sheetData>
  <mergeCells count="14">
    <mergeCell ref="A2:F2"/>
    <mergeCell ref="H2:I2"/>
    <mergeCell ref="B143:E144"/>
    <mergeCell ref="B165:E166"/>
    <mergeCell ref="B187:E188"/>
    <mergeCell ref="B209:E210"/>
    <mergeCell ref="A4:B4"/>
    <mergeCell ref="B33:E34"/>
    <mergeCell ref="B55:E56"/>
    <mergeCell ref="B77:E78"/>
    <mergeCell ref="B99:E100"/>
    <mergeCell ref="B121:E122"/>
    <mergeCell ref="A5:B5"/>
    <mergeCell ref="B11:E1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7" r:id="rId3" name="Button 47">
              <controlPr defaultSize="0" print="0" autoFill="0" autoPict="0" macro="[0]!VOLVER">
                <anchor moveWithCells="1" sizeWithCells="1">
                  <from>
                    <xdr:col>10</xdr:col>
                    <xdr:colOff>447675</xdr:colOff>
                    <xdr:row>4</xdr:row>
                    <xdr:rowOff>104775</xdr:rowOff>
                  </from>
                  <to>
                    <xdr:col>13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42A431-A1D3-BA4B-B7FC-4BD2D2B6C78A}">
          <x14:formula1>
            <xm:f>'COSTOS VIDRIOS'!$A$2:$A$11</xm:f>
          </x14:formula1>
          <xm:sqref>C4</xm:sqref>
        </x14:dataValidation>
        <x14:dataValidation type="list" allowBlank="1" showInputMessage="1" showErrorMessage="1" xr:uid="{F47B74CE-E731-AC42-8967-BA256301D244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75C11-DE47-FE4C-BF16-59D080EB79AC}">
  <sheetPr codeName="Hoja19">
    <tabColor theme="0" tint="-0.499984740745262"/>
  </sheetPr>
  <dimension ref="A1:J299"/>
  <sheetViews>
    <sheetView showGridLines="0" topLeftCell="A2" zoomScale="70" zoomScaleNormal="7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8.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110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B13+B44+B73+B102+B131+B160+B189+B218+B247+B276</f>
        <v>1</v>
      </c>
      <c r="H3" s="268" t="s">
        <v>42</v>
      </c>
      <c r="I3" s="325">
        <f>G5*(1+D8)</f>
        <v>32761.247199999994</v>
      </c>
      <c r="J3" s="326">
        <f t="shared" ref="J3:J8" si="0">I3/(1-G$7)</f>
        <v>46801.781714285709</v>
      </c>
    </row>
    <row r="4" spans="1:10" ht="19.5" thickBot="1" x14ac:dyDescent="0.35">
      <c r="A4" s="385" t="s">
        <v>43</v>
      </c>
      <c r="B4" s="385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I14+I43+I72+I101+I130+I159+I188+I217+I246+I275</f>
        <v>41395.536</v>
      </c>
      <c r="J4" s="326">
        <f t="shared" si="0"/>
        <v>59136.480000000003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I13+I42+I71+I100+I129+I158+I187+I216+I245+I274</f>
        <v>29782.951999999994</v>
      </c>
      <c r="H5" s="270" t="s">
        <v>51</v>
      </c>
      <c r="I5" s="325">
        <f>I15+I44+I73+I102+I131+I160+I189+I218+I247+I276</f>
        <v>18688.8</v>
      </c>
      <c r="J5" s="326">
        <f t="shared" si="0"/>
        <v>26698.285714285714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43296.678514285712</v>
      </c>
      <c r="H9" s="272"/>
      <c r="I9" s="264">
        <f>SUM(I3:I8)</f>
        <v>101025.58319999999</v>
      </c>
      <c r="J9" s="322">
        <f>SUM(J3:J8)</f>
        <v>144322.26171428571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111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SUM(I19:I29)</f>
        <v>29782.951999999994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F36</f>
        <v>41395.536</v>
      </c>
    </row>
    <row r="15" spans="1:10" ht="18" x14ac:dyDescent="0.4">
      <c r="A15" s="241" t="s">
        <v>66</v>
      </c>
      <c r="B15" s="242">
        <f>B16*B17/1000000*B13</f>
        <v>2.25</v>
      </c>
      <c r="C15" s="11" t="s">
        <v>67</v>
      </c>
      <c r="D15" s="12"/>
      <c r="E15" s="12"/>
      <c r="F15" s="12"/>
      <c r="H15" t="s">
        <v>70</v>
      </c>
      <c r="I15" s="247">
        <f>I31</f>
        <v>18688.8</v>
      </c>
    </row>
    <row r="16" spans="1:10" x14ac:dyDescent="0.25">
      <c r="A16" s="243" t="s">
        <v>69</v>
      </c>
      <c r="B16" s="14">
        <v>1500</v>
      </c>
      <c r="F16" s="15"/>
      <c r="H16" t="s">
        <v>36</v>
      </c>
      <c r="I16" s="248">
        <f>SUM(I13:I15)</f>
        <v>89867.288</v>
      </c>
    </row>
    <row r="17" spans="1:9" x14ac:dyDescent="0.25">
      <c r="A17" s="244" t="s">
        <v>71</v>
      </c>
      <c r="B17" s="17">
        <v>1500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>
        <v>4201</v>
      </c>
      <c r="C19" s="3" t="s">
        <v>114</v>
      </c>
      <c r="D19" s="23">
        <f>B16</f>
        <v>1500</v>
      </c>
      <c r="E19" s="24">
        <f>1*B13</f>
        <v>1</v>
      </c>
      <c r="F19" s="250">
        <f>E19*D19</f>
        <v>1500</v>
      </c>
      <c r="G19" s="253">
        <f>'COSTOS ALUMINIO'!D$5</f>
        <v>11796</v>
      </c>
      <c r="H19" s="252">
        <f>G19/6000</f>
        <v>1.966</v>
      </c>
      <c r="I19" s="253">
        <f t="shared" ref="I19:I29" si="1">H19*F19</f>
        <v>2949</v>
      </c>
    </row>
    <row r="20" spans="1:9" hidden="1" outlineLevel="1" x14ac:dyDescent="0.25">
      <c r="A20" s="19"/>
      <c r="B20" s="20">
        <v>4201</v>
      </c>
      <c r="C20" s="3" t="s">
        <v>115</v>
      </c>
      <c r="D20" s="23">
        <f>B16</f>
        <v>1500</v>
      </c>
      <c r="E20" s="24">
        <f>1*B13</f>
        <v>1</v>
      </c>
      <c r="F20" s="249">
        <f>E20*D20</f>
        <v>1500</v>
      </c>
      <c r="G20" s="231">
        <f>'COSTOS ALUMINIO'!D$5</f>
        <v>11796</v>
      </c>
      <c r="H20" s="245">
        <f t="shared" ref="H20:H29" si="2">G20/6000</f>
        <v>1.966</v>
      </c>
      <c r="I20" s="227">
        <f t="shared" si="1"/>
        <v>2949</v>
      </c>
    </row>
    <row r="21" spans="1:9" hidden="1" outlineLevel="1" x14ac:dyDescent="0.25">
      <c r="A21" s="19"/>
      <c r="B21" s="20">
        <v>4202</v>
      </c>
      <c r="C21" s="3" t="s">
        <v>116</v>
      </c>
      <c r="D21" s="23">
        <f>(B16-18)/B14</f>
        <v>1482</v>
      </c>
      <c r="E21" s="24">
        <f>1*B13*B14</f>
        <v>1</v>
      </c>
      <c r="F21" s="249">
        <f t="shared" ref="F21:F29" si="3">E21*D21</f>
        <v>1482</v>
      </c>
      <c r="G21" s="231">
        <f>'COSTOS ALUMINIO'!D$6</f>
        <v>18722</v>
      </c>
      <c r="H21" s="245">
        <f t="shared" si="2"/>
        <v>3.1203333333333334</v>
      </c>
      <c r="I21" s="227">
        <f t="shared" si="1"/>
        <v>4624.3339999999998</v>
      </c>
    </row>
    <row r="22" spans="1:9" hidden="1" outlineLevel="1" x14ac:dyDescent="0.25">
      <c r="A22" s="19"/>
      <c r="B22" s="20">
        <v>4229</v>
      </c>
      <c r="C22" s="3" t="s">
        <v>117</v>
      </c>
      <c r="D22" s="23">
        <f>(B16-96)/B14</f>
        <v>1404</v>
      </c>
      <c r="E22" s="24">
        <f>1*B13*B14</f>
        <v>1</v>
      </c>
      <c r="F22" s="249">
        <f t="shared" si="3"/>
        <v>1404</v>
      </c>
      <c r="G22" s="231">
        <f>'COSTOS ALUMINIO'!D$8</f>
        <v>5756</v>
      </c>
      <c r="H22" s="245">
        <f t="shared" si="2"/>
        <v>0.95933333333333337</v>
      </c>
      <c r="I22" s="227">
        <f t="shared" si="1"/>
        <v>1346.904</v>
      </c>
    </row>
    <row r="23" spans="1:9" hidden="1" outlineLevel="1" x14ac:dyDescent="0.25">
      <c r="A23" s="19"/>
      <c r="B23" s="20">
        <v>4202</v>
      </c>
      <c r="C23" s="3" t="s">
        <v>118</v>
      </c>
      <c r="D23" s="23">
        <f>(B16-18)/B14</f>
        <v>1482</v>
      </c>
      <c r="E23" s="24">
        <f>1*B13*B14</f>
        <v>1</v>
      </c>
      <c r="F23" s="249">
        <f t="shared" si="3"/>
        <v>1482</v>
      </c>
      <c r="G23" s="231">
        <f>'COSTOS ALUMINIO'!D$6</f>
        <v>18722</v>
      </c>
      <c r="H23" s="245">
        <f t="shared" si="2"/>
        <v>3.1203333333333334</v>
      </c>
      <c r="I23" s="227">
        <f t="shared" si="1"/>
        <v>4624.3339999999998</v>
      </c>
    </row>
    <row r="24" spans="1:9" hidden="1" outlineLevel="1" x14ac:dyDescent="0.25">
      <c r="A24" s="19"/>
      <c r="B24" s="20">
        <v>4229</v>
      </c>
      <c r="C24" s="3" t="s">
        <v>117</v>
      </c>
      <c r="D24" s="23">
        <f>(B16-96)/B14</f>
        <v>1404</v>
      </c>
      <c r="E24" s="24">
        <f>1*B13*B14</f>
        <v>1</v>
      </c>
      <c r="F24" s="249">
        <f t="shared" si="3"/>
        <v>1404</v>
      </c>
      <c r="G24" s="231">
        <f>'COSTOS ALUMINIO'!D$8</f>
        <v>5756</v>
      </c>
      <c r="H24" s="245">
        <f t="shared" si="2"/>
        <v>0.95933333333333337</v>
      </c>
      <c r="I24" s="227">
        <f t="shared" si="1"/>
        <v>1346.904</v>
      </c>
    </row>
    <row r="25" spans="1:9" hidden="1" outlineLevel="1" x14ac:dyDescent="0.25">
      <c r="A25" s="19"/>
      <c r="B25" s="20">
        <v>4204</v>
      </c>
      <c r="C25" s="3" t="s">
        <v>119</v>
      </c>
      <c r="D25" s="23">
        <f>B17-18</f>
        <v>1482</v>
      </c>
      <c r="E25" s="24">
        <f>1*B13*(-1+B14)</f>
        <v>0</v>
      </c>
      <c r="F25" s="249">
        <f t="shared" si="3"/>
        <v>0</v>
      </c>
      <c r="G25" s="231">
        <f>'COSTOS ALUMINIO'!D$9</f>
        <v>20523</v>
      </c>
      <c r="H25" s="245">
        <f t="shared" si="2"/>
        <v>3.4205000000000001</v>
      </c>
      <c r="I25" s="227">
        <f t="shared" si="1"/>
        <v>0</v>
      </c>
    </row>
    <row r="26" spans="1:9" hidden="1" outlineLevel="1" x14ac:dyDescent="0.25">
      <c r="A26" s="19"/>
      <c r="B26" s="20">
        <v>4202</v>
      </c>
      <c r="C26" s="3" t="s">
        <v>120</v>
      </c>
      <c r="D26" s="23">
        <f>B17-18</f>
        <v>1482</v>
      </c>
      <c r="E26" s="24">
        <f>1*B13*B14</f>
        <v>1</v>
      </c>
      <c r="F26" s="249">
        <f t="shared" si="3"/>
        <v>1482</v>
      </c>
      <c r="G26" s="231">
        <f>'COSTOS ALUMINIO'!D$6</f>
        <v>18722</v>
      </c>
      <c r="H26" s="245">
        <f t="shared" si="2"/>
        <v>3.1203333333333334</v>
      </c>
      <c r="I26" s="227">
        <f t="shared" si="1"/>
        <v>4624.3339999999998</v>
      </c>
    </row>
    <row r="27" spans="1:9" hidden="1" outlineLevel="1" x14ac:dyDescent="0.25">
      <c r="A27" s="19"/>
      <c r="B27" s="20">
        <v>4229</v>
      </c>
      <c r="C27" s="3" t="s">
        <v>117</v>
      </c>
      <c r="D27" s="23">
        <f>B17-96</f>
        <v>1404</v>
      </c>
      <c r="E27" s="24">
        <f>1*B13*B14</f>
        <v>1</v>
      </c>
      <c r="F27" s="249">
        <f t="shared" si="3"/>
        <v>1404</v>
      </c>
      <c r="G27" s="231">
        <f>'COSTOS ALUMINIO'!D$8</f>
        <v>5756</v>
      </c>
      <c r="H27" s="245">
        <f t="shared" si="2"/>
        <v>0.95933333333333337</v>
      </c>
      <c r="I27" s="227">
        <f t="shared" si="1"/>
        <v>1346.904</v>
      </c>
    </row>
    <row r="28" spans="1:9" hidden="1" outlineLevel="1" x14ac:dyDescent="0.25">
      <c r="A28" s="19"/>
      <c r="B28" s="20">
        <v>4202</v>
      </c>
      <c r="C28" s="3" t="s">
        <v>121</v>
      </c>
      <c r="D28" s="23">
        <f>B17-18</f>
        <v>1482</v>
      </c>
      <c r="E28" s="24">
        <f>1*B13*B14</f>
        <v>1</v>
      </c>
      <c r="F28" s="249">
        <f t="shared" si="3"/>
        <v>1482</v>
      </c>
      <c r="G28" s="231">
        <f>'COSTOS ALUMINIO'!D$6</f>
        <v>18722</v>
      </c>
      <c r="H28" s="245">
        <f t="shared" si="2"/>
        <v>3.1203333333333334</v>
      </c>
      <c r="I28" s="227">
        <f t="shared" si="1"/>
        <v>4624.3339999999998</v>
      </c>
    </row>
    <row r="29" spans="1:9" hidden="1" outlineLevel="1" x14ac:dyDescent="0.25">
      <c r="A29" s="19"/>
      <c r="B29" s="20">
        <v>4229</v>
      </c>
      <c r="C29" s="3" t="s">
        <v>117</v>
      </c>
      <c r="D29" s="30">
        <f>B17-96</f>
        <v>1404</v>
      </c>
      <c r="E29" s="31">
        <f>1*B13*B14</f>
        <v>1</v>
      </c>
      <c r="F29" s="249">
        <f t="shared" si="3"/>
        <v>1404</v>
      </c>
      <c r="G29" s="231">
        <f>'COSTOS ALUMINIO'!D$8</f>
        <v>5756</v>
      </c>
      <c r="H29" s="245">
        <f t="shared" si="2"/>
        <v>0.95933333333333337</v>
      </c>
      <c r="I29" s="227">
        <f t="shared" si="1"/>
        <v>1346.904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3" t="s">
        <v>123</v>
      </c>
      <c r="D31" s="23">
        <f>2*B13</f>
        <v>2</v>
      </c>
      <c r="E31" s="24" t="s">
        <v>93</v>
      </c>
      <c r="F31" s="351">
        <f>'COSTOS ALUMINIO'!D$10</f>
        <v>1400</v>
      </c>
      <c r="G31" s="227">
        <f>F31*D31</f>
        <v>2800</v>
      </c>
      <c r="H31" s="40" t="s">
        <v>91</v>
      </c>
      <c r="I31" s="254">
        <f>SUM(G31:G34)</f>
        <v>18688.8</v>
      </c>
    </row>
    <row r="32" spans="1:9" hidden="1" outlineLevel="1" x14ac:dyDescent="0.25">
      <c r="A32" s="4"/>
      <c r="B32" s="20"/>
      <c r="C32" s="3" t="s">
        <v>124</v>
      </c>
      <c r="D32" s="23">
        <f>2*B13*B14</f>
        <v>2</v>
      </c>
      <c r="E32" s="24" t="s">
        <v>93</v>
      </c>
      <c r="F32" s="351">
        <f>'COSTOS ALUMINIO'!D$11</f>
        <v>7121</v>
      </c>
      <c r="G32" s="227">
        <f>F32*D32</f>
        <v>14242</v>
      </c>
      <c r="I32" s="231"/>
    </row>
    <row r="33" spans="1:9" hidden="1" outlineLevel="1" x14ac:dyDescent="0.25">
      <c r="A33" s="4"/>
      <c r="B33" s="20"/>
      <c r="C33" s="3" t="s">
        <v>125</v>
      </c>
      <c r="D33" s="23">
        <f>4*B13*B14</f>
        <v>4</v>
      </c>
      <c r="E33" s="24" t="s">
        <v>126</v>
      </c>
      <c r="F33" s="351">
        <f>'COSTOS ALUMINIO'!D$12</f>
        <v>169.9</v>
      </c>
      <c r="G33" s="227">
        <f>F33*D33</f>
        <v>679.6</v>
      </c>
      <c r="I33" s="231"/>
    </row>
    <row r="34" spans="1:9" hidden="1" outlineLevel="1" x14ac:dyDescent="0.25">
      <c r="A34" s="4"/>
      <c r="B34" s="20"/>
      <c r="C34" s="3" t="s">
        <v>127</v>
      </c>
      <c r="D34" s="23">
        <f>8*B13*B14</f>
        <v>8</v>
      </c>
      <c r="E34" s="24" t="s">
        <v>126</v>
      </c>
      <c r="F34" s="351">
        <f>'COSTOS ALUMINIO'!D$13</f>
        <v>120.9</v>
      </c>
      <c r="G34" s="227">
        <f>F34*D34</f>
        <v>967.2</v>
      </c>
      <c r="I34" s="231"/>
    </row>
    <row r="35" spans="1:9" hidden="1" outlineLevel="1" x14ac:dyDescent="0.25">
      <c r="A35" s="40" t="s">
        <v>95</v>
      </c>
      <c r="B35" s="1" t="s">
        <v>76</v>
      </c>
      <c r="C35" s="1" t="s">
        <v>96</v>
      </c>
      <c r="D35" s="1" t="s">
        <v>97</v>
      </c>
      <c r="E35" s="4" t="s">
        <v>45</v>
      </c>
      <c r="F35" s="4" t="s">
        <v>98</v>
      </c>
      <c r="I35" s="231"/>
    </row>
    <row r="36" spans="1:9" hidden="1" outlineLevel="1" x14ac:dyDescent="0.25">
      <c r="A36" s="5"/>
      <c r="B36" s="31">
        <f>B14*B13</f>
        <v>1</v>
      </c>
      <c r="C36" s="283">
        <f>(B16-96)/B14</f>
        <v>1404</v>
      </c>
      <c r="D36" s="283">
        <f>B17-96</f>
        <v>1404</v>
      </c>
      <c r="E36" s="255">
        <f>D$4</f>
        <v>21000</v>
      </c>
      <c r="F36" s="256">
        <f>E36*B37</f>
        <v>41395.536</v>
      </c>
      <c r="I36" s="231"/>
    </row>
    <row r="37" spans="1:9" hidden="1" outlineLevel="1" x14ac:dyDescent="0.25">
      <c r="A37" s="6" t="s">
        <v>99</v>
      </c>
      <c r="B37" s="41">
        <f>(B36*C36*D36)/1000000</f>
        <v>1.9712160000000001</v>
      </c>
      <c r="I37" s="231"/>
    </row>
    <row r="38" spans="1:9" collapsed="1" x14ac:dyDescent="0.25"/>
    <row r="39" spans="1:9" x14ac:dyDescent="0.25">
      <c r="A39" s="1" t="s">
        <v>61</v>
      </c>
      <c r="B39" s="238" t="s">
        <v>30</v>
      </c>
      <c r="C39" s="237"/>
      <c r="E39" s="3"/>
      <c r="F39" s="3"/>
      <c r="I39" s="231"/>
    </row>
    <row r="40" spans="1:9" ht="15.95" customHeight="1" x14ac:dyDescent="0.25">
      <c r="A40" s="4" t="s">
        <v>62</v>
      </c>
      <c r="B40" s="384" t="s">
        <v>111</v>
      </c>
      <c r="C40" s="384"/>
      <c r="D40" s="384"/>
      <c r="E40" s="384"/>
      <c r="F40" s="236"/>
      <c r="I40" s="231"/>
    </row>
    <row r="41" spans="1:9" x14ac:dyDescent="0.25">
      <c r="A41" s="5"/>
      <c r="B41" s="384"/>
      <c r="C41" s="384"/>
      <c r="D41" s="384"/>
      <c r="E41" s="384"/>
      <c r="F41" s="236"/>
      <c r="I41" s="231"/>
    </row>
    <row r="42" spans="1:9" x14ac:dyDescent="0.25">
      <c r="A42" s="240" t="s">
        <v>64</v>
      </c>
      <c r="B42" s="239">
        <v>0</v>
      </c>
      <c r="C42" s="8"/>
      <c r="D42" s="8"/>
      <c r="E42" s="8"/>
      <c r="F42" s="236"/>
      <c r="H42" t="s">
        <v>65</v>
      </c>
      <c r="I42" s="232">
        <f>SUM(I48:I59)</f>
        <v>0</v>
      </c>
    </row>
    <row r="43" spans="1:9" x14ac:dyDescent="0.25">
      <c r="A43" s="299" t="s">
        <v>112</v>
      </c>
      <c r="B43" s="14">
        <v>1</v>
      </c>
      <c r="C43" t="s">
        <v>113</v>
      </c>
      <c r="F43" s="236"/>
      <c r="H43" t="s">
        <v>68</v>
      </c>
      <c r="I43" s="246">
        <f>F66</f>
        <v>0</v>
      </c>
    </row>
    <row r="44" spans="1:9" ht="18" x14ac:dyDescent="0.4">
      <c r="A44" s="241" t="s">
        <v>66</v>
      </c>
      <c r="B44" s="242">
        <f>B45*B46/1000000*B42</f>
        <v>0</v>
      </c>
      <c r="C44" s="11" t="s">
        <v>67</v>
      </c>
      <c r="D44" s="12"/>
      <c r="E44" s="12"/>
      <c r="F44" s="12"/>
      <c r="H44" t="s">
        <v>70</v>
      </c>
      <c r="I44" s="247">
        <f>I61</f>
        <v>0</v>
      </c>
    </row>
    <row r="45" spans="1:9" x14ac:dyDescent="0.25">
      <c r="A45" s="243" t="s">
        <v>69</v>
      </c>
      <c r="B45" s="14">
        <v>1000</v>
      </c>
      <c r="F45" s="15"/>
      <c r="H45" t="s">
        <v>36</v>
      </c>
      <c r="I45" s="248">
        <f>SUM(I42:I44)</f>
        <v>0</v>
      </c>
    </row>
    <row r="46" spans="1:9" x14ac:dyDescent="0.25">
      <c r="A46" s="244" t="s">
        <v>71</v>
      </c>
      <c r="B46" s="17">
        <v>1000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>
        <v>4201</v>
      </c>
      <c r="C48" s="3" t="s">
        <v>114</v>
      </c>
      <c r="D48" s="23">
        <f>B45</f>
        <v>1000</v>
      </c>
      <c r="E48" s="24">
        <f>1*B42</f>
        <v>0</v>
      </c>
      <c r="F48" s="250">
        <f>E48*D48</f>
        <v>0</v>
      </c>
      <c r="G48" s="253">
        <f>'COSTOS ALUMINIO'!D$5</f>
        <v>11796</v>
      </c>
      <c r="H48" s="252">
        <f>G48/6000</f>
        <v>1.966</v>
      </c>
      <c r="I48" s="253">
        <f t="shared" ref="I48:I58" si="4">H48*F48</f>
        <v>0</v>
      </c>
    </row>
    <row r="49" spans="1:9" hidden="1" outlineLevel="1" x14ac:dyDescent="0.25">
      <c r="A49" s="19"/>
      <c r="B49" s="20">
        <v>4201</v>
      </c>
      <c r="C49" s="3" t="s">
        <v>115</v>
      </c>
      <c r="D49" s="23">
        <f>B45</f>
        <v>1000</v>
      </c>
      <c r="E49" s="24">
        <f>1*B42</f>
        <v>0</v>
      </c>
      <c r="F49" s="249">
        <f>E49*D49</f>
        <v>0</v>
      </c>
      <c r="G49" s="231">
        <f>'COSTOS ALUMINIO'!D$5</f>
        <v>11796</v>
      </c>
      <c r="H49" s="245">
        <f t="shared" ref="H49:H58" si="5">G49/6000</f>
        <v>1.966</v>
      </c>
      <c r="I49" s="227">
        <f t="shared" si="4"/>
        <v>0</v>
      </c>
    </row>
    <row r="50" spans="1:9" hidden="1" outlineLevel="1" x14ac:dyDescent="0.25">
      <c r="A50" s="19"/>
      <c r="B50" s="20">
        <v>4202</v>
      </c>
      <c r="C50" s="3" t="s">
        <v>116</v>
      </c>
      <c r="D50" s="23">
        <f>(B45-18)/B43</f>
        <v>982</v>
      </c>
      <c r="E50" s="24">
        <f>1*B42*B43</f>
        <v>0</v>
      </c>
      <c r="F50" s="249">
        <f t="shared" ref="F50:F58" si="6">E50*D50</f>
        <v>0</v>
      </c>
      <c r="G50" s="231">
        <f>'COSTOS ALUMINIO'!D$6</f>
        <v>18722</v>
      </c>
      <c r="H50" s="245">
        <f t="shared" si="5"/>
        <v>3.1203333333333334</v>
      </c>
      <c r="I50" s="227">
        <f t="shared" si="4"/>
        <v>0</v>
      </c>
    </row>
    <row r="51" spans="1:9" hidden="1" outlineLevel="1" x14ac:dyDescent="0.25">
      <c r="A51" s="19"/>
      <c r="B51" s="20">
        <v>4229</v>
      </c>
      <c r="C51" s="3" t="s">
        <v>117</v>
      </c>
      <c r="D51" s="23">
        <f>(B45-96)/B43</f>
        <v>904</v>
      </c>
      <c r="E51" s="24">
        <f>1*B42*B43</f>
        <v>0</v>
      </c>
      <c r="F51" s="249">
        <f t="shared" si="6"/>
        <v>0</v>
      </c>
      <c r="G51" s="231">
        <f>'COSTOS ALUMINIO'!D$8</f>
        <v>5756</v>
      </c>
      <c r="H51" s="245">
        <f t="shared" si="5"/>
        <v>0.95933333333333337</v>
      </c>
      <c r="I51" s="227">
        <f t="shared" si="4"/>
        <v>0</v>
      </c>
    </row>
    <row r="52" spans="1:9" hidden="1" outlineLevel="1" x14ac:dyDescent="0.25">
      <c r="A52" s="19"/>
      <c r="B52" s="20">
        <v>4202</v>
      </c>
      <c r="C52" s="3" t="s">
        <v>118</v>
      </c>
      <c r="D52" s="23">
        <f>(B45-18)/B43</f>
        <v>982</v>
      </c>
      <c r="E52" s="24">
        <f>1*B42*B43</f>
        <v>0</v>
      </c>
      <c r="F52" s="249">
        <f t="shared" si="6"/>
        <v>0</v>
      </c>
      <c r="G52" s="231">
        <f>'COSTOS ALUMINIO'!D$6</f>
        <v>18722</v>
      </c>
      <c r="H52" s="245">
        <f t="shared" si="5"/>
        <v>3.1203333333333334</v>
      </c>
      <c r="I52" s="227">
        <f t="shared" si="4"/>
        <v>0</v>
      </c>
    </row>
    <row r="53" spans="1:9" hidden="1" outlineLevel="1" x14ac:dyDescent="0.25">
      <c r="A53" s="19"/>
      <c r="B53" s="20">
        <v>4229</v>
      </c>
      <c r="C53" s="3" t="s">
        <v>117</v>
      </c>
      <c r="D53" s="23">
        <f>(B45-96)/B43</f>
        <v>904</v>
      </c>
      <c r="E53" s="24">
        <f>1*B42*B43</f>
        <v>0</v>
      </c>
      <c r="F53" s="249">
        <f t="shared" si="6"/>
        <v>0</v>
      </c>
      <c r="G53" s="231">
        <f>'COSTOS ALUMINIO'!D$8</f>
        <v>5756</v>
      </c>
      <c r="H53" s="245">
        <f t="shared" si="5"/>
        <v>0.95933333333333337</v>
      </c>
      <c r="I53" s="227">
        <f t="shared" si="4"/>
        <v>0</v>
      </c>
    </row>
    <row r="54" spans="1:9" hidden="1" outlineLevel="1" x14ac:dyDescent="0.25">
      <c r="A54" s="19"/>
      <c r="B54" s="20">
        <v>4204</v>
      </c>
      <c r="C54" s="3" t="s">
        <v>119</v>
      </c>
      <c r="D54" s="23">
        <f>B46-18</f>
        <v>982</v>
      </c>
      <c r="E54" s="24">
        <f>1*B42*(-1+B43)</f>
        <v>0</v>
      </c>
      <c r="F54" s="249">
        <f t="shared" si="6"/>
        <v>0</v>
      </c>
      <c r="G54" s="231">
        <f>'COSTOS ALUMINIO'!D$9</f>
        <v>20523</v>
      </c>
      <c r="H54" s="245">
        <f t="shared" si="5"/>
        <v>3.4205000000000001</v>
      </c>
      <c r="I54" s="227">
        <f t="shared" si="4"/>
        <v>0</v>
      </c>
    </row>
    <row r="55" spans="1:9" hidden="1" outlineLevel="1" x14ac:dyDescent="0.25">
      <c r="A55" s="19"/>
      <c r="B55" s="20">
        <v>4202</v>
      </c>
      <c r="C55" s="3" t="s">
        <v>120</v>
      </c>
      <c r="D55" s="23">
        <f>B46-18</f>
        <v>982</v>
      </c>
      <c r="E55" s="24">
        <f>1*B42*B43</f>
        <v>0</v>
      </c>
      <c r="F55" s="249">
        <f t="shared" si="6"/>
        <v>0</v>
      </c>
      <c r="G55" s="231">
        <f>'COSTOS ALUMINIO'!D$6</f>
        <v>18722</v>
      </c>
      <c r="H55" s="245">
        <f t="shared" si="5"/>
        <v>3.1203333333333334</v>
      </c>
      <c r="I55" s="227">
        <f t="shared" si="4"/>
        <v>0</v>
      </c>
    </row>
    <row r="56" spans="1:9" hidden="1" outlineLevel="1" x14ac:dyDescent="0.25">
      <c r="A56" s="19"/>
      <c r="B56" s="20">
        <v>4229</v>
      </c>
      <c r="C56" s="3" t="s">
        <v>117</v>
      </c>
      <c r="D56" s="23">
        <f>B46-96</f>
        <v>904</v>
      </c>
      <c r="E56" s="24">
        <f>1*B42*B43</f>
        <v>0</v>
      </c>
      <c r="F56" s="249">
        <f t="shared" si="6"/>
        <v>0</v>
      </c>
      <c r="G56" s="231">
        <f>'COSTOS ALUMINIO'!D$8</f>
        <v>5756</v>
      </c>
      <c r="H56" s="245">
        <f t="shared" si="5"/>
        <v>0.95933333333333337</v>
      </c>
      <c r="I56" s="227">
        <f t="shared" si="4"/>
        <v>0</v>
      </c>
    </row>
    <row r="57" spans="1:9" hidden="1" outlineLevel="1" x14ac:dyDescent="0.25">
      <c r="A57" s="19"/>
      <c r="B57" s="20">
        <v>4202</v>
      </c>
      <c r="C57" s="3" t="s">
        <v>121</v>
      </c>
      <c r="D57" s="23">
        <f>B46-18</f>
        <v>982</v>
      </c>
      <c r="E57" s="24">
        <f>1*B42*B43</f>
        <v>0</v>
      </c>
      <c r="F57" s="249">
        <f t="shared" si="6"/>
        <v>0</v>
      </c>
      <c r="G57" s="231">
        <f>'COSTOS ALUMINIO'!D$6</f>
        <v>18722</v>
      </c>
      <c r="H57" s="245">
        <f t="shared" si="5"/>
        <v>3.1203333333333334</v>
      </c>
      <c r="I57" s="227">
        <f t="shared" si="4"/>
        <v>0</v>
      </c>
    </row>
    <row r="58" spans="1:9" hidden="1" outlineLevel="1" x14ac:dyDescent="0.25">
      <c r="A58" s="19"/>
      <c r="B58" s="20">
        <v>4229</v>
      </c>
      <c r="C58" s="3" t="s">
        <v>117</v>
      </c>
      <c r="D58" s="30">
        <f>B46-96</f>
        <v>904</v>
      </c>
      <c r="E58" s="31">
        <f>1*B42*B43</f>
        <v>0</v>
      </c>
      <c r="F58" s="249">
        <f t="shared" si="6"/>
        <v>0</v>
      </c>
      <c r="G58" s="231">
        <f>'COSTOS ALUMINIO'!D$8</f>
        <v>5756</v>
      </c>
      <c r="H58" s="245">
        <f t="shared" si="5"/>
        <v>0.95933333333333337</v>
      </c>
      <c r="I58" s="227">
        <f t="shared" si="4"/>
        <v>0</v>
      </c>
    </row>
    <row r="59" spans="1:9" hidden="1" outlineLevel="1" x14ac:dyDescent="0.25">
      <c r="A59" s="19"/>
      <c r="B59" s="290"/>
      <c r="C59" s="291"/>
      <c r="D59" s="292"/>
      <c r="E59" s="293"/>
      <c r="F59" s="296" t="s">
        <v>122</v>
      </c>
      <c r="G59" s="296" t="s">
        <v>98</v>
      </c>
      <c r="H59" s="294"/>
      <c r="I59" s="295"/>
    </row>
    <row r="60" spans="1:9" hidden="1" outlineLevel="1" x14ac:dyDescent="0.25">
      <c r="A60" s="40" t="s">
        <v>88</v>
      </c>
      <c r="B60" s="279"/>
      <c r="C60" s="3" t="s">
        <v>123</v>
      </c>
      <c r="D60" s="23">
        <f>2*B42</f>
        <v>0</v>
      </c>
      <c r="E60" s="24" t="s">
        <v>93</v>
      </c>
      <c r="F60" s="351">
        <f>'COSTOS ALUMINIO'!D$10</f>
        <v>1400</v>
      </c>
      <c r="G60" s="227">
        <f>F60*D60</f>
        <v>0</v>
      </c>
      <c r="H60" s="40" t="s">
        <v>91</v>
      </c>
      <c r="I60" s="254">
        <f>SUM(G60:G63)</f>
        <v>0</v>
      </c>
    </row>
    <row r="61" spans="1:9" hidden="1" outlineLevel="1" x14ac:dyDescent="0.25">
      <c r="A61" s="4"/>
      <c r="B61" s="20"/>
      <c r="C61" s="3" t="s">
        <v>124</v>
      </c>
      <c r="D61" s="23">
        <f>2*B42*B43</f>
        <v>0</v>
      </c>
      <c r="E61" s="24" t="s">
        <v>93</v>
      </c>
      <c r="F61" s="351">
        <f>'COSTOS ALUMINIO'!D$11</f>
        <v>7121</v>
      </c>
      <c r="G61" s="227">
        <f>F61*D61</f>
        <v>0</v>
      </c>
      <c r="I61" s="231"/>
    </row>
    <row r="62" spans="1:9" hidden="1" outlineLevel="1" x14ac:dyDescent="0.25">
      <c r="A62" s="4"/>
      <c r="B62" s="20"/>
      <c r="C62" s="3" t="s">
        <v>125</v>
      </c>
      <c r="D62" s="23">
        <f>4*B42*B43</f>
        <v>0</v>
      </c>
      <c r="E62" s="24" t="s">
        <v>126</v>
      </c>
      <c r="F62" s="351">
        <f>'COSTOS ALUMINIO'!D$12</f>
        <v>169.9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127</v>
      </c>
      <c r="D63" s="23">
        <f>8*B42*B43</f>
        <v>0</v>
      </c>
      <c r="E63" s="24" t="s">
        <v>126</v>
      </c>
      <c r="F63" s="351">
        <f>'COSTOS ALUMINIO'!D$13</f>
        <v>120.9</v>
      </c>
      <c r="G63" s="227">
        <f>F63*D63</f>
        <v>0</v>
      </c>
      <c r="I63" s="231"/>
    </row>
    <row r="64" spans="1:9" hidden="1" outlineLevel="1" x14ac:dyDescent="0.25">
      <c r="A64" s="40" t="s">
        <v>95</v>
      </c>
      <c r="B64" s="1" t="s">
        <v>76</v>
      </c>
      <c r="C64" s="1" t="s">
        <v>96</v>
      </c>
      <c r="D64" s="1" t="s">
        <v>97</v>
      </c>
      <c r="E64" s="4" t="s">
        <v>45</v>
      </c>
      <c r="F64" s="4" t="s">
        <v>98</v>
      </c>
      <c r="I64" s="231"/>
    </row>
    <row r="65" spans="1:9" hidden="1" outlineLevel="1" x14ac:dyDescent="0.25">
      <c r="A65" s="5"/>
      <c r="B65" s="31">
        <f>B43*B42</f>
        <v>0</v>
      </c>
      <c r="C65" s="283">
        <f>(B45-96)/B43</f>
        <v>904</v>
      </c>
      <c r="D65" s="283">
        <f>B46-96</f>
        <v>904</v>
      </c>
      <c r="E65" s="255">
        <f>D$4</f>
        <v>21000</v>
      </c>
      <c r="F65" s="256">
        <f>E65*B66</f>
        <v>0</v>
      </c>
      <c r="I65" s="231"/>
    </row>
    <row r="66" spans="1:9" hidden="1" outlineLevel="1" x14ac:dyDescent="0.25">
      <c r="A66" s="6" t="s">
        <v>99</v>
      </c>
      <c r="B66" s="41">
        <f>(B65*C65*D65)/1000000</f>
        <v>0</v>
      </c>
      <c r="I66" s="231"/>
    </row>
    <row r="67" spans="1:9" collapsed="1" x14ac:dyDescent="0.25"/>
    <row r="68" spans="1:9" x14ac:dyDescent="0.25">
      <c r="A68" s="1" t="s">
        <v>61</v>
      </c>
      <c r="B68" s="238" t="s">
        <v>101</v>
      </c>
      <c r="C68" s="237"/>
      <c r="E68" s="3"/>
      <c r="F68" s="3"/>
      <c r="I68" s="231"/>
    </row>
    <row r="69" spans="1:9" ht="15.95" customHeight="1" x14ac:dyDescent="0.25">
      <c r="A69" s="4" t="s">
        <v>62</v>
      </c>
      <c r="B69" s="384" t="s">
        <v>111</v>
      </c>
      <c r="C69" s="384"/>
      <c r="D69" s="384"/>
      <c r="E69" s="384"/>
      <c r="F69" s="236"/>
      <c r="I69" s="231"/>
    </row>
    <row r="70" spans="1:9" x14ac:dyDescent="0.25">
      <c r="A70" s="5"/>
      <c r="B70" s="384"/>
      <c r="C70" s="384"/>
      <c r="D70" s="384"/>
      <c r="E70" s="384"/>
      <c r="F70" s="236"/>
      <c r="I70" s="231"/>
    </row>
    <row r="71" spans="1:9" x14ac:dyDescent="0.25">
      <c r="A71" s="240" t="s">
        <v>64</v>
      </c>
      <c r="B71" s="239">
        <v>0</v>
      </c>
      <c r="C71" s="8"/>
      <c r="D71" s="8"/>
      <c r="E71" s="8"/>
      <c r="F71" s="236"/>
      <c r="H71" t="s">
        <v>65</v>
      </c>
      <c r="I71" s="232">
        <f>SUM(I77:I88)</f>
        <v>0</v>
      </c>
    </row>
    <row r="72" spans="1:9" x14ac:dyDescent="0.25">
      <c r="A72" s="299" t="s">
        <v>112</v>
      </c>
      <c r="B72" s="14">
        <v>1</v>
      </c>
      <c r="C72" t="s">
        <v>113</v>
      </c>
      <c r="F72" s="236"/>
      <c r="H72" t="s">
        <v>68</v>
      </c>
      <c r="I72" s="246">
        <f>F95</f>
        <v>0</v>
      </c>
    </row>
    <row r="73" spans="1:9" ht="18" x14ac:dyDescent="0.4">
      <c r="A73" s="241" t="s">
        <v>66</v>
      </c>
      <c r="B73" s="242">
        <f>B74*B75/1000000*B71</f>
        <v>0</v>
      </c>
      <c r="C73" s="11" t="s">
        <v>67</v>
      </c>
      <c r="D73" s="12"/>
      <c r="E73" s="12"/>
      <c r="F73" s="12"/>
      <c r="H73" t="s">
        <v>70</v>
      </c>
      <c r="I73" s="247">
        <f>I90</f>
        <v>0</v>
      </c>
    </row>
    <row r="74" spans="1:9" x14ac:dyDescent="0.25">
      <c r="A74" s="243" t="s">
        <v>69</v>
      </c>
      <c r="B74" s="14">
        <v>1000</v>
      </c>
      <c r="F74" s="15"/>
      <c r="H74" t="s">
        <v>36</v>
      </c>
      <c r="I74" s="248">
        <f>SUM(I71:I73)</f>
        <v>0</v>
      </c>
    </row>
    <row r="75" spans="1:9" x14ac:dyDescent="0.25">
      <c r="A75" s="244" t="s">
        <v>71</v>
      </c>
      <c r="B75" s="17">
        <v>1000</v>
      </c>
    </row>
    <row r="76" spans="1:9" hidden="1" outlineLevel="1" x14ac:dyDescent="0.25">
      <c r="A76" s="4" t="s">
        <v>72</v>
      </c>
      <c r="B76" s="1" t="s">
        <v>73</v>
      </c>
      <c r="C76" s="1" t="s">
        <v>74</v>
      </c>
      <c r="D76" s="1" t="s">
        <v>75</v>
      </c>
      <c r="E76" s="1" t="s">
        <v>76</v>
      </c>
      <c r="F76" s="4" t="s">
        <v>77</v>
      </c>
      <c r="G76" s="4" t="s">
        <v>78</v>
      </c>
      <c r="H76" s="4" t="s">
        <v>79</v>
      </c>
      <c r="I76" s="4" t="s">
        <v>80</v>
      </c>
    </row>
    <row r="77" spans="1:9" hidden="1" outlineLevel="1" x14ac:dyDescent="0.25">
      <c r="A77" s="19"/>
      <c r="B77" s="20">
        <v>4201</v>
      </c>
      <c r="C77" s="3" t="s">
        <v>114</v>
      </c>
      <c r="D77" s="23">
        <f>B74</f>
        <v>1000</v>
      </c>
      <c r="E77" s="24">
        <f>1*B71</f>
        <v>0</v>
      </c>
      <c r="F77" s="250">
        <f>E77*D77</f>
        <v>0</v>
      </c>
      <c r="G77" s="253">
        <f>'COSTOS ALUMINIO'!D$5</f>
        <v>11796</v>
      </c>
      <c r="H77" s="252">
        <f>G77/6000</f>
        <v>1.966</v>
      </c>
      <c r="I77" s="253">
        <f t="shared" ref="I77:I87" si="7">H77*F77</f>
        <v>0</v>
      </c>
    </row>
    <row r="78" spans="1:9" hidden="1" outlineLevel="1" x14ac:dyDescent="0.25">
      <c r="A78" s="19"/>
      <c r="B78" s="20">
        <v>4201</v>
      </c>
      <c r="C78" s="3" t="s">
        <v>115</v>
      </c>
      <c r="D78" s="23">
        <f>B74</f>
        <v>1000</v>
      </c>
      <c r="E78" s="24">
        <f>1*B71</f>
        <v>0</v>
      </c>
      <c r="F78" s="249">
        <f>E78*D78</f>
        <v>0</v>
      </c>
      <c r="G78" s="231">
        <f>'COSTOS ALUMINIO'!D$5</f>
        <v>11796</v>
      </c>
      <c r="H78" s="245">
        <f t="shared" ref="H78:H87" si="8">G78/6000</f>
        <v>1.966</v>
      </c>
      <c r="I78" s="227">
        <f t="shared" si="7"/>
        <v>0</v>
      </c>
    </row>
    <row r="79" spans="1:9" hidden="1" outlineLevel="1" x14ac:dyDescent="0.25">
      <c r="A79" s="19"/>
      <c r="B79" s="20">
        <v>4202</v>
      </c>
      <c r="C79" s="3" t="s">
        <v>116</v>
      </c>
      <c r="D79" s="23">
        <f>(B74-18)/B72</f>
        <v>982</v>
      </c>
      <c r="E79" s="24">
        <f>1*B71*B72</f>
        <v>0</v>
      </c>
      <c r="F79" s="249">
        <f t="shared" ref="F79:F87" si="9">E79*D79</f>
        <v>0</v>
      </c>
      <c r="G79" s="231">
        <f>'COSTOS ALUMINIO'!D$6</f>
        <v>18722</v>
      </c>
      <c r="H79" s="245">
        <f t="shared" si="8"/>
        <v>3.1203333333333334</v>
      </c>
      <c r="I79" s="227">
        <f t="shared" si="7"/>
        <v>0</v>
      </c>
    </row>
    <row r="80" spans="1:9" hidden="1" outlineLevel="1" x14ac:dyDescent="0.25">
      <c r="A80" s="19"/>
      <c r="B80" s="20">
        <v>4229</v>
      </c>
      <c r="C80" s="3" t="s">
        <v>117</v>
      </c>
      <c r="D80" s="23">
        <f>(B74-96)/B72</f>
        <v>904</v>
      </c>
      <c r="E80" s="24">
        <f>1*B71*B72</f>
        <v>0</v>
      </c>
      <c r="F80" s="249">
        <f t="shared" si="9"/>
        <v>0</v>
      </c>
      <c r="G80" s="231">
        <f>'COSTOS ALUMINIO'!D$8</f>
        <v>5756</v>
      </c>
      <c r="H80" s="245">
        <f t="shared" si="8"/>
        <v>0.95933333333333337</v>
      </c>
      <c r="I80" s="227">
        <f t="shared" si="7"/>
        <v>0</v>
      </c>
    </row>
    <row r="81" spans="1:9" hidden="1" outlineLevel="1" x14ac:dyDescent="0.25">
      <c r="A81" s="19"/>
      <c r="B81" s="20">
        <v>4202</v>
      </c>
      <c r="C81" s="3" t="s">
        <v>118</v>
      </c>
      <c r="D81" s="23">
        <f>(B74-18)/B72</f>
        <v>982</v>
      </c>
      <c r="E81" s="24">
        <f>1*B71*B72</f>
        <v>0</v>
      </c>
      <c r="F81" s="249">
        <f t="shared" si="9"/>
        <v>0</v>
      </c>
      <c r="G81" s="231">
        <f>'COSTOS ALUMINIO'!D$6</f>
        <v>18722</v>
      </c>
      <c r="H81" s="245">
        <f t="shared" si="8"/>
        <v>3.1203333333333334</v>
      </c>
      <c r="I81" s="227">
        <f t="shared" si="7"/>
        <v>0</v>
      </c>
    </row>
    <row r="82" spans="1:9" hidden="1" outlineLevel="1" x14ac:dyDescent="0.25">
      <c r="A82" s="19"/>
      <c r="B82" s="20">
        <v>4229</v>
      </c>
      <c r="C82" s="3" t="s">
        <v>117</v>
      </c>
      <c r="D82" s="23">
        <f>(B74-96)/B72</f>
        <v>904</v>
      </c>
      <c r="E82" s="24">
        <f>1*B71*B72</f>
        <v>0</v>
      </c>
      <c r="F82" s="249">
        <f t="shared" si="9"/>
        <v>0</v>
      </c>
      <c r="G82" s="231">
        <f>'COSTOS ALUMINIO'!D$8</f>
        <v>5756</v>
      </c>
      <c r="H82" s="245">
        <f t="shared" si="8"/>
        <v>0.95933333333333337</v>
      </c>
      <c r="I82" s="227">
        <f t="shared" si="7"/>
        <v>0</v>
      </c>
    </row>
    <row r="83" spans="1:9" hidden="1" outlineLevel="1" x14ac:dyDescent="0.25">
      <c r="A83" s="19"/>
      <c r="B83" s="20">
        <v>4204</v>
      </c>
      <c r="C83" s="3" t="s">
        <v>119</v>
      </c>
      <c r="D83" s="23">
        <f>B75-18</f>
        <v>982</v>
      </c>
      <c r="E83" s="24">
        <f>1*B71*(-1+B72)</f>
        <v>0</v>
      </c>
      <c r="F83" s="249">
        <f t="shared" si="9"/>
        <v>0</v>
      </c>
      <c r="G83" s="231">
        <f>'COSTOS ALUMINIO'!D$9</f>
        <v>20523</v>
      </c>
      <c r="H83" s="245">
        <f t="shared" si="8"/>
        <v>3.4205000000000001</v>
      </c>
      <c r="I83" s="227">
        <f t="shared" si="7"/>
        <v>0</v>
      </c>
    </row>
    <row r="84" spans="1:9" hidden="1" outlineLevel="1" x14ac:dyDescent="0.25">
      <c r="A84" s="19"/>
      <c r="B84" s="20">
        <v>4202</v>
      </c>
      <c r="C84" s="3" t="s">
        <v>120</v>
      </c>
      <c r="D84" s="23">
        <f>B75-18</f>
        <v>982</v>
      </c>
      <c r="E84" s="24">
        <f>1*B71*B72</f>
        <v>0</v>
      </c>
      <c r="F84" s="249">
        <f t="shared" si="9"/>
        <v>0</v>
      </c>
      <c r="G84" s="231">
        <f>'COSTOS ALUMINIO'!D$6</f>
        <v>18722</v>
      </c>
      <c r="H84" s="245">
        <f t="shared" si="8"/>
        <v>3.1203333333333334</v>
      </c>
      <c r="I84" s="227">
        <f t="shared" si="7"/>
        <v>0</v>
      </c>
    </row>
    <row r="85" spans="1:9" hidden="1" outlineLevel="1" x14ac:dyDescent="0.25">
      <c r="A85" s="19"/>
      <c r="B85" s="20">
        <v>4229</v>
      </c>
      <c r="C85" s="3" t="s">
        <v>117</v>
      </c>
      <c r="D85" s="23">
        <f>B75-96</f>
        <v>904</v>
      </c>
      <c r="E85" s="24">
        <f>1*B71*B72</f>
        <v>0</v>
      </c>
      <c r="F85" s="249">
        <f t="shared" si="9"/>
        <v>0</v>
      </c>
      <c r="G85" s="231">
        <f>'COSTOS ALUMINIO'!D$8</f>
        <v>5756</v>
      </c>
      <c r="H85" s="245">
        <f t="shared" si="8"/>
        <v>0.95933333333333337</v>
      </c>
      <c r="I85" s="227">
        <f t="shared" si="7"/>
        <v>0</v>
      </c>
    </row>
    <row r="86" spans="1:9" hidden="1" outlineLevel="1" x14ac:dyDescent="0.25">
      <c r="A86" s="19"/>
      <c r="B86" s="20">
        <v>4202</v>
      </c>
      <c r="C86" s="3" t="s">
        <v>121</v>
      </c>
      <c r="D86" s="23">
        <f>B75-18</f>
        <v>982</v>
      </c>
      <c r="E86" s="24">
        <f>1*B71*B72</f>
        <v>0</v>
      </c>
      <c r="F86" s="249">
        <f t="shared" si="9"/>
        <v>0</v>
      </c>
      <c r="G86" s="231">
        <f>'COSTOS ALUMINIO'!D$6</f>
        <v>18722</v>
      </c>
      <c r="H86" s="245">
        <f t="shared" si="8"/>
        <v>3.1203333333333334</v>
      </c>
      <c r="I86" s="227">
        <f t="shared" si="7"/>
        <v>0</v>
      </c>
    </row>
    <row r="87" spans="1:9" hidden="1" outlineLevel="1" x14ac:dyDescent="0.25">
      <c r="A87" s="19"/>
      <c r="B87" s="20">
        <v>4229</v>
      </c>
      <c r="C87" s="3" t="s">
        <v>117</v>
      </c>
      <c r="D87" s="30">
        <f>B75-96</f>
        <v>904</v>
      </c>
      <c r="E87" s="31">
        <f>1*B71*B72</f>
        <v>0</v>
      </c>
      <c r="F87" s="249">
        <f t="shared" si="9"/>
        <v>0</v>
      </c>
      <c r="G87" s="231">
        <f>'COSTOS ALUMINIO'!D$8</f>
        <v>5756</v>
      </c>
      <c r="H87" s="245">
        <f t="shared" si="8"/>
        <v>0.95933333333333337</v>
      </c>
      <c r="I87" s="227">
        <f t="shared" si="7"/>
        <v>0</v>
      </c>
    </row>
    <row r="88" spans="1:9" hidden="1" outlineLevel="1" x14ac:dyDescent="0.25">
      <c r="A88" s="19"/>
      <c r="B88" s="290"/>
      <c r="C88" s="291"/>
      <c r="D88" s="292"/>
      <c r="E88" s="293"/>
      <c r="F88" s="296" t="s">
        <v>122</v>
      </c>
      <c r="G88" s="296" t="s">
        <v>98</v>
      </c>
      <c r="H88" s="294"/>
      <c r="I88" s="295"/>
    </row>
    <row r="89" spans="1:9" hidden="1" outlineLevel="1" x14ac:dyDescent="0.25">
      <c r="A89" s="40" t="s">
        <v>88</v>
      </c>
      <c r="B89" s="279"/>
      <c r="C89" s="3" t="s">
        <v>123</v>
      </c>
      <c r="D89" s="23">
        <f>2*B71</f>
        <v>0</v>
      </c>
      <c r="E89" s="24" t="s">
        <v>93</v>
      </c>
      <c r="F89" s="351">
        <f>'COSTOS ALUMINIO'!D$10</f>
        <v>1400</v>
      </c>
      <c r="G89" s="227">
        <f>F89*D89</f>
        <v>0</v>
      </c>
      <c r="H89" s="40" t="s">
        <v>91</v>
      </c>
      <c r="I89" s="254">
        <f>SUM(G89:G92)</f>
        <v>0</v>
      </c>
    </row>
    <row r="90" spans="1:9" hidden="1" outlineLevel="1" x14ac:dyDescent="0.25">
      <c r="A90" s="4"/>
      <c r="B90" s="20"/>
      <c r="C90" s="3" t="s">
        <v>124</v>
      </c>
      <c r="D90" s="23">
        <f>2*B71*B72</f>
        <v>0</v>
      </c>
      <c r="E90" s="24" t="s">
        <v>93</v>
      </c>
      <c r="F90" s="351">
        <f>'COSTOS ALUMINIO'!D$11</f>
        <v>7121</v>
      </c>
      <c r="G90" s="227">
        <f>F90*D90</f>
        <v>0</v>
      </c>
      <c r="I90" s="231"/>
    </row>
    <row r="91" spans="1:9" hidden="1" outlineLevel="1" x14ac:dyDescent="0.25">
      <c r="A91" s="4"/>
      <c r="B91" s="20"/>
      <c r="C91" s="3" t="s">
        <v>125</v>
      </c>
      <c r="D91" s="23">
        <f>4*B71*B72</f>
        <v>0</v>
      </c>
      <c r="E91" s="24" t="s">
        <v>126</v>
      </c>
      <c r="F91" s="351">
        <f>'COSTOS ALUMINIO'!D$12</f>
        <v>169.9</v>
      </c>
      <c r="G91" s="227">
        <f>F91*D91</f>
        <v>0</v>
      </c>
      <c r="I91" s="231"/>
    </row>
    <row r="92" spans="1:9" hidden="1" outlineLevel="1" x14ac:dyDescent="0.25">
      <c r="A92" s="4"/>
      <c r="B92" s="20"/>
      <c r="C92" s="3" t="s">
        <v>127</v>
      </c>
      <c r="D92" s="23">
        <f>8*B71*B72</f>
        <v>0</v>
      </c>
      <c r="E92" s="24" t="s">
        <v>126</v>
      </c>
      <c r="F92" s="351">
        <f>'COSTOS ALUMINIO'!D$13</f>
        <v>120.9</v>
      </c>
      <c r="G92" s="227">
        <f>F92*D92</f>
        <v>0</v>
      </c>
      <c r="I92" s="231"/>
    </row>
    <row r="93" spans="1:9" hidden="1" outlineLevel="1" x14ac:dyDescent="0.25">
      <c r="A93" s="40" t="s">
        <v>95</v>
      </c>
      <c r="B93" s="1" t="s">
        <v>76</v>
      </c>
      <c r="C93" s="1" t="s">
        <v>96</v>
      </c>
      <c r="D93" s="1" t="s">
        <v>97</v>
      </c>
      <c r="E93" s="4" t="s">
        <v>45</v>
      </c>
      <c r="F93" s="4" t="s">
        <v>98</v>
      </c>
      <c r="I93" s="231"/>
    </row>
    <row r="94" spans="1:9" hidden="1" outlineLevel="1" x14ac:dyDescent="0.25">
      <c r="A94" s="5"/>
      <c r="B94" s="31">
        <f>B72*B71</f>
        <v>0</v>
      </c>
      <c r="C94" s="283">
        <f>(B74-96)/B72</f>
        <v>904</v>
      </c>
      <c r="D94" s="283">
        <f>B75-96</f>
        <v>904</v>
      </c>
      <c r="E94" s="255">
        <f>D$4</f>
        <v>21000</v>
      </c>
      <c r="F94" s="256">
        <f>E94*B95</f>
        <v>0</v>
      </c>
      <c r="I94" s="231"/>
    </row>
    <row r="95" spans="1:9" hidden="1" outlineLevel="1" x14ac:dyDescent="0.25">
      <c r="A95" s="6" t="s">
        <v>99</v>
      </c>
      <c r="B95" s="41">
        <f>(B94*C94*D94)/1000000</f>
        <v>0</v>
      </c>
      <c r="I95" s="231"/>
    </row>
    <row r="96" spans="1:9" collapsed="1" x14ac:dyDescent="0.25"/>
    <row r="97" spans="1:9" x14ac:dyDescent="0.25">
      <c r="A97" s="1" t="s">
        <v>61</v>
      </c>
      <c r="B97" s="238" t="s">
        <v>103</v>
      </c>
      <c r="C97" s="237"/>
      <c r="E97" s="3"/>
      <c r="F97" s="3"/>
      <c r="I97" s="231"/>
    </row>
    <row r="98" spans="1:9" ht="15.95" customHeight="1" x14ac:dyDescent="0.25">
      <c r="A98" s="4" t="s">
        <v>62</v>
      </c>
      <c r="B98" s="384" t="s">
        <v>111</v>
      </c>
      <c r="C98" s="384"/>
      <c r="D98" s="384"/>
      <c r="E98" s="384"/>
      <c r="F98" s="236"/>
      <c r="I98" s="231"/>
    </row>
    <row r="99" spans="1:9" x14ac:dyDescent="0.25">
      <c r="A99" s="5"/>
      <c r="B99" s="384"/>
      <c r="C99" s="384"/>
      <c r="D99" s="384"/>
      <c r="E99" s="384"/>
      <c r="F99" s="236"/>
      <c r="I99" s="231"/>
    </row>
    <row r="100" spans="1:9" x14ac:dyDescent="0.25">
      <c r="A100" s="240" t="s">
        <v>64</v>
      </c>
      <c r="B100" s="239">
        <v>0</v>
      </c>
      <c r="C100" s="8"/>
      <c r="D100" s="8"/>
      <c r="E100" s="8"/>
      <c r="F100" s="236"/>
      <c r="H100" t="s">
        <v>65</v>
      </c>
      <c r="I100" s="232">
        <f>SUM(I106:I117)</f>
        <v>0</v>
      </c>
    </row>
    <row r="101" spans="1:9" x14ac:dyDescent="0.25">
      <c r="A101" s="299" t="s">
        <v>112</v>
      </c>
      <c r="B101" s="14">
        <v>1</v>
      </c>
      <c r="C101" t="s">
        <v>113</v>
      </c>
      <c r="F101" s="236"/>
      <c r="H101" t="s">
        <v>68</v>
      </c>
      <c r="I101" s="246">
        <f>F124</f>
        <v>0</v>
      </c>
    </row>
    <row r="102" spans="1:9" ht="18" x14ac:dyDescent="0.4">
      <c r="A102" s="241" t="s">
        <v>66</v>
      </c>
      <c r="B102" s="242">
        <f>B103*B104/1000000*B100</f>
        <v>0</v>
      </c>
      <c r="C102" s="11" t="s">
        <v>67</v>
      </c>
      <c r="D102" s="12"/>
      <c r="E102" s="12"/>
      <c r="F102" s="12"/>
      <c r="H102" t="s">
        <v>70</v>
      </c>
      <c r="I102" s="247">
        <f>I119</f>
        <v>0</v>
      </c>
    </row>
    <row r="103" spans="1:9" x14ac:dyDescent="0.25">
      <c r="A103" s="243" t="s">
        <v>69</v>
      </c>
      <c r="B103" s="14">
        <v>1000</v>
      </c>
      <c r="F103" s="15"/>
      <c r="H103" t="s">
        <v>36</v>
      </c>
      <c r="I103" s="248">
        <f>SUM(I100:I102)</f>
        <v>0</v>
      </c>
    </row>
    <row r="104" spans="1:9" x14ac:dyDescent="0.25">
      <c r="A104" s="244" t="s">
        <v>71</v>
      </c>
      <c r="B104" s="17">
        <v>1000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4201</v>
      </c>
      <c r="C106" s="3" t="s">
        <v>114</v>
      </c>
      <c r="D106" s="23">
        <f>B103</f>
        <v>1000</v>
      </c>
      <c r="E106" s="24">
        <f>1*B100</f>
        <v>0</v>
      </c>
      <c r="F106" s="250">
        <f>E106*D106</f>
        <v>0</v>
      </c>
      <c r="G106" s="253">
        <f>'COSTOS ALUMINIO'!D$5</f>
        <v>11796</v>
      </c>
      <c r="H106" s="252">
        <f>G106/6000</f>
        <v>1.966</v>
      </c>
      <c r="I106" s="253">
        <f t="shared" ref="I106:I116" si="10">H106*F106</f>
        <v>0</v>
      </c>
    </row>
    <row r="107" spans="1:9" hidden="1" outlineLevel="1" x14ac:dyDescent="0.25">
      <c r="A107" s="19"/>
      <c r="B107" s="20">
        <v>4201</v>
      </c>
      <c r="C107" s="3" t="s">
        <v>115</v>
      </c>
      <c r="D107" s="23">
        <f>B103</f>
        <v>1000</v>
      </c>
      <c r="E107" s="24">
        <f>1*B100</f>
        <v>0</v>
      </c>
      <c r="F107" s="249">
        <f>E107*D107</f>
        <v>0</v>
      </c>
      <c r="G107" s="231">
        <f>'COSTOS ALUMINIO'!D$5</f>
        <v>11796</v>
      </c>
      <c r="H107" s="245">
        <f t="shared" ref="H107:H116" si="11">G107/6000</f>
        <v>1.966</v>
      </c>
      <c r="I107" s="227">
        <f t="shared" si="10"/>
        <v>0</v>
      </c>
    </row>
    <row r="108" spans="1:9" hidden="1" outlineLevel="1" x14ac:dyDescent="0.25">
      <c r="A108" s="19"/>
      <c r="B108" s="20">
        <v>4202</v>
      </c>
      <c r="C108" s="3" t="s">
        <v>116</v>
      </c>
      <c r="D108" s="23">
        <f>(B103-18)/B101</f>
        <v>982</v>
      </c>
      <c r="E108" s="24">
        <f>1*B100*B101</f>
        <v>0</v>
      </c>
      <c r="F108" s="249">
        <f t="shared" ref="F108:F116" si="12">E108*D108</f>
        <v>0</v>
      </c>
      <c r="G108" s="231">
        <f>'COSTOS ALUMINIO'!D$6</f>
        <v>18722</v>
      </c>
      <c r="H108" s="245">
        <f t="shared" si="11"/>
        <v>3.1203333333333334</v>
      </c>
      <c r="I108" s="227">
        <f t="shared" si="10"/>
        <v>0</v>
      </c>
    </row>
    <row r="109" spans="1:9" hidden="1" outlineLevel="1" x14ac:dyDescent="0.25">
      <c r="A109" s="19"/>
      <c r="B109" s="20">
        <v>4229</v>
      </c>
      <c r="C109" s="3" t="s">
        <v>117</v>
      </c>
      <c r="D109" s="23">
        <f>(B103-96)/B101</f>
        <v>904</v>
      </c>
      <c r="E109" s="24">
        <f>1*B100*B101</f>
        <v>0</v>
      </c>
      <c r="F109" s="249">
        <f t="shared" si="12"/>
        <v>0</v>
      </c>
      <c r="G109" s="231">
        <f>'COSTOS ALUMINIO'!D$8</f>
        <v>5756</v>
      </c>
      <c r="H109" s="245">
        <f t="shared" si="11"/>
        <v>0.95933333333333337</v>
      </c>
      <c r="I109" s="227">
        <f t="shared" si="10"/>
        <v>0</v>
      </c>
    </row>
    <row r="110" spans="1:9" hidden="1" outlineLevel="1" x14ac:dyDescent="0.25">
      <c r="A110" s="19"/>
      <c r="B110" s="20">
        <v>4202</v>
      </c>
      <c r="C110" s="3" t="s">
        <v>118</v>
      </c>
      <c r="D110" s="23">
        <f>(B103-18)/B101</f>
        <v>982</v>
      </c>
      <c r="E110" s="24">
        <f>1*B100*B101</f>
        <v>0</v>
      </c>
      <c r="F110" s="249">
        <f t="shared" si="12"/>
        <v>0</v>
      </c>
      <c r="G110" s="231">
        <f>'COSTOS ALUMINIO'!D$6</f>
        <v>18722</v>
      </c>
      <c r="H110" s="245">
        <f t="shared" si="11"/>
        <v>3.1203333333333334</v>
      </c>
      <c r="I110" s="227">
        <f t="shared" si="10"/>
        <v>0</v>
      </c>
    </row>
    <row r="111" spans="1:9" hidden="1" outlineLevel="1" x14ac:dyDescent="0.25">
      <c r="A111" s="19"/>
      <c r="B111" s="20">
        <v>4229</v>
      </c>
      <c r="C111" s="3" t="s">
        <v>117</v>
      </c>
      <c r="D111" s="23">
        <f>(B103-96)/B101</f>
        <v>904</v>
      </c>
      <c r="E111" s="24">
        <f>1*B100*B101</f>
        <v>0</v>
      </c>
      <c r="F111" s="249">
        <f t="shared" si="12"/>
        <v>0</v>
      </c>
      <c r="G111" s="231">
        <f>'COSTOS ALUMINIO'!D$8</f>
        <v>5756</v>
      </c>
      <c r="H111" s="245">
        <f t="shared" si="11"/>
        <v>0.95933333333333337</v>
      </c>
      <c r="I111" s="227">
        <f t="shared" si="10"/>
        <v>0</v>
      </c>
    </row>
    <row r="112" spans="1:9" hidden="1" outlineLevel="1" x14ac:dyDescent="0.25">
      <c r="A112" s="19"/>
      <c r="B112" s="20">
        <v>4204</v>
      </c>
      <c r="C112" s="3" t="s">
        <v>119</v>
      </c>
      <c r="D112" s="23">
        <f>B104-18</f>
        <v>982</v>
      </c>
      <c r="E112" s="24">
        <f>1*B100*(-1+B101)</f>
        <v>0</v>
      </c>
      <c r="F112" s="249">
        <f t="shared" si="12"/>
        <v>0</v>
      </c>
      <c r="G112" s="231">
        <f>'COSTOS ALUMINIO'!D$9</f>
        <v>20523</v>
      </c>
      <c r="H112" s="245">
        <f t="shared" si="11"/>
        <v>3.4205000000000001</v>
      </c>
      <c r="I112" s="227">
        <f t="shared" si="10"/>
        <v>0</v>
      </c>
    </row>
    <row r="113" spans="1:9" hidden="1" outlineLevel="1" x14ac:dyDescent="0.25">
      <c r="A113" s="19"/>
      <c r="B113" s="20">
        <v>4202</v>
      </c>
      <c r="C113" s="3" t="s">
        <v>120</v>
      </c>
      <c r="D113" s="23">
        <f>B104-18</f>
        <v>982</v>
      </c>
      <c r="E113" s="24">
        <f>1*B100*B101</f>
        <v>0</v>
      </c>
      <c r="F113" s="249">
        <f t="shared" si="12"/>
        <v>0</v>
      </c>
      <c r="G113" s="231">
        <f>'COSTOS ALUMINIO'!D$6</f>
        <v>18722</v>
      </c>
      <c r="H113" s="245">
        <f t="shared" si="11"/>
        <v>3.1203333333333334</v>
      </c>
      <c r="I113" s="227">
        <f t="shared" si="10"/>
        <v>0</v>
      </c>
    </row>
    <row r="114" spans="1:9" hidden="1" outlineLevel="1" x14ac:dyDescent="0.25">
      <c r="A114" s="19"/>
      <c r="B114" s="20">
        <v>4229</v>
      </c>
      <c r="C114" s="3" t="s">
        <v>117</v>
      </c>
      <c r="D114" s="23">
        <f>B104-96</f>
        <v>904</v>
      </c>
      <c r="E114" s="24">
        <f>1*B100*B101</f>
        <v>0</v>
      </c>
      <c r="F114" s="249">
        <f t="shared" si="12"/>
        <v>0</v>
      </c>
      <c r="G114" s="231">
        <f>'COSTOS ALUMINIO'!D$8</f>
        <v>5756</v>
      </c>
      <c r="H114" s="245">
        <f t="shared" si="11"/>
        <v>0.95933333333333337</v>
      </c>
      <c r="I114" s="227">
        <f t="shared" si="10"/>
        <v>0</v>
      </c>
    </row>
    <row r="115" spans="1:9" hidden="1" outlineLevel="1" x14ac:dyDescent="0.25">
      <c r="A115" s="19"/>
      <c r="B115" s="20">
        <v>4202</v>
      </c>
      <c r="C115" s="3" t="s">
        <v>121</v>
      </c>
      <c r="D115" s="23">
        <f>B104-18</f>
        <v>982</v>
      </c>
      <c r="E115" s="24">
        <f>1*B100*B101</f>
        <v>0</v>
      </c>
      <c r="F115" s="249">
        <f t="shared" si="12"/>
        <v>0</v>
      </c>
      <c r="G115" s="231">
        <f>'COSTOS ALUMINIO'!D$6</f>
        <v>18722</v>
      </c>
      <c r="H115" s="245">
        <f t="shared" si="11"/>
        <v>3.1203333333333334</v>
      </c>
      <c r="I115" s="227">
        <f t="shared" si="10"/>
        <v>0</v>
      </c>
    </row>
    <row r="116" spans="1:9" hidden="1" outlineLevel="1" x14ac:dyDescent="0.25">
      <c r="A116" s="19"/>
      <c r="B116" s="20">
        <v>4229</v>
      </c>
      <c r="C116" s="3" t="s">
        <v>117</v>
      </c>
      <c r="D116" s="30">
        <f>B104-96</f>
        <v>904</v>
      </c>
      <c r="E116" s="31">
        <f>1*B100*B101</f>
        <v>0</v>
      </c>
      <c r="F116" s="249">
        <f t="shared" si="12"/>
        <v>0</v>
      </c>
      <c r="G116" s="231">
        <f>'COSTOS ALUMINIO'!D$8</f>
        <v>5756</v>
      </c>
      <c r="H116" s="245">
        <f t="shared" si="11"/>
        <v>0.95933333333333337</v>
      </c>
      <c r="I116" s="227">
        <f t="shared" si="10"/>
        <v>0</v>
      </c>
    </row>
    <row r="117" spans="1:9" hidden="1" outlineLevel="1" x14ac:dyDescent="0.25">
      <c r="A117" s="19"/>
      <c r="B117" s="290"/>
      <c r="C117" s="291"/>
      <c r="D117" s="292"/>
      <c r="E117" s="293"/>
      <c r="F117" s="296" t="s">
        <v>122</v>
      </c>
      <c r="G117" s="296" t="s">
        <v>98</v>
      </c>
      <c r="H117" s="294"/>
      <c r="I117" s="295"/>
    </row>
    <row r="118" spans="1:9" hidden="1" outlineLevel="1" x14ac:dyDescent="0.25">
      <c r="A118" s="40" t="s">
        <v>88</v>
      </c>
      <c r="B118" s="279"/>
      <c r="C118" s="3" t="s">
        <v>123</v>
      </c>
      <c r="D118" s="23">
        <f>2*B100</f>
        <v>0</v>
      </c>
      <c r="E118" s="24" t="s">
        <v>93</v>
      </c>
      <c r="F118" s="351">
        <f>'COSTOS ALUMINIO'!D$10</f>
        <v>1400</v>
      </c>
      <c r="G118" s="227">
        <f>F118*D118</f>
        <v>0</v>
      </c>
      <c r="H118" s="40" t="s">
        <v>91</v>
      </c>
      <c r="I118" s="254">
        <f>SUM(G118:G121)</f>
        <v>0</v>
      </c>
    </row>
    <row r="119" spans="1:9" hidden="1" outlineLevel="1" x14ac:dyDescent="0.25">
      <c r="A119" s="4"/>
      <c r="B119" s="20"/>
      <c r="C119" s="3" t="s">
        <v>124</v>
      </c>
      <c r="D119" s="23">
        <f>2*B100*B101</f>
        <v>0</v>
      </c>
      <c r="E119" s="24" t="s">
        <v>93</v>
      </c>
      <c r="F119" s="351">
        <f>'COSTOS ALUMINIO'!D$11</f>
        <v>7121</v>
      </c>
      <c r="G119" s="227">
        <f>F119*D119</f>
        <v>0</v>
      </c>
      <c r="I119" s="231"/>
    </row>
    <row r="120" spans="1:9" hidden="1" outlineLevel="1" x14ac:dyDescent="0.25">
      <c r="A120" s="4"/>
      <c r="B120" s="20"/>
      <c r="C120" s="3" t="s">
        <v>125</v>
      </c>
      <c r="D120" s="23">
        <f>4*B100*B101</f>
        <v>0</v>
      </c>
      <c r="E120" s="24" t="s">
        <v>126</v>
      </c>
      <c r="F120" s="351">
        <f>'COSTOS ALUMINIO'!D$12</f>
        <v>169.9</v>
      </c>
      <c r="G120" s="227">
        <f>F120*D120</f>
        <v>0</v>
      </c>
      <c r="I120" s="231"/>
    </row>
    <row r="121" spans="1:9" hidden="1" outlineLevel="1" x14ac:dyDescent="0.25">
      <c r="A121" s="4"/>
      <c r="B121" s="20"/>
      <c r="C121" s="3" t="s">
        <v>127</v>
      </c>
      <c r="D121" s="23">
        <f>8*B100*B101</f>
        <v>0</v>
      </c>
      <c r="E121" s="24" t="s">
        <v>126</v>
      </c>
      <c r="F121" s="351">
        <f>'COSTOS ALUMINIO'!D$13</f>
        <v>120.9</v>
      </c>
      <c r="G121" s="227">
        <f>F121*D121</f>
        <v>0</v>
      </c>
      <c r="I121" s="231"/>
    </row>
    <row r="122" spans="1:9" hidden="1" outlineLevel="1" x14ac:dyDescent="0.25">
      <c r="A122" s="40" t="s">
        <v>95</v>
      </c>
      <c r="B122" s="1" t="s">
        <v>76</v>
      </c>
      <c r="C122" s="1" t="s">
        <v>96</v>
      </c>
      <c r="D122" s="1" t="s">
        <v>97</v>
      </c>
      <c r="E122" s="4" t="s">
        <v>45</v>
      </c>
      <c r="F122" s="4" t="s">
        <v>98</v>
      </c>
      <c r="I122" s="231"/>
    </row>
    <row r="123" spans="1:9" hidden="1" outlineLevel="1" x14ac:dyDescent="0.25">
      <c r="A123" s="5"/>
      <c r="B123" s="31">
        <f>B101*B100</f>
        <v>0</v>
      </c>
      <c r="C123" s="283">
        <f>(B103-96)/B101</f>
        <v>904</v>
      </c>
      <c r="D123" s="283">
        <f>B104-96</f>
        <v>904</v>
      </c>
      <c r="E123" s="255">
        <f>D$4</f>
        <v>21000</v>
      </c>
      <c r="F123" s="256">
        <f>E123*B124</f>
        <v>0</v>
      </c>
      <c r="I123" s="231"/>
    </row>
    <row r="124" spans="1:9" hidden="1" outlineLevel="1" x14ac:dyDescent="0.25">
      <c r="A124" s="6" t="s">
        <v>99</v>
      </c>
      <c r="B124" s="41">
        <f>(B123*C123*D123)/1000000</f>
        <v>0</v>
      </c>
      <c r="I124" s="231"/>
    </row>
    <row r="125" spans="1:9" collapsed="1" x14ac:dyDescent="0.25"/>
    <row r="126" spans="1:9" x14ac:dyDescent="0.25">
      <c r="A126" s="1" t="s">
        <v>61</v>
      </c>
      <c r="B126" s="238" t="s">
        <v>104</v>
      </c>
      <c r="C126" s="237"/>
      <c r="E126" s="3"/>
      <c r="F126" s="3"/>
      <c r="I126" s="231"/>
    </row>
    <row r="127" spans="1:9" ht="15.95" customHeight="1" x14ac:dyDescent="0.25">
      <c r="A127" s="4" t="s">
        <v>62</v>
      </c>
      <c r="B127" s="384" t="s">
        <v>111</v>
      </c>
      <c r="C127" s="384"/>
      <c r="D127" s="384"/>
      <c r="E127" s="384"/>
      <c r="F127" s="236"/>
      <c r="I127" s="231"/>
    </row>
    <row r="128" spans="1:9" x14ac:dyDescent="0.25">
      <c r="A128" s="5"/>
      <c r="B128" s="384"/>
      <c r="C128" s="384"/>
      <c r="D128" s="384"/>
      <c r="E128" s="384"/>
      <c r="F128" s="236"/>
      <c r="I128" s="231"/>
    </row>
    <row r="129" spans="1:9" x14ac:dyDescent="0.25">
      <c r="A129" s="240" t="s">
        <v>64</v>
      </c>
      <c r="B129" s="239">
        <v>0</v>
      </c>
      <c r="C129" s="8"/>
      <c r="D129" s="8"/>
      <c r="E129" s="8"/>
      <c r="F129" s="236"/>
      <c r="H129" t="s">
        <v>65</v>
      </c>
      <c r="I129" s="232">
        <f>SUM(I135:I146)</f>
        <v>0</v>
      </c>
    </row>
    <row r="130" spans="1:9" x14ac:dyDescent="0.25">
      <c r="A130" s="299" t="s">
        <v>112</v>
      </c>
      <c r="B130" s="14">
        <v>1</v>
      </c>
      <c r="C130" t="s">
        <v>113</v>
      </c>
      <c r="F130" s="236"/>
      <c r="H130" t="s">
        <v>68</v>
      </c>
      <c r="I130" s="246">
        <f>F153</f>
        <v>0</v>
      </c>
    </row>
    <row r="131" spans="1:9" ht="18" x14ac:dyDescent="0.4">
      <c r="A131" s="241" t="s">
        <v>66</v>
      </c>
      <c r="B131" s="242">
        <f>B132*B133/1000000*B129</f>
        <v>0</v>
      </c>
      <c r="C131" s="11" t="s">
        <v>67</v>
      </c>
      <c r="D131" s="12"/>
      <c r="E131" s="12"/>
      <c r="F131" s="12"/>
      <c r="H131" t="s">
        <v>70</v>
      </c>
      <c r="I131" s="247">
        <f>I148</f>
        <v>0</v>
      </c>
    </row>
    <row r="132" spans="1:9" x14ac:dyDescent="0.25">
      <c r="A132" s="243" t="s">
        <v>69</v>
      </c>
      <c r="B132" s="14">
        <v>1000</v>
      </c>
      <c r="F132" s="15"/>
      <c r="H132" t="s">
        <v>36</v>
      </c>
      <c r="I132" s="248">
        <f>SUM(I129:I131)</f>
        <v>0</v>
      </c>
    </row>
    <row r="133" spans="1:9" x14ac:dyDescent="0.25">
      <c r="A133" s="244" t="s">
        <v>71</v>
      </c>
      <c r="B133" s="17">
        <v>1000</v>
      </c>
    </row>
    <row r="134" spans="1:9" hidden="1" outlineLevel="1" x14ac:dyDescent="0.25">
      <c r="A134" s="4" t="s">
        <v>72</v>
      </c>
      <c r="B134" s="1" t="s">
        <v>73</v>
      </c>
      <c r="C134" s="1" t="s">
        <v>74</v>
      </c>
      <c r="D134" s="1" t="s">
        <v>75</v>
      </c>
      <c r="E134" s="1" t="s">
        <v>76</v>
      </c>
      <c r="F134" s="4" t="s">
        <v>77</v>
      </c>
      <c r="G134" s="4" t="s">
        <v>78</v>
      </c>
      <c r="H134" s="4" t="s">
        <v>79</v>
      </c>
      <c r="I134" s="4" t="s">
        <v>80</v>
      </c>
    </row>
    <row r="135" spans="1:9" hidden="1" outlineLevel="1" x14ac:dyDescent="0.25">
      <c r="A135" s="19"/>
      <c r="B135" s="20">
        <v>4201</v>
      </c>
      <c r="C135" s="3" t="s">
        <v>114</v>
      </c>
      <c r="D135" s="23">
        <f>B132</f>
        <v>1000</v>
      </c>
      <c r="E135" s="24">
        <f>1*B129</f>
        <v>0</v>
      </c>
      <c r="F135" s="250">
        <f>E135*D135</f>
        <v>0</v>
      </c>
      <c r="G135" s="253">
        <f>'COSTOS ALUMINIO'!D$5</f>
        <v>11796</v>
      </c>
      <c r="H135" s="252">
        <f>G135/6000</f>
        <v>1.966</v>
      </c>
      <c r="I135" s="253">
        <f t="shared" ref="I135:I145" si="13">H135*F135</f>
        <v>0</v>
      </c>
    </row>
    <row r="136" spans="1:9" hidden="1" outlineLevel="1" x14ac:dyDescent="0.25">
      <c r="A136" s="19"/>
      <c r="B136" s="20">
        <v>4201</v>
      </c>
      <c r="C136" s="3" t="s">
        <v>115</v>
      </c>
      <c r="D136" s="23">
        <f>B132</f>
        <v>1000</v>
      </c>
      <c r="E136" s="24">
        <f>1*B129</f>
        <v>0</v>
      </c>
      <c r="F136" s="249">
        <f>E136*D136</f>
        <v>0</v>
      </c>
      <c r="G136" s="231">
        <f>'COSTOS ALUMINIO'!D$5</f>
        <v>11796</v>
      </c>
      <c r="H136" s="245">
        <f t="shared" ref="H136:H145" si="14">G136/6000</f>
        <v>1.966</v>
      </c>
      <c r="I136" s="227">
        <f t="shared" si="13"/>
        <v>0</v>
      </c>
    </row>
    <row r="137" spans="1:9" hidden="1" outlineLevel="1" x14ac:dyDescent="0.25">
      <c r="A137" s="19"/>
      <c r="B137" s="20">
        <v>4202</v>
      </c>
      <c r="C137" s="3" t="s">
        <v>116</v>
      </c>
      <c r="D137" s="23">
        <f>(B132-18)/B130</f>
        <v>982</v>
      </c>
      <c r="E137" s="24">
        <f>1*B129*B130</f>
        <v>0</v>
      </c>
      <c r="F137" s="249">
        <f t="shared" ref="F137:F145" si="15">E137*D137</f>
        <v>0</v>
      </c>
      <c r="G137" s="231">
        <f>'COSTOS ALUMINIO'!D$6</f>
        <v>18722</v>
      </c>
      <c r="H137" s="245">
        <f t="shared" si="14"/>
        <v>3.1203333333333334</v>
      </c>
      <c r="I137" s="227">
        <f t="shared" si="13"/>
        <v>0</v>
      </c>
    </row>
    <row r="138" spans="1:9" hidden="1" outlineLevel="1" x14ac:dyDescent="0.25">
      <c r="A138" s="19"/>
      <c r="B138" s="20">
        <v>4229</v>
      </c>
      <c r="C138" s="3" t="s">
        <v>117</v>
      </c>
      <c r="D138" s="23">
        <f>(B132-96)/B130</f>
        <v>904</v>
      </c>
      <c r="E138" s="24">
        <f>1*B129*B130</f>
        <v>0</v>
      </c>
      <c r="F138" s="249">
        <f t="shared" si="15"/>
        <v>0</v>
      </c>
      <c r="G138" s="231">
        <f>'COSTOS ALUMINIO'!D$8</f>
        <v>5756</v>
      </c>
      <c r="H138" s="245">
        <f t="shared" si="14"/>
        <v>0.95933333333333337</v>
      </c>
      <c r="I138" s="227">
        <f t="shared" si="13"/>
        <v>0</v>
      </c>
    </row>
    <row r="139" spans="1:9" hidden="1" outlineLevel="1" x14ac:dyDescent="0.25">
      <c r="A139" s="19"/>
      <c r="B139" s="20">
        <v>4202</v>
      </c>
      <c r="C139" s="3" t="s">
        <v>118</v>
      </c>
      <c r="D139" s="23">
        <f>(B132-18)/B130</f>
        <v>982</v>
      </c>
      <c r="E139" s="24">
        <f>1*B129*B130</f>
        <v>0</v>
      </c>
      <c r="F139" s="249">
        <f t="shared" si="15"/>
        <v>0</v>
      </c>
      <c r="G139" s="231">
        <f>'COSTOS ALUMINIO'!D$6</f>
        <v>18722</v>
      </c>
      <c r="H139" s="245">
        <f t="shared" si="14"/>
        <v>3.1203333333333334</v>
      </c>
      <c r="I139" s="227">
        <f t="shared" si="13"/>
        <v>0</v>
      </c>
    </row>
    <row r="140" spans="1:9" hidden="1" outlineLevel="1" x14ac:dyDescent="0.25">
      <c r="A140" s="19"/>
      <c r="B140" s="20">
        <v>4229</v>
      </c>
      <c r="C140" s="3" t="s">
        <v>117</v>
      </c>
      <c r="D140" s="23">
        <f>(B132-96)/B130</f>
        <v>904</v>
      </c>
      <c r="E140" s="24">
        <f>1*B129*B130</f>
        <v>0</v>
      </c>
      <c r="F140" s="249">
        <f t="shared" si="15"/>
        <v>0</v>
      </c>
      <c r="G140" s="231">
        <f>'COSTOS ALUMINIO'!D$8</f>
        <v>5756</v>
      </c>
      <c r="H140" s="245">
        <f t="shared" si="14"/>
        <v>0.95933333333333337</v>
      </c>
      <c r="I140" s="227">
        <f t="shared" si="13"/>
        <v>0</v>
      </c>
    </row>
    <row r="141" spans="1:9" hidden="1" outlineLevel="1" x14ac:dyDescent="0.25">
      <c r="A141" s="19"/>
      <c r="B141" s="20">
        <v>4204</v>
      </c>
      <c r="C141" s="3" t="s">
        <v>119</v>
      </c>
      <c r="D141" s="23">
        <f>B133-18</f>
        <v>982</v>
      </c>
      <c r="E141" s="24">
        <f>1*B129*(-1+B130)</f>
        <v>0</v>
      </c>
      <c r="F141" s="249">
        <f t="shared" si="15"/>
        <v>0</v>
      </c>
      <c r="G141" s="231">
        <f>'COSTOS ALUMINIO'!D$9</f>
        <v>20523</v>
      </c>
      <c r="H141" s="245">
        <f t="shared" si="14"/>
        <v>3.4205000000000001</v>
      </c>
      <c r="I141" s="227">
        <f t="shared" si="13"/>
        <v>0</v>
      </c>
    </row>
    <row r="142" spans="1:9" hidden="1" outlineLevel="1" x14ac:dyDescent="0.25">
      <c r="A142" s="19"/>
      <c r="B142" s="20">
        <v>4202</v>
      </c>
      <c r="C142" s="3" t="s">
        <v>120</v>
      </c>
      <c r="D142" s="23">
        <f>B133-18</f>
        <v>982</v>
      </c>
      <c r="E142" s="24">
        <f>1*B129*B130</f>
        <v>0</v>
      </c>
      <c r="F142" s="249">
        <f t="shared" si="15"/>
        <v>0</v>
      </c>
      <c r="G142" s="231">
        <f>'COSTOS ALUMINIO'!D$6</f>
        <v>18722</v>
      </c>
      <c r="H142" s="245">
        <f t="shared" si="14"/>
        <v>3.1203333333333334</v>
      </c>
      <c r="I142" s="227">
        <f t="shared" si="13"/>
        <v>0</v>
      </c>
    </row>
    <row r="143" spans="1:9" hidden="1" outlineLevel="1" x14ac:dyDescent="0.25">
      <c r="A143" s="19"/>
      <c r="B143" s="20">
        <v>4229</v>
      </c>
      <c r="C143" s="3" t="s">
        <v>117</v>
      </c>
      <c r="D143" s="23">
        <f>B133-96</f>
        <v>904</v>
      </c>
      <c r="E143" s="24">
        <f>1*B129*B130</f>
        <v>0</v>
      </c>
      <c r="F143" s="249">
        <f t="shared" si="15"/>
        <v>0</v>
      </c>
      <c r="G143" s="231">
        <f>'COSTOS ALUMINIO'!D$8</f>
        <v>5756</v>
      </c>
      <c r="H143" s="245">
        <f t="shared" si="14"/>
        <v>0.95933333333333337</v>
      </c>
      <c r="I143" s="227">
        <f t="shared" si="13"/>
        <v>0</v>
      </c>
    </row>
    <row r="144" spans="1:9" hidden="1" outlineLevel="1" x14ac:dyDescent="0.25">
      <c r="A144" s="19"/>
      <c r="B144" s="20">
        <v>4202</v>
      </c>
      <c r="C144" s="3" t="s">
        <v>121</v>
      </c>
      <c r="D144" s="23">
        <f>B133-18</f>
        <v>982</v>
      </c>
      <c r="E144" s="24">
        <f>1*B129*B130</f>
        <v>0</v>
      </c>
      <c r="F144" s="249">
        <f t="shared" si="15"/>
        <v>0</v>
      </c>
      <c r="G144" s="231">
        <f>'COSTOS ALUMINIO'!D$6</f>
        <v>18722</v>
      </c>
      <c r="H144" s="245">
        <f t="shared" si="14"/>
        <v>3.1203333333333334</v>
      </c>
      <c r="I144" s="227">
        <f t="shared" si="13"/>
        <v>0</v>
      </c>
    </row>
    <row r="145" spans="1:9" hidden="1" outlineLevel="1" x14ac:dyDescent="0.25">
      <c r="A145" s="19"/>
      <c r="B145" s="20">
        <v>4229</v>
      </c>
      <c r="C145" s="3" t="s">
        <v>117</v>
      </c>
      <c r="D145" s="30">
        <f>B133-96</f>
        <v>904</v>
      </c>
      <c r="E145" s="31">
        <f>1*B129*B130</f>
        <v>0</v>
      </c>
      <c r="F145" s="249">
        <f t="shared" si="15"/>
        <v>0</v>
      </c>
      <c r="G145" s="231">
        <f>'COSTOS ALUMINIO'!D$8</f>
        <v>5756</v>
      </c>
      <c r="H145" s="245">
        <f t="shared" si="14"/>
        <v>0.95933333333333337</v>
      </c>
      <c r="I145" s="227">
        <f t="shared" si="13"/>
        <v>0</v>
      </c>
    </row>
    <row r="146" spans="1:9" hidden="1" outlineLevel="1" x14ac:dyDescent="0.25">
      <c r="A146" s="19"/>
      <c r="B146" s="290"/>
      <c r="C146" s="291"/>
      <c r="D146" s="292"/>
      <c r="E146" s="293"/>
      <c r="F146" s="296" t="s">
        <v>122</v>
      </c>
      <c r="G146" s="296" t="s">
        <v>98</v>
      </c>
      <c r="H146" s="294"/>
      <c r="I146" s="295"/>
    </row>
    <row r="147" spans="1:9" hidden="1" outlineLevel="1" x14ac:dyDescent="0.25">
      <c r="A147" s="40" t="s">
        <v>88</v>
      </c>
      <c r="B147" s="279"/>
      <c r="C147" s="3" t="s">
        <v>123</v>
      </c>
      <c r="D147" s="23">
        <f>2*B129</f>
        <v>0</v>
      </c>
      <c r="E147" s="24" t="s">
        <v>93</v>
      </c>
      <c r="F147" s="351">
        <f>'COSTOS ALUMINIO'!D$10</f>
        <v>1400</v>
      </c>
      <c r="G147" s="227">
        <f>F147*D147</f>
        <v>0</v>
      </c>
      <c r="H147" s="40" t="s">
        <v>91</v>
      </c>
      <c r="I147" s="254">
        <f>SUM(G147:G150)</f>
        <v>0</v>
      </c>
    </row>
    <row r="148" spans="1:9" hidden="1" outlineLevel="1" x14ac:dyDescent="0.25">
      <c r="A148" s="4"/>
      <c r="B148" s="20"/>
      <c r="C148" s="3" t="s">
        <v>124</v>
      </c>
      <c r="D148" s="23">
        <f>2*B129*B130</f>
        <v>0</v>
      </c>
      <c r="E148" s="24" t="s">
        <v>93</v>
      </c>
      <c r="F148" s="351">
        <f>'COSTOS ALUMINIO'!D$11</f>
        <v>7121</v>
      </c>
      <c r="G148" s="227">
        <f>F148*D148</f>
        <v>0</v>
      </c>
      <c r="I148" s="231"/>
    </row>
    <row r="149" spans="1:9" hidden="1" outlineLevel="1" x14ac:dyDescent="0.25">
      <c r="A149" s="4"/>
      <c r="B149" s="20"/>
      <c r="C149" s="3" t="s">
        <v>125</v>
      </c>
      <c r="D149" s="23">
        <f>4*B129*B130</f>
        <v>0</v>
      </c>
      <c r="E149" s="24" t="s">
        <v>126</v>
      </c>
      <c r="F149" s="351">
        <f>'COSTOS ALUMINIO'!D$12</f>
        <v>169.9</v>
      </c>
      <c r="G149" s="227">
        <f>F149*D149</f>
        <v>0</v>
      </c>
      <c r="I149" s="231"/>
    </row>
    <row r="150" spans="1:9" hidden="1" outlineLevel="1" x14ac:dyDescent="0.25">
      <c r="A150" s="4"/>
      <c r="B150" s="20"/>
      <c r="C150" s="3" t="s">
        <v>127</v>
      </c>
      <c r="D150" s="23">
        <f>8*B129*B130</f>
        <v>0</v>
      </c>
      <c r="E150" s="24" t="s">
        <v>126</v>
      </c>
      <c r="F150" s="351">
        <f>'COSTOS ALUMINIO'!D$13</f>
        <v>120.9</v>
      </c>
      <c r="G150" s="227">
        <f>F150*D150</f>
        <v>0</v>
      </c>
      <c r="I150" s="231"/>
    </row>
    <row r="151" spans="1:9" hidden="1" outlineLevel="1" x14ac:dyDescent="0.25">
      <c r="A151" s="40" t="s">
        <v>95</v>
      </c>
      <c r="B151" s="1" t="s">
        <v>76</v>
      </c>
      <c r="C151" s="1" t="s">
        <v>96</v>
      </c>
      <c r="D151" s="1" t="s">
        <v>97</v>
      </c>
      <c r="E151" s="4" t="s">
        <v>45</v>
      </c>
      <c r="F151" s="4" t="s">
        <v>98</v>
      </c>
      <c r="I151" s="231"/>
    </row>
    <row r="152" spans="1:9" hidden="1" outlineLevel="1" x14ac:dyDescent="0.25">
      <c r="A152" s="5"/>
      <c r="B152" s="31">
        <f>B130*B129</f>
        <v>0</v>
      </c>
      <c r="C152" s="283">
        <f>(B132-96)/B130</f>
        <v>904</v>
      </c>
      <c r="D152" s="283">
        <f>B133-96</f>
        <v>904</v>
      </c>
      <c r="E152" s="255">
        <f>D$4</f>
        <v>21000</v>
      </c>
      <c r="F152" s="256">
        <f>E152*B153</f>
        <v>0</v>
      </c>
      <c r="I152" s="231"/>
    </row>
    <row r="153" spans="1:9" hidden="1" outlineLevel="1" x14ac:dyDescent="0.25">
      <c r="A153" s="6" t="s">
        <v>99</v>
      </c>
      <c r="B153" s="41">
        <f>(B152*C152*D152)/1000000</f>
        <v>0</v>
      </c>
      <c r="I153" s="231"/>
    </row>
    <row r="154" spans="1:9" collapsed="1" x14ac:dyDescent="0.25"/>
    <row r="155" spans="1:9" x14ac:dyDescent="0.25">
      <c r="A155" s="1" t="s">
        <v>61</v>
      </c>
      <c r="B155" s="238" t="s">
        <v>105</v>
      </c>
      <c r="C155" s="237"/>
      <c r="E155" s="3"/>
      <c r="F155" s="3"/>
      <c r="I155" s="231"/>
    </row>
    <row r="156" spans="1:9" ht="15.95" customHeight="1" x14ac:dyDescent="0.25">
      <c r="A156" s="4" t="s">
        <v>62</v>
      </c>
      <c r="B156" s="384" t="s">
        <v>111</v>
      </c>
      <c r="C156" s="384"/>
      <c r="D156" s="384"/>
      <c r="E156" s="384"/>
      <c r="F156" s="236"/>
      <c r="I156" s="231"/>
    </row>
    <row r="157" spans="1:9" x14ac:dyDescent="0.25">
      <c r="A157" s="5"/>
      <c r="B157" s="384"/>
      <c r="C157" s="384"/>
      <c r="D157" s="384"/>
      <c r="E157" s="384"/>
      <c r="F157" s="236"/>
      <c r="I157" s="231"/>
    </row>
    <row r="158" spans="1:9" x14ac:dyDescent="0.25">
      <c r="A158" s="240" t="s">
        <v>64</v>
      </c>
      <c r="B158" s="239">
        <v>0</v>
      </c>
      <c r="C158" s="8"/>
      <c r="D158" s="8"/>
      <c r="E158" s="8"/>
      <c r="F158" s="236"/>
      <c r="H158" t="s">
        <v>65</v>
      </c>
      <c r="I158" s="232">
        <f>SUM(I164:I175)</f>
        <v>0</v>
      </c>
    </row>
    <row r="159" spans="1:9" x14ac:dyDescent="0.25">
      <c r="A159" s="299" t="s">
        <v>112</v>
      </c>
      <c r="B159" s="14">
        <v>1</v>
      </c>
      <c r="C159" t="s">
        <v>113</v>
      </c>
      <c r="F159" s="236"/>
      <c r="H159" t="s">
        <v>68</v>
      </c>
      <c r="I159" s="246">
        <f>F182</f>
        <v>0</v>
      </c>
    </row>
    <row r="160" spans="1:9" ht="18" x14ac:dyDescent="0.4">
      <c r="A160" s="241" t="s">
        <v>66</v>
      </c>
      <c r="B160" s="242">
        <f>B161*B162/1000000*B158</f>
        <v>0</v>
      </c>
      <c r="C160" s="11" t="s">
        <v>67</v>
      </c>
      <c r="D160" s="12"/>
      <c r="E160" s="12"/>
      <c r="F160" s="12"/>
      <c r="H160" t="s">
        <v>70</v>
      </c>
      <c r="I160" s="247">
        <f>I177</f>
        <v>0</v>
      </c>
    </row>
    <row r="161" spans="1:9" x14ac:dyDescent="0.25">
      <c r="A161" s="243" t="s">
        <v>69</v>
      </c>
      <c r="B161" s="14">
        <v>1000</v>
      </c>
      <c r="F161" s="15"/>
      <c r="H161" t="s">
        <v>36</v>
      </c>
      <c r="I161" s="248">
        <f>SUM(I158:I160)</f>
        <v>0</v>
      </c>
    </row>
    <row r="162" spans="1:9" x14ac:dyDescent="0.25">
      <c r="A162" s="244" t="s">
        <v>71</v>
      </c>
      <c r="B162" s="17">
        <v>1000</v>
      </c>
    </row>
    <row r="163" spans="1:9" hidden="1" outlineLevel="1" x14ac:dyDescent="0.25">
      <c r="A163" s="4" t="s">
        <v>72</v>
      </c>
      <c r="B163" s="1" t="s">
        <v>73</v>
      </c>
      <c r="C163" s="1" t="s">
        <v>74</v>
      </c>
      <c r="D163" s="1" t="s">
        <v>75</v>
      </c>
      <c r="E163" s="1" t="s">
        <v>76</v>
      </c>
      <c r="F163" s="4" t="s">
        <v>77</v>
      </c>
      <c r="G163" s="4" t="s">
        <v>78</v>
      </c>
      <c r="H163" s="4" t="s">
        <v>79</v>
      </c>
      <c r="I163" s="4" t="s">
        <v>80</v>
      </c>
    </row>
    <row r="164" spans="1:9" hidden="1" outlineLevel="1" x14ac:dyDescent="0.25">
      <c r="A164" s="19"/>
      <c r="B164" s="20">
        <v>4201</v>
      </c>
      <c r="C164" s="3" t="s">
        <v>114</v>
      </c>
      <c r="D164" s="23">
        <f>B161</f>
        <v>1000</v>
      </c>
      <c r="E164" s="24">
        <f>1*B158</f>
        <v>0</v>
      </c>
      <c r="F164" s="250">
        <f>E164*D164</f>
        <v>0</v>
      </c>
      <c r="G164" s="253">
        <f>'COSTOS ALUMINIO'!D$5</f>
        <v>11796</v>
      </c>
      <c r="H164" s="252">
        <f>G164/6000</f>
        <v>1.966</v>
      </c>
      <c r="I164" s="253">
        <f t="shared" ref="I164:I174" si="16">H164*F164</f>
        <v>0</v>
      </c>
    </row>
    <row r="165" spans="1:9" hidden="1" outlineLevel="1" x14ac:dyDescent="0.25">
      <c r="A165" s="19"/>
      <c r="B165" s="20">
        <v>4201</v>
      </c>
      <c r="C165" s="3" t="s">
        <v>115</v>
      </c>
      <c r="D165" s="23">
        <f>B161</f>
        <v>1000</v>
      </c>
      <c r="E165" s="24">
        <f>1*B158</f>
        <v>0</v>
      </c>
      <c r="F165" s="249">
        <f>E165*D165</f>
        <v>0</v>
      </c>
      <c r="G165" s="231">
        <f>'COSTOS ALUMINIO'!D$5</f>
        <v>11796</v>
      </c>
      <c r="H165" s="245">
        <f t="shared" ref="H165:H174" si="17">G165/6000</f>
        <v>1.966</v>
      </c>
      <c r="I165" s="227">
        <f t="shared" si="16"/>
        <v>0</v>
      </c>
    </row>
    <row r="166" spans="1:9" hidden="1" outlineLevel="1" x14ac:dyDescent="0.25">
      <c r="A166" s="19"/>
      <c r="B166" s="20">
        <v>4202</v>
      </c>
      <c r="C166" s="3" t="s">
        <v>116</v>
      </c>
      <c r="D166" s="23">
        <f>(B161-18)/B159</f>
        <v>982</v>
      </c>
      <c r="E166" s="24">
        <f>1*B158*B159</f>
        <v>0</v>
      </c>
      <c r="F166" s="249">
        <f t="shared" ref="F166:F174" si="18">E166*D166</f>
        <v>0</v>
      </c>
      <c r="G166" s="231">
        <f>'COSTOS ALUMINIO'!D$6</f>
        <v>18722</v>
      </c>
      <c r="H166" s="245">
        <f t="shared" si="17"/>
        <v>3.1203333333333334</v>
      </c>
      <c r="I166" s="227">
        <f t="shared" si="16"/>
        <v>0</v>
      </c>
    </row>
    <row r="167" spans="1:9" hidden="1" outlineLevel="1" x14ac:dyDescent="0.25">
      <c r="A167" s="19"/>
      <c r="B167" s="20">
        <v>4229</v>
      </c>
      <c r="C167" s="3" t="s">
        <v>117</v>
      </c>
      <c r="D167" s="23">
        <f>(B161-96)/B159</f>
        <v>904</v>
      </c>
      <c r="E167" s="24">
        <f>1*B158*B159</f>
        <v>0</v>
      </c>
      <c r="F167" s="249">
        <f t="shared" si="18"/>
        <v>0</v>
      </c>
      <c r="G167" s="231">
        <f>'COSTOS ALUMINIO'!D$8</f>
        <v>5756</v>
      </c>
      <c r="H167" s="245">
        <f t="shared" si="17"/>
        <v>0.95933333333333337</v>
      </c>
      <c r="I167" s="227">
        <f t="shared" si="16"/>
        <v>0</v>
      </c>
    </row>
    <row r="168" spans="1:9" hidden="1" outlineLevel="1" x14ac:dyDescent="0.25">
      <c r="A168" s="19"/>
      <c r="B168" s="20">
        <v>4202</v>
      </c>
      <c r="C168" s="3" t="s">
        <v>118</v>
      </c>
      <c r="D168" s="23">
        <f>(B161-18)/B159</f>
        <v>982</v>
      </c>
      <c r="E168" s="24">
        <f>1*B158*B159</f>
        <v>0</v>
      </c>
      <c r="F168" s="249">
        <f t="shared" si="18"/>
        <v>0</v>
      </c>
      <c r="G168" s="231">
        <f>'COSTOS ALUMINIO'!D$6</f>
        <v>18722</v>
      </c>
      <c r="H168" s="245">
        <f t="shared" si="17"/>
        <v>3.1203333333333334</v>
      </c>
      <c r="I168" s="227">
        <f t="shared" si="16"/>
        <v>0</v>
      </c>
    </row>
    <row r="169" spans="1:9" hidden="1" outlineLevel="1" x14ac:dyDescent="0.25">
      <c r="A169" s="19"/>
      <c r="B169" s="20">
        <v>4229</v>
      </c>
      <c r="C169" s="3" t="s">
        <v>117</v>
      </c>
      <c r="D169" s="23">
        <f>(B161-96)/B159</f>
        <v>904</v>
      </c>
      <c r="E169" s="24">
        <f>1*B158*B159</f>
        <v>0</v>
      </c>
      <c r="F169" s="249">
        <f t="shared" si="18"/>
        <v>0</v>
      </c>
      <c r="G169" s="231">
        <f>'COSTOS ALUMINIO'!D$8</f>
        <v>5756</v>
      </c>
      <c r="H169" s="245">
        <f t="shared" si="17"/>
        <v>0.95933333333333337</v>
      </c>
      <c r="I169" s="227">
        <f t="shared" si="16"/>
        <v>0</v>
      </c>
    </row>
    <row r="170" spans="1:9" hidden="1" outlineLevel="1" x14ac:dyDescent="0.25">
      <c r="A170" s="19"/>
      <c r="B170" s="20">
        <v>4204</v>
      </c>
      <c r="C170" s="3" t="s">
        <v>119</v>
      </c>
      <c r="D170" s="23">
        <f>B162-18</f>
        <v>982</v>
      </c>
      <c r="E170" s="24">
        <f>1*B158*(-1+B159)</f>
        <v>0</v>
      </c>
      <c r="F170" s="249">
        <f t="shared" si="18"/>
        <v>0</v>
      </c>
      <c r="G170" s="231">
        <f>'COSTOS ALUMINIO'!D$9</f>
        <v>20523</v>
      </c>
      <c r="H170" s="245">
        <f t="shared" si="17"/>
        <v>3.4205000000000001</v>
      </c>
      <c r="I170" s="227">
        <f t="shared" si="16"/>
        <v>0</v>
      </c>
    </row>
    <row r="171" spans="1:9" hidden="1" outlineLevel="1" x14ac:dyDescent="0.25">
      <c r="A171" s="19"/>
      <c r="B171" s="20">
        <v>4202</v>
      </c>
      <c r="C171" s="3" t="s">
        <v>120</v>
      </c>
      <c r="D171" s="23">
        <f>B162-18</f>
        <v>982</v>
      </c>
      <c r="E171" s="24">
        <f>1*B158*B159</f>
        <v>0</v>
      </c>
      <c r="F171" s="249">
        <f t="shared" si="18"/>
        <v>0</v>
      </c>
      <c r="G171" s="231">
        <f>'COSTOS ALUMINIO'!D$6</f>
        <v>18722</v>
      </c>
      <c r="H171" s="245">
        <f t="shared" si="17"/>
        <v>3.1203333333333334</v>
      </c>
      <c r="I171" s="227">
        <f t="shared" si="16"/>
        <v>0</v>
      </c>
    </row>
    <row r="172" spans="1:9" hidden="1" outlineLevel="1" x14ac:dyDescent="0.25">
      <c r="A172" s="19"/>
      <c r="B172" s="20">
        <v>4229</v>
      </c>
      <c r="C172" s="3" t="s">
        <v>117</v>
      </c>
      <c r="D172" s="23">
        <f>B162-96</f>
        <v>904</v>
      </c>
      <c r="E172" s="24">
        <f>1*B158*B159</f>
        <v>0</v>
      </c>
      <c r="F172" s="249">
        <f t="shared" si="18"/>
        <v>0</v>
      </c>
      <c r="G172" s="231">
        <f>'COSTOS ALUMINIO'!D$8</f>
        <v>5756</v>
      </c>
      <c r="H172" s="245">
        <f t="shared" si="17"/>
        <v>0.95933333333333337</v>
      </c>
      <c r="I172" s="227">
        <f t="shared" si="16"/>
        <v>0</v>
      </c>
    </row>
    <row r="173" spans="1:9" hidden="1" outlineLevel="1" x14ac:dyDescent="0.25">
      <c r="A173" s="19"/>
      <c r="B173" s="20">
        <v>4202</v>
      </c>
      <c r="C173" s="3" t="s">
        <v>121</v>
      </c>
      <c r="D173" s="23">
        <f>B162-18</f>
        <v>982</v>
      </c>
      <c r="E173" s="24">
        <f>1*B158*B159</f>
        <v>0</v>
      </c>
      <c r="F173" s="249">
        <f t="shared" si="18"/>
        <v>0</v>
      </c>
      <c r="G173" s="231">
        <f>'COSTOS ALUMINIO'!D$6</f>
        <v>18722</v>
      </c>
      <c r="H173" s="245">
        <f t="shared" si="17"/>
        <v>3.1203333333333334</v>
      </c>
      <c r="I173" s="227">
        <f t="shared" si="16"/>
        <v>0</v>
      </c>
    </row>
    <row r="174" spans="1:9" hidden="1" outlineLevel="1" x14ac:dyDescent="0.25">
      <c r="A174" s="19"/>
      <c r="B174" s="20">
        <v>4229</v>
      </c>
      <c r="C174" s="3" t="s">
        <v>117</v>
      </c>
      <c r="D174" s="30">
        <f>B162-96</f>
        <v>904</v>
      </c>
      <c r="E174" s="31">
        <f>1*B158*B159</f>
        <v>0</v>
      </c>
      <c r="F174" s="249">
        <f t="shared" si="18"/>
        <v>0</v>
      </c>
      <c r="G174" s="231">
        <f>'COSTOS ALUMINIO'!D$8</f>
        <v>5756</v>
      </c>
      <c r="H174" s="245">
        <f t="shared" si="17"/>
        <v>0.95933333333333337</v>
      </c>
      <c r="I174" s="227">
        <f t="shared" si="16"/>
        <v>0</v>
      </c>
    </row>
    <row r="175" spans="1:9" hidden="1" outlineLevel="1" x14ac:dyDescent="0.25">
      <c r="A175" s="19"/>
      <c r="B175" s="290"/>
      <c r="C175" s="291"/>
      <c r="D175" s="292"/>
      <c r="E175" s="293"/>
      <c r="F175" s="296" t="s">
        <v>122</v>
      </c>
      <c r="G175" s="296" t="s">
        <v>98</v>
      </c>
      <c r="H175" s="294"/>
      <c r="I175" s="295"/>
    </row>
    <row r="176" spans="1:9" hidden="1" outlineLevel="1" x14ac:dyDescent="0.25">
      <c r="A176" s="40" t="s">
        <v>88</v>
      </c>
      <c r="B176" s="279"/>
      <c r="C176" s="3" t="s">
        <v>123</v>
      </c>
      <c r="D176" s="23">
        <f>2*B158</f>
        <v>0</v>
      </c>
      <c r="E176" s="24" t="s">
        <v>93</v>
      </c>
      <c r="F176" s="351">
        <f>'COSTOS ALUMINIO'!D$10</f>
        <v>1400</v>
      </c>
      <c r="G176" s="227">
        <f>F176*D176</f>
        <v>0</v>
      </c>
      <c r="H176" s="40" t="s">
        <v>91</v>
      </c>
      <c r="I176" s="254">
        <f>SUM(G176:G179)</f>
        <v>0</v>
      </c>
    </row>
    <row r="177" spans="1:9" hidden="1" outlineLevel="1" x14ac:dyDescent="0.25">
      <c r="A177" s="4"/>
      <c r="B177" s="20"/>
      <c r="C177" s="3" t="s">
        <v>124</v>
      </c>
      <c r="D177" s="23">
        <f>2*B158*B159</f>
        <v>0</v>
      </c>
      <c r="E177" s="24" t="s">
        <v>93</v>
      </c>
      <c r="F177" s="351">
        <f>'COSTOS ALUMINIO'!D$11</f>
        <v>7121</v>
      </c>
      <c r="G177" s="227">
        <f>F177*D177</f>
        <v>0</v>
      </c>
      <c r="I177" s="231"/>
    </row>
    <row r="178" spans="1:9" hidden="1" outlineLevel="1" x14ac:dyDescent="0.25">
      <c r="A178" s="4"/>
      <c r="B178" s="20"/>
      <c r="C178" s="3" t="s">
        <v>125</v>
      </c>
      <c r="D178" s="23">
        <f>4*B158*B159</f>
        <v>0</v>
      </c>
      <c r="E178" s="24" t="s">
        <v>126</v>
      </c>
      <c r="F178" s="351">
        <f>'COSTOS ALUMINIO'!D$12</f>
        <v>169.9</v>
      </c>
      <c r="G178" s="227">
        <f>F178*D178</f>
        <v>0</v>
      </c>
      <c r="I178" s="231"/>
    </row>
    <row r="179" spans="1:9" hidden="1" outlineLevel="1" x14ac:dyDescent="0.25">
      <c r="A179" s="4"/>
      <c r="B179" s="20"/>
      <c r="C179" s="3" t="s">
        <v>127</v>
      </c>
      <c r="D179" s="23">
        <f>8*B158*B159</f>
        <v>0</v>
      </c>
      <c r="E179" s="24" t="s">
        <v>126</v>
      </c>
      <c r="F179" s="351">
        <f>'COSTOS ALUMINIO'!D$13</f>
        <v>120.9</v>
      </c>
      <c r="G179" s="227">
        <f>F179*D179</f>
        <v>0</v>
      </c>
      <c r="I179" s="231"/>
    </row>
    <row r="180" spans="1:9" hidden="1" outlineLevel="1" x14ac:dyDescent="0.25">
      <c r="A180" s="40" t="s">
        <v>95</v>
      </c>
      <c r="B180" s="1" t="s">
        <v>76</v>
      </c>
      <c r="C180" s="1" t="s">
        <v>96</v>
      </c>
      <c r="D180" s="1" t="s">
        <v>97</v>
      </c>
      <c r="E180" s="4" t="s">
        <v>45</v>
      </c>
      <c r="F180" s="4" t="s">
        <v>98</v>
      </c>
      <c r="I180" s="231"/>
    </row>
    <row r="181" spans="1:9" hidden="1" outlineLevel="1" x14ac:dyDescent="0.25">
      <c r="A181" s="5"/>
      <c r="B181" s="31">
        <f>B159*B158</f>
        <v>0</v>
      </c>
      <c r="C181" s="283">
        <f>(B161-96)/B159</f>
        <v>904</v>
      </c>
      <c r="D181" s="283">
        <f>B162-96</f>
        <v>904</v>
      </c>
      <c r="E181" s="255">
        <f>D$4</f>
        <v>21000</v>
      </c>
      <c r="F181" s="256">
        <f>E181*B182</f>
        <v>0</v>
      </c>
      <c r="I181" s="231"/>
    </row>
    <row r="182" spans="1:9" hidden="1" outlineLevel="1" x14ac:dyDescent="0.25">
      <c r="A182" s="6" t="s">
        <v>99</v>
      </c>
      <c r="B182" s="41">
        <f>(B181*C181*D181)/1000000</f>
        <v>0</v>
      </c>
      <c r="I182" s="231"/>
    </row>
    <row r="183" spans="1:9" collapsed="1" x14ac:dyDescent="0.25"/>
    <row r="184" spans="1:9" x14ac:dyDescent="0.25">
      <c r="A184" s="1" t="s">
        <v>61</v>
      </c>
      <c r="B184" s="238" t="s">
        <v>106</v>
      </c>
      <c r="C184" s="237"/>
      <c r="E184" s="3"/>
      <c r="F184" s="3"/>
      <c r="I184" s="231"/>
    </row>
    <row r="185" spans="1:9" ht="15.95" customHeight="1" x14ac:dyDescent="0.25">
      <c r="A185" s="4" t="s">
        <v>62</v>
      </c>
      <c r="B185" s="384" t="s">
        <v>111</v>
      </c>
      <c r="C185" s="384"/>
      <c r="D185" s="384"/>
      <c r="E185" s="384"/>
      <c r="F185" s="236"/>
      <c r="I185" s="231"/>
    </row>
    <row r="186" spans="1:9" x14ac:dyDescent="0.25">
      <c r="A186" s="5"/>
      <c r="B186" s="384"/>
      <c r="C186" s="384"/>
      <c r="D186" s="384"/>
      <c r="E186" s="384"/>
      <c r="F186" s="236"/>
      <c r="I186" s="231"/>
    </row>
    <row r="187" spans="1:9" x14ac:dyDescent="0.25">
      <c r="A187" s="240" t="s">
        <v>64</v>
      </c>
      <c r="B187" s="239">
        <v>0</v>
      </c>
      <c r="C187" s="8"/>
      <c r="D187" s="8"/>
      <c r="E187" s="8"/>
      <c r="F187" s="236"/>
      <c r="H187" t="s">
        <v>65</v>
      </c>
      <c r="I187" s="232">
        <f>SUM(I193:I204)</f>
        <v>0</v>
      </c>
    </row>
    <row r="188" spans="1:9" x14ac:dyDescent="0.25">
      <c r="A188" s="299" t="s">
        <v>112</v>
      </c>
      <c r="B188" s="14">
        <v>1</v>
      </c>
      <c r="C188" t="s">
        <v>113</v>
      </c>
      <c r="F188" s="236"/>
      <c r="H188" t="s">
        <v>68</v>
      </c>
      <c r="I188" s="246">
        <f>F211</f>
        <v>0</v>
      </c>
    </row>
    <row r="189" spans="1:9" ht="18" x14ac:dyDescent="0.4">
      <c r="A189" s="241" t="s">
        <v>66</v>
      </c>
      <c r="B189" s="242">
        <f>B190*B191/1000000*B187</f>
        <v>0</v>
      </c>
      <c r="C189" s="11" t="s">
        <v>67</v>
      </c>
      <c r="D189" s="12"/>
      <c r="E189" s="12"/>
      <c r="F189" s="12"/>
      <c r="H189" t="s">
        <v>70</v>
      </c>
      <c r="I189" s="247">
        <f>I206</f>
        <v>0</v>
      </c>
    </row>
    <row r="190" spans="1:9" x14ac:dyDescent="0.25">
      <c r="A190" s="243" t="s">
        <v>69</v>
      </c>
      <c r="B190" s="14">
        <v>1000</v>
      </c>
      <c r="F190" s="15"/>
      <c r="H190" t="s">
        <v>36</v>
      </c>
      <c r="I190" s="248">
        <f>SUM(I187:I189)</f>
        <v>0</v>
      </c>
    </row>
    <row r="191" spans="1:9" x14ac:dyDescent="0.25">
      <c r="A191" s="244" t="s">
        <v>71</v>
      </c>
      <c r="B191" s="17">
        <v>1000</v>
      </c>
    </row>
    <row r="192" spans="1:9" hidden="1" outlineLevel="1" x14ac:dyDescent="0.25">
      <c r="A192" s="4" t="s">
        <v>72</v>
      </c>
      <c r="B192" s="1" t="s">
        <v>73</v>
      </c>
      <c r="C192" s="1" t="s">
        <v>74</v>
      </c>
      <c r="D192" s="1" t="s">
        <v>75</v>
      </c>
      <c r="E192" s="1" t="s">
        <v>76</v>
      </c>
      <c r="F192" s="4" t="s">
        <v>77</v>
      </c>
      <c r="G192" s="4" t="s">
        <v>78</v>
      </c>
      <c r="H192" s="4" t="s">
        <v>79</v>
      </c>
      <c r="I192" s="4" t="s">
        <v>80</v>
      </c>
    </row>
    <row r="193" spans="1:9" hidden="1" outlineLevel="1" x14ac:dyDescent="0.25">
      <c r="A193" s="19"/>
      <c r="B193" s="20">
        <v>4201</v>
      </c>
      <c r="C193" s="3" t="s">
        <v>114</v>
      </c>
      <c r="D193" s="23">
        <f>B190</f>
        <v>1000</v>
      </c>
      <c r="E193" s="24">
        <f>1*B187</f>
        <v>0</v>
      </c>
      <c r="F193" s="250">
        <f>E193*D193</f>
        <v>0</v>
      </c>
      <c r="G193" s="253">
        <f>'COSTOS ALUMINIO'!D$5</f>
        <v>11796</v>
      </c>
      <c r="H193" s="252">
        <f>G193/6000</f>
        <v>1.966</v>
      </c>
      <c r="I193" s="253">
        <f t="shared" ref="I193:I203" si="19">H193*F193</f>
        <v>0</v>
      </c>
    </row>
    <row r="194" spans="1:9" hidden="1" outlineLevel="1" x14ac:dyDescent="0.25">
      <c r="A194" s="19"/>
      <c r="B194" s="20">
        <v>4201</v>
      </c>
      <c r="C194" s="3" t="s">
        <v>115</v>
      </c>
      <c r="D194" s="23">
        <f>B190</f>
        <v>1000</v>
      </c>
      <c r="E194" s="24">
        <f>1*B187</f>
        <v>0</v>
      </c>
      <c r="F194" s="249">
        <f>E194*D194</f>
        <v>0</v>
      </c>
      <c r="G194" s="231">
        <f>'COSTOS ALUMINIO'!D$5</f>
        <v>11796</v>
      </c>
      <c r="H194" s="245">
        <f t="shared" ref="H194:H203" si="20">G194/6000</f>
        <v>1.966</v>
      </c>
      <c r="I194" s="227">
        <f t="shared" si="19"/>
        <v>0</v>
      </c>
    </row>
    <row r="195" spans="1:9" hidden="1" outlineLevel="1" x14ac:dyDescent="0.25">
      <c r="A195" s="19"/>
      <c r="B195" s="20">
        <v>4202</v>
      </c>
      <c r="C195" s="3" t="s">
        <v>116</v>
      </c>
      <c r="D195" s="23">
        <f>(B190-18)/B188</f>
        <v>982</v>
      </c>
      <c r="E195" s="24">
        <f>1*B187*B188</f>
        <v>0</v>
      </c>
      <c r="F195" s="249">
        <f t="shared" ref="F195:F203" si="21">E195*D195</f>
        <v>0</v>
      </c>
      <c r="G195" s="231">
        <f>'COSTOS ALUMINIO'!D$6</f>
        <v>18722</v>
      </c>
      <c r="H195" s="245">
        <f t="shared" si="20"/>
        <v>3.1203333333333334</v>
      </c>
      <c r="I195" s="227">
        <f t="shared" si="19"/>
        <v>0</v>
      </c>
    </row>
    <row r="196" spans="1:9" hidden="1" outlineLevel="1" x14ac:dyDescent="0.25">
      <c r="A196" s="19"/>
      <c r="B196" s="20">
        <v>4229</v>
      </c>
      <c r="C196" s="3" t="s">
        <v>117</v>
      </c>
      <c r="D196" s="23">
        <f>(B190-96)/B188</f>
        <v>904</v>
      </c>
      <c r="E196" s="24">
        <f>1*B187*B188</f>
        <v>0</v>
      </c>
      <c r="F196" s="249">
        <f t="shared" si="21"/>
        <v>0</v>
      </c>
      <c r="G196" s="231">
        <f>'COSTOS ALUMINIO'!D$8</f>
        <v>5756</v>
      </c>
      <c r="H196" s="245">
        <f t="shared" si="20"/>
        <v>0.95933333333333337</v>
      </c>
      <c r="I196" s="227">
        <f t="shared" si="19"/>
        <v>0</v>
      </c>
    </row>
    <row r="197" spans="1:9" hidden="1" outlineLevel="1" x14ac:dyDescent="0.25">
      <c r="A197" s="19"/>
      <c r="B197" s="20">
        <v>4202</v>
      </c>
      <c r="C197" s="3" t="s">
        <v>118</v>
      </c>
      <c r="D197" s="23">
        <f>(B190-18)/B188</f>
        <v>982</v>
      </c>
      <c r="E197" s="24">
        <f>1*B187*B188</f>
        <v>0</v>
      </c>
      <c r="F197" s="249">
        <f t="shared" si="21"/>
        <v>0</v>
      </c>
      <c r="G197" s="231">
        <f>'COSTOS ALUMINIO'!D$6</f>
        <v>18722</v>
      </c>
      <c r="H197" s="245">
        <f t="shared" si="20"/>
        <v>3.1203333333333334</v>
      </c>
      <c r="I197" s="227">
        <f t="shared" si="19"/>
        <v>0</v>
      </c>
    </row>
    <row r="198" spans="1:9" hidden="1" outlineLevel="1" x14ac:dyDescent="0.25">
      <c r="A198" s="19"/>
      <c r="B198" s="20">
        <v>4229</v>
      </c>
      <c r="C198" s="3" t="s">
        <v>117</v>
      </c>
      <c r="D198" s="23">
        <f>(B190-96)/B188</f>
        <v>904</v>
      </c>
      <c r="E198" s="24">
        <f>1*B187*B188</f>
        <v>0</v>
      </c>
      <c r="F198" s="249">
        <f t="shared" si="21"/>
        <v>0</v>
      </c>
      <c r="G198" s="231">
        <f>'COSTOS ALUMINIO'!D$8</f>
        <v>5756</v>
      </c>
      <c r="H198" s="245">
        <f t="shared" si="20"/>
        <v>0.95933333333333337</v>
      </c>
      <c r="I198" s="227">
        <f t="shared" si="19"/>
        <v>0</v>
      </c>
    </row>
    <row r="199" spans="1:9" hidden="1" outlineLevel="1" x14ac:dyDescent="0.25">
      <c r="A199" s="19"/>
      <c r="B199" s="20">
        <v>4204</v>
      </c>
      <c r="C199" s="3" t="s">
        <v>119</v>
      </c>
      <c r="D199" s="23">
        <f>B191-18</f>
        <v>982</v>
      </c>
      <c r="E199" s="24">
        <f>1*B187*(-1+B188)</f>
        <v>0</v>
      </c>
      <c r="F199" s="249">
        <f t="shared" si="21"/>
        <v>0</v>
      </c>
      <c r="G199" s="231">
        <f>'COSTOS ALUMINIO'!D$9</f>
        <v>20523</v>
      </c>
      <c r="H199" s="245">
        <f t="shared" si="20"/>
        <v>3.4205000000000001</v>
      </c>
      <c r="I199" s="227">
        <f t="shared" si="19"/>
        <v>0</v>
      </c>
    </row>
    <row r="200" spans="1:9" hidden="1" outlineLevel="1" x14ac:dyDescent="0.25">
      <c r="A200" s="19"/>
      <c r="B200" s="20">
        <v>4202</v>
      </c>
      <c r="C200" s="3" t="s">
        <v>120</v>
      </c>
      <c r="D200" s="23">
        <f>B191-18</f>
        <v>982</v>
      </c>
      <c r="E200" s="24">
        <f>1*B187*B188</f>
        <v>0</v>
      </c>
      <c r="F200" s="249">
        <f t="shared" si="21"/>
        <v>0</v>
      </c>
      <c r="G200" s="231">
        <f>'COSTOS ALUMINIO'!D$6</f>
        <v>18722</v>
      </c>
      <c r="H200" s="245">
        <f t="shared" si="20"/>
        <v>3.1203333333333334</v>
      </c>
      <c r="I200" s="227">
        <f t="shared" si="19"/>
        <v>0</v>
      </c>
    </row>
    <row r="201" spans="1:9" hidden="1" outlineLevel="1" x14ac:dyDescent="0.25">
      <c r="A201" s="19"/>
      <c r="B201" s="20">
        <v>4229</v>
      </c>
      <c r="C201" s="3" t="s">
        <v>117</v>
      </c>
      <c r="D201" s="23">
        <f>B191-96</f>
        <v>904</v>
      </c>
      <c r="E201" s="24">
        <f>1*B187*B188</f>
        <v>0</v>
      </c>
      <c r="F201" s="249">
        <f t="shared" si="21"/>
        <v>0</v>
      </c>
      <c r="G201" s="231">
        <f>'COSTOS ALUMINIO'!D$8</f>
        <v>5756</v>
      </c>
      <c r="H201" s="245">
        <f t="shared" si="20"/>
        <v>0.95933333333333337</v>
      </c>
      <c r="I201" s="227">
        <f t="shared" si="19"/>
        <v>0</v>
      </c>
    </row>
    <row r="202" spans="1:9" hidden="1" outlineLevel="1" x14ac:dyDescent="0.25">
      <c r="A202" s="19"/>
      <c r="B202" s="20">
        <v>4202</v>
      </c>
      <c r="C202" s="3" t="s">
        <v>121</v>
      </c>
      <c r="D202" s="23">
        <f>B191-18</f>
        <v>982</v>
      </c>
      <c r="E202" s="24">
        <f>1*B187*B188</f>
        <v>0</v>
      </c>
      <c r="F202" s="249">
        <f t="shared" si="21"/>
        <v>0</v>
      </c>
      <c r="G202" s="231">
        <f>'COSTOS ALUMINIO'!D$6</f>
        <v>18722</v>
      </c>
      <c r="H202" s="245">
        <f t="shared" si="20"/>
        <v>3.1203333333333334</v>
      </c>
      <c r="I202" s="227">
        <f t="shared" si="19"/>
        <v>0</v>
      </c>
    </row>
    <row r="203" spans="1:9" hidden="1" outlineLevel="1" x14ac:dyDescent="0.25">
      <c r="A203" s="19"/>
      <c r="B203" s="20">
        <v>4229</v>
      </c>
      <c r="C203" s="3" t="s">
        <v>117</v>
      </c>
      <c r="D203" s="30">
        <f>B191-96</f>
        <v>904</v>
      </c>
      <c r="E203" s="31">
        <f>1*B187*B188</f>
        <v>0</v>
      </c>
      <c r="F203" s="249">
        <f t="shared" si="21"/>
        <v>0</v>
      </c>
      <c r="G203" s="231">
        <f>'COSTOS ALUMINIO'!D$8</f>
        <v>5756</v>
      </c>
      <c r="H203" s="245">
        <f t="shared" si="20"/>
        <v>0.95933333333333337</v>
      </c>
      <c r="I203" s="227">
        <f t="shared" si="19"/>
        <v>0</v>
      </c>
    </row>
    <row r="204" spans="1:9" hidden="1" outlineLevel="1" x14ac:dyDescent="0.25">
      <c r="A204" s="19"/>
      <c r="B204" s="290"/>
      <c r="C204" s="291"/>
      <c r="D204" s="292"/>
      <c r="E204" s="293"/>
      <c r="F204" s="296" t="s">
        <v>122</v>
      </c>
      <c r="G204" s="296" t="s">
        <v>98</v>
      </c>
      <c r="H204" s="294"/>
      <c r="I204" s="295"/>
    </row>
    <row r="205" spans="1:9" hidden="1" outlineLevel="1" x14ac:dyDescent="0.25">
      <c r="A205" s="40" t="s">
        <v>88</v>
      </c>
      <c r="B205" s="279"/>
      <c r="C205" s="3" t="s">
        <v>123</v>
      </c>
      <c r="D205" s="23">
        <f>2*B187</f>
        <v>0</v>
      </c>
      <c r="E205" s="24" t="s">
        <v>93</v>
      </c>
      <c r="F205" s="351">
        <f>'COSTOS ALUMINIO'!D$10</f>
        <v>1400</v>
      </c>
      <c r="G205" s="227">
        <f>F205*D205</f>
        <v>0</v>
      </c>
      <c r="H205" s="40" t="s">
        <v>91</v>
      </c>
      <c r="I205" s="254">
        <f>SUM(G205:G208)</f>
        <v>0</v>
      </c>
    </row>
    <row r="206" spans="1:9" hidden="1" outlineLevel="1" x14ac:dyDescent="0.25">
      <c r="A206" s="4"/>
      <c r="B206" s="20"/>
      <c r="C206" s="3" t="s">
        <v>124</v>
      </c>
      <c r="D206" s="23">
        <f>2*B187*B188</f>
        <v>0</v>
      </c>
      <c r="E206" s="24" t="s">
        <v>93</v>
      </c>
      <c r="F206" s="351">
        <f>'COSTOS ALUMINIO'!D$11</f>
        <v>7121</v>
      </c>
      <c r="G206" s="227">
        <f>F206*D206</f>
        <v>0</v>
      </c>
      <c r="I206" s="231"/>
    </row>
    <row r="207" spans="1:9" hidden="1" outlineLevel="1" x14ac:dyDescent="0.25">
      <c r="A207" s="4"/>
      <c r="B207" s="20"/>
      <c r="C207" s="3" t="s">
        <v>125</v>
      </c>
      <c r="D207" s="23">
        <f>4*B187*B188</f>
        <v>0</v>
      </c>
      <c r="E207" s="24" t="s">
        <v>126</v>
      </c>
      <c r="F207" s="351">
        <f>'COSTOS ALUMINIO'!D$12</f>
        <v>169.9</v>
      </c>
      <c r="G207" s="227">
        <f>F207*D207</f>
        <v>0</v>
      </c>
      <c r="I207" s="231"/>
    </row>
    <row r="208" spans="1:9" hidden="1" outlineLevel="1" x14ac:dyDescent="0.25">
      <c r="A208" s="4"/>
      <c r="B208" s="20"/>
      <c r="C208" s="3" t="s">
        <v>127</v>
      </c>
      <c r="D208" s="23">
        <f>8*B187*B188</f>
        <v>0</v>
      </c>
      <c r="E208" s="24" t="s">
        <v>126</v>
      </c>
      <c r="F208" s="351">
        <f>'COSTOS ALUMINIO'!D$13</f>
        <v>120.9</v>
      </c>
      <c r="G208" s="227">
        <f>F208*D208</f>
        <v>0</v>
      </c>
      <c r="I208" s="231"/>
    </row>
    <row r="209" spans="1:9" hidden="1" outlineLevel="1" x14ac:dyDescent="0.25">
      <c r="A209" s="40" t="s">
        <v>95</v>
      </c>
      <c r="B209" s="1" t="s">
        <v>76</v>
      </c>
      <c r="C209" s="1" t="s">
        <v>96</v>
      </c>
      <c r="D209" s="1" t="s">
        <v>97</v>
      </c>
      <c r="E209" s="4" t="s">
        <v>45</v>
      </c>
      <c r="F209" s="4" t="s">
        <v>98</v>
      </c>
      <c r="I209" s="231"/>
    </row>
    <row r="210" spans="1:9" hidden="1" outlineLevel="1" x14ac:dyDescent="0.25">
      <c r="A210" s="5"/>
      <c r="B210" s="31">
        <f>B188*B187</f>
        <v>0</v>
      </c>
      <c r="C210" s="283">
        <f>(B190-96)/B188</f>
        <v>904</v>
      </c>
      <c r="D210" s="283">
        <f>B191-96</f>
        <v>904</v>
      </c>
      <c r="E210" s="255">
        <f>D$4</f>
        <v>21000</v>
      </c>
      <c r="F210" s="256">
        <f>E210*B211</f>
        <v>0</v>
      </c>
      <c r="I210" s="231"/>
    </row>
    <row r="211" spans="1:9" hidden="1" outlineLevel="1" x14ac:dyDescent="0.25">
      <c r="A211" s="6" t="s">
        <v>99</v>
      </c>
      <c r="B211" s="41">
        <f>(B210*C210*D210)/1000000</f>
        <v>0</v>
      </c>
      <c r="I211" s="231"/>
    </row>
    <row r="212" spans="1:9" collapsed="1" x14ac:dyDescent="0.25"/>
    <row r="213" spans="1:9" x14ac:dyDescent="0.25">
      <c r="A213" s="1" t="s">
        <v>61</v>
      </c>
      <c r="B213" s="238" t="s">
        <v>107</v>
      </c>
      <c r="C213" s="237"/>
      <c r="E213" s="3"/>
      <c r="F213" s="3"/>
      <c r="I213" s="231"/>
    </row>
    <row r="214" spans="1:9" ht="15.95" customHeight="1" x14ac:dyDescent="0.25">
      <c r="A214" s="4" t="s">
        <v>62</v>
      </c>
      <c r="B214" s="384" t="s">
        <v>111</v>
      </c>
      <c r="C214" s="384"/>
      <c r="D214" s="384"/>
      <c r="E214" s="384"/>
      <c r="F214" s="236"/>
      <c r="I214" s="231"/>
    </row>
    <row r="215" spans="1:9" x14ac:dyDescent="0.25">
      <c r="A215" s="5"/>
      <c r="B215" s="384"/>
      <c r="C215" s="384"/>
      <c r="D215" s="384"/>
      <c r="E215" s="384"/>
      <c r="F215" s="236"/>
      <c r="I215" s="231"/>
    </row>
    <row r="216" spans="1:9" x14ac:dyDescent="0.25">
      <c r="A216" s="240" t="s">
        <v>64</v>
      </c>
      <c r="B216" s="239">
        <v>0</v>
      </c>
      <c r="C216" s="8"/>
      <c r="D216" s="8"/>
      <c r="E216" s="8"/>
      <c r="F216" s="236"/>
      <c r="H216" t="s">
        <v>65</v>
      </c>
      <c r="I216" s="232">
        <f>SUM(I222:I233)</f>
        <v>0</v>
      </c>
    </row>
    <row r="217" spans="1:9" x14ac:dyDescent="0.25">
      <c r="A217" s="299" t="s">
        <v>112</v>
      </c>
      <c r="B217" s="14">
        <v>1</v>
      </c>
      <c r="C217" t="s">
        <v>113</v>
      </c>
      <c r="F217" s="236"/>
      <c r="H217" t="s">
        <v>68</v>
      </c>
      <c r="I217" s="246">
        <f>F240</f>
        <v>0</v>
      </c>
    </row>
    <row r="218" spans="1:9" ht="18" x14ac:dyDescent="0.4">
      <c r="A218" s="241" t="s">
        <v>66</v>
      </c>
      <c r="B218" s="242">
        <f>B219*B220/1000000*B216</f>
        <v>0</v>
      </c>
      <c r="C218" s="11" t="s">
        <v>67</v>
      </c>
      <c r="D218" s="12"/>
      <c r="E218" s="12"/>
      <c r="F218" s="12"/>
      <c r="H218" t="s">
        <v>70</v>
      </c>
      <c r="I218" s="247">
        <f>I235</f>
        <v>0</v>
      </c>
    </row>
    <row r="219" spans="1:9" x14ac:dyDescent="0.25">
      <c r="A219" s="243" t="s">
        <v>69</v>
      </c>
      <c r="B219" s="14">
        <v>1000</v>
      </c>
      <c r="F219" s="15"/>
      <c r="H219" t="s">
        <v>36</v>
      </c>
      <c r="I219" s="248">
        <f>SUM(I216:I218)</f>
        <v>0</v>
      </c>
    </row>
    <row r="220" spans="1:9" x14ac:dyDescent="0.25">
      <c r="A220" s="244" t="s">
        <v>71</v>
      </c>
      <c r="B220" s="17">
        <v>1000</v>
      </c>
    </row>
    <row r="221" spans="1:9" hidden="1" outlineLevel="1" x14ac:dyDescent="0.25">
      <c r="A221" s="4" t="s">
        <v>72</v>
      </c>
      <c r="B221" s="1" t="s">
        <v>73</v>
      </c>
      <c r="C221" s="1" t="s">
        <v>74</v>
      </c>
      <c r="D221" s="1" t="s">
        <v>75</v>
      </c>
      <c r="E221" s="1" t="s">
        <v>76</v>
      </c>
      <c r="F221" s="4" t="s">
        <v>77</v>
      </c>
      <c r="G221" s="4" t="s">
        <v>78</v>
      </c>
      <c r="H221" s="4" t="s">
        <v>79</v>
      </c>
      <c r="I221" s="4" t="s">
        <v>80</v>
      </c>
    </row>
    <row r="222" spans="1:9" hidden="1" outlineLevel="1" x14ac:dyDescent="0.25">
      <c r="A222" s="19"/>
      <c r="B222" s="20">
        <v>4201</v>
      </c>
      <c r="C222" s="3" t="s">
        <v>114</v>
      </c>
      <c r="D222" s="23">
        <f>B219</f>
        <v>1000</v>
      </c>
      <c r="E222" s="24">
        <f>1*B216</f>
        <v>0</v>
      </c>
      <c r="F222" s="250">
        <f>E222*D222</f>
        <v>0</v>
      </c>
      <c r="G222" s="253">
        <f>'COSTOS ALUMINIO'!D$5</f>
        <v>11796</v>
      </c>
      <c r="H222" s="252">
        <f>G222/6000</f>
        <v>1.966</v>
      </c>
      <c r="I222" s="253">
        <f t="shared" ref="I222:I232" si="22">H222*F222</f>
        <v>0</v>
      </c>
    </row>
    <row r="223" spans="1:9" hidden="1" outlineLevel="1" x14ac:dyDescent="0.25">
      <c r="A223" s="19"/>
      <c r="B223" s="20">
        <v>4201</v>
      </c>
      <c r="C223" s="3" t="s">
        <v>115</v>
      </c>
      <c r="D223" s="23">
        <f>B219</f>
        <v>1000</v>
      </c>
      <c r="E223" s="24">
        <f>1*B216</f>
        <v>0</v>
      </c>
      <c r="F223" s="249">
        <f>E223*D223</f>
        <v>0</v>
      </c>
      <c r="G223" s="231">
        <f>'COSTOS ALUMINIO'!D$5</f>
        <v>11796</v>
      </c>
      <c r="H223" s="245">
        <f t="shared" ref="H223:H232" si="23">G223/6000</f>
        <v>1.966</v>
      </c>
      <c r="I223" s="227">
        <f t="shared" si="22"/>
        <v>0</v>
      </c>
    </row>
    <row r="224" spans="1:9" hidden="1" outlineLevel="1" x14ac:dyDescent="0.25">
      <c r="A224" s="19"/>
      <c r="B224" s="20">
        <v>4202</v>
      </c>
      <c r="C224" s="3" t="s">
        <v>116</v>
      </c>
      <c r="D224" s="23">
        <f>(B219-18)/B217</f>
        <v>982</v>
      </c>
      <c r="E224" s="24">
        <f>1*B216*B217</f>
        <v>0</v>
      </c>
      <c r="F224" s="249">
        <f t="shared" ref="F224:F232" si="24">E224*D224</f>
        <v>0</v>
      </c>
      <c r="G224" s="231">
        <f>'COSTOS ALUMINIO'!D$6</f>
        <v>18722</v>
      </c>
      <c r="H224" s="245">
        <f t="shared" si="23"/>
        <v>3.1203333333333334</v>
      </c>
      <c r="I224" s="227">
        <f t="shared" si="22"/>
        <v>0</v>
      </c>
    </row>
    <row r="225" spans="1:9" hidden="1" outlineLevel="1" x14ac:dyDescent="0.25">
      <c r="A225" s="19"/>
      <c r="B225" s="20">
        <v>4229</v>
      </c>
      <c r="C225" s="3" t="s">
        <v>117</v>
      </c>
      <c r="D225" s="23">
        <f>(B219-96)/B217</f>
        <v>904</v>
      </c>
      <c r="E225" s="24">
        <f>1*B216*B217</f>
        <v>0</v>
      </c>
      <c r="F225" s="249">
        <f t="shared" si="24"/>
        <v>0</v>
      </c>
      <c r="G225" s="231">
        <f>'COSTOS ALUMINIO'!D$8</f>
        <v>5756</v>
      </c>
      <c r="H225" s="245">
        <f t="shared" si="23"/>
        <v>0.95933333333333337</v>
      </c>
      <c r="I225" s="227">
        <f t="shared" si="22"/>
        <v>0</v>
      </c>
    </row>
    <row r="226" spans="1:9" hidden="1" outlineLevel="1" x14ac:dyDescent="0.25">
      <c r="A226" s="19"/>
      <c r="B226" s="20">
        <v>4202</v>
      </c>
      <c r="C226" s="3" t="s">
        <v>118</v>
      </c>
      <c r="D226" s="23">
        <f>(B219-18)/B217</f>
        <v>982</v>
      </c>
      <c r="E226" s="24">
        <f>1*B216*B217</f>
        <v>0</v>
      </c>
      <c r="F226" s="249">
        <f t="shared" si="24"/>
        <v>0</v>
      </c>
      <c r="G226" s="231">
        <f>'COSTOS ALUMINIO'!D$6</f>
        <v>18722</v>
      </c>
      <c r="H226" s="245">
        <f t="shared" si="23"/>
        <v>3.1203333333333334</v>
      </c>
      <c r="I226" s="227">
        <f t="shared" si="22"/>
        <v>0</v>
      </c>
    </row>
    <row r="227" spans="1:9" hidden="1" outlineLevel="1" x14ac:dyDescent="0.25">
      <c r="A227" s="19"/>
      <c r="B227" s="20">
        <v>4229</v>
      </c>
      <c r="C227" s="3" t="s">
        <v>117</v>
      </c>
      <c r="D227" s="23">
        <f>(B219-96)/B217</f>
        <v>904</v>
      </c>
      <c r="E227" s="24">
        <f>1*B216*B217</f>
        <v>0</v>
      </c>
      <c r="F227" s="249">
        <f t="shared" si="24"/>
        <v>0</v>
      </c>
      <c r="G227" s="231">
        <f>'COSTOS ALUMINIO'!D$8</f>
        <v>5756</v>
      </c>
      <c r="H227" s="245">
        <f t="shared" si="23"/>
        <v>0.95933333333333337</v>
      </c>
      <c r="I227" s="227">
        <f t="shared" si="22"/>
        <v>0</v>
      </c>
    </row>
    <row r="228" spans="1:9" hidden="1" outlineLevel="1" x14ac:dyDescent="0.25">
      <c r="A228" s="19"/>
      <c r="B228" s="20">
        <v>4204</v>
      </c>
      <c r="C228" s="3" t="s">
        <v>119</v>
      </c>
      <c r="D228" s="23">
        <f>B220-18</f>
        <v>982</v>
      </c>
      <c r="E228" s="24">
        <f>1*B216*(-1+B217)</f>
        <v>0</v>
      </c>
      <c r="F228" s="249">
        <f t="shared" si="24"/>
        <v>0</v>
      </c>
      <c r="G228" s="231">
        <f>'COSTOS ALUMINIO'!D$9</f>
        <v>20523</v>
      </c>
      <c r="H228" s="245">
        <f t="shared" si="23"/>
        <v>3.4205000000000001</v>
      </c>
      <c r="I228" s="227">
        <f t="shared" si="22"/>
        <v>0</v>
      </c>
    </row>
    <row r="229" spans="1:9" hidden="1" outlineLevel="1" x14ac:dyDescent="0.25">
      <c r="A229" s="19"/>
      <c r="B229" s="20">
        <v>4202</v>
      </c>
      <c r="C229" s="3" t="s">
        <v>120</v>
      </c>
      <c r="D229" s="23">
        <f>B220-18</f>
        <v>982</v>
      </c>
      <c r="E229" s="24">
        <f>1*B216*B217</f>
        <v>0</v>
      </c>
      <c r="F229" s="249">
        <f t="shared" si="24"/>
        <v>0</v>
      </c>
      <c r="G229" s="231">
        <f>'COSTOS ALUMINIO'!D$6</f>
        <v>18722</v>
      </c>
      <c r="H229" s="245">
        <f t="shared" si="23"/>
        <v>3.1203333333333334</v>
      </c>
      <c r="I229" s="227">
        <f t="shared" si="22"/>
        <v>0</v>
      </c>
    </row>
    <row r="230" spans="1:9" hidden="1" outlineLevel="1" x14ac:dyDescent="0.25">
      <c r="A230" s="19"/>
      <c r="B230" s="20">
        <v>4229</v>
      </c>
      <c r="C230" s="3" t="s">
        <v>117</v>
      </c>
      <c r="D230" s="23">
        <f>B220-96</f>
        <v>904</v>
      </c>
      <c r="E230" s="24">
        <f>1*B216*B217</f>
        <v>0</v>
      </c>
      <c r="F230" s="249">
        <f t="shared" si="24"/>
        <v>0</v>
      </c>
      <c r="G230" s="231">
        <f>'COSTOS ALUMINIO'!D$8</f>
        <v>5756</v>
      </c>
      <c r="H230" s="245">
        <f t="shared" si="23"/>
        <v>0.95933333333333337</v>
      </c>
      <c r="I230" s="227">
        <f t="shared" si="22"/>
        <v>0</v>
      </c>
    </row>
    <row r="231" spans="1:9" hidden="1" outlineLevel="1" x14ac:dyDescent="0.25">
      <c r="A231" s="19"/>
      <c r="B231" s="20">
        <v>4202</v>
      </c>
      <c r="C231" s="3" t="s">
        <v>121</v>
      </c>
      <c r="D231" s="23">
        <f>B220-18</f>
        <v>982</v>
      </c>
      <c r="E231" s="24">
        <f>1*B216*B217</f>
        <v>0</v>
      </c>
      <c r="F231" s="249">
        <f t="shared" si="24"/>
        <v>0</v>
      </c>
      <c r="G231" s="231">
        <f>'COSTOS ALUMINIO'!D$6</f>
        <v>18722</v>
      </c>
      <c r="H231" s="245">
        <f t="shared" si="23"/>
        <v>3.1203333333333334</v>
      </c>
      <c r="I231" s="227">
        <f t="shared" si="22"/>
        <v>0</v>
      </c>
    </row>
    <row r="232" spans="1:9" hidden="1" outlineLevel="1" x14ac:dyDescent="0.25">
      <c r="A232" s="19"/>
      <c r="B232" s="20">
        <v>4229</v>
      </c>
      <c r="C232" s="3" t="s">
        <v>117</v>
      </c>
      <c r="D232" s="30">
        <f>B220-96</f>
        <v>904</v>
      </c>
      <c r="E232" s="31">
        <f>1*B216*B217</f>
        <v>0</v>
      </c>
      <c r="F232" s="249">
        <f t="shared" si="24"/>
        <v>0</v>
      </c>
      <c r="G232" s="231">
        <f>'COSTOS ALUMINIO'!D$8</f>
        <v>5756</v>
      </c>
      <c r="H232" s="245">
        <f t="shared" si="23"/>
        <v>0.95933333333333337</v>
      </c>
      <c r="I232" s="227">
        <f t="shared" si="22"/>
        <v>0</v>
      </c>
    </row>
    <row r="233" spans="1:9" hidden="1" outlineLevel="1" x14ac:dyDescent="0.25">
      <c r="A233" s="19"/>
      <c r="B233" s="290"/>
      <c r="C233" s="291"/>
      <c r="D233" s="292"/>
      <c r="E233" s="293"/>
      <c r="F233" s="296" t="s">
        <v>122</v>
      </c>
      <c r="G233" s="296" t="s">
        <v>98</v>
      </c>
      <c r="H233" s="294"/>
      <c r="I233" s="295"/>
    </row>
    <row r="234" spans="1:9" hidden="1" outlineLevel="1" x14ac:dyDescent="0.25">
      <c r="A234" s="40" t="s">
        <v>88</v>
      </c>
      <c r="B234" s="279"/>
      <c r="C234" s="3" t="s">
        <v>123</v>
      </c>
      <c r="D234" s="23">
        <f>2*B216</f>
        <v>0</v>
      </c>
      <c r="E234" s="24" t="s">
        <v>93</v>
      </c>
      <c r="F234" s="351">
        <f>'COSTOS ALUMINIO'!D$10</f>
        <v>1400</v>
      </c>
      <c r="G234" s="227">
        <f>F234*D234</f>
        <v>0</v>
      </c>
      <c r="H234" s="40" t="s">
        <v>91</v>
      </c>
      <c r="I234" s="254">
        <f>SUM(G234:G237)</f>
        <v>0</v>
      </c>
    </row>
    <row r="235" spans="1:9" hidden="1" outlineLevel="1" x14ac:dyDescent="0.25">
      <c r="A235" s="4"/>
      <c r="B235" s="20"/>
      <c r="C235" s="3" t="s">
        <v>124</v>
      </c>
      <c r="D235" s="23">
        <f>2*B216*B217</f>
        <v>0</v>
      </c>
      <c r="E235" s="24" t="s">
        <v>93</v>
      </c>
      <c r="F235" s="351">
        <f>'COSTOS ALUMINIO'!D$11</f>
        <v>7121</v>
      </c>
      <c r="G235" s="227">
        <f>F235*D235</f>
        <v>0</v>
      </c>
      <c r="I235" s="231"/>
    </row>
    <row r="236" spans="1:9" hidden="1" outlineLevel="1" x14ac:dyDescent="0.25">
      <c r="A236" s="4"/>
      <c r="B236" s="20"/>
      <c r="C236" s="3" t="s">
        <v>125</v>
      </c>
      <c r="D236" s="23">
        <f>4*B216*B217</f>
        <v>0</v>
      </c>
      <c r="E236" s="24" t="s">
        <v>126</v>
      </c>
      <c r="F236" s="351">
        <f>'COSTOS ALUMINIO'!D$12</f>
        <v>169.9</v>
      </c>
      <c r="G236" s="227">
        <f>F236*D236</f>
        <v>0</v>
      </c>
      <c r="I236" s="231"/>
    </row>
    <row r="237" spans="1:9" hidden="1" outlineLevel="1" x14ac:dyDescent="0.25">
      <c r="A237" s="4"/>
      <c r="B237" s="20"/>
      <c r="C237" s="3" t="s">
        <v>127</v>
      </c>
      <c r="D237" s="23">
        <f>8*B216*B217</f>
        <v>0</v>
      </c>
      <c r="E237" s="24" t="s">
        <v>126</v>
      </c>
      <c r="F237" s="351">
        <f>'COSTOS ALUMINIO'!D$13</f>
        <v>120.9</v>
      </c>
      <c r="G237" s="227">
        <f>F237*D237</f>
        <v>0</v>
      </c>
      <c r="I237" s="231"/>
    </row>
    <row r="238" spans="1:9" hidden="1" outlineLevel="1" x14ac:dyDescent="0.25">
      <c r="A238" s="40" t="s">
        <v>95</v>
      </c>
      <c r="B238" s="1" t="s">
        <v>76</v>
      </c>
      <c r="C238" s="1" t="s">
        <v>96</v>
      </c>
      <c r="D238" s="1" t="s">
        <v>97</v>
      </c>
      <c r="E238" s="4" t="s">
        <v>45</v>
      </c>
      <c r="F238" s="4" t="s">
        <v>98</v>
      </c>
      <c r="I238" s="231"/>
    </row>
    <row r="239" spans="1:9" hidden="1" outlineLevel="1" x14ac:dyDescent="0.25">
      <c r="A239" s="5"/>
      <c r="B239" s="31">
        <f>B217*B216</f>
        <v>0</v>
      </c>
      <c r="C239" s="283">
        <f>(B219-96)/B217</f>
        <v>904</v>
      </c>
      <c r="D239" s="283">
        <f>B220-96</f>
        <v>904</v>
      </c>
      <c r="E239" s="255">
        <f>D$4</f>
        <v>21000</v>
      </c>
      <c r="F239" s="256">
        <f>E239*B240</f>
        <v>0</v>
      </c>
      <c r="I239" s="231"/>
    </row>
    <row r="240" spans="1:9" hidden="1" outlineLevel="1" x14ac:dyDescent="0.25">
      <c r="A240" s="6" t="s">
        <v>99</v>
      </c>
      <c r="B240" s="41">
        <f>(B239*C239*D239)/1000000</f>
        <v>0</v>
      </c>
      <c r="I240" s="231"/>
    </row>
    <row r="241" spans="1:9" collapsed="1" x14ac:dyDescent="0.25"/>
    <row r="242" spans="1:9" x14ac:dyDescent="0.25">
      <c r="A242" s="1" t="s">
        <v>61</v>
      </c>
      <c r="B242" s="238" t="s">
        <v>108</v>
      </c>
      <c r="C242" s="237"/>
      <c r="E242" s="3"/>
      <c r="F242" s="3"/>
      <c r="I242" s="231"/>
    </row>
    <row r="243" spans="1:9" ht="15.95" customHeight="1" x14ac:dyDescent="0.25">
      <c r="A243" s="4" t="s">
        <v>62</v>
      </c>
      <c r="B243" s="384" t="s">
        <v>111</v>
      </c>
      <c r="C243" s="384"/>
      <c r="D243" s="384"/>
      <c r="E243" s="384"/>
      <c r="F243" s="236"/>
      <c r="I243" s="231"/>
    </row>
    <row r="244" spans="1:9" x14ac:dyDescent="0.25">
      <c r="A244" s="5"/>
      <c r="B244" s="384"/>
      <c r="C244" s="384"/>
      <c r="D244" s="384"/>
      <c r="E244" s="384"/>
      <c r="F244" s="236"/>
      <c r="I244" s="231"/>
    </row>
    <row r="245" spans="1:9" x14ac:dyDescent="0.25">
      <c r="A245" s="240" t="s">
        <v>64</v>
      </c>
      <c r="B245" s="239">
        <v>0</v>
      </c>
      <c r="C245" s="8"/>
      <c r="D245" s="8"/>
      <c r="E245" s="8"/>
      <c r="F245" s="236"/>
      <c r="H245" t="s">
        <v>65</v>
      </c>
      <c r="I245" s="232">
        <f>SUM(I251:I262)</f>
        <v>0</v>
      </c>
    </row>
    <row r="246" spans="1:9" x14ac:dyDescent="0.25">
      <c r="A246" s="299" t="s">
        <v>112</v>
      </c>
      <c r="B246" s="14">
        <v>1</v>
      </c>
      <c r="C246" t="s">
        <v>113</v>
      </c>
      <c r="F246" s="236"/>
      <c r="H246" t="s">
        <v>68</v>
      </c>
      <c r="I246" s="246">
        <f>F269</f>
        <v>0</v>
      </c>
    </row>
    <row r="247" spans="1:9" ht="18" x14ac:dyDescent="0.4">
      <c r="A247" s="241" t="s">
        <v>66</v>
      </c>
      <c r="B247" s="242">
        <f>B248*B249/1000000*B245</f>
        <v>0</v>
      </c>
      <c r="C247" s="11" t="s">
        <v>67</v>
      </c>
      <c r="D247" s="12"/>
      <c r="E247" s="12"/>
      <c r="F247" s="12"/>
      <c r="H247" t="s">
        <v>70</v>
      </c>
      <c r="I247" s="247">
        <f>I264</f>
        <v>0</v>
      </c>
    </row>
    <row r="248" spans="1:9" x14ac:dyDescent="0.25">
      <c r="A248" s="243" t="s">
        <v>69</v>
      </c>
      <c r="B248" s="14">
        <v>1000</v>
      </c>
      <c r="F248" s="15"/>
      <c r="H248" t="s">
        <v>36</v>
      </c>
      <c r="I248" s="248">
        <f>SUM(I245:I247)</f>
        <v>0</v>
      </c>
    </row>
    <row r="249" spans="1:9" x14ac:dyDescent="0.25">
      <c r="A249" s="244" t="s">
        <v>71</v>
      </c>
      <c r="B249" s="17">
        <v>1000</v>
      </c>
    </row>
    <row r="250" spans="1:9" hidden="1" outlineLevel="1" x14ac:dyDescent="0.25">
      <c r="A250" s="4" t="s">
        <v>72</v>
      </c>
      <c r="B250" s="1" t="s">
        <v>73</v>
      </c>
      <c r="C250" s="1" t="s">
        <v>74</v>
      </c>
      <c r="D250" s="1" t="s">
        <v>75</v>
      </c>
      <c r="E250" s="1" t="s">
        <v>76</v>
      </c>
      <c r="F250" s="4" t="s">
        <v>77</v>
      </c>
      <c r="G250" s="4" t="s">
        <v>78</v>
      </c>
      <c r="H250" s="4" t="s">
        <v>79</v>
      </c>
      <c r="I250" s="4" t="s">
        <v>80</v>
      </c>
    </row>
    <row r="251" spans="1:9" hidden="1" outlineLevel="1" x14ac:dyDescent="0.25">
      <c r="A251" s="19"/>
      <c r="B251" s="20">
        <v>4201</v>
      </c>
      <c r="C251" s="3" t="s">
        <v>114</v>
      </c>
      <c r="D251" s="23">
        <f>B248</f>
        <v>1000</v>
      </c>
      <c r="E251" s="24">
        <f>1*B245</f>
        <v>0</v>
      </c>
      <c r="F251" s="250">
        <f>E251*D251</f>
        <v>0</v>
      </c>
      <c r="G251" s="253">
        <f>'COSTOS ALUMINIO'!D$5</f>
        <v>11796</v>
      </c>
      <c r="H251" s="252">
        <f>G251/6000</f>
        <v>1.966</v>
      </c>
      <c r="I251" s="253">
        <f t="shared" ref="I251:I261" si="25">H251*F251</f>
        <v>0</v>
      </c>
    </row>
    <row r="252" spans="1:9" hidden="1" outlineLevel="1" x14ac:dyDescent="0.25">
      <c r="A252" s="19"/>
      <c r="B252" s="20">
        <v>4201</v>
      </c>
      <c r="C252" s="3" t="s">
        <v>115</v>
      </c>
      <c r="D252" s="23">
        <f>B248</f>
        <v>1000</v>
      </c>
      <c r="E252" s="24">
        <f>1*B245</f>
        <v>0</v>
      </c>
      <c r="F252" s="249">
        <f>E252*D252</f>
        <v>0</v>
      </c>
      <c r="G252" s="231">
        <f>'COSTOS ALUMINIO'!D$5</f>
        <v>11796</v>
      </c>
      <c r="H252" s="245">
        <f t="shared" ref="H252:H261" si="26">G252/6000</f>
        <v>1.966</v>
      </c>
      <c r="I252" s="227">
        <f t="shared" si="25"/>
        <v>0</v>
      </c>
    </row>
    <row r="253" spans="1:9" hidden="1" outlineLevel="1" x14ac:dyDescent="0.25">
      <c r="A253" s="19"/>
      <c r="B253" s="20">
        <v>4202</v>
      </c>
      <c r="C253" s="3" t="s">
        <v>116</v>
      </c>
      <c r="D253" s="23">
        <f>(B248-18)/B246</f>
        <v>982</v>
      </c>
      <c r="E253" s="24">
        <f>1*B245*B246</f>
        <v>0</v>
      </c>
      <c r="F253" s="249">
        <f t="shared" ref="F253:F261" si="27">E253*D253</f>
        <v>0</v>
      </c>
      <c r="G253" s="231">
        <f>'COSTOS ALUMINIO'!D$6</f>
        <v>18722</v>
      </c>
      <c r="H253" s="245">
        <f t="shared" si="26"/>
        <v>3.1203333333333334</v>
      </c>
      <c r="I253" s="227">
        <f t="shared" si="25"/>
        <v>0</v>
      </c>
    </row>
    <row r="254" spans="1:9" hidden="1" outlineLevel="1" x14ac:dyDescent="0.25">
      <c r="A254" s="19"/>
      <c r="B254" s="20">
        <v>4229</v>
      </c>
      <c r="C254" s="3" t="s">
        <v>117</v>
      </c>
      <c r="D254" s="23">
        <f>(B248-96)/B246</f>
        <v>904</v>
      </c>
      <c r="E254" s="24">
        <f>1*B245*B246</f>
        <v>0</v>
      </c>
      <c r="F254" s="249">
        <f t="shared" si="27"/>
        <v>0</v>
      </c>
      <c r="G254" s="231">
        <f>'COSTOS ALUMINIO'!D$8</f>
        <v>5756</v>
      </c>
      <c r="H254" s="245">
        <f t="shared" si="26"/>
        <v>0.95933333333333337</v>
      </c>
      <c r="I254" s="227">
        <f t="shared" si="25"/>
        <v>0</v>
      </c>
    </row>
    <row r="255" spans="1:9" hidden="1" outlineLevel="1" x14ac:dyDescent="0.25">
      <c r="A255" s="19"/>
      <c r="B255" s="20">
        <v>4202</v>
      </c>
      <c r="C255" s="3" t="s">
        <v>118</v>
      </c>
      <c r="D255" s="23">
        <f>(B248-18)/B246</f>
        <v>982</v>
      </c>
      <c r="E255" s="24">
        <f>1*B245*B246</f>
        <v>0</v>
      </c>
      <c r="F255" s="249">
        <f t="shared" si="27"/>
        <v>0</v>
      </c>
      <c r="G255" s="231">
        <f>'COSTOS ALUMINIO'!D$6</f>
        <v>18722</v>
      </c>
      <c r="H255" s="245">
        <f t="shared" si="26"/>
        <v>3.1203333333333334</v>
      </c>
      <c r="I255" s="227">
        <f t="shared" si="25"/>
        <v>0</v>
      </c>
    </row>
    <row r="256" spans="1:9" hidden="1" outlineLevel="1" x14ac:dyDescent="0.25">
      <c r="A256" s="19"/>
      <c r="B256" s="20">
        <v>4229</v>
      </c>
      <c r="C256" s="3" t="s">
        <v>117</v>
      </c>
      <c r="D256" s="23">
        <f>(B248-96)/B246</f>
        <v>904</v>
      </c>
      <c r="E256" s="24">
        <f>1*B245*B246</f>
        <v>0</v>
      </c>
      <c r="F256" s="249">
        <f t="shared" si="27"/>
        <v>0</v>
      </c>
      <c r="G256" s="231">
        <f>'COSTOS ALUMINIO'!D$8</f>
        <v>5756</v>
      </c>
      <c r="H256" s="245">
        <f t="shared" si="26"/>
        <v>0.95933333333333337</v>
      </c>
      <c r="I256" s="227">
        <f t="shared" si="25"/>
        <v>0</v>
      </c>
    </row>
    <row r="257" spans="1:9" hidden="1" outlineLevel="1" x14ac:dyDescent="0.25">
      <c r="A257" s="19"/>
      <c r="B257" s="20">
        <v>4204</v>
      </c>
      <c r="C257" s="3" t="s">
        <v>119</v>
      </c>
      <c r="D257" s="23">
        <f>B249-18</f>
        <v>982</v>
      </c>
      <c r="E257" s="24">
        <f>1*B245*(-1+B246)</f>
        <v>0</v>
      </c>
      <c r="F257" s="249">
        <f t="shared" si="27"/>
        <v>0</v>
      </c>
      <c r="G257" s="231">
        <f>'COSTOS ALUMINIO'!D$9</f>
        <v>20523</v>
      </c>
      <c r="H257" s="245">
        <f t="shared" si="26"/>
        <v>3.4205000000000001</v>
      </c>
      <c r="I257" s="227">
        <f t="shared" si="25"/>
        <v>0</v>
      </c>
    </row>
    <row r="258" spans="1:9" hidden="1" outlineLevel="1" x14ac:dyDescent="0.25">
      <c r="A258" s="19"/>
      <c r="B258" s="20">
        <v>4202</v>
      </c>
      <c r="C258" s="3" t="s">
        <v>120</v>
      </c>
      <c r="D258" s="23">
        <f>B249-18</f>
        <v>982</v>
      </c>
      <c r="E258" s="24">
        <f>1*B245*B246</f>
        <v>0</v>
      </c>
      <c r="F258" s="249">
        <f t="shared" si="27"/>
        <v>0</v>
      </c>
      <c r="G258" s="231">
        <f>'COSTOS ALUMINIO'!D$6</f>
        <v>18722</v>
      </c>
      <c r="H258" s="245">
        <f t="shared" si="26"/>
        <v>3.1203333333333334</v>
      </c>
      <c r="I258" s="227">
        <f t="shared" si="25"/>
        <v>0</v>
      </c>
    </row>
    <row r="259" spans="1:9" hidden="1" outlineLevel="1" x14ac:dyDescent="0.25">
      <c r="A259" s="19"/>
      <c r="B259" s="20">
        <v>4229</v>
      </c>
      <c r="C259" s="3" t="s">
        <v>117</v>
      </c>
      <c r="D259" s="23">
        <f>B249-96</f>
        <v>904</v>
      </c>
      <c r="E259" s="24">
        <f>1*B245*B246</f>
        <v>0</v>
      </c>
      <c r="F259" s="249">
        <f t="shared" si="27"/>
        <v>0</v>
      </c>
      <c r="G259" s="231">
        <f>'COSTOS ALUMINIO'!D$8</f>
        <v>5756</v>
      </c>
      <c r="H259" s="245">
        <f t="shared" si="26"/>
        <v>0.95933333333333337</v>
      </c>
      <c r="I259" s="227">
        <f t="shared" si="25"/>
        <v>0</v>
      </c>
    </row>
    <row r="260" spans="1:9" hidden="1" outlineLevel="1" x14ac:dyDescent="0.25">
      <c r="A260" s="19"/>
      <c r="B260" s="20">
        <v>4202</v>
      </c>
      <c r="C260" s="3" t="s">
        <v>121</v>
      </c>
      <c r="D260" s="23">
        <f>B249-18</f>
        <v>982</v>
      </c>
      <c r="E260" s="24">
        <f>1*B245*B246</f>
        <v>0</v>
      </c>
      <c r="F260" s="249">
        <f t="shared" si="27"/>
        <v>0</v>
      </c>
      <c r="G260" s="231">
        <f>'COSTOS ALUMINIO'!D$6</f>
        <v>18722</v>
      </c>
      <c r="H260" s="245">
        <f t="shared" si="26"/>
        <v>3.1203333333333334</v>
      </c>
      <c r="I260" s="227">
        <f t="shared" si="25"/>
        <v>0</v>
      </c>
    </row>
    <row r="261" spans="1:9" hidden="1" outlineLevel="1" x14ac:dyDescent="0.25">
      <c r="A261" s="19"/>
      <c r="B261" s="20">
        <v>4229</v>
      </c>
      <c r="C261" s="3" t="s">
        <v>117</v>
      </c>
      <c r="D261" s="30">
        <f>B249-96</f>
        <v>904</v>
      </c>
      <c r="E261" s="31">
        <f>1*B245*B246</f>
        <v>0</v>
      </c>
      <c r="F261" s="249">
        <f t="shared" si="27"/>
        <v>0</v>
      </c>
      <c r="G261" s="231">
        <f>'COSTOS ALUMINIO'!D$8</f>
        <v>5756</v>
      </c>
      <c r="H261" s="245">
        <f t="shared" si="26"/>
        <v>0.95933333333333337</v>
      </c>
      <c r="I261" s="227">
        <f t="shared" si="25"/>
        <v>0</v>
      </c>
    </row>
    <row r="262" spans="1:9" hidden="1" outlineLevel="1" x14ac:dyDescent="0.25">
      <c r="A262" s="19"/>
      <c r="B262" s="290"/>
      <c r="C262" s="291"/>
      <c r="D262" s="292"/>
      <c r="E262" s="293"/>
      <c r="F262" s="296" t="s">
        <v>122</v>
      </c>
      <c r="G262" s="296" t="s">
        <v>98</v>
      </c>
      <c r="H262" s="294"/>
      <c r="I262" s="295"/>
    </row>
    <row r="263" spans="1:9" hidden="1" outlineLevel="1" x14ac:dyDescent="0.25">
      <c r="A263" s="40" t="s">
        <v>88</v>
      </c>
      <c r="B263" s="279"/>
      <c r="C263" s="3" t="s">
        <v>123</v>
      </c>
      <c r="D263" s="23">
        <f>2*B245</f>
        <v>0</v>
      </c>
      <c r="E263" s="24" t="s">
        <v>93</v>
      </c>
      <c r="F263" s="351">
        <f>'COSTOS ALUMINIO'!D$10</f>
        <v>1400</v>
      </c>
      <c r="G263" s="227">
        <f>F263*D263</f>
        <v>0</v>
      </c>
      <c r="H263" s="40" t="s">
        <v>91</v>
      </c>
      <c r="I263" s="254">
        <f>SUM(G263:G266)</f>
        <v>0</v>
      </c>
    </row>
    <row r="264" spans="1:9" hidden="1" outlineLevel="1" x14ac:dyDescent="0.25">
      <c r="A264" s="4"/>
      <c r="B264" s="20"/>
      <c r="C264" s="3" t="s">
        <v>124</v>
      </c>
      <c r="D264" s="23">
        <f>2*B245*B246</f>
        <v>0</v>
      </c>
      <c r="E264" s="24" t="s">
        <v>93</v>
      </c>
      <c r="F264" s="351">
        <f>'COSTOS ALUMINIO'!D$11</f>
        <v>7121</v>
      </c>
      <c r="G264" s="227">
        <f>F264*D264</f>
        <v>0</v>
      </c>
      <c r="I264" s="231"/>
    </row>
    <row r="265" spans="1:9" hidden="1" outlineLevel="1" x14ac:dyDescent="0.25">
      <c r="A265" s="4"/>
      <c r="B265" s="20"/>
      <c r="C265" s="3" t="s">
        <v>125</v>
      </c>
      <c r="D265" s="23">
        <f>4*B245*B246</f>
        <v>0</v>
      </c>
      <c r="E265" s="24" t="s">
        <v>126</v>
      </c>
      <c r="F265" s="351">
        <f>'COSTOS ALUMINIO'!D$12</f>
        <v>169.9</v>
      </c>
      <c r="G265" s="227">
        <f>F265*D265</f>
        <v>0</v>
      </c>
      <c r="I265" s="231"/>
    </row>
    <row r="266" spans="1:9" hidden="1" outlineLevel="1" x14ac:dyDescent="0.25">
      <c r="A266" s="4"/>
      <c r="B266" s="20"/>
      <c r="C266" s="3" t="s">
        <v>127</v>
      </c>
      <c r="D266" s="23">
        <f>8*B245*B246</f>
        <v>0</v>
      </c>
      <c r="E266" s="24" t="s">
        <v>126</v>
      </c>
      <c r="F266" s="351">
        <f>'COSTOS ALUMINIO'!D$13</f>
        <v>120.9</v>
      </c>
      <c r="G266" s="227">
        <f>F266*D266</f>
        <v>0</v>
      </c>
      <c r="I266" s="231"/>
    </row>
    <row r="267" spans="1:9" hidden="1" outlineLevel="1" x14ac:dyDescent="0.25">
      <c r="A267" s="40" t="s">
        <v>95</v>
      </c>
      <c r="B267" s="1" t="s">
        <v>76</v>
      </c>
      <c r="C267" s="1" t="s">
        <v>96</v>
      </c>
      <c r="D267" s="1" t="s">
        <v>97</v>
      </c>
      <c r="E267" s="4" t="s">
        <v>45</v>
      </c>
      <c r="F267" s="4" t="s">
        <v>98</v>
      </c>
      <c r="I267" s="231"/>
    </row>
    <row r="268" spans="1:9" hidden="1" outlineLevel="1" x14ac:dyDescent="0.25">
      <c r="A268" s="5"/>
      <c r="B268" s="31">
        <f>B246*B245</f>
        <v>0</v>
      </c>
      <c r="C268" s="283">
        <f>(B248-96)/B246</f>
        <v>904</v>
      </c>
      <c r="D268" s="283">
        <f>B249-96</f>
        <v>904</v>
      </c>
      <c r="E268" s="255">
        <f>D$4</f>
        <v>21000</v>
      </c>
      <c r="F268" s="256">
        <f>E268*B269</f>
        <v>0</v>
      </c>
      <c r="I268" s="231"/>
    </row>
    <row r="269" spans="1:9" hidden="1" outlineLevel="1" x14ac:dyDescent="0.25">
      <c r="A269" s="6" t="s">
        <v>99</v>
      </c>
      <c r="B269" s="41">
        <f>(B268*C268*D268)/1000000</f>
        <v>0</v>
      </c>
      <c r="I269" s="231"/>
    </row>
    <row r="270" spans="1:9" collapsed="1" x14ac:dyDescent="0.25"/>
    <row r="271" spans="1:9" x14ac:dyDescent="0.25">
      <c r="A271" s="1" t="s">
        <v>61</v>
      </c>
      <c r="B271" s="238" t="s">
        <v>109</v>
      </c>
      <c r="C271" s="237"/>
      <c r="E271" s="3"/>
      <c r="F271" s="3"/>
      <c r="I271" s="231"/>
    </row>
    <row r="272" spans="1:9" ht="15.95" customHeight="1" x14ac:dyDescent="0.25">
      <c r="A272" s="4" t="s">
        <v>62</v>
      </c>
      <c r="B272" s="384" t="s">
        <v>111</v>
      </c>
      <c r="C272" s="384"/>
      <c r="D272" s="384"/>
      <c r="E272" s="384"/>
      <c r="F272" s="236"/>
      <c r="I272" s="231"/>
    </row>
    <row r="273" spans="1:9" x14ac:dyDescent="0.25">
      <c r="A273" s="5"/>
      <c r="B273" s="384"/>
      <c r="C273" s="384"/>
      <c r="D273" s="384"/>
      <c r="E273" s="384"/>
      <c r="F273" s="236"/>
      <c r="I273" s="231"/>
    </row>
    <row r="274" spans="1:9" x14ac:dyDescent="0.25">
      <c r="A274" s="240" t="s">
        <v>64</v>
      </c>
      <c r="B274" s="239">
        <v>0</v>
      </c>
      <c r="C274" s="8"/>
      <c r="D274" s="8"/>
      <c r="E274" s="8"/>
      <c r="F274" s="236"/>
      <c r="H274" t="s">
        <v>65</v>
      </c>
      <c r="I274" s="232">
        <f>SUM(I280:I291)</f>
        <v>0</v>
      </c>
    </row>
    <row r="275" spans="1:9" x14ac:dyDescent="0.25">
      <c r="A275" s="299" t="s">
        <v>112</v>
      </c>
      <c r="B275" s="14">
        <v>1</v>
      </c>
      <c r="C275" t="s">
        <v>113</v>
      </c>
      <c r="F275" s="236"/>
      <c r="H275" t="s">
        <v>68</v>
      </c>
      <c r="I275" s="246">
        <f>F298</f>
        <v>0</v>
      </c>
    </row>
    <row r="276" spans="1:9" ht="18" x14ac:dyDescent="0.4">
      <c r="A276" s="241" t="s">
        <v>66</v>
      </c>
      <c r="B276" s="242">
        <f>B277*B278/1000000*B274</f>
        <v>0</v>
      </c>
      <c r="C276" s="11" t="s">
        <v>67</v>
      </c>
      <c r="D276" s="12"/>
      <c r="E276" s="12"/>
      <c r="F276" s="12"/>
      <c r="H276" t="s">
        <v>70</v>
      </c>
      <c r="I276" s="247">
        <f>I293</f>
        <v>0</v>
      </c>
    </row>
    <row r="277" spans="1:9" x14ac:dyDescent="0.25">
      <c r="A277" s="243" t="s">
        <v>69</v>
      </c>
      <c r="B277" s="14">
        <v>1000</v>
      </c>
      <c r="F277" s="15"/>
      <c r="H277" t="s">
        <v>36</v>
      </c>
      <c r="I277" s="248">
        <f>SUM(I274:I276)</f>
        <v>0</v>
      </c>
    </row>
    <row r="278" spans="1:9" x14ac:dyDescent="0.25">
      <c r="A278" s="244" t="s">
        <v>71</v>
      </c>
      <c r="B278" s="17">
        <v>1000</v>
      </c>
    </row>
    <row r="279" spans="1:9" hidden="1" outlineLevel="1" x14ac:dyDescent="0.25">
      <c r="A279" s="4" t="s">
        <v>72</v>
      </c>
      <c r="B279" s="1" t="s">
        <v>73</v>
      </c>
      <c r="C279" s="1" t="s">
        <v>74</v>
      </c>
      <c r="D279" s="1" t="s">
        <v>75</v>
      </c>
      <c r="E279" s="1" t="s">
        <v>76</v>
      </c>
      <c r="F279" s="4" t="s">
        <v>77</v>
      </c>
      <c r="G279" s="4" t="s">
        <v>78</v>
      </c>
      <c r="H279" s="4" t="s">
        <v>79</v>
      </c>
      <c r="I279" s="4" t="s">
        <v>80</v>
      </c>
    </row>
    <row r="280" spans="1:9" hidden="1" outlineLevel="1" x14ac:dyDescent="0.25">
      <c r="A280" s="19"/>
      <c r="B280" s="20">
        <v>4201</v>
      </c>
      <c r="C280" s="3" t="s">
        <v>114</v>
      </c>
      <c r="D280" s="23">
        <f>B277</f>
        <v>1000</v>
      </c>
      <c r="E280" s="24">
        <f>1*B274</f>
        <v>0</v>
      </c>
      <c r="F280" s="250">
        <f>E280*D280</f>
        <v>0</v>
      </c>
      <c r="G280" s="253">
        <f>'COSTOS ALUMINIO'!D$5</f>
        <v>11796</v>
      </c>
      <c r="H280" s="252">
        <f>G280/6000</f>
        <v>1.966</v>
      </c>
      <c r="I280" s="253">
        <f t="shared" ref="I280:I290" si="28">H280*F280</f>
        <v>0</v>
      </c>
    </row>
    <row r="281" spans="1:9" hidden="1" outlineLevel="1" x14ac:dyDescent="0.25">
      <c r="A281" s="19"/>
      <c r="B281" s="20">
        <v>4201</v>
      </c>
      <c r="C281" s="3" t="s">
        <v>115</v>
      </c>
      <c r="D281" s="23">
        <f>B277</f>
        <v>1000</v>
      </c>
      <c r="E281" s="24">
        <f>1*B274</f>
        <v>0</v>
      </c>
      <c r="F281" s="249">
        <f>E281*D281</f>
        <v>0</v>
      </c>
      <c r="G281" s="231">
        <f>'COSTOS ALUMINIO'!D$5</f>
        <v>11796</v>
      </c>
      <c r="H281" s="245">
        <f t="shared" ref="H281:H290" si="29">G281/6000</f>
        <v>1.966</v>
      </c>
      <c r="I281" s="227">
        <f t="shared" si="28"/>
        <v>0</v>
      </c>
    </row>
    <row r="282" spans="1:9" hidden="1" outlineLevel="1" x14ac:dyDescent="0.25">
      <c r="A282" s="19"/>
      <c r="B282" s="20">
        <v>4202</v>
      </c>
      <c r="C282" s="3" t="s">
        <v>116</v>
      </c>
      <c r="D282" s="23">
        <f>(B277-18)/B275</f>
        <v>982</v>
      </c>
      <c r="E282" s="24">
        <f>1*B274*B275</f>
        <v>0</v>
      </c>
      <c r="F282" s="249">
        <f t="shared" ref="F282:F290" si="30">E282*D282</f>
        <v>0</v>
      </c>
      <c r="G282" s="231">
        <f>'COSTOS ALUMINIO'!D$6</f>
        <v>18722</v>
      </c>
      <c r="H282" s="245">
        <f t="shared" si="29"/>
        <v>3.1203333333333334</v>
      </c>
      <c r="I282" s="227">
        <f t="shared" si="28"/>
        <v>0</v>
      </c>
    </row>
    <row r="283" spans="1:9" hidden="1" outlineLevel="1" x14ac:dyDescent="0.25">
      <c r="A283" s="19"/>
      <c r="B283" s="20">
        <v>4229</v>
      </c>
      <c r="C283" s="3" t="s">
        <v>117</v>
      </c>
      <c r="D283" s="23">
        <f>(B277-96)/B275</f>
        <v>904</v>
      </c>
      <c r="E283" s="24">
        <f>1*B274*B275</f>
        <v>0</v>
      </c>
      <c r="F283" s="249">
        <f t="shared" si="30"/>
        <v>0</v>
      </c>
      <c r="G283" s="231">
        <f>'COSTOS ALUMINIO'!D$8</f>
        <v>5756</v>
      </c>
      <c r="H283" s="245">
        <f t="shared" si="29"/>
        <v>0.95933333333333337</v>
      </c>
      <c r="I283" s="227">
        <f t="shared" si="28"/>
        <v>0</v>
      </c>
    </row>
    <row r="284" spans="1:9" hidden="1" outlineLevel="1" x14ac:dyDescent="0.25">
      <c r="A284" s="19"/>
      <c r="B284" s="20">
        <v>4202</v>
      </c>
      <c r="C284" s="3" t="s">
        <v>118</v>
      </c>
      <c r="D284" s="23">
        <f>(B277-18)/B275</f>
        <v>982</v>
      </c>
      <c r="E284" s="24">
        <f>1*B274*B275</f>
        <v>0</v>
      </c>
      <c r="F284" s="249">
        <f t="shared" si="30"/>
        <v>0</v>
      </c>
      <c r="G284" s="231">
        <f>'COSTOS ALUMINIO'!D$6</f>
        <v>18722</v>
      </c>
      <c r="H284" s="245">
        <f t="shared" si="29"/>
        <v>3.1203333333333334</v>
      </c>
      <c r="I284" s="227">
        <f t="shared" si="28"/>
        <v>0</v>
      </c>
    </row>
    <row r="285" spans="1:9" hidden="1" outlineLevel="1" x14ac:dyDescent="0.25">
      <c r="A285" s="19"/>
      <c r="B285" s="20">
        <v>4229</v>
      </c>
      <c r="C285" s="3" t="s">
        <v>117</v>
      </c>
      <c r="D285" s="23">
        <f>(B277-96)/B275</f>
        <v>904</v>
      </c>
      <c r="E285" s="24">
        <f>1*B274*B275</f>
        <v>0</v>
      </c>
      <c r="F285" s="249">
        <f t="shared" si="30"/>
        <v>0</v>
      </c>
      <c r="G285" s="231">
        <f>'COSTOS ALUMINIO'!D$8</f>
        <v>5756</v>
      </c>
      <c r="H285" s="245">
        <f t="shared" si="29"/>
        <v>0.95933333333333337</v>
      </c>
      <c r="I285" s="227">
        <f t="shared" si="28"/>
        <v>0</v>
      </c>
    </row>
    <row r="286" spans="1:9" hidden="1" outlineLevel="1" x14ac:dyDescent="0.25">
      <c r="A286" s="19"/>
      <c r="B286" s="20">
        <v>4204</v>
      </c>
      <c r="C286" s="3" t="s">
        <v>119</v>
      </c>
      <c r="D286" s="23">
        <f>B278-18</f>
        <v>982</v>
      </c>
      <c r="E286" s="24">
        <f>1*B274*(-1+B275)</f>
        <v>0</v>
      </c>
      <c r="F286" s="249">
        <f t="shared" si="30"/>
        <v>0</v>
      </c>
      <c r="G286" s="231">
        <f>'COSTOS ALUMINIO'!D$9</f>
        <v>20523</v>
      </c>
      <c r="H286" s="245">
        <f t="shared" si="29"/>
        <v>3.4205000000000001</v>
      </c>
      <c r="I286" s="227">
        <f t="shared" si="28"/>
        <v>0</v>
      </c>
    </row>
    <row r="287" spans="1:9" hidden="1" outlineLevel="1" x14ac:dyDescent="0.25">
      <c r="A287" s="19"/>
      <c r="B287" s="20">
        <v>4202</v>
      </c>
      <c r="C287" s="3" t="s">
        <v>120</v>
      </c>
      <c r="D287" s="23">
        <f>B278-18</f>
        <v>982</v>
      </c>
      <c r="E287" s="24">
        <f>1*B274*B275</f>
        <v>0</v>
      </c>
      <c r="F287" s="249">
        <f t="shared" si="30"/>
        <v>0</v>
      </c>
      <c r="G287" s="231">
        <f>'COSTOS ALUMINIO'!D$6</f>
        <v>18722</v>
      </c>
      <c r="H287" s="245">
        <f t="shared" si="29"/>
        <v>3.1203333333333334</v>
      </c>
      <c r="I287" s="227">
        <f t="shared" si="28"/>
        <v>0</v>
      </c>
    </row>
    <row r="288" spans="1:9" hidden="1" outlineLevel="1" x14ac:dyDescent="0.25">
      <c r="A288" s="19"/>
      <c r="B288" s="20">
        <v>4229</v>
      </c>
      <c r="C288" s="3" t="s">
        <v>117</v>
      </c>
      <c r="D288" s="23">
        <f>B278-96</f>
        <v>904</v>
      </c>
      <c r="E288" s="24">
        <f>1*B274*B275</f>
        <v>0</v>
      </c>
      <c r="F288" s="249">
        <f t="shared" si="30"/>
        <v>0</v>
      </c>
      <c r="G288" s="231">
        <f>'COSTOS ALUMINIO'!D$8</f>
        <v>5756</v>
      </c>
      <c r="H288" s="245">
        <f t="shared" si="29"/>
        <v>0.95933333333333337</v>
      </c>
      <c r="I288" s="227">
        <f t="shared" si="28"/>
        <v>0</v>
      </c>
    </row>
    <row r="289" spans="1:9" hidden="1" outlineLevel="1" x14ac:dyDescent="0.25">
      <c r="A289" s="19"/>
      <c r="B289" s="20">
        <v>4202</v>
      </c>
      <c r="C289" s="3" t="s">
        <v>121</v>
      </c>
      <c r="D289" s="23">
        <f>B278-18</f>
        <v>982</v>
      </c>
      <c r="E289" s="24">
        <f>1*B274*B275</f>
        <v>0</v>
      </c>
      <c r="F289" s="249">
        <f t="shared" si="30"/>
        <v>0</v>
      </c>
      <c r="G289" s="231">
        <f>'COSTOS ALUMINIO'!D$6</f>
        <v>18722</v>
      </c>
      <c r="H289" s="245">
        <f t="shared" si="29"/>
        <v>3.1203333333333334</v>
      </c>
      <c r="I289" s="227">
        <f t="shared" si="28"/>
        <v>0</v>
      </c>
    </row>
    <row r="290" spans="1:9" hidden="1" outlineLevel="1" x14ac:dyDescent="0.25">
      <c r="A290" s="19"/>
      <c r="B290" s="20">
        <v>4229</v>
      </c>
      <c r="C290" s="3" t="s">
        <v>117</v>
      </c>
      <c r="D290" s="30">
        <f>B278-96</f>
        <v>904</v>
      </c>
      <c r="E290" s="31">
        <f>1*B274*B275</f>
        <v>0</v>
      </c>
      <c r="F290" s="249">
        <f t="shared" si="30"/>
        <v>0</v>
      </c>
      <c r="G290" s="231">
        <f>'COSTOS ALUMINIO'!D$8</f>
        <v>5756</v>
      </c>
      <c r="H290" s="245">
        <f t="shared" si="29"/>
        <v>0.95933333333333337</v>
      </c>
      <c r="I290" s="227">
        <f t="shared" si="28"/>
        <v>0</v>
      </c>
    </row>
    <row r="291" spans="1:9" hidden="1" outlineLevel="1" x14ac:dyDescent="0.25">
      <c r="A291" s="19"/>
      <c r="B291" s="290"/>
      <c r="C291" s="291"/>
      <c r="D291" s="292"/>
      <c r="E291" s="293"/>
      <c r="F291" s="296" t="s">
        <v>122</v>
      </c>
      <c r="G291" s="296" t="s">
        <v>98</v>
      </c>
      <c r="H291" s="294"/>
      <c r="I291" s="295"/>
    </row>
    <row r="292" spans="1:9" hidden="1" outlineLevel="1" x14ac:dyDescent="0.25">
      <c r="A292" s="40" t="s">
        <v>88</v>
      </c>
      <c r="B292" s="279"/>
      <c r="C292" s="3" t="s">
        <v>123</v>
      </c>
      <c r="D292" s="23">
        <f>2*B274</f>
        <v>0</v>
      </c>
      <c r="E292" s="24" t="s">
        <v>93</v>
      </c>
      <c r="F292" s="351">
        <f>'COSTOS ALUMINIO'!D$10</f>
        <v>1400</v>
      </c>
      <c r="G292" s="227">
        <f>F292*D292</f>
        <v>0</v>
      </c>
      <c r="H292" s="40" t="s">
        <v>91</v>
      </c>
      <c r="I292" s="254">
        <f>SUM(G292:G295)</f>
        <v>0</v>
      </c>
    </row>
    <row r="293" spans="1:9" hidden="1" outlineLevel="1" x14ac:dyDescent="0.25">
      <c r="A293" s="4"/>
      <c r="B293" s="20"/>
      <c r="C293" s="3" t="s">
        <v>124</v>
      </c>
      <c r="D293" s="23">
        <f>2*B274*B275</f>
        <v>0</v>
      </c>
      <c r="E293" s="24" t="s">
        <v>93</v>
      </c>
      <c r="F293" s="351">
        <f>'COSTOS ALUMINIO'!D$11</f>
        <v>7121</v>
      </c>
      <c r="G293" s="227">
        <f>F293*D293</f>
        <v>0</v>
      </c>
      <c r="I293" s="231"/>
    </row>
    <row r="294" spans="1:9" hidden="1" outlineLevel="1" x14ac:dyDescent="0.25">
      <c r="A294" s="4"/>
      <c r="B294" s="20"/>
      <c r="C294" s="3" t="s">
        <v>125</v>
      </c>
      <c r="D294" s="23">
        <f>4*B274*B275</f>
        <v>0</v>
      </c>
      <c r="E294" s="24" t="s">
        <v>126</v>
      </c>
      <c r="F294" s="351">
        <f>'COSTOS ALUMINIO'!D$12</f>
        <v>169.9</v>
      </c>
      <c r="G294" s="227">
        <f>F294*D294</f>
        <v>0</v>
      </c>
      <c r="I294" s="231"/>
    </row>
    <row r="295" spans="1:9" hidden="1" outlineLevel="1" x14ac:dyDescent="0.25">
      <c r="A295" s="4"/>
      <c r="B295" s="20"/>
      <c r="C295" s="3" t="s">
        <v>127</v>
      </c>
      <c r="D295" s="23">
        <f>8*B274*B275</f>
        <v>0</v>
      </c>
      <c r="E295" s="24" t="s">
        <v>126</v>
      </c>
      <c r="F295" s="351">
        <f>'COSTOS ALUMINIO'!D$13</f>
        <v>120.9</v>
      </c>
      <c r="G295" s="227">
        <f>F295*D295</f>
        <v>0</v>
      </c>
      <c r="I295" s="231"/>
    </row>
    <row r="296" spans="1:9" hidden="1" outlineLevel="1" x14ac:dyDescent="0.25">
      <c r="A296" s="40" t="s">
        <v>95</v>
      </c>
      <c r="B296" s="1" t="s">
        <v>76</v>
      </c>
      <c r="C296" s="1" t="s">
        <v>96</v>
      </c>
      <c r="D296" s="1" t="s">
        <v>97</v>
      </c>
      <c r="E296" s="4" t="s">
        <v>45</v>
      </c>
      <c r="F296" s="4" t="s">
        <v>98</v>
      </c>
      <c r="I296" s="231"/>
    </row>
    <row r="297" spans="1:9" hidden="1" outlineLevel="1" x14ac:dyDescent="0.25">
      <c r="A297" s="5"/>
      <c r="B297" s="31">
        <f>B275*B274</f>
        <v>0</v>
      </c>
      <c r="C297" s="283">
        <f>(B277-96)/B275</f>
        <v>904</v>
      </c>
      <c r="D297" s="283">
        <f>B278-96</f>
        <v>904</v>
      </c>
      <c r="E297" s="255">
        <f>D$4</f>
        <v>21000</v>
      </c>
      <c r="F297" s="256">
        <f>E297*B298</f>
        <v>0</v>
      </c>
      <c r="I297" s="231"/>
    </row>
    <row r="298" spans="1:9" hidden="1" outlineLevel="1" x14ac:dyDescent="0.25">
      <c r="A298" s="6" t="s">
        <v>99</v>
      </c>
      <c r="B298" s="41">
        <f>(B297*C297*D297)/1000000</f>
        <v>0</v>
      </c>
      <c r="I298" s="231"/>
    </row>
    <row r="299" spans="1:9" collapsed="1" x14ac:dyDescent="0.25"/>
  </sheetData>
  <mergeCells count="13">
    <mergeCell ref="A2:F2"/>
    <mergeCell ref="B272:E273"/>
    <mergeCell ref="B127:E128"/>
    <mergeCell ref="A4:B4"/>
    <mergeCell ref="B11:E12"/>
    <mergeCell ref="B40:E41"/>
    <mergeCell ref="B69:E70"/>
    <mergeCell ref="B98:E99"/>
    <mergeCell ref="A5:B5"/>
    <mergeCell ref="B156:E157"/>
    <mergeCell ref="B185:E186"/>
    <mergeCell ref="B214:E215"/>
    <mergeCell ref="B243:E244"/>
  </mergeCells>
  <pageMargins left="0.7" right="0.7" top="0.75" bottom="0.75" header="0.3" footer="0.3"/>
  <pageSetup orientation="portrait" horizontalDpi="0" verticalDpi="0"/>
  <ignoredErrors>
    <ignoredError sqref="G22:G23 G27:G2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C5293B-021D-C04F-B3C9-DAF674179E75}">
          <x14:formula1>
            <xm:f>'COSTOS VIDRIOS'!$A$2:$A$11</xm:f>
          </x14:formula1>
          <xm:sqref>C4</xm:sqref>
        </x14:dataValidation>
        <x14:dataValidation type="list" allowBlank="1" showInputMessage="1" showErrorMessage="1" xr:uid="{EF1C876F-B963-F94A-B11F-C9B2F1C3BCC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AC7B-01C1-D641-B650-64063AB12A10}">
  <sheetPr codeName="Hoja11">
    <tabColor theme="0"/>
  </sheetPr>
  <dimension ref="A1:J309"/>
  <sheetViews>
    <sheetView showGridLines="0" topLeftCell="A43" zoomScale="85" zoomScaleNormal="85" workbookViewId="0">
      <selection activeCell="H8" sqref="H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128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B14+B44+B74+B104+B134+B164+B194+B224+B254+B284</f>
        <v>1</v>
      </c>
      <c r="H3" s="268" t="s">
        <v>42</v>
      </c>
      <c r="I3" s="325">
        <f>G5*(1+D8)</f>
        <v>70518.523625000002</v>
      </c>
      <c r="J3" s="326">
        <f t="shared" ref="J3:J8" si="0">I3/(1-G$7)</f>
        <v>100740.74803571429</v>
      </c>
    </row>
    <row r="4" spans="1:10" ht="19.5" thickBot="1" x14ac:dyDescent="0.35">
      <c r="A4" s="385" t="s">
        <v>43</v>
      </c>
      <c r="B4" s="385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11863.487999999999</v>
      </c>
      <c r="J4" s="326">
        <f t="shared" si="0"/>
        <v>16947.84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64107.748749999999</v>
      </c>
      <c r="H5" s="270" t="s">
        <v>51</v>
      </c>
      <c r="I5" s="325">
        <f>I15+I45+I75+I105+I135+I165+I195+I225+I255+I285</f>
        <v>21746.399999999998</v>
      </c>
      <c r="J5" s="326">
        <f t="shared" si="0"/>
        <v>31066.285714285714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48132.176410714295</v>
      </c>
      <c r="H9" s="272"/>
      <c r="I9" s="264">
        <f>SUM(I3:I8)</f>
        <v>112308.41162499999</v>
      </c>
      <c r="J9" s="322">
        <f>SUM(J3:J8)</f>
        <v>160440.58803571429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129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</f>
        <v>64107.748749999999</v>
      </c>
    </row>
    <row r="14" spans="1:10" x14ac:dyDescent="0.25">
      <c r="A14" s="241" t="s">
        <v>66</v>
      </c>
      <c r="B14" s="242">
        <f>B15*B16/1000000*B13</f>
        <v>1</v>
      </c>
      <c r="C14" s="11" t="s">
        <v>67</v>
      </c>
      <c r="D14" s="12"/>
      <c r="E14" s="12"/>
      <c r="F14" s="12"/>
      <c r="H14" t="s">
        <v>68</v>
      </c>
      <c r="I14" s="246">
        <f>F37</f>
        <v>11863.487999999999</v>
      </c>
    </row>
    <row r="15" spans="1:10" ht="18" x14ac:dyDescent="0.4">
      <c r="A15" s="243" t="s">
        <v>69</v>
      </c>
      <c r="B15" s="14">
        <v>1000</v>
      </c>
      <c r="F15" s="15"/>
      <c r="H15" t="s">
        <v>70</v>
      </c>
      <c r="I15" s="247">
        <f>I31</f>
        <v>21746.399999999998</v>
      </c>
    </row>
    <row r="16" spans="1:10" x14ac:dyDescent="0.25">
      <c r="A16" s="244" t="s">
        <v>71</v>
      </c>
      <c r="B16" s="17">
        <v>1000</v>
      </c>
      <c r="H16" t="s">
        <v>36</v>
      </c>
      <c r="I16" s="248">
        <f>SUM(I13:I15)</f>
        <v>97717.636749999991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1006</v>
      </c>
      <c r="E18" s="24">
        <f>B13*2</f>
        <v>2</v>
      </c>
      <c r="F18" s="250">
        <f>E18*D18</f>
        <v>2012</v>
      </c>
      <c r="G18" s="253">
        <f>'COSTOS PVC'!E$20</f>
        <v>24927.75</v>
      </c>
      <c r="H18" s="252">
        <f>G18/6000</f>
        <v>4.1546250000000002</v>
      </c>
      <c r="I18" s="253">
        <f t="shared" ref="I18:I29" si="1">H18*F18</f>
        <v>8359.1054999999997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1006</v>
      </c>
      <c r="E19" s="24">
        <f>B13*2</f>
        <v>2</v>
      </c>
      <c r="F19" s="249">
        <f>E19*D19</f>
        <v>2012</v>
      </c>
      <c r="G19" s="231">
        <f>'COSTOS PVC'!E$20</f>
        <v>24927.75</v>
      </c>
      <c r="H19" s="245">
        <f t="shared" ref="H19:H29" si="2">G19/6000</f>
        <v>4.1546250000000002</v>
      </c>
      <c r="I19" s="227">
        <f t="shared" si="1"/>
        <v>8359.1054999999997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499</v>
      </c>
      <c r="E20" s="24">
        <f>B13*4</f>
        <v>4</v>
      </c>
      <c r="F20" s="249">
        <f t="shared" ref="F20:F29" si="3">E20*D20</f>
        <v>1996</v>
      </c>
      <c r="G20" s="231">
        <f>'COSTOS PVC'!E$22</f>
        <v>29397.75</v>
      </c>
      <c r="H20" s="245">
        <f t="shared" si="2"/>
        <v>4.8996250000000003</v>
      </c>
      <c r="I20" s="227">
        <f t="shared" si="1"/>
        <v>9779.6514999999999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916</v>
      </c>
      <c r="E21" s="24">
        <f>B13*4</f>
        <v>4</v>
      </c>
      <c r="F21" s="249">
        <f t="shared" si="3"/>
        <v>3664</v>
      </c>
      <c r="G21" s="231">
        <f>'COSTOS PVC'!E$22</f>
        <v>29397.75</v>
      </c>
      <c r="H21" s="245">
        <f t="shared" si="2"/>
        <v>4.8996250000000003</v>
      </c>
      <c r="I21" s="227">
        <f t="shared" si="1"/>
        <v>17952.226000000002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367</v>
      </c>
      <c r="E22" s="24">
        <f>B13*4</f>
        <v>4</v>
      </c>
      <c r="F22" s="249">
        <f t="shared" si="3"/>
        <v>1468</v>
      </c>
      <c r="G22" s="231">
        <f>'COSTOS PVC'!E$25</f>
        <v>5181.75</v>
      </c>
      <c r="H22" s="245">
        <f t="shared" si="2"/>
        <v>0.86362499999999998</v>
      </c>
      <c r="I22" s="227">
        <f t="shared" si="1"/>
        <v>1267.8015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780</v>
      </c>
      <c r="E23" s="24">
        <f>B13*4</f>
        <v>4</v>
      </c>
      <c r="F23" s="249">
        <f t="shared" si="3"/>
        <v>3120</v>
      </c>
      <c r="G23" s="231">
        <f>'COSTOS PVC'!E$25</f>
        <v>5181.75</v>
      </c>
      <c r="H23" s="245">
        <f t="shared" si="2"/>
        <v>0.86362499999999998</v>
      </c>
      <c r="I23" s="227">
        <f t="shared" si="1"/>
        <v>2694.5099999999998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923</v>
      </c>
      <c r="E24" s="24">
        <f>B13*2</f>
        <v>2</v>
      </c>
      <c r="F24" s="249">
        <f t="shared" si="3"/>
        <v>1846</v>
      </c>
      <c r="G24" s="231">
        <f>'COSTOS PVC'!E$21</f>
        <v>9824.25</v>
      </c>
      <c r="H24" s="245">
        <f t="shared" si="2"/>
        <v>1.637375</v>
      </c>
      <c r="I24" s="227">
        <f t="shared" si="1"/>
        <v>3022.5942500000001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906</v>
      </c>
      <c r="E25" s="24">
        <f>B13*2</f>
        <v>2</v>
      </c>
      <c r="F25" s="249">
        <f t="shared" si="3"/>
        <v>1812</v>
      </c>
      <c r="G25" s="231">
        <f>'COSTOS PVC'!E$27</f>
        <v>9788.25</v>
      </c>
      <c r="H25" s="245">
        <f t="shared" si="2"/>
        <v>1.631375</v>
      </c>
      <c r="I25" s="227">
        <f t="shared" si="1"/>
        <v>2956.0515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906</v>
      </c>
      <c r="E26" s="24">
        <f>B13*2</f>
        <v>2</v>
      </c>
      <c r="F26" s="249">
        <f t="shared" si="3"/>
        <v>1812</v>
      </c>
      <c r="G26" s="231">
        <f>'COSTOS PVC'!E$23</f>
        <v>7005.75</v>
      </c>
      <c r="H26" s="245">
        <f t="shared" si="2"/>
        <v>1.1676249999999999</v>
      </c>
      <c r="I26" s="227">
        <f t="shared" si="1"/>
        <v>2115.7365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906</v>
      </c>
      <c r="E27" s="24">
        <f>B13*2</f>
        <v>2</v>
      </c>
      <c r="F27" s="249">
        <f t="shared" si="3"/>
        <v>1812</v>
      </c>
      <c r="G27" s="231">
        <f>'COSTOS PVC'!E$23</f>
        <v>7005.75</v>
      </c>
      <c r="H27" s="245">
        <f t="shared" si="2"/>
        <v>1.1676249999999999</v>
      </c>
      <c r="I27" s="227">
        <f t="shared" si="1"/>
        <v>2115.7365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310</v>
      </c>
      <c r="E28" s="24">
        <f>B13*4</f>
        <v>4</v>
      </c>
      <c r="F28" s="249">
        <f t="shared" si="3"/>
        <v>1240</v>
      </c>
      <c r="G28" s="231">
        <f>'COSTOS PVC'!E$24</f>
        <v>7965</v>
      </c>
      <c r="H28" s="245">
        <f t="shared" si="2"/>
        <v>1.3274999999999999</v>
      </c>
      <c r="I28" s="227">
        <f t="shared" si="1"/>
        <v>1646.1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723</v>
      </c>
      <c r="E29" s="24">
        <f>B13*4</f>
        <v>4</v>
      </c>
      <c r="F29" s="249">
        <f t="shared" si="3"/>
        <v>2892</v>
      </c>
      <c r="G29" s="231">
        <f>'COSTOS PVC'!E$24</f>
        <v>7965</v>
      </c>
      <c r="H29" s="245">
        <f t="shared" si="2"/>
        <v>1.3274999999999999</v>
      </c>
      <c r="I29" s="227">
        <f t="shared" si="1"/>
        <v>3839.1299999999997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10</v>
      </c>
      <c r="E31" s="281" t="s">
        <v>90</v>
      </c>
      <c r="F31" s="352">
        <f>'COSTOS PVC'!E$31</f>
        <v>131.99250000000001</v>
      </c>
      <c r="G31" s="253">
        <f>F31*D31</f>
        <v>1319.9250000000002</v>
      </c>
      <c r="H31" s="40" t="s">
        <v>91</v>
      </c>
      <c r="I31" s="254">
        <f>SUM(G31:G35)</f>
        <v>21746.399999999998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PVC'!E$29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PVC'!E$30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PVC'!E$28</f>
        <v>2081.25</v>
      </c>
      <c r="G34" s="227">
        <f>F34*D34</f>
        <v>4162.5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PVC'!E$32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364</v>
      </c>
      <c r="D37" s="283">
        <f>B16-224</f>
        <v>776</v>
      </c>
      <c r="E37" s="255">
        <f>D$4</f>
        <v>21000</v>
      </c>
      <c r="F37" s="256">
        <f>E37*B38</f>
        <v>11863.487999999999</v>
      </c>
      <c r="I37" s="231"/>
    </row>
    <row r="38" spans="1:9" hidden="1" outlineLevel="1" x14ac:dyDescent="0.25">
      <c r="A38" s="6" t="s">
        <v>99</v>
      </c>
      <c r="B38" s="41">
        <f>(B37*C37*D37)/1000000</f>
        <v>0.56492799999999999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129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SUM(I48:I59)</f>
        <v>0</v>
      </c>
    </row>
    <row r="44" spans="1:9" x14ac:dyDescent="0.25">
      <c r="A44" s="241" t="s">
        <v>66</v>
      </c>
      <c r="B44" s="242">
        <f>B45*B46/1000000*B43</f>
        <v>0</v>
      </c>
      <c r="C44" s="11" t="s">
        <v>67</v>
      </c>
      <c r="D44" s="12"/>
      <c r="E44" s="12"/>
      <c r="F44" s="12"/>
      <c r="H44" t="s">
        <v>68</v>
      </c>
      <c r="I44" s="246">
        <f>F67</f>
        <v>0</v>
      </c>
    </row>
    <row r="45" spans="1:9" ht="18" x14ac:dyDescent="0.4">
      <c r="A45" s="243" t="s">
        <v>69</v>
      </c>
      <c r="B45" s="14">
        <v>1000</v>
      </c>
      <c r="F45" s="15"/>
      <c r="H45" t="s">
        <v>70</v>
      </c>
      <c r="I45" s="247">
        <f>I61</f>
        <v>0</v>
      </c>
    </row>
    <row r="46" spans="1:9" x14ac:dyDescent="0.25">
      <c r="A46" s="244" t="s">
        <v>71</v>
      </c>
      <c r="B46" s="17">
        <v>1000</v>
      </c>
      <c r="H46" t="s">
        <v>36</v>
      </c>
      <c r="I46" s="248">
        <f>SUM(I43:I45)</f>
        <v>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1006</v>
      </c>
      <c r="E48" s="24">
        <f>B43*2</f>
        <v>0</v>
      </c>
      <c r="F48" s="250">
        <f>E48*D48</f>
        <v>0</v>
      </c>
      <c r="G48" s="253">
        <f>'COSTOS PVC'!E$20</f>
        <v>24927.75</v>
      </c>
      <c r="H48" s="252">
        <f>G48/6000</f>
        <v>4.1546250000000002</v>
      </c>
      <c r="I48" s="253">
        <f t="shared" ref="I48:I59" si="4">H48*F48</f>
        <v>0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1006</v>
      </c>
      <c r="E49" s="24">
        <f>B43*2</f>
        <v>0</v>
      </c>
      <c r="F49" s="249">
        <f>E49*D49</f>
        <v>0</v>
      </c>
      <c r="G49" s="231">
        <f>'COSTOS PVC'!E$20</f>
        <v>24927.75</v>
      </c>
      <c r="H49" s="245">
        <f t="shared" ref="H49:H59" si="5">G49/6000</f>
        <v>4.1546250000000002</v>
      </c>
      <c r="I49" s="227">
        <f t="shared" si="4"/>
        <v>0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499</v>
      </c>
      <c r="E50" s="24">
        <f>B43*4</f>
        <v>0</v>
      </c>
      <c r="F50" s="249">
        <f t="shared" ref="F50:F59" si="6">E50*D50</f>
        <v>0</v>
      </c>
      <c r="G50" s="231">
        <f>'COSTOS PVC'!E$22</f>
        <v>29397.75</v>
      </c>
      <c r="H50" s="245">
        <f t="shared" si="5"/>
        <v>4.8996250000000003</v>
      </c>
      <c r="I50" s="227">
        <f t="shared" si="4"/>
        <v>0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916</v>
      </c>
      <c r="E51" s="24">
        <f>B43*4</f>
        <v>0</v>
      </c>
      <c r="F51" s="249">
        <f t="shared" si="6"/>
        <v>0</v>
      </c>
      <c r="G51" s="231">
        <f>'COSTOS PVC'!E$22</f>
        <v>29397.75</v>
      </c>
      <c r="H51" s="245">
        <f t="shared" si="5"/>
        <v>4.8996250000000003</v>
      </c>
      <c r="I51" s="227">
        <f t="shared" si="4"/>
        <v>0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367</v>
      </c>
      <c r="E52" s="24">
        <f>B43*4</f>
        <v>0</v>
      </c>
      <c r="F52" s="249">
        <f t="shared" si="6"/>
        <v>0</v>
      </c>
      <c r="G52" s="231">
        <f>'COSTOS PVC'!E$25</f>
        <v>5181.75</v>
      </c>
      <c r="H52" s="245">
        <f t="shared" si="5"/>
        <v>0.86362499999999998</v>
      </c>
      <c r="I52" s="227">
        <f t="shared" si="4"/>
        <v>0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780</v>
      </c>
      <c r="E53" s="24">
        <f>B43*4</f>
        <v>0</v>
      </c>
      <c r="F53" s="249">
        <f t="shared" si="6"/>
        <v>0</v>
      </c>
      <c r="G53" s="231">
        <f>'COSTOS PVC'!E$25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923</v>
      </c>
      <c r="E54" s="24">
        <f>B43*2</f>
        <v>0</v>
      </c>
      <c r="F54" s="249">
        <f t="shared" si="6"/>
        <v>0</v>
      </c>
      <c r="G54" s="231">
        <f>'COSTOS PVC'!E$21</f>
        <v>9824.25</v>
      </c>
      <c r="H54" s="245">
        <f t="shared" si="5"/>
        <v>1.637375</v>
      </c>
      <c r="I54" s="227">
        <f t="shared" si="4"/>
        <v>0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906</v>
      </c>
      <c r="E55" s="24">
        <f>B43*2</f>
        <v>0</v>
      </c>
      <c r="F55" s="249">
        <f t="shared" si="6"/>
        <v>0</v>
      </c>
      <c r="G55" s="231">
        <f>'COSTOS PVC'!E$27</f>
        <v>9788.25</v>
      </c>
      <c r="H55" s="245">
        <f t="shared" si="5"/>
        <v>1.631375</v>
      </c>
      <c r="I55" s="227">
        <f t="shared" si="4"/>
        <v>0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906</v>
      </c>
      <c r="E56" s="24">
        <f>B43*2</f>
        <v>0</v>
      </c>
      <c r="F56" s="249">
        <f t="shared" si="6"/>
        <v>0</v>
      </c>
      <c r="G56" s="231">
        <f>'COSTOS PVC'!E$23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906</v>
      </c>
      <c r="E57" s="24">
        <f>B43*2</f>
        <v>0</v>
      </c>
      <c r="F57" s="249">
        <f t="shared" si="6"/>
        <v>0</v>
      </c>
      <c r="G57" s="231">
        <f>'COSTOS PVC'!E$23</f>
        <v>7005.75</v>
      </c>
      <c r="H57" s="245">
        <f t="shared" si="5"/>
        <v>1.1676249999999999</v>
      </c>
      <c r="I57" s="227">
        <f t="shared" si="4"/>
        <v>0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310</v>
      </c>
      <c r="E58" s="24">
        <f>B43*4</f>
        <v>0</v>
      </c>
      <c r="F58" s="249">
        <f t="shared" si="6"/>
        <v>0</v>
      </c>
      <c r="G58" s="231">
        <f>'COSTOS PVC'!E$24</f>
        <v>7965</v>
      </c>
      <c r="H58" s="245">
        <f t="shared" si="5"/>
        <v>1.3274999999999999</v>
      </c>
      <c r="I58" s="227">
        <f t="shared" si="4"/>
        <v>0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723</v>
      </c>
      <c r="E59" s="24">
        <f>B43*4</f>
        <v>0</v>
      </c>
      <c r="F59" s="249">
        <f t="shared" si="6"/>
        <v>0</v>
      </c>
      <c r="G59" s="231">
        <f>'COSTOS PVC'!E$24</f>
        <v>7965</v>
      </c>
      <c r="H59" s="245">
        <f t="shared" si="5"/>
        <v>1.3274999999999999</v>
      </c>
      <c r="I59" s="227">
        <f t="shared" si="4"/>
        <v>0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0</v>
      </c>
      <c r="E61" s="281" t="s">
        <v>90</v>
      </c>
      <c r="F61" s="352">
        <f>'COSTOS PVC'!E$31</f>
        <v>131.99250000000001</v>
      </c>
      <c r="G61" s="253">
        <f>F61*D61</f>
        <v>0</v>
      </c>
      <c r="H61" s="40" t="s">
        <v>91</v>
      </c>
      <c r="I61" s="254">
        <f>SUM(G61:G65)</f>
        <v>0</v>
      </c>
    </row>
    <row r="62" spans="1:9" hidden="1" outlineLevel="1" x14ac:dyDescent="0.25">
      <c r="A62" s="4"/>
      <c r="B62" s="20"/>
      <c r="C62" s="3" t="s">
        <v>146</v>
      </c>
      <c r="D62" s="23">
        <f>2*B43</f>
        <v>0</v>
      </c>
      <c r="E62" s="24" t="s">
        <v>93</v>
      </c>
      <c r="F62" s="351">
        <f>'COSTOS PVC'!E$29</f>
        <v>3042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0</v>
      </c>
      <c r="E63" s="24" t="s">
        <v>93</v>
      </c>
      <c r="F63" s="351">
        <f>'COSTOS PVC'!E$30</f>
        <v>2271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0</v>
      </c>
      <c r="E64" s="24" t="s">
        <v>93</v>
      </c>
      <c r="F64" s="351">
        <f>'COSTOS PVC'!E$28</f>
        <v>2081.25</v>
      </c>
      <c r="G64" s="227">
        <f>F64*D64</f>
        <v>0</v>
      </c>
      <c r="I64" s="231"/>
    </row>
    <row r="65" spans="1:9" hidden="1" outlineLevel="1" x14ac:dyDescent="0.25">
      <c r="A65" s="19"/>
      <c r="B65" s="20"/>
      <c r="C65" s="3" t="s">
        <v>149</v>
      </c>
      <c r="D65" s="23">
        <f>2*B43</f>
        <v>0</v>
      </c>
      <c r="E65" s="24" t="s">
        <v>93</v>
      </c>
      <c r="F65" s="351">
        <f>'COSTOS PVC'!E$32</f>
        <v>547.98749999999995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2*B43</f>
        <v>0</v>
      </c>
      <c r="C67" s="283">
        <f>(B45/2)-136</f>
        <v>364</v>
      </c>
      <c r="D67" s="283">
        <f>B46-224</f>
        <v>776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4" t="s">
        <v>129</v>
      </c>
      <c r="C71" s="384"/>
      <c r="D71" s="384"/>
      <c r="E71" s="384"/>
      <c r="F71" s="236"/>
      <c r="I71" s="231"/>
    </row>
    <row r="72" spans="1:9" x14ac:dyDescent="0.25">
      <c r="A72" s="5"/>
      <c r="B72" s="384"/>
      <c r="C72" s="384"/>
      <c r="D72" s="384"/>
      <c r="E72" s="384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SUM(I78:I89)</f>
        <v>0</v>
      </c>
    </row>
    <row r="74" spans="1:9" x14ac:dyDescent="0.25">
      <c r="A74" s="241" t="s">
        <v>66</v>
      </c>
      <c r="B74" s="242">
        <f>B75*B76/1000000*B73</f>
        <v>0</v>
      </c>
      <c r="C74" s="11" t="s">
        <v>67</v>
      </c>
      <c r="D74" s="12"/>
      <c r="E74" s="12"/>
      <c r="F74" s="12"/>
      <c r="H74" t="s">
        <v>68</v>
      </c>
      <c r="I74" s="246">
        <f>F97</f>
        <v>0</v>
      </c>
    </row>
    <row r="75" spans="1:9" ht="18" x14ac:dyDescent="0.4">
      <c r="A75" s="243" t="s">
        <v>69</v>
      </c>
      <c r="B75" s="14">
        <v>1000</v>
      </c>
      <c r="F75" s="15"/>
      <c r="H75" t="s">
        <v>70</v>
      </c>
      <c r="I75" s="247">
        <f>I91</f>
        <v>0</v>
      </c>
    </row>
    <row r="76" spans="1:9" x14ac:dyDescent="0.25">
      <c r="A76" s="244" t="s">
        <v>71</v>
      </c>
      <c r="B76" s="17">
        <v>1000</v>
      </c>
      <c r="H76" t="s">
        <v>36</v>
      </c>
      <c r="I76" s="248">
        <f>SUM(I73:I75)</f>
        <v>0</v>
      </c>
    </row>
    <row r="77" spans="1:9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9" hidden="1" outlineLevel="1" x14ac:dyDescent="0.25">
      <c r="A78" s="19"/>
      <c r="B78" s="20" t="s">
        <v>130</v>
      </c>
      <c r="C78" s="3" t="s">
        <v>114</v>
      </c>
      <c r="D78" s="23">
        <f>B75+6</f>
        <v>1006</v>
      </c>
      <c r="E78" s="24">
        <f>B73*2</f>
        <v>0</v>
      </c>
      <c r="F78" s="250">
        <f>E78*D78</f>
        <v>0</v>
      </c>
      <c r="G78" s="253">
        <f>'COSTOS PVC'!E$20</f>
        <v>24927.75</v>
      </c>
      <c r="H78" s="252">
        <f>G78/6000</f>
        <v>4.1546250000000002</v>
      </c>
      <c r="I78" s="253">
        <f t="shared" ref="I78:I89" si="7">H78*F78</f>
        <v>0</v>
      </c>
    </row>
    <row r="79" spans="1:9" hidden="1" outlineLevel="1" x14ac:dyDescent="0.25">
      <c r="A79" s="19"/>
      <c r="B79" s="20" t="s">
        <v>130</v>
      </c>
      <c r="C79" s="3" t="s">
        <v>115</v>
      </c>
      <c r="D79" s="23">
        <f>B76+6</f>
        <v>1006</v>
      </c>
      <c r="E79" s="24">
        <f>B73*2</f>
        <v>0</v>
      </c>
      <c r="F79" s="249">
        <f>E79*D79</f>
        <v>0</v>
      </c>
      <c r="G79" s="231">
        <f>'COSTOS PVC'!E$20</f>
        <v>24927.75</v>
      </c>
      <c r="H79" s="245">
        <f t="shared" ref="H79:H89" si="8">G79/6000</f>
        <v>4.1546250000000002</v>
      </c>
      <c r="I79" s="227">
        <f t="shared" si="7"/>
        <v>0</v>
      </c>
    </row>
    <row r="80" spans="1:9" hidden="1" outlineLevel="1" x14ac:dyDescent="0.25">
      <c r="A80" s="19"/>
      <c r="B80" s="20" t="s">
        <v>131</v>
      </c>
      <c r="C80" s="3" t="s">
        <v>132</v>
      </c>
      <c r="D80" s="23">
        <f>(B75/2-3)+2</f>
        <v>499</v>
      </c>
      <c r="E80" s="24">
        <f>B73*4</f>
        <v>0</v>
      </c>
      <c r="F80" s="249">
        <f t="shared" ref="F80:F89" si="9">E80*D80</f>
        <v>0</v>
      </c>
      <c r="G80" s="231">
        <f>'COSTOS PVC'!E$22</f>
        <v>29397.75</v>
      </c>
      <c r="H80" s="245">
        <f t="shared" si="8"/>
        <v>4.8996250000000003</v>
      </c>
      <c r="I80" s="227">
        <f t="shared" si="7"/>
        <v>0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916</v>
      </c>
      <c r="E81" s="24">
        <f>B73*4</f>
        <v>0</v>
      </c>
      <c r="F81" s="249">
        <f t="shared" si="9"/>
        <v>0</v>
      </c>
      <c r="G81" s="231">
        <f>'COSTOS PVC'!E$22</f>
        <v>29397.75</v>
      </c>
      <c r="H81" s="245">
        <f t="shared" si="8"/>
        <v>4.8996250000000003</v>
      </c>
      <c r="I81" s="227">
        <f t="shared" si="7"/>
        <v>0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367</v>
      </c>
      <c r="E82" s="24">
        <f>B73*4</f>
        <v>0</v>
      </c>
      <c r="F82" s="249">
        <f t="shared" si="9"/>
        <v>0</v>
      </c>
      <c r="G82" s="231">
        <f>'COSTOS PVC'!E$25</f>
        <v>5181.75</v>
      </c>
      <c r="H82" s="245">
        <f t="shared" si="8"/>
        <v>0.86362499999999998</v>
      </c>
      <c r="I82" s="227">
        <f t="shared" si="7"/>
        <v>0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780</v>
      </c>
      <c r="E83" s="24">
        <f>B73*4</f>
        <v>0</v>
      </c>
      <c r="F83" s="249">
        <f t="shared" si="9"/>
        <v>0</v>
      </c>
      <c r="G83" s="231">
        <f>'COSTOS PVC'!E$25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923</v>
      </c>
      <c r="E84" s="24">
        <f>B73*2</f>
        <v>0</v>
      </c>
      <c r="F84" s="249">
        <f t="shared" si="9"/>
        <v>0</v>
      </c>
      <c r="G84" s="231">
        <f>'COSTOS PVC'!E$21</f>
        <v>9824.25</v>
      </c>
      <c r="H84" s="245">
        <f t="shared" si="8"/>
        <v>1.637375</v>
      </c>
      <c r="I84" s="227">
        <f t="shared" si="7"/>
        <v>0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906</v>
      </c>
      <c r="E85" s="24">
        <f>B73*2</f>
        <v>0</v>
      </c>
      <c r="F85" s="249">
        <f t="shared" si="9"/>
        <v>0</v>
      </c>
      <c r="G85" s="231">
        <f>'COSTOS PVC'!E$27</f>
        <v>9788.25</v>
      </c>
      <c r="H85" s="245">
        <f t="shared" si="8"/>
        <v>1.631375</v>
      </c>
      <c r="I85" s="227">
        <f t="shared" si="7"/>
        <v>0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906</v>
      </c>
      <c r="E86" s="24">
        <f>B73*2</f>
        <v>0</v>
      </c>
      <c r="F86" s="249">
        <f t="shared" si="9"/>
        <v>0</v>
      </c>
      <c r="G86" s="231">
        <f>'COSTOS PVC'!E$23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906</v>
      </c>
      <c r="E87" s="24">
        <f>B73*2</f>
        <v>0</v>
      </c>
      <c r="F87" s="249">
        <f t="shared" si="9"/>
        <v>0</v>
      </c>
      <c r="G87" s="231">
        <f>'COSTOS PVC'!E$23</f>
        <v>7005.75</v>
      </c>
      <c r="H87" s="245">
        <f t="shared" si="8"/>
        <v>1.1676249999999999</v>
      </c>
      <c r="I87" s="227">
        <f t="shared" si="7"/>
        <v>0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310</v>
      </c>
      <c r="E88" s="24">
        <f>B73*4</f>
        <v>0</v>
      </c>
      <c r="F88" s="249">
        <f t="shared" si="9"/>
        <v>0</v>
      </c>
      <c r="G88" s="231">
        <f>'COSTOS PVC'!E$24</f>
        <v>7965</v>
      </c>
      <c r="H88" s="245">
        <f t="shared" si="8"/>
        <v>1.3274999999999999</v>
      </c>
      <c r="I88" s="227">
        <f t="shared" si="7"/>
        <v>0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723</v>
      </c>
      <c r="E89" s="24">
        <f>B73*4</f>
        <v>0</v>
      </c>
      <c r="F89" s="249">
        <f t="shared" si="9"/>
        <v>0</v>
      </c>
      <c r="G89" s="231">
        <f>'COSTOS PVC'!E$24</f>
        <v>7965</v>
      </c>
      <c r="H89" s="245">
        <f t="shared" si="8"/>
        <v>1.3274999999999999</v>
      </c>
      <c r="I89" s="227">
        <f t="shared" si="7"/>
        <v>0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0</v>
      </c>
      <c r="E91" s="281" t="s">
        <v>90</v>
      </c>
      <c r="F91" s="352">
        <f>'COSTOS PVC'!E$31</f>
        <v>131.99250000000001</v>
      </c>
      <c r="G91" s="253">
        <f>F91*D91</f>
        <v>0</v>
      </c>
      <c r="H91" s="40" t="s">
        <v>91</v>
      </c>
      <c r="I91" s="254">
        <f>SUM(G91:G95)</f>
        <v>0</v>
      </c>
    </row>
    <row r="92" spans="1:9" hidden="1" outlineLevel="1" x14ac:dyDescent="0.25">
      <c r="A92" s="4"/>
      <c r="B92" s="20"/>
      <c r="C92" s="3" t="s">
        <v>146</v>
      </c>
      <c r="D92" s="23">
        <f>2*B73</f>
        <v>0</v>
      </c>
      <c r="E92" s="24" t="s">
        <v>93</v>
      </c>
      <c r="F92" s="351">
        <f>'COSTOS PVC'!E$29</f>
        <v>3042</v>
      </c>
      <c r="G92" s="227">
        <f>F92*D92</f>
        <v>0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0</v>
      </c>
      <c r="E93" s="24" t="s">
        <v>93</v>
      </c>
      <c r="F93" s="351">
        <f>'COSTOS PVC'!E$30</f>
        <v>2271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0</v>
      </c>
      <c r="E94" s="24" t="s">
        <v>93</v>
      </c>
      <c r="F94" s="351">
        <f>'COSTOS PVC'!E$28</f>
        <v>2081.25</v>
      </c>
      <c r="G94" s="227">
        <f>F94*D94</f>
        <v>0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0</v>
      </c>
      <c r="E95" s="24" t="s">
        <v>93</v>
      </c>
      <c r="F95" s="351">
        <f>'COSTOS PVC'!E$32</f>
        <v>547.98749999999995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2*B73</f>
        <v>0</v>
      </c>
      <c r="C97" s="283">
        <f>(B75/2)-136</f>
        <v>364</v>
      </c>
      <c r="D97" s="283">
        <f>B76-224</f>
        <v>776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4" t="s">
        <v>129</v>
      </c>
      <c r="C101" s="384"/>
      <c r="D101" s="384"/>
      <c r="E101" s="384"/>
      <c r="F101" s="236"/>
      <c r="I101" s="231"/>
    </row>
    <row r="102" spans="1:9" x14ac:dyDescent="0.25">
      <c r="A102" s="5"/>
      <c r="B102" s="384"/>
      <c r="C102" s="384"/>
      <c r="D102" s="384"/>
      <c r="E102" s="384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SUM(I108:I119)</f>
        <v>0</v>
      </c>
    </row>
    <row r="104" spans="1:9" x14ac:dyDescent="0.25">
      <c r="A104" s="241" t="s">
        <v>66</v>
      </c>
      <c r="B104" s="242">
        <f>B105*B106/1000000*B103</f>
        <v>0</v>
      </c>
      <c r="C104" s="11" t="s">
        <v>67</v>
      </c>
      <c r="D104" s="12"/>
      <c r="E104" s="12"/>
      <c r="F104" s="12"/>
      <c r="H104" t="s">
        <v>68</v>
      </c>
      <c r="I104" s="246">
        <f>F127</f>
        <v>0</v>
      </c>
    </row>
    <row r="105" spans="1:9" ht="18" x14ac:dyDescent="0.4">
      <c r="A105" s="243" t="s">
        <v>69</v>
      </c>
      <c r="B105" s="14">
        <v>1000</v>
      </c>
      <c r="F105" s="15"/>
      <c r="H105" t="s">
        <v>70</v>
      </c>
      <c r="I105" s="247">
        <f>I121</f>
        <v>0</v>
      </c>
    </row>
    <row r="106" spans="1:9" x14ac:dyDescent="0.25">
      <c r="A106" s="244" t="s">
        <v>71</v>
      </c>
      <c r="B106" s="17">
        <v>1000</v>
      </c>
      <c r="H106" t="s">
        <v>36</v>
      </c>
      <c r="I106" s="248">
        <f>SUM(I103:I105)</f>
        <v>0</v>
      </c>
    </row>
    <row r="107" spans="1:9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9" hidden="1" outlineLevel="1" x14ac:dyDescent="0.25">
      <c r="A108" s="19"/>
      <c r="B108" s="20" t="s">
        <v>130</v>
      </c>
      <c r="C108" s="3" t="s">
        <v>114</v>
      </c>
      <c r="D108" s="23">
        <f>B105+6</f>
        <v>1006</v>
      </c>
      <c r="E108" s="24">
        <f>B103*2</f>
        <v>0</v>
      </c>
      <c r="F108" s="250">
        <f>E108*D108</f>
        <v>0</v>
      </c>
      <c r="G108" s="253">
        <f>'COSTOS PVC'!E$20</f>
        <v>24927.75</v>
      </c>
      <c r="H108" s="252">
        <f>G108/6000</f>
        <v>4.1546250000000002</v>
      </c>
      <c r="I108" s="253">
        <f t="shared" ref="I108:I119" si="10">H108*F108</f>
        <v>0</v>
      </c>
    </row>
    <row r="109" spans="1:9" hidden="1" outlineLevel="1" x14ac:dyDescent="0.25">
      <c r="A109" s="19"/>
      <c r="B109" s="20" t="s">
        <v>130</v>
      </c>
      <c r="C109" s="3" t="s">
        <v>115</v>
      </c>
      <c r="D109" s="23">
        <f>B106+6</f>
        <v>1006</v>
      </c>
      <c r="E109" s="24">
        <f>B103*2</f>
        <v>0</v>
      </c>
      <c r="F109" s="249">
        <f>E109*D109</f>
        <v>0</v>
      </c>
      <c r="G109" s="231">
        <f>'COSTOS PVC'!E$20</f>
        <v>24927.75</v>
      </c>
      <c r="H109" s="245">
        <f t="shared" ref="H109:H119" si="11">G109/6000</f>
        <v>4.1546250000000002</v>
      </c>
      <c r="I109" s="227">
        <f t="shared" si="10"/>
        <v>0</v>
      </c>
    </row>
    <row r="110" spans="1:9" hidden="1" outlineLevel="1" x14ac:dyDescent="0.25">
      <c r="A110" s="19"/>
      <c r="B110" s="20" t="s">
        <v>131</v>
      </c>
      <c r="C110" s="3" t="s">
        <v>132</v>
      </c>
      <c r="D110" s="23">
        <f>(B105/2-3)+2</f>
        <v>499</v>
      </c>
      <c r="E110" s="24">
        <f>B103*4</f>
        <v>0</v>
      </c>
      <c r="F110" s="249">
        <f t="shared" ref="F110:F119" si="12">E110*D110</f>
        <v>0</v>
      </c>
      <c r="G110" s="231">
        <f>'COSTOS PVC'!E$22</f>
        <v>29397.75</v>
      </c>
      <c r="H110" s="245">
        <f t="shared" si="11"/>
        <v>4.8996250000000003</v>
      </c>
      <c r="I110" s="227">
        <f t="shared" si="10"/>
        <v>0</v>
      </c>
    </row>
    <row r="111" spans="1:9" hidden="1" outlineLevel="1" x14ac:dyDescent="0.25">
      <c r="A111" s="19"/>
      <c r="B111" s="20" t="s">
        <v>131</v>
      </c>
      <c r="C111" s="3" t="s">
        <v>133</v>
      </c>
      <c r="D111" s="282">
        <f>B106-84</f>
        <v>916</v>
      </c>
      <c r="E111" s="24">
        <f>B103*4</f>
        <v>0</v>
      </c>
      <c r="F111" s="249">
        <f t="shared" si="12"/>
        <v>0</v>
      </c>
      <c r="G111" s="231">
        <f>'COSTOS PVC'!E$22</f>
        <v>29397.75</v>
      </c>
      <c r="H111" s="245">
        <f t="shared" si="11"/>
        <v>4.8996250000000003</v>
      </c>
      <c r="I111" s="227">
        <f t="shared" si="10"/>
        <v>0</v>
      </c>
    </row>
    <row r="112" spans="1:9" hidden="1" outlineLevel="1" x14ac:dyDescent="0.25">
      <c r="A112" s="19"/>
      <c r="B112" s="20" t="s">
        <v>134</v>
      </c>
      <c r="C112" s="3" t="s">
        <v>117</v>
      </c>
      <c r="D112" s="23">
        <f>B105/2-133</f>
        <v>367</v>
      </c>
      <c r="E112" s="24">
        <f>B103*4</f>
        <v>0</v>
      </c>
      <c r="F112" s="249">
        <f t="shared" si="12"/>
        <v>0</v>
      </c>
      <c r="G112" s="231">
        <f>'COSTOS PVC'!E$25</f>
        <v>5181.75</v>
      </c>
      <c r="H112" s="245">
        <f t="shared" si="11"/>
        <v>0.86362499999999998</v>
      </c>
      <c r="I112" s="227">
        <f t="shared" si="10"/>
        <v>0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780</v>
      </c>
      <c r="E113" s="24">
        <f>B103*4</f>
        <v>0</v>
      </c>
      <c r="F113" s="249">
        <f t="shared" si="12"/>
        <v>0</v>
      </c>
      <c r="G113" s="231">
        <f>'COSTOS PVC'!E$25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923</v>
      </c>
      <c r="E114" s="24">
        <f>B103*2</f>
        <v>0</v>
      </c>
      <c r="F114" s="249">
        <f t="shared" si="12"/>
        <v>0</v>
      </c>
      <c r="G114" s="231">
        <f>'COSTOS PVC'!E$21</f>
        <v>9824.25</v>
      </c>
      <c r="H114" s="245">
        <f t="shared" si="11"/>
        <v>1.637375</v>
      </c>
      <c r="I114" s="227">
        <f t="shared" si="10"/>
        <v>0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906</v>
      </c>
      <c r="E115" s="24">
        <f>B103*2</f>
        <v>0</v>
      </c>
      <c r="F115" s="249">
        <f t="shared" si="12"/>
        <v>0</v>
      </c>
      <c r="G115" s="231">
        <f>'COSTOS PVC'!E$27</f>
        <v>9788.25</v>
      </c>
      <c r="H115" s="245">
        <f t="shared" si="11"/>
        <v>1.631375</v>
      </c>
      <c r="I115" s="227">
        <f t="shared" si="10"/>
        <v>0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906</v>
      </c>
      <c r="E116" s="24">
        <f>B103*2</f>
        <v>0</v>
      </c>
      <c r="F116" s="249">
        <f t="shared" si="12"/>
        <v>0</v>
      </c>
      <c r="G116" s="231">
        <f>'COSTOS PVC'!E$23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906</v>
      </c>
      <c r="E117" s="24">
        <f>B103*2</f>
        <v>0</v>
      </c>
      <c r="F117" s="249">
        <f t="shared" si="12"/>
        <v>0</v>
      </c>
      <c r="G117" s="231">
        <f>'COSTOS PVC'!E$23</f>
        <v>7005.75</v>
      </c>
      <c r="H117" s="245">
        <f t="shared" si="11"/>
        <v>1.1676249999999999</v>
      </c>
      <c r="I117" s="227">
        <f t="shared" si="10"/>
        <v>0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310</v>
      </c>
      <c r="E118" s="24">
        <f>B103*4</f>
        <v>0</v>
      </c>
      <c r="F118" s="249">
        <f t="shared" si="12"/>
        <v>0</v>
      </c>
      <c r="G118" s="231">
        <f>'COSTOS PVC'!E$24</f>
        <v>7965</v>
      </c>
      <c r="H118" s="245">
        <f t="shared" si="11"/>
        <v>1.3274999999999999</v>
      </c>
      <c r="I118" s="227">
        <f t="shared" si="10"/>
        <v>0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723</v>
      </c>
      <c r="E119" s="24">
        <f>B103*4</f>
        <v>0</v>
      </c>
      <c r="F119" s="249">
        <f t="shared" si="12"/>
        <v>0</v>
      </c>
      <c r="G119" s="231">
        <f>'COSTOS PVC'!E$24</f>
        <v>7965</v>
      </c>
      <c r="H119" s="245">
        <f t="shared" si="11"/>
        <v>1.3274999999999999</v>
      </c>
      <c r="I119" s="227">
        <f t="shared" si="10"/>
        <v>0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0</v>
      </c>
      <c r="E121" s="281" t="s">
        <v>90</v>
      </c>
      <c r="F121" s="352">
        <f>'COSTOS PVC'!E$31</f>
        <v>131.99250000000001</v>
      </c>
      <c r="G121" s="253">
        <f>F121*D121</f>
        <v>0</v>
      </c>
      <c r="H121" s="40" t="s">
        <v>91</v>
      </c>
      <c r="I121" s="254">
        <f>SUM(G121:G125)</f>
        <v>0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0</v>
      </c>
      <c r="E122" s="24" t="s">
        <v>93</v>
      </c>
      <c r="F122" s="351">
        <f>'COSTOS PVC'!E$29</f>
        <v>3042</v>
      </c>
      <c r="G122" s="227">
        <f>F122*D122</f>
        <v>0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0</v>
      </c>
      <c r="E123" s="24" t="s">
        <v>93</v>
      </c>
      <c r="F123" s="351">
        <f>'COSTOS PVC'!E$30</f>
        <v>2271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0</v>
      </c>
      <c r="E124" s="24" t="s">
        <v>93</v>
      </c>
      <c r="F124" s="351">
        <f>'COSTOS PVC'!E$28</f>
        <v>2081.25</v>
      </c>
      <c r="G124" s="227">
        <f>F124*D124</f>
        <v>0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0</v>
      </c>
      <c r="E125" s="24" t="s">
        <v>93</v>
      </c>
      <c r="F125" s="351">
        <f>'COSTOS PVC'!E$32</f>
        <v>547.98749999999995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0</v>
      </c>
      <c r="C127" s="283">
        <f>(B105/2)-136</f>
        <v>364</v>
      </c>
      <c r="D127" s="283">
        <f>B106-224</f>
        <v>776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4" t="s">
        <v>129</v>
      </c>
      <c r="C131" s="384"/>
      <c r="D131" s="384"/>
      <c r="E131" s="384"/>
      <c r="F131" s="236"/>
      <c r="I131" s="231"/>
    </row>
    <row r="132" spans="1:9" x14ac:dyDescent="0.25">
      <c r="A132" s="5"/>
      <c r="B132" s="384"/>
      <c r="C132" s="384"/>
      <c r="D132" s="384"/>
      <c r="E132" s="384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SUM(I138:I149)</f>
        <v>0</v>
      </c>
    </row>
    <row r="134" spans="1:9" x14ac:dyDescent="0.25">
      <c r="A134" s="241" t="s">
        <v>66</v>
      </c>
      <c r="B134" s="242">
        <f>B135*B136/1000000*B133</f>
        <v>0</v>
      </c>
      <c r="C134" s="11" t="s">
        <v>67</v>
      </c>
      <c r="D134" s="12"/>
      <c r="E134" s="12"/>
      <c r="F134" s="12"/>
      <c r="H134" t="s">
        <v>68</v>
      </c>
      <c r="I134" s="246">
        <f>F157</f>
        <v>0</v>
      </c>
    </row>
    <row r="135" spans="1:9" ht="18" x14ac:dyDescent="0.4">
      <c r="A135" s="243" t="s">
        <v>69</v>
      </c>
      <c r="B135" s="14">
        <v>1000</v>
      </c>
      <c r="F135" s="15"/>
      <c r="H135" t="s">
        <v>70</v>
      </c>
      <c r="I135" s="247">
        <f>I151</f>
        <v>0</v>
      </c>
    </row>
    <row r="136" spans="1:9" x14ac:dyDescent="0.25">
      <c r="A136" s="244" t="s">
        <v>71</v>
      </c>
      <c r="B136" s="17">
        <v>1000</v>
      </c>
      <c r="H136" t="s">
        <v>36</v>
      </c>
      <c r="I136" s="248">
        <f>SUM(I133:I135)</f>
        <v>0</v>
      </c>
    </row>
    <row r="137" spans="1:9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9" hidden="1" outlineLevel="1" x14ac:dyDescent="0.25">
      <c r="A138" s="19"/>
      <c r="B138" s="20" t="s">
        <v>130</v>
      </c>
      <c r="C138" s="3" t="s">
        <v>114</v>
      </c>
      <c r="D138" s="23">
        <f>B135+6</f>
        <v>1006</v>
      </c>
      <c r="E138" s="24">
        <f>B133*2</f>
        <v>0</v>
      </c>
      <c r="F138" s="250">
        <f>E138*D138</f>
        <v>0</v>
      </c>
      <c r="G138" s="253">
        <f>'COSTOS PVC'!E$20</f>
        <v>24927.75</v>
      </c>
      <c r="H138" s="252">
        <f>G138/6000</f>
        <v>4.1546250000000002</v>
      </c>
      <c r="I138" s="253">
        <f t="shared" ref="I138:I149" si="13">H138*F138</f>
        <v>0</v>
      </c>
    </row>
    <row r="139" spans="1:9" hidden="1" outlineLevel="1" x14ac:dyDescent="0.25">
      <c r="A139" s="19"/>
      <c r="B139" s="20" t="s">
        <v>130</v>
      </c>
      <c r="C139" s="3" t="s">
        <v>115</v>
      </c>
      <c r="D139" s="23">
        <f>B136+6</f>
        <v>1006</v>
      </c>
      <c r="E139" s="24">
        <f>B133*2</f>
        <v>0</v>
      </c>
      <c r="F139" s="249">
        <f>E139*D139</f>
        <v>0</v>
      </c>
      <c r="G139" s="231">
        <f>'COSTOS PVC'!E$20</f>
        <v>24927.75</v>
      </c>
      <c r="H139" s="245">
        <f t="shared" ref="H139:H149" si="14">G139/6000</f>
        <v>4.1546250000000002</v>
      </c>
      <c r="I139" s="227">
        <f t="shared" si="13"/>
        <v>0</v>
      </c>
    </row>
    <row r="140" spans="1:9" hidden="1" outlineLevel="1" x14ac:dyDescent="0.25">
      <c r="A140" s="19"/>
      <c r="B140" s="20" t="s">
        <v>131</v>
      </c>
      <c r="C140" s="3" t="s">
        <v>132</v>
      </c>
      <c r="D140" s="23">
        <f>(B135/2-3)+2</f>
        <v>499</v>
      </c>
      <c r="E140" s="24">
        <f>B133*4</f>
        <v>0</v>
      </c>
      <c r="F140" s="249">
        <f t="shared" ref="F140:F149" si="15">E140*D140</f>
        <v>0</v>
      </c>
      <c r="G140" s="231">
        <f>'COSTOS PVC'!E$22</f>
        <v>29397.75</v>
      </c>
      <c r="H140" s="245">
        <f t="shared" si="14"/>
        <v>4.8996250000000003</v>
      </c>
      <c r="I140" s="227">
        <f t="shared" si="13"/>
        <v>0</v>
      </c>
    </row>
    <row r="141" spans="1:9" hidden="1" outlineLevel="1" x14ac:dyDescent="0.25">
      <c r="A141" s="19"/>
      <c r="B141" s="20" t="s">
        <v>131</v>
      </c>
      <c r="C141" s="3" t="s">
        <v>133</v>
      </c>
      <c r="D141" s="282">
        <f>B136-84</f>
        <v>916</v>
      </c>
      <c r="E141" s="24">
        <f>B133*4</f>
        <v>0</v>
      </c>
      <c r="F141" s="249">
        <f t="shared" si="15"/>
        <v>0</v>
      </c>
      <c r="G141" s="231">
        <f>'COSTOS PVC'!E$22</f>
        <v>29397.75</v>
      </c>
      <c r="H141" s="245">
        <f t="shared" si="14"/>
        <v>4.8996250000000003</v>
      </c>
      <c r="I141" s="227">
        <f t="shared" si="13"/>
        <v>0</v>
      </c>
    </row>
    <row r="142" spans="1:9" hidden="1" outlineLevel="1" x14ac:dyDescent="0.25">
      <c r="A142" s="19"/>
      <c r="B142" s="20" t="s">
        <v>134</v>
      </c>
      <c r="C142" s="3" t="s">
        <v>117</v>
      </c>
      <c r="D142" s="23">
        <f>B135/2-133</f>
        <v>367</v>
      </c>
      <c r="E142" s="24">
        <f>B133*4</f>
        <v>0</v>
      </c>
      <c r="F142" s="249">
        <f t="shared" si="15"/>
        <v>0</v>
      </c>
      <c r="G142" s="231">
        <f>'COSTOS PVC'!E$25</f>
        <v>5181.75</v>
      </c>
      <c r="H142" s="245">
        <f t="shared" si="14"/>
        <v>0.86362499999999998</v>
      </c>
      <c r="I142" s="227">
        <f t="shared" si="13"/>
        <v>0</v>
      </c>
    </row>
    <row r="143" spans="1:9" hidden="1" outlineLevel="1" x14ac:dyDescent="0.25">
      <c r="A143" s="19"/>
      <c r="B143" s="20" t="s">
        <v>134</v>
      </c>
      <c r="C143" s="3" t="s">
        <v>117</v>
      </c>
      <c r="D143" s="23">
        <f>B136-220</f>
        <v>780</v>
      </c>
      <c r="E143" s="24">
        <f>B133*4</f>
        <v>0</v>
      </c>
      <c r="F143" s="249">
        <f t="shared" si="15"/>
        <v>0</v>
      </c>
      <c r="G143" s="231">
        <f>'COSTOS PVC'!E$25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135</v>
      </c>
      <c r="C144" s="3" t="s">
        <v>136</v>
      </c>
      <c r="D144" s="282">
        <f>B135-77</f>
        <v>923</v>
      </c>
      <c r="E144" s="24">
        <f>B133*2</f>
        <v>0</v>
      </c>
      <c r="F144" s="249">
        <f t="shared" si="15"/>
        <v>0</v>
      </c>
      <c r="G144" s="231">
        <f>'COSTOS PVC'!E$21</f>
        <v>9824.25</v>
      </c>
      <c r="H144" s="245">
        <f t="shared" si="14"/>
        <v>1.637375</v>
      </c>
      <c r="I144" s="227">
        <f t="shared" si="13"/>
        <v>0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906</v>
      </c>
      <c r="E145" s="24">
        <f>B133*2</f>
        <v>0</v>
      </c>
      <c r="F145" s="249">
        <f t="shared" si="15"/>
        <v>0</v>
      </c>
      <c r="G145" s="231">
        <f>'COSTOS PVC'!E$27</f>
        <v>9788.25</v>
      </c>
      <c r="H145" s="245">
        <f t="shared" si="14"/>
        <v>1.631375</v>
      </c>
      <c r="I145" s="227">
        <f t="shared" si="13"/>
        <v>0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906</v>
      </c>
      <c r="E146" s="24">
        <f>B133*2</f>
        <v>0</v>
      </c>
      <c r="F146" s="249">
        <f t="shared" si="15"/>
        <v>0</v>
      </c>
      <c r="G146" s="231">
        <f>'COSTOS PVC'!E$23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906</v>
      </c>
      <c r="E147" s="24">
        <f>B133*2</f>
        <v>0</v>
      </c>
      <c r="F147" s="249">
        <f t="shared" si="15"/>
        <v>0</v>
      </c>
      <c r="G147" s="231">
        <f>'COSTOS PVC'!E$23</f>
        <v>7005.75</v>
      </c>
      <c r="H147" s="245">
        <f t="shared" si="14"/>
        <v>1.1676249999999999</v>
      </c>
      <c r="I147" s="227">
        <f t="shared" si="13"/>
        <v>0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310</v>
      </c>
      <c r="E148" s="24">
        <f>B133*4</f>
        <v>0</v>
      </c>
      <c r="F148" s="249">
        <f t="shared" si="15"/>
        <v>0</v>
      </c>
      <c r="G148" s="231">
        <f>'COSTOS PVC'!E$24</f>
        <v>7965</v>
      </c>
      <c r="H148" s="245">
        <f t="shared" si="14"/>
        <v>1.3274999999999999</v>
      </c>
      <c r="I148" s="227">
        <f t="shared" si="13"/>
        <v>0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723</v>
      </c>
      <c r="E149" s="24">
        <f>B133*4</f>
        <v>0</v>
      </c>
      <c r="F149" s="249">
        <f t="shared" si="15"/>
        <v>0</v>
      </c>
      <c r="G149" s="231">
        <f>'COSTOS PVC'!E$24</f>
        <v>7965</v>
      </c>
      <c r="H149" s="245">
        <f t="shared" si="14"/>
        <v>1.3274999999999999</v>
      </c>
      <c r="I149" s="227">
        <f t="shared" si="13"/>
        <v>0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0</v>
      </c>
      <c r="E151" s="281" t="s">
        <v>90</v>
      </c>
      <c r="F151" s="352">
        <f>'COSTOS PVC'!E$31</f>
        <v>131.99250000000001</v>
      </c>
      <c r="G151" s="253">
        <f>F151*D151</f>
        <v>0</v>
      </c>
      <c r="H151" s="40" t="s">
        <v>91</v>
      </c>
      <c r="I151" s="254">
        <f>SUM(G151:G155)</f>
        <v>0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0</v>
      </c>
      <c r="E152" s="24" t="s">
        <v>93</v>
      </c>
      <c r="F152" s="351">
        <f>'COSTOS PVC'!E$29</f>
        <v>3042</v>
      </c>
      <c r="G152" s="227">
        <f>F152*D152</f>
        <v>0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0</v>
      </c>
      <c r="E153" s="24" t="s">
        <v>93</v>
      </c>
      <c r="F153" s="351">
        <f>'COSTOS PVC'!E$30</f>
        <v>2271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0</v>
      </c>
      <c r="E154" s="24" t="s">
        <v>93</v>
      </c>
      <c r="F154" s="351">
        <f>'COSTOS PVC'!E$28</f>
        <v>2081.25</v>
      </c>
      <c r="G154" s="227">
        <f>F154*D154</f>
        <v>0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0</v>
      </c>
      <c r="E155" s="24" t="s">
        <v>93</v>
      </c>
      <c r="F155" s="351">
        <f>'COSTOS PVC'!E$32</f>
        <v>547.98749999999995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0</v>
      </c>
      <c r="C157" s="283">
        <f>(B135/2)-136</f>
        <v>364</v>
      </c>
      <c r="D157" s="283">
        <f>B136-224</f>
        <v>776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4" t="s">
        <v>129</v>
      </c>
      <c r="C161" s="384"/>
      <c r="D161" s="384"/>
      <c r="E161" s="384"/>
      <c r="F161" s="236"/>
      <c r="I161" s="231"/>
    </row>
    <row r="162" spans="1:9" x14ac:dyDescent="0.25">
      <c r="A162" s="5"/>
      <c r="B162" s="384"/>
      <c r="C162" s="384"/>
      <c r="D162" s="384"/>
      <c r="E162" s="384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</f>
        <v>0</v>
      </c>
    </row>
    <row r="164" spans="1:9" x14ac:dyDescent="0.25">
      <c r="A164" s="241" t="s">
        <v>66</v>
      </c>
      <c r="B164" s="242">
        <f>B165*B166/1000000*B163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</row>
    <row r="165" spans="1:9" ht="18" x14ac:dyDescent="0.4">
      <c r="A165" s="243" t="s">
        <v>69</v>
      </c>
      <c r="B165" s="14">
        <v>1000</v>
      </c>
      <c r="F165" s="15"/>
      <c r="H165" t="s">
        <v>70</v>
      </c>
      <c r="I165" s="247">
        <f>I181</f>
        <v>0</v>
      </c>
    </row>
    <row r="166" spans="1:9" x14ac:dyDescent="0.25">
      <c r="A166" s="244" t="s">
        <v>71</v>
      </c>
      <c r="B166" s="17">
        <v>1000</v>
      </c>
      <c r="H166" t="s">
        <v>36</v>
      </c>
      <c r="I166" s="248">
        <f>SUM(I163:I165)</f>
        <v>0</v>
      </c>
    </row>
    <row r="167" spans="1:9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9" hidden="1" outlineLevel="1" x14ac:dyDescent="0.25">
      <c r="A168" s="19"/>
      <c r="B168" s="20" t="s">
        <v>130</v>
      </c>
      <c r="C168" s="3" t="s">
        <v>114</v>
      </c>
      <c r="D168" s="23">
        <f>B165+6</f>
        <v>1006</v>
      </c>
      <c r="E168" s="24">
        <f>B163*2</f>
        <v>0</v>
      </c>
      <c r="F168" s="250">
        <f>E168*D168</f>
        <v>0</v>
      </c>
      <c r="G168" s="253">
        <f>'COSTOS PVC'!E$20</f>
        <v>24927.75</v>
      </c>
      <c r="H168" s="252">
        <f>G168/6000</f>
        <v>4.1546250000000002</v>
      </c>
      <c r="I168" s="253">
        <f t="shared" ref="I168:I179" si="16">H168*F168</f>
        <v>0</v>
      </c>
    </row>
    <row r="169" spans="1:9" hidden="1" outlineLevel="1" x14ac:dyDescent="0.25">
      <c r="A169" s="19"/>
      <c r="B169" s="20" t="s">
        <v>130</v>
      </c>
      <c r="C169" s="3" t="s">
        <v>115</v>
      </c>
      <c r="D169" s="23">
        <f>B166+6</f>
        <v>1006</v>
      </c>
      <c r="E169" s="24">
        <f>B163*2</f>
        <v>0</v>
      </c>
      <c r="F169" s="249">
        <f>E169*D169</f>
        <v>0</v>
      </c>
      <c r="G169" s="231">
        <f>'COSTOS PVC'!E$20</f>
        <v>24927.75</v>
      </c>
      <c r="H169" s="245">
        <f t="shared" ref="H169:H179" si="17">G169/6000</f>
        <v>4.1546250000000002</v>
      </c>
      <c r="I169" s="227">
        <f t="shared" si="16"/>
        <v>0</v>
      </c>
    </row>
    <row r="170" spans="1:9" hidden="1" outlineLevel="1" x14ac:dyDescent="0.25">
      <c r="A170" s="19"/>
      <c r="B170" s="20" t="s">
        <v>131</v>
      </c>
      <c r="C170" s="3" t="s">
        <v>132</v>
      </c>
      <c r="D170" s="23">
        <f>(B165/2-3)+2</f>
        <v>499</v>
      </c>
      <c r="E170" s="24">
        <f>B163*4</f>
        <v>0</v>
      </c>
      <c r="F170" s="249">
        <f t="shared" ref="F170:F179" si="18">E170*D170</f>
        <v>0</v>
      </c>
      <c r="G170" s="231">
        <f>'COSTOS PVC'!E$22</f>
        <v>29397.75</v>
      </c>
      <c r="H170" s="245">
        <f t="shared" si="17"/>
        <v>4.8996250000000003</v>
      </c>
      <c r="I170" s="227">
        <f t="shared" si="16"/>
        <v>0</v>
      </c>
    </row>
    <row r="171" spans="1:9" hidden="1" outlineLevel="1" x14ac:dyDescent="0.25">
      <c r="A171" s="19"/>
      <c r="B171" s="20" t="s">
        <v>131</v>
      </c>
      <c r="C171" s="3" t="s">
        <v>133</v>
      </c>
      <c r="D171" s="282">
        <f>B166-84</f>
        <v>916</v>
      </c>
      <c r="E171" s="24">
        <f>B163*4</f>
        <v>0</v>
      </c>
      <c r="F171" s="249">
        <f t="shared" si="18"/>
        <v>0</v>
      </c>
      <c r="G171" s="231">
        <f>'COSTOS PVC'!E$22</f>
        <v>29397.75</v>
      </c>
      <c r="H171" s="245">
        <f t="shared" si="17"/>
        <v>4.8996250000000003</v>
      </c>
      <c r="I171" s="227">
        <f t="shared" si="16"/>
        <v>0</v>
      </c>
    </row>
    <row r="172" spans="1:9" hidden="1" outlineLevel="1" x14ac:dyDescent="0.25">
      <c r="A172" s="19"/>
      <c r="B172" s="20" t="s">
        <v>134</v>
      </c>
      <c r="C172" s="3" t="s">
        <v>117</v>
      </c>
      <c r="D172" s="23">
        <f>B165/2-133</f>
        <v>367</v>
      </c>
      <c r="E172" s="24">
        <f>B163*4</f>
        <v>0</v>
      </c>
      <c r="F172" s="249">
        <f t="shared" si="18"/>
        <v>0</v>
      </c>
      <c r="G172" s="231">
        <f>'COSTOS PVC'!E$25</f>
        <v>5181.75</v>
      </c>
      <c r="H172" s="245">
        <f t="shared" si="17"/>
        <v>0.86362499999999998</v>
      </c>
      <c r="I172" s="227">
        <f t="shared" si="16"/>
        <v>0</v>
      </c>
    </row>
    <row r="173" spans="1:9" hidden="1" outlineLevel="1" x14ac:dyDescent="0.25">
      <c r="A173" s="19"/>
      <c r="B173" s="20" t="s">
        <v>134</v>
      </c>
      <c r="C173" s="3" t="s">
        <v>117</v>
      </c>
      <c r="D173" s="23">
        <f>B166-220</f>
        <v>780</v>
      </c>
      <c r="E173" s="24">
        <f>B163*4</f>
        <v>0</v>
      </c>
      <c r="F173" s="249">
        <f t="shared" si="18"/>
        <v>0</v>
      </c>
      <c r="G173" s="231">
        <f>'COSTOS PVC'!E$25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135</v>
      </c>
      <c r="C174" s="3" t="s">
        <v>136</v>
      </c>
      <c r="D174" s="282">
        <f>B165-77</f>
        <v>923</v>
      </c>
      <c r="E174" s="24">
        <f>B163*2</f>
        <v>0</v>
      </c>
      <c r="F174" s="249">
        <f t="shared" si="18"/>
        <v>0</v>
      </c>
      <c r="G174" s="231">
        <f>'COSTOS PVC'!E$21</f>
        <v>9824.25</v>
      </c>
      <c r="H174" s="245">
        <f t="shared" si="17"/>
        <v>1.637375</v>
      </c>
      <c r="I174" s="227">
        <f t="shared" si="16"/>
        <v>0</v>
      </c>
    </row>
    <row r="175" spans="1:9" hidden="1" outlineLevel="1" x14ac:dyDescent="0.25">
      <c r="A175" s="19"/>
      <c r="B175" s="20" t="s">
        <v>137</v>
      </c>
      <c r="C175" s="3" t="s">
        <v>138</v>
      </c>
      <c r="D175" s="23">
        <f>B166-94</f>
        <v>906</v>
      </c>
      <c r="E175" s="24">
        <f>B163*2</f>
        <v>0</v>
      </c>
      <c r="F175" s="249">
        <f t="shared" si="18"/>
        <v>0</v>
      </c>
      <c r="G175" s="231">
        <f>'COSTOS PVC'!E$27</f>
        <v>9788.25</v>
      </c>
      <c r="H175" s="245">
        <f t="shared" si="17"/>
        <v>1.631375</v>
      </c>
      <c r="I175" s="227">
        <f t="shared" si="16"/>
        <v>0</v>
      </c>
    </row>
    <row r="176" spans="1:9" hidden="1" outlineLevel="1" x14ac:dyDescent="0.25">
      <c r="A176" s="19"/>
      <c r="B176" s="20" t="s">
        <v>139</v>
      </c>
      <c r="C176" s="3" t="s">
        <v>140</v>
      </c>
      <c r="D176" s="23">
        <f>B165-94</f>
        <v>906</v>
      </c>
      <c r="E176" s="24">
        <f>B163*2</f>
        <v>0</v>
      </c>
      <c r="F176" s="249">
        <f t="shared" si="18"/>
        <v>0</v>
      </c>
      <c r="G176" s="231">
        <f>'COSTOS PVC'!E$23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906</v>
      </c>
      <c r="E177" s="24">
        <f>B163*2</f>
        <v>0</v>
      </c>
      <c r="F177" s="249">
        <f t="shared" si="18"/>
        <v>0</v>
      </c>
      <c r="G177" s="231">
        <f>'COSTOS PVC'!E$23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310</v>
      </c>
      <c r="E178" s="24">
        <f>B163*4</f>
        <v>0</v>
      </c>
      <c r="F178" s="249">
        <f t="shared" si="18"/>
        <v>0</v>
      </c>
      <c r="G178" s="231">
        <f>'COSTOS PVC'!E$24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723</v>
      </c>
      <c r="E179" s="24">
        <f>B163*4</f>
        <v>0</v>
      </c>
      <c r="F179" s="249">
        <f t="shared" si="18"/>
        <v>0</v>
      </c>
      <c r="G179" s="231">
        <f>'COSTOS PVC'!E$24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PVC'!E$31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PVC'!E$29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PVC'!E$30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PVC'!E$28</f>
        <v>2081.25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PVC'!E$32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364</v>
      </c>
      <c r="D187" s="283">
        <f>B166-224</f>
        <v>776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129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B195*B196/1000000*B193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PVC'!E$20</f>
        <v>24927.75</v>
      </c>
      <c r="H198" s="252">
        <f>G198/6000</f>
        <v>4.1546250000000002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PVC'!E$20</f>
        <v>24927.75</v>
      </c>
      <c r="H199" s="245">
        <f t="shared" ref="H199:H209" si="20">G199/6000</f>
        <v>4.1546250000000002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PVC'!E$22</f>
        <v>29397.75</v>
      </c>
      <c r="H200" s="245">
        <f t="shared" si="20"/>
        <v>4.8996250000000003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PVC'!E$22</f>
        <v>29397.75</v>
      </c>
      <c r="H201" s="245">
        <f t="shared" si="20"/>
        <v>4.8996250000000003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PVC'!E$25</f>
        <v>5181.75</v>
      </c>
      <c r="H202" s="245">
        <f t="shared" si="20"/>
        <v>0.86362499999999998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PVC'!E$25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PVC'!E$21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PVC'!E$27</f>
        <v>9788.25</v>
      </c>
      <c r="H205" s="245">
        <f t="shared" si="20"/>
        <v>1.631375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PVC'!E$23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PVC'!E$23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PVC'!E$24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PVC'!E$24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PVC'!E$31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PVC'!E$29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PVC'!E$30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PVC'!E$28</f>
        <v>2081.25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PVC'!E$32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129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B225*B226/1000000*B223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PVC'!E$20</f>
        <v>24927.75</v>
      </c>
      <c r="H228" s="252">
        <f>G228/6000</f>
        <v>4.1546250000000002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PVC'!E$20</f>
        <v>24927.75</v>
      </c>
      <c r="H229" s="245">
        <f t="shared" ref="H229:H239" si="23">G229/6000</f>
        <v>4.1546250000000002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PVC'!E$22</f>
        <v>29397.75</v>
      </c>
      <c r="H230" s="245">
        <f t="shared" si="23"/>
        <v>4.8996250000000003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PVC'!E$22</f>
        <v>29397.75</v>
      </c>
      <c r="H231" s="245">
        <f t="shared" si="23"/>
        <v>4.8996250000000003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PVC'!E$25</f>
        <v>5181.75</v>
      </c>
      <c r="H232" s="245">
        <f t="shared" si="23"/>
        <v>0.86362499999999998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PVC'!E$25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PVC'!E$21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PVC'!E$27</f>
        <v>9788.25</v>
      </c>
      <c r="H235" s="245">
        <f t="shared" si="23"/>
        <v>1.631375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PVC'!E$23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PVC'!E$23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PVC'!E$24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PVC'!E$24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PVC'!E$31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PVC'!E$29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PVC'!E$30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PVC'!E$28</f>
        <v>2081.25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PVC'!E$32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129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B255*B256/1000000*B253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PVC'!E$20</f>
        <v>24927.75</v>
      </c>
      <c r="H258" s="252">
        <f>G258/6000</f>
        <v>4.1546250000000002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PVC'!E$20</f>
        <v>24927.75</v>
      </c>
      <c r="H259" s="245">
        <f t="shared" ref="H259:H269" si="26">G259/6000</f>
        <v>4.1546250000000002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PVC'!E$22</f>
        <v>29397.75</v>
      </c>
      <c r="H260" s="245">
        <f t="shared" si="26"/>
        <v>4.8996250000000003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PVC'!E$22</f>
        <v>29397.75</v>
      </c>
      <c r="H261" s="245">
        <f t="shared" si="26"/>
        <v>4.8996250000000003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PVC'!E$25</f>
        <v>5181.75</v>
      </c>
      <c r="H262" s="245">
        <f t="shared" si="26"/>
        <v>0.86362499999999998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PVC'!E$25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PVC'!E$21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PVC'!E$27</f>
        <v>9788.25</v>
      </c>
      <c r="H265" s="245">
        <f t="shared" si="26"/>
        <v>1.631375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PVC'!E$23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PVC'!E$23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PVC'!E$24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PVC'!E$24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PVC'!E$31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PVC'!E$29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PVC'!E$30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PVC'!E$28</f>
        <v>2081.25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PVC'!E$32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129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B285*B286/1000000*B283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PVC'!E$20</f>
        <v>24927.75</v>
      </c>
      <c r="H288" s="252">
        <f>G288/6000</f>
        <v>4.1546250000000002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PVC'!E$20</f>
        <v>24927.75</v>
      </c>
      <c r="H289" s="245">
        <f t="shared" ref="H289:H299" si="29">G289/6000</f>
        <v>4.1546250000000002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PVC'!E$22</f>
        <v>29397.75</v>
      </c>
      <c r="H290" s="245">
        <f t="shared" si="29"/>
        <v>4.8996250000000003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PVC'!E$22</f>
        <v>29397.75</v>
      </c>
      <c r="H291" s="245">
        <f t="shared" si="29"/>
        <v>4.8996250000000003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PVC'!E$25</f>
        <v>5181.75</v>
      </c>
      <c r="H292" s="245">
        <f t="shared" si="29"/>
        <v>0.86362499999999998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PVC'!E$25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PVC'!E$21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PVC'!E$27</f>
        <v>9788.25</v>
      </c>
      <c r="H295" s="245">
        <f t="shared" si="29"/>
        <v>1.631375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PVC'!E$23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PVC'!E$23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PVC'!E$24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PVC'!E$24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PVC'!E$31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PVC'!E$29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PVC'!E$30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PVC'!E$28</f>
        <v>2081.25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PVC'!E$32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2:F2"/>
    <mergeCell ref="B161:E162"/>
    <mergeCell ref="B191:E192"/>
    <mergeCell ref="B221:E222"/>
    <mergeCell ref="B251:E252"/>
    <mergeCell ref="B281:E282"/>
    <mergeCell ref="B131:E132"/>
    <mergeCell ref="A4:B4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900D3-D116-F049-95F5-DA944765ED7A}">
          <x14:formula1>
            <xm:f>'COSTOS VIDRIOS'!$A$2:$A$11</xm:f>
          </x14:formula1>
          <xm:sqref>C4</xm:sqref>
        </x14:dataValidation>
        <x14:dataValidation type="list" allowBlank="1" showInputMessage="1" showErrorMessage="1" xr:uid="{E05DB623-E29D-5A48-9677-150EDCDBD1C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D00C-5CFA-A84B-B2E8-B3CA3D1698D8}">
  <sheetPr codeName="Hoja6">
    <tabColor theme="5" tint="-0.499984740745262"/>
    <pageSetUpPr fitToPage="1"/>
  </sheetPr>
  <dimension ref="A1:L309"/>
  <sheetViews>
    <sheetView showGridLines="0" zoomScale="140" zoomScaleNormal="120" workbookViewId="0">
      <selection activeCell="F41" sqref="F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10.5" bestFit="1" customWidth="1"/>
    <col min="3" max="3" width="33.125" bestFit="1" customWidth="1"/>
    <col min="4" max="4" width="8.8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2" s="297" customFormat="1" ht="24.75" thickBot="1" x14ac:dyDescent="0.45"/>
    <row r="2" spans="1:12" ht="24.75" thickBot="1" x14ac:dyDescent="0.45">
      <c r="A2" s="386" t="s">
        <v>150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  <c r="L2" s="231"/>
    </row>
    <row r="3" spans="1:12" ht="19.5" thickBot="1" x14ac:dyDescent="0.35">
      <c r="A3" s="233"/>
      <c r="G3" s="316">
        <f>B14+B44+B74+B104+B134+B164+B194+B224+B254+B284</f>
        <v>10.088642</v>
      </c>
      <c r="H3" s="268" t="s">
        <v>42</v>
      </c>
      <c r="I3" s="325">
        <f>G5*(1+D8)</f>
        <v>795687.83776875003</v>
      </c>
      <c r="J3" s="326">
        <f t="shared" ref="J3:J8" si="0">I3/(1-G$7)</f>
        <v>1060917.117025</v>
      </c>
    </row>
    <row r="4" spans="1:12" ht="19.5" thickBot="1" x14ac:dyDescent="0.35">
      <c r="A4" s="385" t="s">
        <v>43</v>
      </c>
      <c r="B4" s="389"/>
      <c r="C4" s="345" t="s">
        <v>151</v>
      </c>
      <c r="D4" s="246">
        <f>VLOOKUP(C4,'COSTOS VIDRIOS'!A1:C11,3,0)</f>
        <v>26996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185572.717672</v>
      </c>
      <c r="J4" s="326">
        <f t="shared" si="0"/>
        <v>247430.29022933333</v>
      </c>
    </row>
    <row r="5" spans="1:12" ht="19.5" thickBot="1" x14ac:dyDescent="0.35">
      <c r="A5" s="385" t="s">
        <v>48</v>
      </c>
      <c r="B5" s="389"/>
      <c r="C5" s="342" t="s">
        <v>49</v>
      </c>
      <c r="D5" s="246">
        <f>VLOOKUP(C5,'Lugar de instalación'!A1:L5,10,0)</f>
        <v>680</v>
      </c>
      <c r="E5" s="317" t="s">
        <v>50</v>
      </c>
      <c r="G5" s="320">
        <f>(I13+I43+I73+I103+I133+I163+I193+I223+I253+I283)</f>
        <v>691902.46762500005</v>
      </c>
      <c r="H5" s="270" t="s">
        <v>51</v>
      </c>
      <c r="I5" s="325">
        <f>I15+I45+I75+I105+I135+I165+I195+I225+I255+I285</f>
        <v>116311.12579184998</v>
      </c>
      <c r="J5" s="326">
        <f t="shared" si="0"/>
        <v>155081.50105579998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F6" s="347"/>
      <c r="G6" s="323" t="s">
        <v>54</v>
      </c>
      <c r="H6" s="270" t="s">
        <v>52</v>
      </c>
      <c r="I6" s="325">
        <f>G3*D6</f>
        <v>416660.91460000002</v>
      </c>
      <c r="J6" s="326">
        <f t="shared" si="0"/>
        <v>555547.88613333332</v>
      </c>
      <c r="L6" s="227"/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0.25</v>
      </c>
      <c r="H7" s="270" t="s">
        <v>57</v>
      </c>
      <c r="I7" s="325">
        <f>G3*1500</f>
        <v>15132.963</v>
      </c>
      <c r="J7" s="326">
        <f t="shared" si="0"/>
        <v>20177.284</v>
      </c>
      <c r="L7" s="233" t="s">
        <v>152</v>
      </c>
    </row>
    <row r="8" spans="1:12" ht="19.5" thickBot="1" x14ac:dyDescent="0.35">
      <c r="A8" s="235"/>
      <c r="B8" s="235"/>
      <c r="C8" s="235" t="s">
        <v>58</v>
      </c>
      <c r="D8" s="344">
        <v>0.15</v>
      </c>
      <c r="G8" s="315" t="s">
        <v>59</v>
      </c>
      <c r="H8" s="270" t="s">
        <v>60</v>
      </c>
      <c r="I8" s="325">
        <f>G3*D5</f>
        <v>6860.2765600000002</v>
      </c>
      <c r="J8" s="326">
        <f t="shared" si="0"/>
        <v>9147.0354133333331</v>
      </c>
      <c r="L8" s="233"/>
    </row>
    <row r="9" spans="1:12" ht="19.5" thickBot="1" x14ac:dyDescent="0.35">
      <c r="F9" s="348"/>
      <c r="G9" s="320">
        <f>J9-I9</f>
        <v>512075.27846420021</v>
      </c>
      <c r="H9" s="272"/>
      <c r="I9" s="264">
        <f>SUM(I3:I8)</f>
        <v>1536225.8353925999</v>
      </c>
      <c r="J9" s="322">
        <f>SUM(J3:J8)</f>
        <v>2048301.1138568001</v>
      </c>
      <c r="K9" s="227"/>
    </row>
    <row r="10" spans="1:12" x14ac:dyDescent="0.25">
      <c r="A10" s="1" t="s">
        <v>61</v>
      </c>
      <c r="B10" s="238" t="s">
        <v>26</v>
      </c>
      <c r="F10" s="3"/>
      <c r="I10" s="349" t="s">
        <v>153</v>
      </c>
      <c r="J10" s="350">
        <f>J9/G3</f>
        <v>203030.40923216427</v>
      </c>
      <c r="K10" s="227"/>
    </row>
    <row r="11" spans="1:12" ht="15.95" customHeight="1" x14ac:dyDescent="0.25">
      <c r="A11" s="4" t="s">
        <v>62</v>
      </c>
      <c r="B11" s="384" t="s">
        <v>154</v>
      </c>
      <c r="C11" s="384"/>
      <c r="D11" s="384"/>
      <c r="E11" s="384"/>
      <c r="F11" s="236"/>
      <c r="I11" s="231"/>
    </row>
    <row r="12" spans="1:12" x14ac:dyDescent="0.25">
      <c r="A12" s="5"/>
      <c r="B12" s="384"/>
      <c r="C12" s="384"/>
      <c r="D12" s="384"/>
      <c r="E12" s="384"/>
      <c r="F12" s="236"/>
      <c r="I12" s="231" t="s">
        <v>40</v>
      </c>
    </row>
    <row r="13" spans="1:12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SUM(I18:I29)*(1.1)</f>
        <v>168396.75737500002</v>
      </c>
    </row>
    <row r="14" spans="1:12" x14ac:dyDescent="0.25">
      <c r="A14" s="241" t="s">
        <v>66</v>
      </c>
      <c r="B14" s="341">
        <f>(B15*B16)/1000000*B13</f>
        <v>2.4245000000000001</v>
      </c>
      <c r="C14" s="11" t="s">
        <v>67</v>
      </c>
      <c r="D14" s="12"/>
      <c r="E14" s="12"/>
      <c r="F14" s="12"/>
      <c r="H14" t="s">
        <v>68</v>
      </c>
      <c r="I14" s="246">
        <f>F37</f>
        <v>46142.10312</v>
      </c>
    </row>
    <row r="15" spans="1:12" ht="18" x14ac:dyDescent="0.4">
      <c r="A15" s="243" t="s">
        <v>69</v>
      </c>
      <c r="B15" s="14">
        <v>1492</v>
      </c>
      <c r="F15" s="15"/>
      <c r="H15" t="s">
        <v>70</v>
      </c>
      <c r="I15" s="247">
        <f>I31</f>
        <v>23799.133162499998</v>
      </c>
    </row>
    <row r="16" spans="1:12" x14ac:dyDescent="0.25">
      <c r="A16" s="244" t="s">
        <v>71</v>
      </c>
      <c r="B16" s="17">
        <v>1625</v>
      </c>
      <c r="H16" t="s">
        <v>36</v>
      </c>
      <c r="I16" s="248">
        <f>SUM(I13:I15)</f>
        <v>238337.99365750002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1498</v>
      </c>
      <c r="E18" s="24">
        <f>B13*2</f>
        <v>2</v>
      </c>
      <c r="F18" s="250">
        <f>E18*D18</f>
        <v>2996</v>
      </c>
      <c r="G18" s="253">
        <f>'COSTOS PVC'!L$20</f>
        <v>36045.75</v>
      </c>
      <c r="H18" s="252">
        <f>G18/6000</f>
        <v>6.007625</v>
      </c>
      <c r="I18" s="253">
        <f t="shared" ref="I18:I29" si="1">H18*F18</f>
        <v>17998.844499999999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1631</v>
      </c>
      <c r="E19" s="24">
        <f>B13*2</f>
        <v>2</v>
      </c>
      <c r="F19" s="249">
        <f>E19*D19</f>
        <v>3262</v>
      </c>
      <c r="G19" s="231">
        <f>'COSTOS PVC'!L$20</f>
        <v>36045.75</v>
      </c>
      <c r="H19" s="245">
        <f t="shared" ref="H19:H29" si="2">G19/6000</f>
        <v>6.007625</v>
      </c>
      <c r="I19" s="227">
        <f t="shared" si="1"/>
        <v>19596.872749999999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745</v>
      </c>
      <c r="E20" s="24">
        <f>B13*4</f>
        <v>4</v>
      </c>
      <c r="F20" s="249">
        <f t="shared" ref="F20:F29" si="3">E20*D20</f>
        <v>2980</v>
      </c>
      <c r="G20" s="231">
        <f>'COSTOS PVC'!L$22</f>
        <v>46707</v>
      </c>
      <c r="H20" s="245">
        <f t="shared" si="2"/>
        <v>7.7845000000000004</v>
      </c>
      <c r="I20" s="227">
        <f t="shared" si="1"/>
        <v>23197.81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1541</v>
      </c>
      <c r="E21" s="24">
        <f>B13*4</f>
        <v>4</v>
      </c>
      <c r="F21" s="249">
        <f t="shared" si="3"/>
        <v>6164</v>
      </c>
      <c r="G21" s="231">
        <f>'COSTOS PVC'!L$22</f>
        <v>46707</v>
      </c>
      <c r="H21" s="245">
        <f>G21/6000</f>
        <v>7.7845000000000004</v>
      </c>
      <c r="I21" s="227">
        <f t="shared" si="1"/>
        <v>47983.658000000003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613</v>
      </c>
      <c r="E22" s="24">
        <f>B13*4</f>
        <v>4</v>
      </c>
      <c r="F22" s="249">
        <f t="shared" si="3"/>
        <v>2452</v>
      </c>
      <c r="G22" s="231">
        <f>'COSTOS PVC'!L$25</f>
        <v>9652.5</v>
      </c>
      <c r="H22" s="245">
        <f>G22/6000</f>
        <v>1.6087499999999999</v>
      </c>
      <c r="I22" s="227">
        <f t="shared" si="1"/>
        <v>3944.6549999999997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1405</v>
      </c>
      <c r="E23" s="24">
        <f>B13*4</f>
        <v>4</v>
      </c>
      <c r="F23" s="249">
        <f t="shared" si="3"/>
        <v>5620</v>
      </c>
      <c r="G23" s="231">
        <f>'COSTOS PVC'!L$25</f>
        <v>9652.5</v>
      </c>
      <c r="H23" s="245">
        <f>G23/6000</f>
        <v>1.6087499999999999</v>
      </c>
      <c r="I23" s="227">
        <f t="shared" si="1"/>
        <v>9041.1749999999993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1415</v>
      </c>
      <c r="E24" s="24">
        <f>B13*2</f>
        <v>2</v>
      </c>
      <c r="F24" s="249">
        <f t="shared" si="3"/>
        <v>2830</v>
      </c>
      <c r="G24" s="231">
        <f>'COSTOS PVC'!L$21</f>
        <v>9824.25</v>
      </c>
      <c r="H24" s="245">
        <f>G24/6000</f>
        <v>1.637375</v>
      </c>
      <c r="I24" s="227">
        <f t="shared" si="1"/>
        <v>4633.7712499999998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1531</v>
      </c>
      <c r="E25" s="24">
        <f>B13*2</f>
        <v>2</v>
      </c>
      <c r="F25" s="249">
        <f t="shared" si="3"/>
        <v>3062</v>
      </c>
      <c r="G25" s="231">
        <f>'COSTOS PVC'!L$27</f>
        <v>19087.5</v>
      </c>
      <c r="H25" s="245">
        <f t="shared" si="2"/>
        <v>3.1812499999999999</v>
      </c>
      <c r="I25" s="227">
        <f t="shared" si="1"/>
        <v>9740.9874999999993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1398</v>
      </c>
      <c r="E26" s="24">
        <f>B13*2</f>
        <v>2</v>
      </c>
      <c r="F26" s="249">
        <f t="shared" si="3"/>
        <v>2796</v>
      </c>
      <c r="G26" s="231">
        <f>'COSTOS PVC'!L$23</f>
        <v>7005.75</v>
      </c>
      <c r="H26" s="245">
        <f t="shared" si="2"/>
        <v>1.1676249999999999</v>
      </c>
      <c r="I26" s="227">
        <f t="shared" si="1"/>
        <v>3264.6794999999997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1531</v>
      </c>
      <c r="E27" s="24">
        <f>B13*2</f>
        <v>2</v>
      </c>
      <c r="F27" s="249">
        <f t="shared" si="3"/>
        <v>3062</v>
      </c>
      <c r="G27" s="231">
        <f>'COSTOS PVC'!L$23</f>
        <v>7005.75</v>
      </c>
      <c r="H27" s="245">
        <f>G27/6000</f>
        <v>1.1676249999999999</v>
      </c>
      <c r="I27" s="227">
        <f t="shared" si="1"/>
        <v>3575.2677499999995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556</v>
      </c>
      <c r="E28" s="24">
        <f>B13*4</f>
        <v>4</v>
      </c>
      <c r="F28" s="249">
        <f t="shared" si="3"/>
        <v>2224</v>
      </c>
      <c r="G28" s="231">
        <f>'COSTOS PVC'!L$24</f>
        <v>7965</v>
      </c>
      <c r="H28" s="245">
        <f>G28/6000</f>
        <v>1.3274999999999999</v>
      </c>
      <c r="I28" s="227">
        <f t="shared" si="1"/>
        <v>2952.3599999999997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1348</v>
      </c>
      <c r="E29" s="24">
        <f>B13*4</f>
        <v>4</v>
      </c>
      <c r="F29" s="249">
        <f t="shared" si="3"/>
        <v>5392</v>
      </c>
      <c r="G29" s="231">
        <f>'COSTOS PVC'!L$24</f>
        <v>7965</v>
      </c>
      <c r="H29" s="245">
        <f t="shared" si="2"/>
        <v>1.3274999999999999</v>
      </c>
      <c r="I29" s="227">
        <f t="shared" si="1"/>
        <v>7157.8799999999992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24.245000000000001</v>
      </c>
      <c r="E31" s="281" t="s">
        <v>90</v>
      </c>
      <c r="F31" s="352">
        <f>'COSTOS PVC'!L$31</f>
        <v>131.99250000000001</v>
      </c>
      <c r="G31" s="253">
        <f>F31*D31</f>
        <v>3200.1581625000003</v>
      </c>
      <c r="H31" s="40" t="s">
        <v>91</v>
      </c>
      <c r="I31" s="254">
        <f>SUM(G31:G35)</f>
        <v>23799.133162499998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PVC'!L$29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PVC'!L$30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PVC'!L$28</f>
        <v>2167.5</v>
      </c>
      <c r="G34" s="227">
        <f>F34*D34</f>
        <v>4335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PVC'!L$32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610</v>
      </c>
      <c r="D37" s="283">
        <f>B16-224</f>
        <v>1401</v>
      </c>
      <c r="E37" s="255">
        <f>D$4</f>
        <v>26996</v>
      </c>
      <c r="F37" s="256">
        <f>E37*B38</f>
        <v>46142.10312</v>
      </c>
      <c r="I37" s="231"/>
    </row>
    <row r="38" spans="1:9" hidden="1" outlineLevel="1" x14ac:dyDescent="0.25">
      <c r="A38" s="6" t="s">
        <v>99</v>
      </c>
      <c r="B38" s="41">
        <f>(B37*C37*D37)/1000000</f>
        <v>1.70922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154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1</v>
      </c>
      <c r="C43" s="8"/>
      <c r="D43" s="8"/>
      <c r="E43" s="8"/>
      <c r="F43" s="236"/>
      <c r="H43" t="s">
        <v>65</v>
      </c>
      <c r="I43" s="232">
        <f>SUM(I48:I59)</f>
        <v>152999.83600000004</v>
      </c>
    </row>
    <row r="44" spans="1:9" x14ac:dyDescent="0.25">
      <c r="A44" s="241" t="s">
        <v>66</v>
      </c>
      <c r="B44" s="341">
        <f>(B45*B46)/1000000*B43</f>
        <v>2.4231389999999999</v>
      </c>
      <c r="C44" s="11" t="s">
        <v>67</v>
      </c>
      <c r="D44" s="12"/>
      <c r="E44" s="12"/>
      <c r="F44" s="12"/>
      <c r="H44" t="s">
        <v>68</v>
      </c>
      <c r="I44" s="246">
        <f>F67</f>
        <v>46114.000283999994</v>
      </c>
    </row>
    <row r="45" spans="1:9" ht="18" x14ac:dyDescent="0.4">
      <c r="A45" s="243" t="s">
        <v>69</v>
      </c>
      <c r="B45" s="14">
        <v>1493</v>
      </c>
      <c r="F45" s="15"/>
      <c r="H45" t="s">
        <v>70</v>
      </c>
      <c r="I45" s="247">
        <f>I61</f>
        <v>23797.336744574997</v>
      </c>
    </row>
    <row r="46" spans="1:9" x14ac:dyDescent="0.25">
      <c r="A46" s="244" t="s">
        <v>71</v>
      </c>
      <c r="B46" s="17">
        <v>1623</v>
      </c>
      <c r="H46" t="s">
        <v>36</v>
      </c>
      <c r="I46" s="248">
        <f>SUM(I43:I45)</f>
        <v>222911.17302857502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1499</v>
      </c>
      <c r="E48" s="24">
        <f>B43*2</f>
        <v>2</v>
      </c>
      <c r="F48" s="250">
        <f>E48*D48</f>
        <v>2998</v>
      </c>
      <c r="G48" s="253">
        <f>'COSTOS PVC'!L$20</f>
        <v>36045.75</v>
      </c>
      <c r="H48" s="252">
        <f>G48/6000</f>
        <v>6.007625</v>
      </c>
      <c r="I48" s="253">
        <f t="shared" ref="I48:I59" si="4">H48*F48</f>
        <v>18010.85975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1629</v>
      </c>
      <c r="E49" s="24">
        <f>B43*2</f>
        <v>2</v>
      </c>
      <c r="F49" s="249">
        <f>E49*D49</f>
        <v>3258</v>
      </c>
      <c r="G49" s="231">
        <f>'COSTOS PVC'!L$20</f>
        <v>36045.75</v>
      </c>
      <c r="H49" s="245">
        <f t="shared" ref="H49:H59" si="5">G49/6000</f>
        <v>6.007625</v>
      </c>
      <c r="I49" s="227">
        <f t="shared" si="4"/>
        <v>19572.842250000002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745.5</v>
      </c>
      <c r="E50" s="24">
        <f>B43*4</f>
        <v>4</v>
      </c>
      <c r="F50" s="249">
        <f t="shared" ref="F50:F59" si="6">E50*D50</f>
        <v>2982</v>
      </c>
      <c r="G50" s="231">
        <f>'COSTOS PVC'!L$22</f>
        <v>46707</v>
      </c>
      <c r="H50" s="245">
        <f t="shared" si="5"/>
        <v>7.7845000000000004</v>
      </c>
      <c r="I50" s="227">
        <f t="shared" si="4"/>
        <v>23213.379000000001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1539</v>
      </c>
      <c r="E51" s="24">
        <f>B43*4</f>
        <v>4</v>
      </c>
      <c r="F51" s="249">
        <f t="shared" si="6"/>
        <v>6156</v>
      </c>
      <c r="G51" s="231">
        <f>'COSTOS PVC'!L$22</f>
        <v>46707</v>
      </c>
      <c r="H51" s="245">
        <f t="shared" si="5"/>
        <v>7.7845000000000004</v>
      </c>
      <c r="I51" s="227">
        <f t="shared" si="4"/>
        <v>47921.382000000005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613.5</v>
      </c>
      <c r="E52" s="24">
        <f>B43*4</f>
        <v>4</v>
      </c>
      <c r="F52" s="249">
        <f t="shared" si="6"/>
        <v>2454</v>
      </c>
      <c r="G52" s="231">
        <f>'COSTOS PVC'!L$25</f>
        <v>9652.5</v>
      </c>
      <c r="H52" s="245">
        <f t="shared" si="5"/>
        <v>1.6087499999999999</v>
      </c>
      <c r="I52" s="227">
        <f t="shared" si="4"/>
        <v>3947.8724999999999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1403</v>
      </c>
      <c r="E53" s="24">
        <f>B43*4</f>
        <v>4</v>
      </c>
      <c r="F53" s="249">
        <f t="shared" si="6"/>
        <v>5612</v>
      </c>
      <c r="G53" s="231">
        <f>'COSTOS PVC'!L$25</f>
        <v>9652.5</v>
      </c>
      <c r="H53" s="245">
        <f t="shared" si="5"/>
        <v>1.6087499999999999</v>
      </c>
      <c r="I53" s="227">
        <f t="shared" si="4"/>
        <v>9028.3050000000003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1416</v>
      </c>
      <c r="E54" s="24">
        <f>B43*2</f>
        <v>2</v>
      </c>
      <c r="F54" s="249">
        <f t="shared" si="6"/>
        <v>2832</v>
      </c>
      <c r="G54" s="231">
        <f>'COSTOS PVC'!L$21</f>
        <v>9824.25</v>
      </c>
      <c r="H54" s="245">
        <f t="shared" si="5"/>
        <v>1.637375</v>
      </c>
      <c r="I54" s="227">
        <f t="shared" si="4"/>
        <v>4637.0460000000003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1529</v>
      </c>
      <c r="E55" s="24">
        <f>B43*2</f>
        <v>2</v>
      </c>
      <c r="F55" s="249">
        <f t="shared" si="6"/>
        <v>3058</v>
      </c>
      <c r="G55" s="231">
        <f>'COSTOS PVC'!L$27</f>
        <v>19087.5</v>
      </c>
      <c r="H55" s="245">
        <f t="shared" si="5"/>
        <v>3.1812499999999999</v>
      </c>
      <c r="I55" s="227">
        <f t="shared" si="4"/>
        <v>9728.2624999999989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1399</v>
      </c>
      <c r="E56" s="24">
        <f>B43*2</f>
        <v>2</v>
      </c>
      <c r="F56" s="249">
        <f t="shared" si="6"/>
        <v>2798</v>
      </c>
      <c r="G56" s="231">
        <f>'COSTOS PVC'!L$23</f>
        <v>7005.75</v>
      </c>
      <c r="H56" s="245">
        <f t="shared" si="5"/>
        <v>1.1676249999999999</v>
      </c>
      <c r="I56" s="227">
        <f t="shared" si="4"/>
        <v>3267.0147499999998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1529</v>
      </c>
      <c r="E57" s="24">
        <f>B43*2</f>
        <v>2</v>
      </c>
      <c r="F57" s="249">
        <f t="shared" si="6"/>
        <v>3058</v>
      </c>
      <c r="G57" s="231">
        <f>'COSTOS PVC'!L$23</f>
        <v>7005.75</v>
      </c>
      <c r="H57" s="245">
        <f t="shared" si="5"/>
        <v>1.1676249999999999</v>
      </c>
      <c r="I57" s="227">
        <f t="shared" si="4"/>
        <v>3570.5972499999998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556.5</v>
      </c>
      <c r="E58" s="24">
        <f>B43*4</f>
        <v>4</v>
      </c>
      <c r="F58" s="249">
        <f t="shared" si="6"/>
        <v>2226</v>
      </c>
      <c r="G58" s="231">
        <f>'COSTOS PVC'!L$24</f>
        <v>7965</v>
      </c>
      <c r="H58" s="245">
        <f t="shared" si="5"/>
        <v>1.3274999999999999</v>
      </c>
      <c r="I58" s="227">
        <f t="shared" si="4"/>
        <v>2955.0149999999999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1346</v>
      </c>
      <c r="E59" s="24">
        <f>B43*4</f>
        <v>4</v>
      </c>
      <c r="F59" s="249">
        <f t="shared" si="6"/>
        <v>5384</v>
      </c>
      <c r="G59" s="231">
        <f>'COSTOS PVC'!L$24</f>
        <v>7965</v>
      </c>
      <c r="H59" s="245">
        <f t="shared" si="5"/>
        <v>1.3274999999999999</v>
      </c>
      <c r="I59" s="227">
        <f t="shared" si="4"/>
        <v>7147.2599999999993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24.231389999999998</v>
      </c>
      <c r="E61" s="281" t="s">
        <v>90</v>
      </c>
      <c r="F61" s="352">
        <f>'COSTOS PVC'!L$31</f>
        <v>131.99250000000001</v>
      </c>
      <c r="G61" s="253">
        <f>F61*D61</f>
        <v>3198.3617445749996</v>
      </c>
      <c r="H61" s="40" t="s">
        <v>91</v>
      </c>
      <c r="I61" s="254">
        <f>SUM(G61:G65)</f>
        <v>23797.336744574997</v>
      </c>
    </row>
    <row r="62" spans="1:9" hidden="1" outlineLevel="1" x14ac:dyDescent="0.25">
      <c r="A62" s="4"/>
      <c r="B62" s="20"/>
      <c r="C62" s="3" t="s">
        <v>146</v>
      </c>
      <c r="D62" s="23">
        <f>2*B43</f>
        <v>2</v>
      </c>
      <c r="E62" s="24" t="s">
        <v>93</v>
      </c>
      <c r="F62" s="351">
        <f>'COSTOS PVC'!L$29</f>
        <v>3042</v>
      </c>
      <c r="G62" s="227">
        <f>F62*D62</f>
        <v>6084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4</v>
      </c>
      <c r="E63" s="24" t="s">
        <v>93</v>
      </c>
      <c r="F63" s="351">
        <f>'COSTOS PVC'!L$30</f>
        <v>2271</v>
      </c>
      <c r="G63" s="227">
        <f>F63*D63</f>
        <v>9084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2</v>
      </c>
      <c r="E64" s="24" t="s">
        <v>93</v>
      </c>
      <c r="F64" s="351">
        <f>'COSTOS PVC'!L$28</f>
        <v>2167.5</v>
      </c>
      <c r="G64" s="227">
        <f>F64*D64</f>
        <v>4335</v>
      </c>
      <c r="I64" s="231"/>
    </row>
    <row r="65" spans="1:10" hidden="1" outlineLevel="1" x14ac:dyDescent="0.25">
      <c r="A65" s="19"/>
      <c r="B65" s="20"/>
      <c r="C65" s="3" t="s">
        <v>149</v>
      </c>
      <c r="D65" s="23">
        <f>2*B43</f>
        <v>2</v>
      </c>
      <c r="E65" s="24" t="s">
        <v>93</v>
      </c>
      <c r="F65" s="351">
        <f>'COSTOS PVC'!L$32</f>
        <v>547.98749999999995</v>
      </c>
      <c r="G65" s="227">
        <f>F65*D65</f>
        <v>1095.9749999999999</v>
      </c>
      <c r="I65" s="231"/>
    </row>
    <row r="66" spans="1:10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10" hidden="1" outlineLevel="1" x14ac:dyDescent="0.25">
      <c r="A67" s="5"/>
      <c r="B67" s="31">
        <f>2*B43</f>
        <v>2</v>
      </c>
      <c r="C67" s="283">
        <f>(B45/2)-136</f>
        <v>610.5</v>
      </c>
      <c r="D67" s="283">
        <f>B46-224</f>
        <v>1399</v>
      </c>
      <c r="E67" s="255">
        <f>D$4</f>
        <v>26996</v>
      </c>
      <c r="F67" s="256">
        <f>E67*B68</f>
        <v>46114.000283999994</v>
      </c>
      <c r="I67" s="231"/>
    </row>
    <row r="68" spans="1:10" hidden="1" outlineLevel="1" x14ac:dyDescent="0.25">
      <c r="A68" s="6" t="s">
        <v>99</v>
      </c>
      <c r="B68" s="41">
        <f>(B67*C67*D67)/1000000</f>
        <v>1.7081789999999999</v>
      </c>
      <c r="I68" s="231"/>
    </row>
    <row r="69" spans="1:10" collapsed="1" x14ac:dyDescent="0.25"/>
    <row r="70" spans="1:10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10" ht="15.95" customHeight="1" x14ac:dyDescent="0.25">
      <c r="A71" s="4" t="s">
        <v>62</v>
      </c>
      <c r="B71" s="384" t="s">
        <v>154</v>
      </c>
      <c r="C71" s="384"/>
      <c r="D71" s="384"/>
      <c r="E71" s="384"/>
      <c r="F71" s="236"/>
      <c r="I71" s="231"/>
    </row>
    <row r="72" spans="1:10" x14ac:dyDescent="0.25">
      <c r="A72" s="5"/>
      <c r="B72" s="384"/>
      <c r="C72" s="384"/>
      <c r="D72" s="384"/>
      <c r="E72" s="384"/>
      <c r="F72" s="236"/>
      <c r="I72" s="231"/>
    </row>
    <row r="73" spans="1:10" x14ac:dyDescent="0.25">
      <c r="A73" s="240" t="s">
        <v>64</v>
      </c>
      <c r="B73" s="239">
        <v>1</v>
      </c>
      <c r="C73" s="8"/>
      <c r="D73" s="8"/>
      <c r="E73" s="8"/>
      <c r="F73" s="236"/>
      <c r="H73" t="s">
        <v>65</v>
      </c>
      <c r="I73" s="232">
        <f>SUM(I78:I89)</f>
        <v>138592.03025000001</v>
      </c>
    </row>
    <row r="74" spans="1:10" x14ac:dyDescent="0.25">
      <c r="A74" s="241" t="s">
        <v>66</v>
      </c>
      <c r="B74" s="242">
        <f>(B75*B76)/1000000*B73</f>
        <v>2.17</v>
      </c>
      <c r="C74" s="11" t="s">
        <v>67</v>
      </c>
      <c r="D74" s="12"/>
      <c r="E74" s="12"/>
      <c r="F74" s="12"/>
      <c r="H74" t="s">
        <v>68</v>
      </c>
      <c r="I74" s="246">
        <f>F97</f>
        <v>40164.864767999999</v>
      </c>
    </row>
    <row r="75" spans="1:10" ht="18" x14ac:dyDescent="0.4">
      <c r="A75" s="243" t="s">
        <v>69</v>
      </c>
      <c r="B75" s="14">
        <v>2000</v>
      </c>
      <c r="F75" s="15"/>
      <c r="H75" t="s">
        <v>70</v>
      </c>
      <c r="I75" s="247">
        <f>I91</f>
        <v>23463.212249999997</v>
      </c>
    </row>
    <row r="76" spans="1:10" x14ac:dyDescent="0.25">
      <c r="A76" s="244" t="s">
        <v>71</v>
      </c>
      <c r="B76" s="17">
        <v>1085</v>
      </c>
      <c r="H76" t="s">
        <v>36</v>
      </c>
      <c r="I76" s="248">
        <f>SUM(I73:I75)</f>
        <v>202220.10726800002</v>
      </c>
      <c r="J76" s="232"/>
    </row>
    <row r="77" spans="1:10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10" hidden="1" outlineLevel="1" x14ac:dyDescent="0.25">
      <c r="A78" s="19"/>
      <c r="B78" s="20" t="s">
        <v>130</v>
      </c>
      <c r="C78" s="3" t="s">
        <v>114</v>
      </c>
      <c r="D78" s="23">
        <f>B75+6</f>
        <v>2006</v>
      </c>
      <c r="E78" s="24">
        <f>B73*2</f>
        <v>2</v>
      </c>
      <c r="F78" s="250">
        <f>E78*D78</f>
        <v>4012</v>
      </c>
      <c r="G78" s="253">
        <f>'COSTOS PVC'!L$20</f>
        <v>36045.75</v>
      </c>
      <c r="H78" s="252">
        <f>G78/6000</f>
        <v>6.007625</v>
      </c>
      <c r="I78" s="253">
        <f t="shared" ref="I78:I89" si="7">H78*F78</f>
        <v>24102.591499999999</v>
      </c>
    </row>
    <row r="79" spans="1:10" hidden="1" outlineLevel="1" x14ac:dyDescent="0.25">
      <c r="A79" s="19"/>
      <c r="B79" s="20" t="s">
        <v>130</v>
      </c>
      <c r="C79" s="3" t="s">
        <v>115</v>
      </c>
      <c r="D79" s="23">
        <f>B76+6</f>
        <v>1091</v>
      </c>
      <c r="E79" s="24">
        <f>B73*2</f>
        <v>2</v>
      </c>
      <c r="F79" s="249">
        <f>E79*D79</f>
        <v>2182</v>
      </c>
      <c r="G79" s="231">
        <f>'COSTOS PVC'!L$20</f>
        <v>36045.75</v>
      </c>
      <c r="H79" s="245">
        <f t="shared" ref="H79:H89" si="8">G79/6000</f>
        <v>6.007625</v>
      </c>
      <c r="I79" s="227">
        <f t="shared" si="7"/>
        <v>13108.63775</v>
      </c>
    </row>
    <row r="80" spans="1:10" hidden="1" outlineLevel="1" x14ac:dyDescent="0.25">
      <c r="A80" s="19"/>
      <c r="B80" s="20" t="s">
        <v>131</v>
      </c>
      <c r="C80" s="3" t="s">
        <v>132</v>
      </c>
      <c r="D80" s="23">
        <f>(B75/2-3)+2</f>
        <v>999</v>
      </c>
      <c r="E80" s="24">
        <f>B73*4</f>
        <v>4</v>
      </c>
      <c r="F80" s="249">
        <f t="shared" ref="F80:F89" si="9">E80*D80</f>
        <v>3996</v>
      </c>
      <c r="G80" s="231">
        <f>'COSTOS PVC'!L$22</f>
        <v>46707</v>
      </c>
      <c r="H80" s="245">
        <f t="shared" si="8"/>
        <v>7.7845000000000004</v>
      </c>
      <c r="I80" s="227">
        <f t="shared" si="7"/>
        <v>31106.862000000001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1001</v>
      </c>
      <c r="E81" s="24">
        <f>B73*4</f>
        <v>4</v>
      </c>
      <c r="F81" s="249">
        <f t="shared" si="9"/>
        <v>4004</v>
      </c>
      <c r="G81" s="231">
        <f>'COSTOS PVC'!L$22</f>
        <v>46707</v>
      </c>
      <c r="H81" s="245">
        <f t="shared" si="8"/>
        <v>7.7845000000000004</v>
      </c>
      <c r="I81" s="227">
        <f t="shared" si="7"/>
        <v>31169.138000000003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867</v>
      </c>
      <c r="E82" s="24">
        <f>B73*4</f>
        <v>4</v>
      </c>
      <c r="F82" s="249">
        <f t="shared" si="9"/>
        <v>3468</v>
      </c>
      <c r="G82" s="231">
        <f>'COSTOS PVC'!L$25</f>
        <v>9652.5</v>
      </c>
      <c r="H82" s="245">
        <f t="shared" si="8"/>
        <v>1.6087499999999999</v>
      </c>
      <c r="I82" s="227">
        <f t="shared" si="7"/>
        <v>5579.1449999999995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865</v>
      </c>
      <c r="E83" s="24">
        <f>B73*4</f>
        <v>4</v>
      </c>
      <c r="F83" s="249">
        <f t="shared" si="9"/>
        <v>3460</v>
      </c>
      <c r="G83" s="231">
        <f>'COSTOS PVC'!L$25</f>
        <v>9652.5</v>
      </c>
      <c r="H83" s="245">
        <f t="shared" si="8"/>
        <v>1.6087499999999999</v>
      </c>
      <c r="I83" s="227">
        <f t="shared" si="7"/>
        <v>5566.2749999999996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1923</v>
      </c>
      <c r="E84" s="24">
        <f>B73*2</f>
        <v>2</v>
      </c>
      <c r="F84" s="249">
        <f t="shared" si="9"/>
        <v>3846</v>
      </c>
      <c r="G84" s="231">
        <f>'COSTOS PVC'!L$21</f>
        <v>9824.25</v>
      </c>
      <c r="H84" s="245">
        <f t="shared" si="8"/>
        <v>1.637375</v>
      </c>
      <c r="I84" s="227">
        <f t="shared" si="7"/>
        <v>6297.3442500000001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991</v>
      </c>
      <c r="E85" s="24">
        <f>B73*2</f>
        <v>2</v>
      </c>
      <c r="F85" s="249">
        <f t="shared" si="9"/>
        <v>1982</v>
      </c>
      <c r="G85" s="231">
        <f>'COSTOS PVC'!L$27</f>
        <v>19087.5</v>
      </c>
      <c r="H85" s="245">
        <f t="shared" si="8"/>
        <v>3.1812499999999999</v>
      </c>
      <c r="I85" s="227">
        <f t="shared" si="7"/>
        <v>6305.2375000000002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1906</v>
      </c>
      <c r="E86" s="24">
        <f>B73*2</f>
        <v>2</v>
      </c>
      <c r="F86" s="249">
        <f t="shared" si="9"/>
        <v>3812</v>
      </c>
      <c r="G86" s="231">
        <f>'COSTOS PVC'!L$23</f>
        <v>7005.75</v>
      </c>
      <c r="H86" s="245">
        <f t="shared" si="8"/>
        <v>1.1676249999999999</v>
      </c>
      <c r="I86" s="227">
        <f t="shared" si="7"/>
        <v>4450.9865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991</v>
      </c>
      <c r="E87" s="24">
        <f>B73*2</f>
        <v>2</v>
      </c>
      <c r="F87" s="249">
        <f t="shared" si="9"/>
        <v>1982</v>
      </c>
      <c r="G87" s="231">
        <f>'COSTOS PVC'!L$23</f>
        <v>7005.75</v>
      </c>
      <c r="H87" s="245">
        <f t="shared" si="8"/>
        <v>1.1676249999999999</v>
      </c>
      <c r="I87" s="227">
        <f t="shared" si="7"/>
        <v>2314.2327499999997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810</v>
      </c>
      <c r="E88" s="24">
        <f>B73*4</f>
        <v>4</v>
      </c>
      <c r="F88" s="249">
        <f t="shared" si="9"/>
        <v>3240</v>
      </c>
      <c r="G88" s="231">
        <f>'COSTOS PVC'!L$24</f>
        <v>7965</v>
      </c>
      <c r="H88" s="245">
        <f t="shared" si="8"/>
        <v>1.3274999999999999</v>
      </c>
      <c r="I88" s="227">
        <f t="shared" si="7"/>
        <v>4301.0999999999995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808</v>
      </c>
      <c r="E89" s="24">
        <f>B73*4</f>
        <v>4</v>
      </c>
      <c r="F89" s="249">
        <f t="shared" si="9"/>
        <v>3232</v>
      </c>
      <c r="G89" s="231">
        <f>'COSTOS PVC'!L$24</f>
        <v>7965</v>
      </c>
      <c r="H89" s="245">
        <f t="shared" si="8"/>
        <v>1.3274999999999999</v>
      </c>
      <c r="I89" s="227">
        <f t="shared" si="7"/>
        <v>4290.4799999999996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21.7</v>
      </c>
      <c r="E91" s="281" t="s">
        <v>90</v>
      </c>
      <c r="F91" s="352">
        <f>'COSTOS PVC'!L$31</f>
        <v>131.99250000000001</v>
      </c>
      <c r="G91" s="253">
        <f>F91*D91</f>
        <v>2864.2372500000001</v>
      </c>
      <c r="H91" s="40" t="s">
        <v>91</v>
      </c>
      <c r="I91" s="254">
        <f>SUM(G91:G95)</f>
        <v>23463.212249999997</v>
      </c>
    </row>
    <row r="92" spans="1:9" hidden="1" outlineLevel="1" x14ac:dyDescent="0.25">
      <c r="A92" s="4"/>
      <c r="B92" s="20"/>
      <c r="C92" s="3" t="s">
        <v>146</v>
      </c>
      <c r="D92" s="23">
        <f>2*B73</f>
        <v>2</v>
      </c>
      <c r="E92" s="24" t="s">
        <v>93</v>
      </c>
      <c r="F92" s="351">
        <f>'COSTOS PVC'!L$29</f>
        <v>3042</v>
      </c>
      <c r="G92" s="227">
        <f>F92*D92</f>
        <v>6084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4</v>
      </c>
      <c r="E93" s="24" t="s">
        <v>93</v>
      </c>
      <c r="F93" s="351">
        <f>'COSTOS PVC'!L$30</f>
        <v>2271</v>
      </c>
      <c r="G93" s="227">
        <f>F93*D93</f>
        <v>9084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2</v>
      </c>
      <c r="E94" s="24" t="s">
        <v>93</v>
      </c>
      <c r="F94" s="351">
        <f>'COSTOS PVC'!L$28</f>
        <v>2167.5</v>
      </c>
      <c r="G94" s="227">
        <f>F94*D94</f>
        <v>4335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2</v>
      </c>
      <c r="E95" s="24" t="s">
        <v>93</v>
      </c>
      <c r="F95" s="351">
        <f>'COSTOS PVC'!L$32</f>
        <v>547.98749999999995</v>
      </c>
      <c r="G95" s="227">
        <f>F95*D95</f>
        <v>1095.9749999999999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10" hidden="1" outlineLevel="1" x14ac:dyDescent="0.25">
      <c r="A97" s="5"/>
      <c r="B97" s="31">
        <f>2*B73</f>
        <v>2</v>
      </c>
      <c r="C97" s="283">
        <f>(B75/2)-136</f>
        <v>864</v>
      </c>
      <c r="D97" s="283">
        <f>B76-224</f>
        <v>861</v>
      </c>
      <c r="E97" s="255">
        <f>D$4</f>
        <v>26996</v>
      </c>
      <c r="F97" s="256">
        <f>E97*B98</f>
        <v>40164.864767999999</v>
      </c>
      <c r="I97" s="231"/>
    </row>
    <row r="98" spans="1:10" hidden="1" outlineLevel="1" x14ac:dyDescent="0.25">
      <c r="A98" s="6" t="s">
        <v>99</v>
      </c>
      <c r="B98" s="41">
        <f>(B97*C97*D97)/1000000</f>
        <v>1.487808</v>
      </c>
      <c r="I98" s="231"/>
    </row>
    <row r="99" spans="1:10" collapsed="1" x14ac:dyDescent="0.25"/>
    <row r="100" spans="1:10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10" ht="15.95" customHeight="1" x14ac:dyDescent="0.25">
      <c r="A101" s="4" t="s">
        <v>62</v>
      </c>
      <c r="B101" s="384" t="s">
        <v>154</v>
      </c>
      <c r="C101" s="384"/>
      <c r="D101" s="384"/>
      <c r="E101" s="384"/>
      <c r="F101" s="236"/>
      <c r="I101" s="231"/>
    </row>
    <row r="102" spans="1:10" x14ac:dyDescent="0.25">
      <c r="A102" s="5"/>
      <c r="B102" s="384"/>
      <c r="C102" s="384"/>
      <c r="D102" s="384"/>
      <c r="E102" s="384"/>
      <c r="F102" s="236"/>
      <c r="I102" s="231"/>
    </row>
    <row r="103" spans="1:10" x14ac:dyDescent="0.25">
      <c r="A103" s="240" t="s">
        <v>64</v>
      </c>
      <c r="B103" s="239">
        <v>1</v>
      </c>
      <c r="C103" s="8"/>
      <c r="D103" s="8"/>
      <c r="E103" s="8"/>
      <c r="F103" s="236"/>
      <c r="H103" t="s">
        <v>65</v>
      </c>
      <c r="I103" s="232">
        <f>SUM(I108:I119)</f>
        <v>108302.56199999999</v>
      </c>
    </row>
    <row r="104" spans="1:10" x14ac:dyDescent="0.25">
      <c r="A104" s="241" t="s">
        <v>66</v>
      </c>
      <c r="B104" s="242">
        <f>(B105*B106)/1000000*B103</f>
        <v>1.319094</v>
      </c>
      <c r="C104" s="11" t="s">
        <v>67</v>
      </c>
      <c r="D104" s="12"/>
      <c r="E104" s="12"/>
      <c r="F104" s="12"/>
      <c r="H104" t="s">
        <v>68</v>
      </c>
      <c r="I104" s="246">
        <f>F127</f>
        <v>21924.8014</v>
      </c>
    </row>
    <row r="105" spans="1:10" ht="18" x14ac:dyDescent="0.4">
      <c r="A105" s="243" t="s">
        <v>69</v>
      </c>
      <c r="B105" s="14">
        <v>1197</v>
      </c>
      <c r="F105" s="15"/>
      <c r="H105" t="s">
        <v>70</v>
      </c>
      <c r="I105" s="247">
        <f>I121</f>
        <v>22340.080147950001</v>
      </c>
    </row>
    <row r="106" spans="1:10" x14ac:dyDescent="0.25">
      <c r="A106" s="244" t="s">
        <v>71</v>
      </c>
      <c r="B106" s="17">
        <v>1102</v>
      </c>
      <c r="H106" t="s">
        <v>36</v>
      </c>
      <c r="I106" s="248">
        <f>SUM(I103:I105)</f>
        <v>152567.44354794998</v>
      </c>
      <c r="J106" s="232"/>
    </row>
    <row r="107" spans="1:10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10" hidden="1" outlineLevel="1" x14ac:dyDescent="0.25">
      <c r="A108" s="19"/>
      <c r="B108" s="20" t="s">
        <v>130</v>
      </c>
      <c r="C108" s="3" t="s">
        <v>114</v>
      </c>
      <c r="D108" s="23">
        <f>B105+6</f>
        <v>1203</v>
      </c>
      <c r="E108" s="24">
        <f>B103*2</f>
        <v>2</v>
      </c>
      <c r="F108" s="250">
        <f>E108*D108</f>
        <v>2406</v>
      </c>
      <c r="G108" s="253">
        <f>'COSTOS PVC'!L$20</f>
        <v>36045.75</v>
      </c>
      <c r="H108" s="252">
        <f>G108/6000</f>
        <v>6.007625</v>
      </c>
      <c r="I108" s="253">
        <f t="shared" ref="I108:I119" si="10">H108*F108</f>
        <v>14454.34575</v>
      </c>
    </row>
    <row r="109" spans="1:10" hidden="1" outlineLevel="1" x14ac:dyDescent="0.25">
      <c r="A109" s="19"/>
      <c r="B109" s="20" t="s">
        <v>130</v>
      </c>
      <c r="C109" s="3" t="s">
        <v>115</v>
      </c>
      <c r="D109" s="23">
        <f>B106+6</f>
        <v>1108</v>
      </c>
      <c r="E109" s="24">
        <f>B103*2</f>
        <v>2</v>
      </c>
      <c r="F109" s="249">
        <f>E109*D109</f>
        <v>2216</v>
      </c>
      <c r="G109" s="231">
        <f>'COSTOS PVC'!L$20</f>
        <v>36045.75</v>
      </c>
      <c r="H109" s="245">
        <f t="shared" ref="H109:H119" si="11">G109/6000</f>
        <v>6.007625</v>
      </c>
      <c r="I109" s="227">
        <f t="shared" si="10"/>
        <v>13312.897000000001</v>
      </c>
    </row>
    <row r="110" spans="1:10" hidden="1" outlineLevel="1" x14ac:dyDescent="0.25">
      <c r="A110" s="19"/>
      <c r="B110" s="20" t="s">
        <v>131</v>
      </c>
      <c r="C110" s="3" t="s">
        <v>132</v>
      </c>
      <c r="D110" s="23">
        <f>(B105/2-3)+2</f>
        <v>597.5</v>
      </c>
      <c r="E110" s="24">
        <f>B103*4</f>
        <v>4</v>
      </c>
      <c r="F110" s="249">
        <f t="shared" ref="F110:F119" si="12">E110*D110</f>
        <v>2390</v>
      </c>
      <c r="G110" s="231">
        <f>'COSTOS PVC'!L$22</f>
        <v>46707</v>
      </c>
      <c r="H110" s="245">
        <f t="shared" si="11"/>
        <v>7.7845000000000004</v>
      </c>
      <c r="I110" s="227">
        <f t="shared" si="10"/>
        <v>18604.955000000002</v>
      </c>
    </row>
    <row r="111" spans="1:10" hidden="1" outlineLevel="1" x14ac:dyDescent="0.25">
      <c r="A111" s="19"/>
      <c r="B111" s="20" t="s">
        <v>131</v>
      </c>
      <c r="C111" s="3" t="s">
        <v>133</v>
      </c>
      <c r="D111" s="282">
        <f>B106-84</f>
        <v>1018</v>
      </c>
      <c r="E111" s="24">
        <f>B103*4</f>
        <v>4</v>
      </c>
      <c r="F111" s="249">
        <f t="shared" si="12"/>
        <v>4072</v>
      </c>
      <c r="G111" s="231">
        <f>'COSTOS PVC'!L$22</f>
        <v>46707</v>
      </c>
      <c r="H111" s="245">
        <f t="shared" si="11"/>
        <v>7.7845000000000004</v>
      </c>
      <c r="I111" s="227">
        <f t="shared" si="10"/>
        <v>31698.484</v>
      </c>
    </row>
    <row r="112" spans="1:10" hidden="1" outlineLevel="1" x14ac:dyDescent="0.25">
      <c r="A112" s="19"/>
      <c r="B112" s="20" t="s">
        <v>134</v>
      </c>
      <c r="C112" s="3" t="s">
        <v>117</v>
      </c>
      <c r="D112" s="23">
        <f>B105/2-133</f>
        <v>465.5</v>
      </c>
      <c r="E112" s="24">
        <f>B103*4</f>
        <v>4</v>
      </c>
      <c r="F112" s="249">
        <f t="shared" si="12"/>
        <v>1862</v>
      </c>
      <c r="G112" s="231">
        <f>'COSTOS PVC'!L$25</f>
        <v>9652.5</v>
      </c>
      <c r="H112" s="245">
        <f t="shared" si="11"/>
        <v>1.6087499999999999</v>
      </c>
      <c r="I112" s="227">
        <f t="shared" si="10"/>
        <v>2995.4924999999998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882</v>
      </c>
      <c r="E113" s="24">
        <f>B103*4</f>
        <v>4</v>
      </c>
      <c r="F113" s="249">
        <f t="shared" si="12"/>
        <v>3528</v>
      </c>
      <c r="G113" s="231">
        <f>'COSTOS PVC'!L$25</f>
        <v>9652.5</v>
      </c>
      <c r="H113" s="245">
        <f t="shared" si="11"/>
        <v>1.6087499999999999</v>
      </c>
      <c r="I113" s="227">
        <f t="shared" si="10"/>
        <v>5675.67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1120</v>
      </c>
      <c r="E114" s="24">
        <f>B103*2</f>
        <v>2</v>
      </c>
      <c r="F114" s="249">
        <f t="shared" si="12"/>
        <v>2240</v>
      </c>
      <c r="G114" s="231">
        <f>'COSTOS PVC'!L$21</f>
        <v>9824.25</v>
      </c>
      <c r="H114" s="245">
        <f t="shared" si="11"/>
        <v>1.637375</v>
      </c>
      <c r="I114" s="227">
        <f t="shared" si="10"/>
        <v>3667.7200000000003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1008</v>
      </c>
      <c r="E115" s="24">
        <f>B103*2</f>
        <v>2</v>
      </c>
      <c r="F115" s="249">
        <f t="shared" si="12"/>
        <v>2016</v>
      </c>
      <c r="G115" s="231">
        <f>'COSTOS PVC'!L$27</f>
        <v>19087.5</v>
      </c>
      <c r="H115" s="245">
        <f t="shared" si="11"/>
        <v>3.1812499999999999</v>
      </c>
      <c r="I115" s="227">
        <f t="shared" si="10"/>
        <v>6413.4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1103</v>
      </c>
      <c r="E116" s="24">
        <f>B103*2</f>
        <v>2</v>
      </c>
      <c r="F116" s="249">
        <f t="shared" si="12"/>
        <v>2206</v>
      </c>
      <c r="G116" s="231">
        <f>'COSTOS PVC'!L$23</f>
        <v>7005.75</v>
      </c>
      <c r="H116" s="245">
        <f t="shared" si="11"/>
        <v>1.1676249999999999</v>
      </c>
      <c r="I116" s="227">
        <f t="shared" si="10"/>
        <v>2575.7807499999999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1008</v>
      </c>
      <c r="E117" s="24">
        <f>B103*2</f>
        <v>2</v>
      </c>
      <c r="F117" s="249">
        <f t="shared" si="12"/>
        <v>2016</v>
      </c>
      <c r="G117" s="231">
        <f>'COSTOS PVC'!L$23</f>
        <v>7005.75</v>
      </c>
      <c r="H117" s="245">
        <f t="shared" si="11"/>
        <v>1.1676249999999999</v>
      </c>
      <c r="I117" s="227">
        <f t="shared" si="10"/>
        <v>2353.9319999999998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408.5</v>
      </c>
      <c r="E118" s="24">
        <f>B103*4</f>
        <v>4</v>
      </c>
      <c r="F118" s="249">
        <f t="shared" si="12"/>
        <v>1634</v>
      </c>
      <c r="G118" s="231">
        <f>'COSTOS PVC'!L$24</f>
        <v>7965</v>
      </c>
      <c r="H118" s="245">
        <f t="shared" si="11"/>
        <v>1.3274999999999999</v>
      </c>
      <c r="I118" s="227">
        <f t="shared" si="10"/>
        <v>2169.1349999999998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825</v>
      </c>
      <c r="E119" s="24">
        <f>B103*4</f>
        <v>4</v>
      </c>
      <c r="F119" s="249">
        <f t="shared" si="12"/>
        <v>3300</v>
      </c>
      <c r="G119" s="231">
        <f>'COSTOS PVC'!L$24</f>
        <v>7965</v>
      </c>
      <c r="H119" s="245">
        <f t="shared" si="11"/>
        <v>1.3274999999999999</v>
      </c>
      <c r="I119" s="227">
        <f t="shared" si="10"/>
        <v>4380.75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13.190939999999999</v>
      </c>
      <c r="E121" s="281" t="s">
        <v>90</v>
      </c>
      <c r="F121" s="352">
        <f>'COSTOS PVC'!L$31</f>
        <v>131.99250000000001</v>
      </c>
      <c r="G121" s="253">
        <f>F121*D121</f>
        <v>1741.1051479499999</v>
      </c>
      <c r="H121" s="40" t="s">
        <v>91</v>
      </c>
      <c r="I121" s="254">
        <f>SUM(G121:G125)</f>
        <v>22340.080147950001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2</v>
      </c>
      <c r="E122" s="24" t="s">
        <v>93</v>
      </c>
      <c r="F122" s="351">
        <f>'COSTOS PVC'!L$29</f>
        <v>3042</v>
      </c>
      <c r="G122" s="227">
        <f>F122*D122</f>
        <v>6084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4</v>
      </c>
      <c r="E123" s="24" t="s">
        <v>93</v>
      </c>
      <c r="F123" s="351">
        <f>'COSTOS PVC'!L$30</f>
        <v>2271</v>
      </c>
      <c r="G123" s="227">
        <f>F123*D123</f>
        <v>9084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2</v>
      </c>
      <c r="E124" s="24" t="s">
        <v>93</v>
      </c>
      <c r="F124" s="351">
        <f>'COSTOS PVC'!L$28</f>
        <v>2167.5</v>
      </c>
      <c r="G124" s="227">
        <f>F124*D124</f>
        <v>4335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2</v>
      </c>
      <c r="E125" s="24" t="s">
        <v>93</v>
      </c>
      <c r="F125" s="351">
        <f>'COSTOS PVC'!L$32</f>
        <v>547.98749999999995</v>
      </c>
      <c r="G125" s="227">
        <f>F125*D125</f>
        <v>1095.9749999999999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2</v>
      </c>
      <c r="C127" s="283">
        <f>(B105/2)-136</f>
        <v>462.5</v>
      </c>
      <c r="D127" s="283">
        <f>B106-224</f>
        <v>878</v>
      </c>
      <c r="E127" s="255">
        <f>D$4</f>
        <v>26996</v>
      </c>
      <c r="F127" s="256">
        <f>E127*B128</f>
        <v>21924.8014</v>
      </c>
      <c r="I127" s="231"/>
    </row>
    <row r="128" spans="1:9" hidden="1" outlineLevel="1" x14ac:dyDescent="0.25">
      <c r="A128" s="6" t="s">
        <v>99</v>
      </c>
      <c r="B128" s="41">
        <f>(B127*C127*D127)/1000000</f>
        <v>0.81215000000000004</v>
      </c>
      <c r="I128" s="231"/>
    </row>
    <row r="129" spans="1:10" collapsed="1" x14ac:dyDescent="0.25"/>
    <row r="130" spans="1:10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10" ht="15.95" customHeight="1" x14ac:dyDescent="0.25">
      <c r="A131" s="4" t="s">
        <v>62</v>
      </c>
      <c r="B131" s="384" t="s">
        <v>154</v>
      </c>
      <c r="C131" s="384"/>
      <c r="D131" s="384"/>
      <c r="E131" s="384"/>
      <c r="F131" s="236"/>
      <c r="I131" s="231"/>
    </row>
    <row r="132" spans="1:10" x14ac:dyDescent="0.25">
      <c r="A132" s="5"/>
      <c r="B132" s="384"/>
      <c r="C132" s="384"/>
      <c r="D132" s="384"/>
      <c r="E132" s="384"/>
      <c r="F132" s="236"/>
      <c r="I132" s="231"/>
    </row>
    <row r="133" spans="1:10" x14ac:dyDescent="0.25">
      <c r="A133" s="240" t="s">
        <v>64</v>
      </c>
      <c r="B133" s="239">
        <v>1</v>
      </c>
      <c r="C133" s="8"/>
      <c r="D133" s="8"/>
      <c r="E133" s="8"/>
      <c r="F133" s="236"/>
      <c r="H133" t="s">
        <v>65</v>
      </c>
      <c r="I133" s="232">
        <f>SUM(I138:I149)</f>
        <v>123611.28199999996</v>
      </c>
    </row>
    <row r="134" spans="1:10" x14ac:dyDescent="0.25">
      <c r="A134" s="241" t="s">
        <v>66</v>
      </c>
      <c r="B134" s="242">
        <f>(B135*B136)/1000000*B133</f>
        <v>1.7519089999999999</v>
      </c>
      <c r="C134" s="11" t="s">
        <v>67</v>
      </c>
      <c r="D134" s="12"/>
      <c r="E134" s="12"/>
      <c r="F134" s="12"/>
      <c r="H134" t="s">
        <v>68</v>
      </c>
      <c r="I134" s="246">
        <f>F157</f>
        <v>31226.948100000001</v>
      </c>
    </row>
    <row r="135" spans="1:10" ht="18" x14ac:dyDescent="0.4">
      <c r="A135" s="243" t="s">
        <v>69</v>
      </c>
      <c r="B135" s="14">
        <v>1597</v>
      </c>
      <c r="F135" s="15"/>
      <c r="H135" t="s">
        <v>70</v>
      </c>
      <c r="I135" s="247">
        <f>I151</f>
        <v>22911.363486824997</v>
      </c>
    </row>
    <row r="136" spans="1:10" x14ac:dyDescent="0.25">
      <c r="A136" s="244" t="s">
        <v>71</v>
      </c>
      <c r="B136" s="17">
        <v>1097</v>
      </c>
      <c r="H136" t="s">
        <v>36</v>
      </c>
      <c r="I136" s="248">
        <f>SUM(I133:I135)</f>
        <v>177749.59358682495</v>
      </c>
      <c r="J136" s="232"/>
    </row>
    <row r="137" spans="1:10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10" hidden="1" outlineLevel="1" x14ac:dyDescent="0.25">
      <c r="A138" s="19"/>
      <c r="B138" s="20" t="s">
        <v>130</v>
      </c>
      <c r="C138" s="3" t="s">
        <v>114</v>
      </c>
      <c r="D138" s="23">
        <f>B135+6</f>
        <v>1603</v>
      </c>
      <c r="E138" s="24">
        <f>B133*2</f>
        <v>2</v>
      </c>
      <c r="F138" s="250">
        <f>E138*D138</f>
        <v>3206</v>
      </c>
      <c r="G138" s="253">
        <f>'COSTOS PVC'!L$20</f>
        <v>36045.75</v>
      </c>
      <c r="H138" s="252">
        <f>G138/6000</f>
        <v>6.007625</v>
      </c>
      <c r="I138" s="253">
        <f t="shared" ref="I138:I149" si="13">H138*F138</f>
        <v>19260.445749999999</v>
      </c>
    </row>
    <row r="139" spans="1:10" hidden="1" outlineLevel="1" x14ac:dyDescent="0.25">
      <c r="A139" s="19"/>
      <c r="B139" s="20" t="s">
        <v>130</v>
      </c>
      <c r="C139" s="3" t="s">
        <v>115</v>
      </c>
      <c r="D139" s="23">
        <f>B136+6</f>
        <v>1103</v>
      </c>
      <c r="E139" s="24">
        <f>B133*2</f>
        <v>2</v>
      </c>
      <c r="F139" s="249">
        <f>E139*D139</f>
        <v>2206</v>
      </c>
      <c r="G139" s="231">
        <f>'COSTOS PVC'!L$20</f>
        <v>36045.75</v>
      </c>
      <c r="H139" s="245">
        <f t="shared" ref="H139:H149" si="14">G139/6000</f>
        <v>6.007625</v>
      </c>
      <c r="I139" s="227">
        <f t="shared" si="13"/>
        <v>13252.820750000001</v>
      </c>
    </row>
    <row r="140" spans="1:10" hidden="1" outlineLevel="1" x14ac:dyDescent="0.25">
      <c r="A140" s="19"/>
      <c r="B140" s="20" t="s">
        <v>131</v>
      </c>
      <c r="C140" s="3" t="s">
        <v>132</v>
      </c>
      <c r="D140" s="23">
        <f>(B135/2-3)+2</f>
        <v>797.5</v>
      </c>
      <c r="E140" s="24">
        <f>B133*4</f>
        <v>4</v>
      </c>
      <c r="F140" s="249">
        <f t="shared" ref="F140:F149" si="15">E140*D140</f>
        <v>3190</v>
      </c>
      <c r="G140" s="231">
        <f>'COSTOS PVC'!L$22</f>
        <v>46707</v>
      </c>
      <c r="H140" s="245">
        <f t="shared" si="14"/>
        <v>7.7845000000000004</v>
      </c>
      <c r="I140" s="227">
        <f t="shared" si="13"/>
        <v>24832.555</v>
      </c>
    </row>
    <row r="141" spans="1:10" hidden="1" outlineLevel="1" x14ac:dyDescent="0.25">
      <c r="A141" s="19"/>
      <c r="B141" s="20" t="s">
        <v>131</v>
      </c>
      <c r="C141" s="3" t="s">
        <v>133</v>
      </c>
      <c r="D141" s="282">
        <f>B136-84</f>
        <v>1013</v>
      </c>
      <c r="E141" s="24">
        <f>B133*4</f>
        <v>4</v>
      </c>
      <c r="F141" s="249">
        <f t="shared" si="15"/>
        <v>4052</v>
      </c>
      <c r="G141" s="231">
        <f>'COSTOS PVC'!L$22</f>
        <v>46707</v>
      </c>
      <c r="H141" s="245">
        <f t="shared" si="14"/>
        <v>7.7845000000000004</v>
      </c>
      <c r="I141" s="227">
        <f t="shared" si="13"/>
        <v>31542.794000000002</v>
      </c>
    </row>
    <row r="142" spans="1:10" hidden="1" outlineLevel="1" x14ac:dyDescent="0.25">
      <c r="A142" s="19"/>
      <c r="B142" s="20" t="s">
        <v>134</v>
      </c>
      <c r="C142" s="3" t="s">
        <v>117</v>
      </c>
      <c r="D142" s="23">
        <f>B135/2-133</f>
        <v>665.5</v>
      </c>
      <c r="E142" s="24">
        <f>B133*4</f>
        <v>4</v>
      </c>
      <c r="F142" s="249">
        <f t="shared" si="15"/>
        <v>2662</v>
      </c>
      <c r="G142" s="231">
        <f>'COSTOS PVC'!L$25</f>
        <v>9652.5</v>
      </c>
      <c r="H142" s="245">
        <f t="shared" si="14"/>
        <v>1.6087499999999999</v>
      </c>
      <c r="I142" s="227">
        <f t="shared" si="13"/>
        <v>4282.4924999999994</v>
      </c>
    </row>
    <row r="143" spans="1:10" hidden="1" outlineLevel="1" x14ac:dyDescent="0.25">
      <c r="A143" s="19"/>
      <c r="B143" s="20" t="s">
        <v>134</v>
      </c>
      <c r="C143" s="3" t="s">
        <v>117</v>
      </c>
      <c r="D143" s="23">
        <f>B136-220</f>
        <v>877</v>
      </c>
      <c r="E143" s="24">
        <f>B133*4</f>
        <v>4</v>
      </c>
      <c r="F143" s="249">
        <f t="shared" si="15"/>
        <v>3508</v>
      </c>
      <c r="G143" s="231">
        <f>'COSTOS PVC'!L$25</f>
        <v>9652.5</v>
      </c>
      <c r="H143" s="245">
        <f t="shared" si="14"/>
        <v>1.6087499999999999</v>
      </c>
      <c r="I143" s="227">
        <f t="shared" si="13"/>
        <v>5643.4949999999999</v>
      </c>
    </row>
    <row r="144" spans="1:10" hidden="1" outlineLevel="1" x14ac:dyDescent="0.25">
      <c r="A144" s="19"/>
      <c r="B144" s="20" t="s">
        <v>135</v>
      </c>
      <c r="C144" s="3" t="s">
        <v>136</v>
      </c>
      <c r="D144" s="282">
        <f>B135-77</f>
        <v>1520</v>
      </c>
      <c r="E144" s="24">
        <f>B133*2</f>
        <v>2</v>
      </c>
      <c r="F144" s="249">
        <f t="shared" si="15"/>
        <v>3040</v>
      </c>
      <c r="G144" s="231">
        <f>'COSTOS PVC'!L$21</f>
        <v>9824.25</v>
      </c>
      <c r="H144" s="245">
        <f t="shared" si="14"/>
        <v>1.637375</v>
      </c>
      <c r="I144" s="227">
        <f t="shared" si="13"/>
        <v>4977.62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1003</v>
      </c>
      <c r="E145" s="24">
        <f>B133*2</f>
        <v>2</v>
      </c>
      <c r="F145" s="249">
        <f t="shared" si="15"/>
        <v>2006</v>
      </c>
      <c r="G145" s="231">
        <f>'COSTOS PVC'!L$27</f>
        <v>19087.5</v>
      </c>
      <c r="H145" s="245">
        <f t="shared" si="14"/>
        <v>3.1812499999999999</v>
      </c>
      <c r="I145" s="227">
        <f t="shared" si="13"/>
        <v>6381.5874999999996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1503</v>
      </c>
      <c r="E146" s="24">
        <f>B133*2</f>
        <v>2</v>
      </c>
      <c r="F146" s="249">
        <f t="shared" si="15"/>
        <v>3006</v>
      </c>
      <c r="G146" s="231">
        <f>'COSTOS PVC'!L$23</f>
        <v>7005.75</v>
      </c>
      <c r="H146" s="245">
        <f t="shared" si="14"/>
        <v>1.1676249999999999</v>
      </c>
      <c r="I146" s="227">
        <f t="shared" si="13"/>
        <v>3509.8807499999998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1003</v>
      </c>
      <c r="E147" s="24">
        <f>B133*2</f>
        <v>2</v>
      </c>
      <c r="F147" s="249">
        <f t="shared" si="15"/>
        <v>2006</v>
      </c>
      <c r="G147" s="231">
        <f>'COSTOS PVC'!L$23</f>
        <v>7005.75</v>
      </c>
      <c r="H147" s="245">
        <f t="shared" si="14"/>
        <v>1.1676249999999999</v>
      </c>
      <c r="I147" s="227">
        <f t="shared" si="13"/>
        <v>2342.2557499999998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608.5</v>
      </c>
      <c r="E148" s="24">
        <f>B133*4</f>
        <v>4</v>
      </c>
      <c r="F148" s="249">
        <f t="shared" si="15"/>
        <v>2434</v>
      </c>
      <c r="G148" s="231">
        <f>'COSTOS PVC'!L$24</f>
        <v>7965</v>
      </c>
      <c r="H148" s="245">
        <f t="shared" si="14"/>
        <v>1.3274999999999999</v>
      </c>
      <c r="I148" s="227">
        <f t="shared" si="13"/>
        <v>3231.1349999999998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820</v>
      </c>
      <c r="E149" s="24">
        <f>B133*4</f>
        <v>4</v>
      </c>
      <c r="F149" s="249">
        <f t="shared" si="15"/>
        <v>3280</v>
      </c>
      <c r="G149" s="231">
        <f>'COSTOS PVC'!L$24</f>
        <v>7965</v>
      </c>
      <c r="H149" s="245">
        <f t="shared" si="14"/>
        <v>1.3274999999999999</v>
      </c>
      <c r="I149" s="227">
        <f t="shared" si="13"/>
        <v>4354.2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17.519089999999998</v>
      </c>
      <c r="E151" s="281" t="s">
        <v>90</v>
      </c>
      <c r="F151" s="352">
        <f>'COSTOS PVC'!L$31</f>
        <v>131.99250000000001</v>
      </c>
      <c r="G151" s="253">
        <f>F151*D151</f>
        <v>2312.3884868249997</v>
      </c>
      <c r="H151" s="40" t="s">
        <v>91</v>
      </c>
      <c r="I151" s="254">
        <f>SUM(G151:G155)</f>
        <v>22911.363486824997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2</v>
      </c>
      <c r="E152" s="24" t="s">
        <v>93</v>
      </c>
      <c r="F152" s="351">
        <f>'COSTOS PVC'!L$29</f>
        <v>3042</v>
      </c>
      <c r="G152" s="227">
        <f>F152*D152</f>
        <v>6084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4</v>
      </c>
      <c r="E153" s="24" t="s">
        <v>93</v>
      </c>
      <c r="F153" s="351">
        <f>'COSTOS PVC'!L$30</f>
        <v>2271</v>
      </c>
      <c r="G153" s="227">
        <f>F153*D153</f>
        <v>9084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2</v>
      </c>
      <c r="E154" s="24" t="s">
        <v>93</v>
      </c>
      <c r="F154" s="351">
        <f>'COSTOS PVC'!L$28</f>
        <v>2167.5</v>
      </c>
      <c r="G154" s="227">
        <f>F154*D154</f>
        <v>4335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2</v>
      </c>
      <c r="E155" s="24" t="s">
        <v>93</v>
      </c>
      <c r="F155" s="351">
        <f>'COSTOS PVC'!L$32</f>
        <v>547.98749999999995</v>
      </c>
      <c r="G155" s="227">
        <f>F155*D155</f>
        <v>1095.9749999999999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2</v>
      </c>
      <c r="C157" s="283">
        <f>(B135/2)-136</f>
        <v>662.5</v>
      </c>
      <c r="D157" s="283">
        <f>B136-224</f>
        <v>873</v>
      </c>
      <c r="E157" s="255">
        <f>D$4</f>
        <v>26996</v>
      </c>
      <c r="F157" s="256">
        <f>E157*B158</f>
        <v>31226.948100000001</v>
      </c>
      <c r="I157" s="231"/>
    </row>
    <row r="158" spans="1:9" hidden="1" outlineLevel="1" x14ac:dyDescent="0.25">
      <c r="A158" s="6" t="s">
        <v>99</v>
      </c>
      <c r="B158" s="41">
        <f>(B157*C157*D157)/1000000</f>
        <v>1.156725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11" ht="15.95" customHeight="1" x14ac:dyDescent="0.25">
      <c r="A161" s="4" t="s">
        <v>62</v>
      </c>
      <c r="B161" s="384" t="s">
        <v>154</v>
      </c>
      <c r="C161" s="384"/>
      <c r="D161" s="384"/>
      <c r="E161" s="384"/>
      <c r="F161" s="236"/>
      <c r="I161" s="231"/>
    </row>
    <row r="162" spans="1:11" x14ac:dyDescent="0.25">
      <c r="A162" s="5"/>
      <c r="B162" s="384"/>
      <c r="C162" s="384"/>
      <c r="D162" s="384"/>
      <c r="E162" s="384"/>
      <c r="F162" s="236"/>
      <c r="I162" s="231"/>
    </row>
    <row r="163" spans="1:11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SUM(I168:I179)*1.1</f>
        <v>0</v>
      </c>
      <c r="J163" s="232">
        <f>I163*(1+G$7)</f>
        <v>0</v>
      </c>
    </row>
    <row r="164" spans="1:11" x14ac:dyDescent="0.25">
      <c r="A164" s="241" t="s">
        <v>66</v>
      </c>
      <c r="B164" s="242">
        <f>(B165*B166)/1000000*B163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  <c r="J164" s="246">
        <f>I164*(1+G$7)</f>
        <v>0</v>
      </c>
    </row>
    <row r="165" spans="1:11" ht="18" x14ac:dyDescent="0.4">
      <c r="A165" s="243" t="s">
        <v>69</v>
      </c>
      <c r="B165" s="14">
        <v>1940</v>
      </c>
      <c r="F165" s="15"/>
      <c r="H165" t="s">
        <v>70</v>
      </c>
      <c r="I165" s="247">
        <f>I181</f>
        <v>0</v>
      </c>
      <c r="J165" s="247">
        <f>I165*(1+G$7)</f>
        <v>0</v>
      </c>
    </row>
    <row r="166" spans="1:11" x14ac:dyDescent="0.25">
      <c r="A166" s="244" t="s">
        <v>71</v>
      </c>
      <c r="B166" s="17">
        <v>2000</v>
      </c>
      <c r="H166" t="s">
        <v>36</v>
      </c>
      <c r="I166" s="248">
        <f>SUM(I163:I165)</f>
        <v>0</v>
      </c>
      <c r="J166" s="248">
        <f>SUM(J163:J165)</f>
        <v>0</v>
      </c>
      <c r="K166" s="227">
        <f>J166*1.19</f>
        <v>0</v>
      </c>
    </row>
    <row r="167" spans="1:11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11" hidden="1" outlineLevel="1" x14ac:dyDescent="0.25">
      <c r="A168" s="19"/>
      <c r="B168" s="20" t="s">
        <v>130</v>
      </c>
      <c r="C168" s="3" t="s">
        <v>114</v>
      </c>
      <c r="D168" s="23">
        <f>B165+6</f>
        <v>1946</v>
      </c>
      <c r="E168" s="24">
        <f>B163*2</f>
        <v>0</v>
      </c>
      <c r="F168" s="250">
        <f>E168*D168</f>
        <v>0</v>
      </c>
      <c r="G168" s="253">
        <f>'COSTOS PVC'!L$20</f>
        <v>36045.75</v>
      </c>
      <c r="H168" s="252">
        <f>G168/6000</f>
        <v>6.007625</v>
      </c>
      <c r="I168" s="253">
        <f t="shared" ref="I168:I179" si="16">H168*F168</f>
        <v>0</v>
      </c>
    </row>
    <row r="169" spans="1:11" hidden="1" outlineLevel="1" x14ac:dyDescent="0.25">
      <c r="A169" s="19"/>
      <c r="B169" s="20" t="s">
        <v>130</v>
      </c>
      <c r="C169" s="3" t="s">
        <v>115</v>
      </c>
      <c r="D169" s="23">
        <f>B166+6</f>
        <v>2006</v>
      </c>
      <c r="E169" s="24">
        <f>B163*2</f>
        <v>0</v>
      </c>
      <c r="F169" s="249">
        <f>E169*D169</f>
        <v>0</v>
      </c>
      <c r="G169" s="231">
        <f>'COSTOS PVC'!L$20</f>
        <v>36045.75</v>
      </c>
      <c r="H169" s="245">
        <f t="shared" ref="H169:H179" si="17">G169/6000</f>
        <v>6.007625</v>
      </c>
      <c r="I169" s="227">
        <f t="shared" si="16"/>
        <v>0</v>
      </c>
    </row>
    <row r="170" spans="1:11" hidden="1" outlineLevel="1" x14ac:dyDescent="0.25">
      <c r="A170" s="19"/>
      <c r="B170" s="20" t="s">
        <v>131</v>
      </c>
      <c r="C170" s="3" t="s">
        <v>132</v>
      </c>
      <c r="D170" s="23">
        <f>(B165/2-3)+2</f>
        <v>969</v>
      </c>
      <c r="E170" s="24">
        <f>B163*4</f>
        <v>0</v>
      </c>
      <c r="F170" s="249">
        <f t="shared" ref="F170:F179" si="18">E170*D170</f>
        <v>0</v>
      </c>
      <c r="G170" s="231">
        <f>'COSTOS PVC'!L$22</f>
        <v>46707</v>
      </c>
      <c r="H170" s="245">
        <f t="shared" si="17"/>
        <v>7.7845000000000004</v>
      </c>
      <c r="I170" s="227">
        <f t="shared" si="16"/>
        <v>0</v>
      </c>
    </row>
    <row r="171" spans="1:11" hidden="1" outlineLevel="1" x14ac:dyDescent="0.25">
      <c r="A171" s="19"/>
      <c r="B171" s="20" t="s">
        <v>131</v>
      </c>
      <c r="C171" s="3" t="s">
        <v>133</v>
      </c>
      <c r="D171" s="282">
        <f>B166-84</f>
        <v>1916</v>
      </c>
      <c r="E171" s="24">
        <f>B163*4</f>
        <v>0</v>
      </c>
      <c r="F171" s="249">
        <f t="shared" si="18"/>
        <v>0</v>
      </c>
      <c r="G171" s="231">
        <f>'COSTOS PVC'!L$22</f>
        <v>46707</v>
      </c>
      <c r="H171" s="245">
        <f t="shared" si="17"/>
        <v>7.7845000000000004</v>
      </c>
      <c r="I171" s="227">
        <f t="shared" si="16"/>
        <v>0</v>
      </c>
    </row>
    <row r="172" spans="1:11" hidden="1" outlineLevel="1" x14ac:dyDescent="0.25">
      <c r="A172" s="19"/>
      <c r="B172" s="20" t="s">
        <v>134</v>
      </c>
      <c r="C172" s="3" t="s">
        <v>117</v>
      </c>
      <c r="D172" s="23">
        <f>B165/2-133</f>
        <v>837</v>
      </c>
      <c r="E172" s="24">
        <f>B163*4</f>
        <v>0</v>
      </c>
      <c r="F172" s="249">
        <f t="shared" si="18"/>
        <v>0</v>
      </c>
      <c r="G172" s="231">
        <f>'COSTOS PVC'!L$25</f>
        <v>9652.5</v>
      </c>
      <c r="H172" s="245">
        <f t="shared" si="17"/>
        <v>1.6087499999999999</v>
      </c>
      <c r="I172" s="227">
        <f t="shared" si="16"/>
        <v>0</v>
      </c>
    </row>
    <row r="173" spans="1:11" hidden="1" outlineLevel="1" x14ac:dyDescent="0.25">
      <c r="A173" s="19"/>
      <c r="B173" s="20" t="s">
        <v>134</v>
      </c>
      <c r="C173" s="3" t="s">
        <v>117</v>
      </c>
      <c r="D173" s="23">
        <f>B166-220</f>
        <v>1780</v>
      </c>
      <c r="E173" s="24">
        <f>B163*4</f>
        <v>0</v>
      </c>
      <c r="F173" s="249">
        <f t="shared" si="18"/>
        <v>0</v>
      </c>
      <c r="G173" s="231">
        <f>'COSTOS PVC'!L$25</f>
        <v>9652.5</v>
      </c>
      <c r="H173" s="245">
        <f t="shared" si="17"/>
        <v>1.6087499999999999</v>
      </c>
      <c r="I173" s="227">
        <f t="shared" si="16"/>
        <v>0</v>
      </c>
    </row>
    <row r="174" spans="1:11" hidden="1" outlineLevel="1" x14ac:dyDescent="0.25">
      <c r="A174" s="19"/>
      <c r="B174" s="20" t="s">
        <v>135</v>
      </c>
      <c r="C174" s="3" t="s">
        <v>136</v>
      </c>
      <c r="D174" s="282">
        <f>B165-77</f>
        <v>1863</v>
      </c>
      <c r="E174" s="24">
        <f>B163*2</f>
        <v>0</v>
      </c>
      <c r="F174" s="249">
        <f t="shared" si="18"/>
        <v>0</v>
      </c>
      <c r="G174" s="231">
        <f>'COSTOS PVC'!L$21</f>
        <v>9824.25</v>
      </c>
      <c r="H174" s="245">
        <f t="shared" si="17"/>
        <v>1.637375</v>
      </c>
      <c r="I174" s="227">
        <f t="shared" si="16"/>
        <v>0</v>
      </c>
    </row>
    <row r="175" spans="1:11" hidden="1" outlineLevel="1" x14ac:dyDescent="0.25">
      <c r="A175" s="19"/>
      <c r="B175" s="20" t="s">
        <v>137</v>
      </c>
      <c r="C175" s="3" t="s">
        <v>138</v>
      </c>
      <c r="D175" s="23">
        <f>B166-94</f>
        <v>1906</v>
      </c>
      <c r="E175" s="24">
        <f>B163*2</f>
        <v>0</v>
      </c>
      <c r="F175" s="249">
        <f t="shared" si="18"/>
        <v>0</v>
      </c>
      <c r="G175" s="231">
        <f>'COSTOS PVC'!L$27</f>
        <v>19087.5</v>
      </c>
      <c r="H175" s="245">
        <f t="shared" si="17"/>
        <v>3.1812499999999999</v>
      </c>
      <c r="I175" s="227">
        <f t="shared" si="16"/>
        <v>0</v>
      </c>
    </row>
    <row r="176" spans="1:11" hidden="1" outlineLevel="1" x14ac:dyDescent="0.25">
      <c r="A176" s="19"/>
      <c r="B176" s="20" t="s">
        <v>139</v>
      </c>
      <c r="C176" s="3" t="s">
        <v>140</v>
      </c>
      <c r="D176" s="23">
        <f>B165-94</f>
        <v>1846</v>
      </c>
      <c r="E176" s="24">
        <f>B163*2</f>
        <v>0</v>
      </c>
      <c r="F176" s="249">
        <f t="shared" si="18"/>
        <v>0</v>
      </c>
      <c r="G176" s="231">
        <f>'COSTOS PVC'!L$23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1906</v>
      </c>
      <c r="E177" s="24">
        <f>B163*2</f>
        <v>0</v>
      </c>
      <c r="F177" s="249">
        <f t="shared" si="18"/>
        <v>0</v>
      </c>
      <c r="G177" s="231">
        <f>'COSTOS PVC'!L$23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780</v>
      </c>
      <c r="E178" s="24">
        <f>B163*4</f>
        <v>0</v>
      </c>
      <c r="F178" s="249">
        <f t="shared" si="18"/>
        <v>0</v>
      </c>
      <c r="G178" s="231">
        <f>'COSTOS PVC'!L$24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1723</v>
      </c>
      <c r="E179" s="24">
        <f>B163*4</f>
        <v>0</v>
      </c>
      <c r="F179" s="249">
        <f t="shared" si="18"/>
        <v>0</v>
      </c>
      <c r="G179" s="231">
        <f>'COSTOS PVC'!L$24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PVC'!L$31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PVC'!L$29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PVC'!L$30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PVC'!L$28</f>
        <v>2167.5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PVC'!L$32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834</v>
      </c>
      <c r="D187" s="283">
        <f>B166-224</f>
        <v>1776</v>
      </c>
      <c r="E187" s="255">
        <f>D$4</f>
        <v>26996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154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(B195*B196)/1000000*B193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PVC'!L$20</f>
        <v>36045.75</v>
      </c>
      <c r="H198" s="252">
        <f>G198/6000</f>
        <v>6.007625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PVC'!L$20</f>
        <v>36045.75</v>
      </c>
      <c r="H199" s="245">
        <f t="shared" ref="H199:H209" si="20">G199/6000</f>
        <v>6.007625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PVC'!L$22</f>
        <v>46707</v>
      </c>
      <c r="H200" s="245">
        <f t="shared" si="20"/>
        <v>7.7845000000000004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PVC'!L$22</f>
        <v>46707</v>
      </c>
      <c r="H201" s="245">
        <f t="shared" si="20"/>
        <v>7.7845000000000004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PVC'!L$25</f>
        <v>9652.5</v>
      </c>
      <c r="H202" s="245">
        <f t="shared" si="20"/>
        <v>1.6087499999999999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PVC'!L$25</f>
        <v>9652.5</v>
      </c>
      <c r="H203" s="245">
        <f t="shared" si="20"/>
        <v>1.6087499999999999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PVC'!L$21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PVC'!L$27</f>
        <v>19087.5</v>
      </c>
      <c r="H205" s="245">
        <f t="shared" si="20"/>
        <v>3.1812499999999999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PVC'!L$23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PVC'!L$23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PVC'!L$24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PVC'!L$24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PVC'!L$31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PVC'!L$29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PVC'!L$30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PVC'!L$28</f>
        <v>2167.5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PVC'!L$32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26996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154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(B225*B226)/1000000*B223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PVC'!L$20</f>
        <v>36045.75</v>
      </c>
      <c r="H228" s="252">
        <f>G228/6000</f>
        <v>6.007625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PVC'!L$20</f>
        <v>36045.75</v>
      </c>
      <c r="H229" s="245">
        <f t="shared" ref="H229:H239" si="23">G229/6000</f>
        <v>6.007625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PVC'!L$22</f>
        <v>46707</v>
      </c>
      <c r="H230" s="245">
        <f t="shared" si="23"/>
        <v>7.7845000000000004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PVC'!L$22</f>
        <v>46707</v>
      </c>
      <c r="H231" s="245">
        <f t="shared" si="23"/>
        <v>7.7845000000000004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PVC'!L$25</f>
        <v>9652.5</v>
      </c>
      <c r="H232" s="245">
        <f t="shared" si="23"/>
        <v>1.6087499999999999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PVC'!L$25</f>
        <v>9652.5</v>
      </c>
      <c r="H233" s="245">
        <f t="shared" si="23"/>
        <v>1.6087499999999999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PVC'!L$21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PVC'!L$27</f>
        <v>19087.5</v>
      </c>
      <c r="H235" s="245">
        <f t="shared" si="23"/>
        <v>3.1812499999999999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PVC'!L$23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PVC'!L$23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PVC'!L$24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PVC'!L$24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PVC'!L$31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PVC'!L$29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PVC'!L$30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PVC'!L$28</f>
        <v>2167.5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PVC'!L$32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26996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154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(B255*B256)/1000000*B253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PVC'!L$20</f>
        <v>36045.75</v>
      </c>
      <c r="H258" s="252">
        <f>G258/6000</f>
        <v>6.007625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PVC'!L$20</f>
        <v>36045.75</v>
      </c>
      <c r="H259" s="245">
        <f t="shared" ref="H259:H269" si="26">G259/6000</f>
        <v>6.007625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PVC'!L$22</f>
        <v>46707</v>
      </c>
      <c r="H260" s="245">
        <f t="shared" si="26"/>
        <v>7.7845000000000004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PVC'!L$22</f>
        <v>46707</v>
      </c>
      <c r="H261" s="245">
        <f t="shared" si="26"/>
        <v>7.7845000000000004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PVC'!L$25</f>
        <v>9652.5</v>
      </c>
      <c r="H262" s="245">
        <f t="shared" si="26"/>
        <v>1.6087499999999999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PVC'!L$25</f>
        <v>9652.5</v>
      </c>
      <c r="H263" s="245">
        <f t="shared" si="26"/>
        <v>1.6087499999999999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PVC'!L$21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PVC'!L$27</f>
        <v>19087.5</v>
      </c>
      <c r="H265" s="245">
        <f t="shared" si="26"/>
        <v>3.1812499999999999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PVC'!L$23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PVC'!L$23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PVC'!L$24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PVC'!L$24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PVC'!L$31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PVC'!L$29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PVC'!L$30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PVC'!L$28</f>
        <v>2167.5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PVC'!L$32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26996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154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(B285*B286)/1000000*B283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PVC'!L$20</f>
        <v>36045.75</v>
      </c>
      <c r="H288" s="252">
        <f>G288/6000</f>
        <v>6.007625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PVC'!L$20</f>
        <v>36045.75</v>
      </c>
      <c r="H289" s="245">
        <f t="shared" ref="H289:H299" si="29">G289/6000</f>
        <v>6.007625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PVC'!L$22</f>
        <v>46707</v>
      </c>
      <c r="H290" s="245">
        <f t="shared" si="29"/>
        <v>7.7845000000000004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PVC'!L$22</f>
        <v>46707</v>
      </c>
      <c r="H291" s="245">
        <f t="shared" si="29"/>
        <v>7.7845000000000004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PVC'!L$25</f>
        <v>9652.5</v>
      </c>
      <c r="H292" s="245">
        <f t="shared" si="29"/>
        <v>1.6087499999999999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PVC'!L$25</f>
        <v>9652.5</v>
      </c>
      <c r="H293" s="245">
        <f t="shared" si="29"/>
        <v>1.6087499999999999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PVC'!L$21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PVC'!L$27</f>
        <v>19087.5</v>
      </c>
      <c r="H295" s="245">
        <f t="shared" si="29"/>
        <v>3.1812499999999999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PVC'!L$23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PVC'!L$23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PVC'!L$24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PVC'!L$24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PVC'!L$31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PVC'!L$29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PVC'!L$30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PVC'!L$28</f>
        <v>2167.5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PVC'!L$32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26996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2:F2"/>
    <mergeCell ref="B161:E162"/>
    <mergeCell ref="B191:E192"/>
    <mergeCell ref="B221:E222"/>
    <mergeCell ref="B251:E252"/>
    <mergeCell ref="A5:B5"/>
    <mergeCell ref="A4:B4"/>
    <mergeCell ref="B281:E282"/>
    <mergeCell ref="B131:E132"/>
    <mergeCell ref="B11:E12"/>
    <mergeCell ref="B41:E42"/>
    <mergeCell ref="B71:E72"/>
    <mergeCell ref="B101:E102"/>
  </mergeCells>
  <pageMargins left="0.25" right="0.25" top="0.75" bottom="0.75" header="0.3" footer="0.3"/>
  <pageSetup scale="37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60" r:id="rId3" name="Button 44">
              <controlPr defaultSize="0" print="0" autoFill="0" autoPict="0" macro="[0]!VOLVER">
                <anchor moveWithCells="1" sizeWithCells="1">
                  <from>
                    <xdr:col>10</xdr:col>
                    <xdr:colOff>809625</xdr:colOff>
                    <xdr:row>11</xdr:row>
                    <xdr:rowOff>47625</xdr:rowOff>
                  </from>
                  <to>
                    <xdr:col>13</xdr:col>
                    <xdr:colOff>390525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B1A705-0A89-1B49-AE39-8003FC9ADB57}">
          <x14:formula1>
            <xm:f>'COSTOS VIDRIOS'!$A$2:$A$11</xm:f>
          </x14:formula1>
          <xm:sqref>C4</xm:sqref>
        </x14:dataValidation>
        <x14:dataValidation type="list" allowBlank="1" showInputMessage="1" showErrorMessage="1" xr:uid="{4E9E01D0-EE5E-5149-BBC4-669E739DD6CF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E4FF3-227D-074A-A192-EAA69165322E}">
  <sheetPr codeName="Hoja12">
    <tabColor theme="0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155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42587.788100000005</v>
      </c>
      <c r="J3" s="326">
        <f t="shared" ref="J3:J8" si="0">I3/(1-G$7)</f>
        <v>60839.697285714297</v>
      </c>
    </row>
    <row r="4" spans="1:10" ht="19.5" thickBot="1" x14ac:dyDescent="0.35">
      <c r="A4" s="385" t="s">
        <v>43</v>
      </c>
      <c r="B4" s="385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38716.171000000002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36141.613757142855</v>
      </c>
      <c r="H9" s="272"/>
      <c r="I9" s="264">
        <f>SUM(I3:I8)</f>
        <v>84330.432100000005</v>
      </c>
      <c r="J9" s="322">
        <f>SUM(J3:J8)</f>
        <v>120472.04585714286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111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38716.171000000002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242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72278.815000000002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PVC'!E$5</f>
        <v>19034.25</v>
      </c>
      <c r="H19" s="252">
        <f>G19/6000</f>
        <v>3.1723750000000002</v>
      </c>
      <c r="I19" s="253">
        <f t="shared" ref="I19:I30" si="1">H19*F19</f>
        <v>6382.8185000000003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PVC'!E$5</f>
        <v>19034.25</v>
      </c>
      <c r="H20" s="245">
        <f t="shared" ref="H20:H30" si="2">G20/6000</f>
        <v>3.1723750000000002</v>
      </c>
      <c r="I20" s="227">
        <f t="shared" si="1"/>
        <v>6382.8185000000003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PVC'!E$6</f>
        <v>24385.5</v>
      </c>
      <c r="H21" s="245">
        <f t="shared" si="2"/>
        <v>4.0642500000000004</v>
      </c>
      <c r="I21" s="227">
        <f t="shared" si="1"/>
        <v>7657.0470000000005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PVC'!E$6</f>
        <v>24385.5</v>
      </c>
      <c r="H22" s="245">
        <f t="shared" si="2"/>
        <v>4.0642500000000004</v>
      </c>
      <c r="I22" s="227">
        <f t="shared" si="1"/>
        <v>7657.0470000000005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PVC'!E$8</f>
        <v>5181.75</v>
      </c>
      <c r="H23" s="245">
        <f t="shared" si="2"/>
        <v>0.86362499999999998</v>
      </c>
      <c r="I23" s="227">
        <f t="shared" si="1"/>
        <v>1409.4359999999999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PVC'!E$8</f>
        <v>5181.75</v>
      </c>
      <c r="H24" s="245">
        <f t="shared" si="2"/>
        <v>0.86362499999999998</v>
      </c>
      <c r="I24" s="227">
        <f t="shared" si="1"/>
        <v>1409.4359999999999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PVC'!E$11</f>
        <v>22895.25</v>
      </c>
      <c r="H25" s="245">
        <f>G25/6000</f>
        <v>3.8158750000000001</v>
      </c>
      <c r="I25" s="227">
        <f>H25*F25</f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PVC'!E$10</f>
        <v>7005.75</v>
      </c>
      <c r="H26" s="245">
        <f>G26/6000</f>
        <v>1.1676249999999999</v>
      </c>
      <c r="I26" s="227">
        <f>H26*F26</f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PVC'!E$9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PVC'!E$9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PVC'!E$10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PVC'!E$10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PVC'!E$12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PVC'!E$14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PVC'!E$13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111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2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PVC'!E$5</f>
        <v>19034.25</v>
      </c>
      <c r="H49" s="252">
        <f>G49/6000</f>
        <v>3.1723750000000002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PVC'!E$5</f>
        <v>19034.25</v>
      </c>
      <c r="H50" s="245">
        <f t="shared" ref="H50:H60" si="5">G50/6000</f>
        <v>3.1723750000000002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PVC'!E$6</f>
        <v>24385.5</v>
      </c>
      <c r="H51" s="245">
        <f t="shared" si="5"/>
        <v>4.0642500000000004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471</v>
      </c>
      <c r="E52" s="24">
        <f>B43*2*B44</f>
        <v>0</v>
      </c>
      <c r="F52" s="249">
        <f t="shared" si="6"/>
        <v>0</v>
      </c>
      <c r="G52" s="231">
        <f>'COSTOS PVC'!E$6</f>
        <v>24385.5</v>
      </c>
      <c r="H52" s="245">
        <f t="shared" si="5"/>
        <v>4.0642500000000004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PVC'!E$8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408</v>
      </c>
      <c r="E54" s="24">
        <f>B43*2*B44</f>
        <v>0</v>
      </c>
      <c r="F54" s="249">
        <f t="shared" si="6"/>
        <v>0</v>
      </c>
      <c r="G54" s="231">
        <f>'COSTOS PVC'!E$8</f>
        <v>5181.75</v>
      </c>
      <c r="H54" s="245">
        <f t="shared" si="5"/>
        <v>0.86362499999999998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PVC'!E$11</f>
        <v>22895.25</v>
      </c>
      <c r="H55" s="245">
        <f t="shared" si="5"/>
        <v>3.8158750000000001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PVC'!E$10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PVC'!E$9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PVC'!E$9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PVC'!E$10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378</v>
      </c>
      <c r="E60" s="24">
        <f>B43*2*B44</f>
        <v>0</v>
      </c>
      <c r="F60" s="249">
        <f t="shared" si="6"/>
        <v>0</v>
      </c>
      <c r="G60" s="231">
        <f>'COSTOS PVC'!E$10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PVC'!E$12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PVC'!E$14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PVC'!E$13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404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4" t="s">
        <v>111</v>
      </c>
      <c r="C71" s="384"/>
      <c r="D71" s="384"/>
      <c r="E71" s="384"/>
      <c r="F71" s="236"/>
      <c r="I71" s="231"/>
    </row>
    <row r="72" spans="1:9" x14ac:dyDescent="0.25">
      <c r="A72" s="5"/>
      <c r="B72" s="384"/>
      <c r="C72" s="384"/>
      <c r="D72" s="384"/>
      <c r="E72" s="384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PVC'!E$5</f>
        <v>19034.25</v>
      </c>
      <c r="H79" s="252">
        <f>G79/6000</f>
        <v>3.1723750000000002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PVC'!E$5</f>
        <v>19034.25</v>
      </c>
      <c r="H80" s="245">
        <f t="shared" ref="H80:H90" si="8">G80/6000</f>
        <v>3.1723750000000002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PVC'!E$6</f>
        <v>24385.5</v>
      </c>
      <c r="H81" s="245">
        <f t="shared" si="8"/>
        <v>4.0642500000000004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PVC'!E$6</f>
        <v>24385.5</v>
      </c>
      <c r="H82" s="245">
        <f t="shared" si="8"/>
        <v>4.0642500000000004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PVC'!E$8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PVC'!E$8</f>
        <v>5181.75</v>
      </c>
      <c r="H84" s="245">
        <f t="shared" si="8"/>
        <v>0.86362499999999998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PVC'!E$11</f>
        <v>22895.25</v>
      </c>
      <c r="H85" s="245">
        <f t="shared" si="8"/>
        <v>3.8158750000000001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PVC'!E$10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PVC'!E$9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PVC'!E$9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PVC'!E$10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PVC'!E$10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PVC'!E$12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PVC'!E$14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PVC'!E$13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4" t="s">
        <v>111</v>
      </c>
      <c r="C101" s="384"/>
      <c r="D101" s="384"/>
      <c r="E101" s="384"/>
      <c r="F101" s="236"/>
      <c r="I101" s="231"/>
    </row>
    <row r="102" spans="1:9" x14ac:dyDescent="0.25">
      <c r="A102" s="5"/>
      <c r="B102" s="384"/>
      <c r="C102" s="384"/>
      <c r="D102" s="384"/>
      <c r="E102" s="384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PVC'!E$5</f>
        <v>19034.25</v>
      </c>
      <c r="H109" s="252">
        <f>G109/6000</f>
        <v>3.1723750000000002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PVC'!E$5</f>
        <v>19034.25</v>
      </c>
      <c r="H110" s="245">
        <f t="shared" ref="H110:H120" si="11">G110/6000</f>
        <v>3.1723750000000002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PVC'!E$6</f>
        <v>24385.5</v>
      </c>
      <c r="H111" s="245">
        <f t="shared" si="11"/>
        <v>4.0642500000000004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PVC'!E$6</f>
        <v>24385.5</v>
      </c>
      <c r="H112" s="245">
        <f t="shared" si="11"/>
        <v>4.0642500000000004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PVC'!E$8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PVC'!E$8</f>
        <v>5181.75</v>
      </c>
      <c r="H114" s="245">
        <f t="shared" si="11"/>
        <v>0.86362499999999998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PVC'!E$11</f>
        <v>22895.25</v>
      </c>
      <c r="H115" s="245">
        <f t="shared" si="11"/>
        <v>3.8158750000000001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PVC'!E$10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PVC'!E$9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PVC'!E$9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PVC'!E$10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PVC'!E$10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PVC'!E$12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PVC'!E$14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PVC'!E$13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4" t="s">
        <v>111</v>
      </c>
      <c r="C131" s="384"/>
      <c r="D131" s="384"/>
      <c r="E131" s="384"/>
      <c r="F131" s="236"/>
      <c r="I131" s="231"/>
    </row>
    <row r="132" spans="1:9" x14ac:dyDescent="0.25">
      <c r="A132" s="5"/>
      <c r="B132" s="384"/>
      <c r="C132" s="384"/>
      <c r="D132" s="384"/>
      <c r="E132" s="384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PVC'!E$5</f>
        <v>19034.25</v>
      </c>
      <c r="H139" s="252">
        <f>G139/6000</f>
        <v>3.1723750000000002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PVC'!E$5</f>
        <v>19034.25</v>
      </c>
      <c r="H140" s="245">
        <f t="shared" ref="H140:H150" si="14">G140/6000</f>
        <v>3.1723750000000002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PVC'!E$6</f>
        <v>24385.5</v>
      </c>
      <c r="H141" s="245">
        <f t="shared" si="14"/>
        <v>4.0642500000000004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PVC'!E$6</f>
        <v>24385.5</v>
      </c>
      <c r="H142" s="245">
        <f t="shared" si="14"/>
        <v>4.0642500000000004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PVC'!E$8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PVC'!E$8</f>
        <v>5181.75</v>
      </c>
      <c r="H144" s="245">
        <f t="shared" si="14"/>
        <v>0.86362499999999998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PVC'!E$11</f>
        <v>22895.25</v>
      </c>
      <c r="H145" s="245">
        <f t="shared" si="14"/>
        <v>3.8158750000000001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PVC'!E$10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PVC'!E$9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PVC'!E$9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PVC'!E$10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PVC'!E$10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PVC'!E$12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PVC'!E$14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PVC'!E$13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4" t="s">
        <v>111</v>
      </c>
      <c r="C161" s="384"/>
      <c r="D161" s="384"/>
      <c r="E161" s="384"/>
      <c r="F161" s="236"/>
      <c r="I161" s="231"/>
    </row>
    <row r="162" spans="1:9" x14ac:dyDescent="0.25">
      <c r="A162" s="5"/>
      <c r="B162" s="384"/>
      <c r="C162" s="384"/>
      <c r="D162" s="384"/>
      <c r="E162" s="384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PVC'!E$5</f>
        <v>19034.25</v>
      </c>
      <c r="H169" s="252">
        <f>G169/6000</f>
        <v>3.1723750000000002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PVC'!E$5</f>
        <v>19034.25</v>
      </c>
      <c r="H170" s="245">
        <f t="shared" ref="H170:H180" si="17">G170/6000</f>
        <v>3.1723750000000002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PVC'!E$6</f>
        <v>24385.5</v>
      </c>
      <c r="H171" s="245">
        <f t="shared" si="17"/>
        <v>4.0642500000000004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PVC'!E$6</f>
        <v>24385.5</v>
      </c>
      <c r="H172" s="245">
        <f t="shared" si="17"/>
        <v>4.0642500000000004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PVC'!E$8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PVC'!E$8</f>
        <v>5181.75</v>
      </c>
      <c r="H174" s="245">
        <f t="shared" si="17"/>
        <v>0.86362499999999998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PVC'!E$11</f>
        <v>22895.25</v>
      </c>
      <c r="H175" s="245">
        <f t="shared" si="17"/>
        <v>3.8158750000000001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PVC'!E$10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PVC'!E$9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PVC'!E$9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PVC'!E$10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PVC'!E$10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PVC'!E$12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PVC'!E$14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PVC'!E$13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111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PVC'!E$5</f>
        <v>19034.25</v>
      </c>
      <c r="H199" s="252">
        <f>G199/6000</f>
        <v>3.1723750000000002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PVC'!E$5</f>
        <v>19034.25</v>
      </c>
      <c r="H200" s="245">
        <f t="shared" ref="H200:H210" si="20">G200/6000</f>
        <v>3.1723750000000002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PVC'!E$6</f>
        <v>24385.5</v>
      </c>
      <c r="H201" s="245">
        <f t="shared" si="20"/>
        <v>4.0642500000000004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PVC'!E$6</f>
        <v>24385.5</v>
      </c>
      <c r="H202" s="245">
        <f t="shared" si="20"/>
        <v>4.0642500000000004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PVC'!E$8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PVC'!E$8</f>
        <v>5181.75</v>
      </c>
      <c r="H204" s="245">
        <f t="shared" si="20"/>
        <v>0.86362499999999998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PVC'!E$11</f>
        <v>22895.25</v>
      </c>
      <c r="H205" s="245">
        <f t="shared" si="20"/>
        <v>3.8158750000000001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PVC'!E$10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PVC'!E$9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PVC'!E$9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PVC'!E$10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PVC'!E$10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PVC'!E$12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PVC'!E$14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PVC'!E$13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111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PVC'!E$5</f>
        <v>19034.25</v>
      </c>
      <c r="H229" s="252">
        <f>G229/6000</f>
        <v>3.1723750000000002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PVC'!E$5</f>
        <v>19034.25</v>
      </c>
      <c r="H230" s="245">
        <f t="shared" ref="H230:H240" si="23">G230/6000</f>
        <v>3.1723750000000002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PVC'!E$6</f>
        <v>24385.5</v>
      </c>
      <c r="H231" s="245">
        <f t="shared" si="23"/>
        <v>4.0642500000000004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PVC'!E$6</f>
        <v>24385.5</v>
      </c>
      <c r="H232" s="245">
        <f t="shared" si="23"/>
        <v>4.0642500000000004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PVC'!E$8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PVC'!E$8</f>
        <v>5181.75</v>
      </c>
      <c r="H234" s="245">
        <f t="shared" si="23"/>
        <v>0.86362499999999998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PVC'!E$11</f>
        <v>22895.25</v>
      </c>
      <c r="H235" s="245">
        <f t="shared" si="23"/>
        <v>3.8158750000000001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PVC'!E$10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PVC'!E$9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PVC'!E$9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PVC'!E$10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PVC'!E$10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PVC'!E$12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PVC'!E$14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PVC'!E$13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111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PVC'!E$5</f>
        <v>19034.25</v>
      </c>
      <c r="H259" s="252">
        <f>G259/6000</f>
        <v>3.1723750000000002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PVC'!E$5</f>
        <v>19034.25</v>
      </c>
      <c r="H260" s="245">
        <f t="shared" ref="H260:H270" si="26">G260/6000</f>
        <v>3.1723750000000002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PVC'!E$6</f>
        <v>24385.5</v>
      </c>
      <c r="H261" s="245">
        <f t="shared" si="26"/>
        <v>4.0642500000000004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PVC'!E$6</f>
        <v>24385.5</v>
      </c>
      <c r="H262" s="245">
        <f t="shared" si="26"/>
        <v>4.0642500000000004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PVC'!E$8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PVC'!E$8</f>
        <v>5181.75</v>
      </c>
      <c r="H264" s="245">
        <f t="shared" si="26"/>
        <v>0.86362499999999998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PVC'!E$11</f>
        <v>22895.25</v>
      </c>
      <c r="H265" s="245">
        <f t="shared" si="26"/>
        <v>3.8158750000000001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PVC'!E$10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PVC'!E$9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PVC'!E$9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PVC'!E$10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PVC'!E$10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PVC'!E$12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PVC'!E$14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PVC'!E$13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111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PVC'!E$5</f>
        <v>19034.25</v>
      </c>
      <c r="H289" s="252">
        <f>G289/6000</f>
        <v>3.1723750000000002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PVC'!E$5</f>
        <v>19034.25</v>
      </c>
      <c r="H290" s="245">
        <f t="shared" ref="H290:H300" si="29">G290/6000</f>
        <v>3.1723750000000002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PVC'!E$6</f>
        <v>24385.5</v>
      </c>
      <c r="H291" s="245">
        <f t="shared" si="29"/>
        <v>4.0642500000000004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PVC'!E$6</f>
        <v>24385.5</v>
      </c>
      <c r="H292" s="245">
        <f t="shared" si="29"/>
        <v>4.0642500000000004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PVC'!E$8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PVC'!E$8</f>
        <v>5181.75</v>
      </c>
      <c r="H294" s="245">
        <f t="shared" si="29"/>
        <v>0.86362499999999998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PVC'!E$11</f>
        <v>22895.25</v>
      </c>
      <c r="H295" s="245">
        <f t="shared" si="29"/>
        <v>3.8158750000000001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PVC'!E$10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PVC'!E$9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PVC'!E$9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PVC'!E$10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PVC'!E$10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PVC'!E$12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PVC'!E$14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PVC'!E$13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2:F2"/>
    <mergeCell ref="B131:E132"/>
    <mergeCell ref="A4:B4"/>
    <mergeCell ref="B11:E12"/>
    <mergeCell ref="B41:E42"/>
    <mergeCell ref="B71:E72"/>
    <mergeCell ref="B101:E102"/>
    <mergeCell ref="A5:B5"/>
    <mergeCell ref="B161:E162"/>
    <mergeCell ref="B191:E192"/>
    <mergeCell ref="B221:E222"/>
    <mergeCell ref="B251:E252"/>
    <mergeCell ref="B281:E28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CE824E-041F-B14C-89C4-860420CF10D2}">
          <x14:formula1>
            <xm:f>'COSTOS VIDRIOS'!$A$2:$A$11</xm:f>
          </x14:formula1>
          <xm:sqref>C4</xm:sqref>
        </x14:dataValidation>
        <x14:dataValidation type="list" allowBlank="1" showInputMessage="1" showErrorMessage="1" xr:uid="{DABFD838-CD13-D344-826E-654CDC8004D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620F-1EB4-A343-A6A8-67AD814901C5}">
  <sheetPr codeName="Hoja13">
    <tabColor theme="5" tint="-0.499984740745262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6" t="s">
        <v>167</v>
      </c>
      <c r="B2" s="386"/>
      <c r="C2" s="386"/>
      <c r="D2" s="386"/>
      <c r="E2" s="386"/>
      <c r="F2" s="386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63796.519776000001</v>
      </c>
      <c r="J3" s="326">
        <f t="shared" ref="J3:J8" si="0">I3/(1-G$7)</f>
        <v>91137.885394285724</v>
      </c>
    </row>
    <row r="4" spans="1:10" ht="19.5" thickBot="1" x14ac:dyDescent="0.35">
      <c r="A4" s="385" t="s">
        <v>43</v>
      </c>
      <c r="B4" s="389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5" t="s">
        <v>48</v>
      </c>
      <c r="B5" s="385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57996.836159999999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344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53411.070189714286</v>
      </c>
      <c r="H9" s="272"/>
      <c r="I9" s="264">
        <f>SUM(I3:I5)</f>
        <v>97359.163776000001</v>
      </c>
      <c r="J9" s="322">
        <f>SUM(J3:J8)</f>
        <v>150770.23396571429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4" t="s">
        <v>168</v>
      </c>
      <c r="C11" s="384"/>
      <c r="D11" s="384"/>
      <c r="E11" s="384"/>
      <c r="F11" s="236"/>
      <c r="I11" s="231"/>
    </row>
    <row r="12" spans="1:10" x14ac:dyDescent="0.25">
      <c r="A12" s="5"/>
      <c r="B12" s="384"/>
      <c r="C12" s="384"/>
      <c r="D12" s="384"/>
      <c r="E12" s="384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57996.836159999999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343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91559.480160000006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PVC'!L$5</f>
        <v>31288.5</v>
      </c>
      <c r="H19" s="252">
        <f>G19/6000</f>
        <v>5.2147500000000004</v>
      </c>
      <c r="I19" s="253">
        <f t="shared" ref="I19:I30" si="1">H19*F19</f>
        <v>10492.077000000001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PVC'!L$5</f>
        <v>31288.5</v>
      </c>
      <c r="H20" s="245">
        <f t="shared" ref="H20:H30" si="2">G20/6000</f>
        <v>5.2147500000000004</v>
      </c>
      <c r="I20" s="227">
        <f t="shared" si="1"/>
        <v>10492.077000000001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PVC'!L$6</f>
        <v>39992.22</v>
      </c>
      <c r="H21" s="245">
        <f t="shared" si="2"/>
        <v>6.6653700000000002</v>
      </c>
      <c r="I21" s="227">
        <f t="shared" si="1"/>
        <v>12557.55708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PVC'!L$6</f>
        <v>39992.22</v>
      </c>
      <c r="H22" s="245">
        <f t="shared" si="2"/>
        <v>6.6653700000000002</v>
      </c>
      <c r="I22" s="227">
        <f t="shared" si="1"/>
        <v>12557.55708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PVC'!L$8</f>
        <v>7500</v>
      </c>
      <c r="H23" s="245">
        <f t="shared" si="2"/>
        <v>1.25</v>
      </c>
      <c r="I23" s="227">
        <f t="shared" si="1"/>
        <v>2040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PVC'!L$8</f>
        <v>7500</v>
      </c>
      <c r="H24" s="245">
        <f t="shared" si="2"/>
        <v>1.25</v>
      </c>
      <c r="I24" s="227">
        <f t="shared" si="1"/>
        <v>2040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PVC'!L$11</f>
        <v>37481.25</v>
      </c>
      <c r="H25" s="245">
        <f t="shared" si="2"/>
        <v>6.2468750000000002</v>
      </c>
      <c r="I25" s="227">
        <f t="shared" si="1"/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PVC'!L$10</f>
        <v>7005.75</v>
      </c>
      <c r="H26" s="245">
        <f t="shared" si="2"/>
        <v>1.1676249999999999</v>
      </c>
      <c r="I26" s="227">
        <f t="shared" si="1"/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PVC'!L$9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PVC'!L$9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PVC'!L$10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PVC'!L$10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PVC'!L$12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PVC'!L$14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PVC'!L$13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4" t="s">
        <v>168</v>
      </c>
      <c r="C41" s="384"/>
      <c r="D41" s="384"/>
      <c r="E41" s="384"/>
      <c r="F41" s="236"/>
      <c r="I41" s="231"/>
    </row>
    <row r="42" spans="1:9" x14ac:dyDescent="0.25">
      <c r="A42" s="5"/>
      <c r="B42" s="384"/>
      <c r="C42" s="384"/>
      <c r="D42" s="384"/>
      <c r="E42" s="384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1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PVC'!L$5</f>
        <v>31288.5</v>
      </c>
      <c r="H49" s="252">
        <f>G49/6000</f>
        <v>5.2147500000000004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PVC'!L$5</f>
        <v>31288.5</v>
      </c>
      <c r="H50" s="245">
        <f t="shared" ref="H50:H60" si="5">G50/6000</f>
        <v>5.2147500000000004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PVC'!L$6</f>
        <v>39992.22</v>
      </c>
      <c r="H51" s="245">
        <f t="shared" si="5"/>
        <v>6.6653700000000002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942</v>
      </c>
      <c r="E52" s="24">
        <f>B43*2*B44</f>
        <v>0</v>
      </c>
      <c r="F52" s="249">
        <f t="shared" si="6"/>
        <v>0</v>
      </c>
      <c r="G52" s="231">
        <f>'COSTOS PVC'!L$6</f>
        <v>39992.22</v>
      </c>
      <c r="H52" s="245">
        <f t="shared" si="5"/>
        <v>6.6653700000000002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PVC'!L$8</f>
        <v>7500</v>
      </c>
      <c r="H53" s="245">
        <f t="shared" si="5"/>
        <v>1.25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816</v>
      </c>
      <c r="E54" s="24">
        <f>B43*2*B44</f>
        <v>0</v>
      </c>
      <c r="F54" s="249">
        <f t="shared" si="6"/>
        <v>0</v>
      </c>
      <c r="G54" s="231">
        <f>'COSTOS PVC'!L$8</f>
        <v>7500</v>
      </c>
      <c r="H54" s="245">
        <f t="shared" si="5"/>
        <v>1.25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PVC'!L$11</f>
        <v>37481.25</v>
      </c>
      <c r="H55" s="245">
        <f t="shared" si="5"/>
        <v>6.2468750000000002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PVC'!L$10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PVC'!L$9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PVC'!L$9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PVC'!L$10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756</v>
      </c>
      <c r="E60" s="24">
        <f>B43*2*B44</f>
        <v>0</v>
      </c>
      <c r="F60" s="249">
        <f t="shared" si="6"/>
        <v>0</v>
      </c>
      <c r="G60" s="231">
        <f>'COSTOS PVC'!L$10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PVC'!L$12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PVC'!L$14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PVC'!L$13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808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4" t="s">
        <v>168</v>
      </c>
      <c r="C71" s="384"/>
      <c r="D71" s="384"/>
      <c r="E71" s="384"/>
      <c r="F71" s="236"/>
      <c r="I71" s="231"/>
    </row>
    <row r="72" spans="1:9" x14ac:dyDescent="0.25">
      <c r="A72" s="5"/>
      <c r="B72" s="384"/>
      <c r="C72" s="384"/>
      <c r="D72" s="384"/>
      <c r="E72" s="384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PVC'!L$5</f>
        <v>31288.5</v>
      </c>
      <c r="H79" s="252">
        <f>G79/6000</f>
        <v>5.2147500000000004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PVC'!L$5</f>
        <v>31288.5</v>
      </c>
      <c r="H80" s="245">
        <f t="shared" ref="H80:H90" si="8">G80/6000</f>
        <v>5.2147500000000004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PVC'!L$6</f>
        <v>39992.22</v>
      </c>
      <c r="H81" s="245">
        <f t="shared" si="8"/>
        <v>6.6653700000000002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PVC'!L$6</f>
        <v>39992.22</v>
      </c>
      <c r="H82" s="245">
        <f t="shared" si="8"/>
        <v>6.6653700000000002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PVC'!L$8</f>
        <v>7500</v>
      </c>
      <c r="H83" s="245">
        <f t="shared" si="8"/>
        <v>1.25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PVC'!L$8</f>
        <v>7500</v>
      </c>
      <c r="H84" s="245">
        <f t="shared" si="8"/>
        <v>1.25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PVC'!L$11</f>
        <v>37481.25</v>
      </c>
      <c r="H85" s="245">
        <f t="shared" si="8"/>
        <v>6.2468750000000002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PVC'!L$10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PVC'!L$9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PVC'!L$9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PVC'!L$10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PVC'!L$10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PVC'!L$12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PVC'!L$14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PVC'!L$13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4" t="s">
        <v>168</v>
      </c>
      <c r="C101" s="384"/>
      <c r="D101" s="384"/>
      <c r="E101" s="384"/>
      <c r="F101" s="236"/>
      <c r="I101" s="231"/>
    </row>
    <row r="102" spans="1:9" x14ac:dyDescent="0.25">
      <c r="A102" s="5"/>
      <c r="B102" s="384"/>
      <c r="C102" s="384"/>
      <c r="D102" s="384"/>
      <c r="E102" s="384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PVC'!L$5</f>
        <v>31288.5</v>
      </c>
      <c r="H109" s="252">
        <f>G109/6000</f>
        <v>5.2147500000000004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PVC'!L$5</f>
        <v>31288.5</v>
      </c>
      <c r="H110" s="245">
        <f t="shared" ref="H110:H120" si="11">G110/6000</f>
        <v>5.2147500000000004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PVC'!L$6</f>
        <v>39992.22</v>
      </c>
      <c r="H111" s="245">
        <f t="shared" si="11"/>
        <v>6.6653700000000002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PVC'!L$6</f>
        <v>39992.22</v>
      </c>
      <c r="H112" s="245">
        <f t="shared" si="11"/>
        <v>6.6653700000000002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PVC'!L$8</f>
        <v>7500</v>
      </c>
      <c r="H113" s="245">
        <f t="shared" si="11"/>
        <v>1.25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PVC'!L$8</f>
        <v>7500</v>
      </c>
      <c r="H114" s="245">
        <f t="shared" si="11"/>
        <v>1.25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PVC'!L$11</f>
        <v>37481.25</v>
      </c>
      <c r="H115" s="245">
        <f t="shared" si="11"/>
        <v>6.2468750000000002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PVC'!L$10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PVC'!L$9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PVC'!L$9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PVC'!L$10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PVC'!L$10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PVC'!L$12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PVC'!L$14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PVC'!L$13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4" t="s">
        <v>168</v>
      </c>
      <c r="C131" s="384"/>
      <c r="D131" s="384"/>
      <c r="E131" s="384"/>
      <c r="F131" s="236"/>
      <c r="I131" s="231"/>
    </row>
    <row r="132" spans="1:9" x14ac:dyDescent="0.25">
      <c r="A132" s="5"/>
      <c r="B132" s="384"/>
      <c r="C132" s="384"/>
      <c r="D132" s="384"/>
      <c r="E132" s="384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PVC'!L$5</f>
        <v>31288.5</v>
      </c>
      <c r="H139" s="252">
        <f>G139/6000</f>
        <v>5.2147500000000004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PVC'!L$5</f>
        <v>31288.5</v>
      </c>
      <c r="H140" s="245">
        <f t="shared" ref="H140:H150" si="14">G140/6000</f>
        <v>5.2147500000000004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PVC'!L$6</f>
        <v>39992.22</v>
      </c>
      <c r="H141" s="245">
        <f t="shared" si="14"/>
        <v>6.6653700000000002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PVC'!L$6</f>
        <v>39992.22</v>
      </c>
      <c r="H142" s="245">
        <f t="shared" si="14"/>
        <v>6.6653700000000002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PVC'!L$8</f>
        <v>7500</v>
      </c>
      <c r="H143" s="245">
        <f t="shared" si="14"/>
        <v>1.25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PVC'!L$8</f>
        <v>7500</v>
      </c>
      <c r="H144" s="245">
        <f t="shared" si="14"/>
        <v>1.25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PVC'!L$11</f>
        <v>37481.25</v>
      </c>
      <c r="H145" s="245">
        <f t="shared" si="14"/>
        <v>6.2468750000000002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PVC'!L$10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PVC'!L$9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PVC'!L$9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PVC'!L$10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PVC'!L$10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PVC'!L$12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PVC'!L$14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PVC'!L$13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4" t="s">
        <v>168</v>
      </c>
      <c r="C161" s="384"/>
      <c r="D161" s="384"/>
      <c r="E161" s="384"/>
      <c r="F161" s="236"/>
      <c r="I161" s="231"/>
    </row>
    <row r="162" spans="1:9" x14ac:dyDescent="0.25">
      <c r="A162" s="5"/>
      <c r="B162" s="384"/>
      <c r="C162" s="384"/>
      <c r="D162" s="384"/>
      <c r="E162" s="384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PVC'!L$5</f>
        <v>31288.5</v>
      </c>
      <c r="H169" s="252">
        <f>G169/6000</f>
        <v>5.2147500000000004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PVC'!L$5</f>
        <v>31288.5</v>
      </c>
      <c r="H170" s="245">
        <f t="shared" ref="H170:H180" si="17">G170/6000</f>
        <v>5.2147500000000004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PVC'!L$6</f>
        <v>39992.22</v>
      </c>
      <c r="H171" s="245">
        <f t="shared" si="17"/>
        <v>6.6653700000000002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PVC'!L$6</f>
        <v>39992.22</v>
      </c>
      <c r="H172" s="245">
        <f t="shared" si="17"/>
        <v>6.6653700000000002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PVC'!L$8</f>
        <v>7500</v>
      </c>
      <c r="H173" s="245">
        <f t="shared" si="17"/>
        <v>1.25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PVC'!L$8</f>
        <v>7500</v>
      </c>
      <c r="H174" s="245">
        <f t="shared" si="17"/>
        <v>1.25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PVC'!L$11</f>
        <v>37481.25</v>
      </c>
      <c r="H175" s="245">
        <f t="shared" si="17"/>
        <v>6.2468750000000002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PVC'!L$10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PVC'!L$9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PVC'!L$9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PVC'!L$10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PVC'!L$10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PVC'!L$12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PVC'!L$14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PVC'!L$13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4" t="s">
        <v>168</v>
      </c>
      <c r="C191" s="384"/>
      <c r="D191" s="384"/>
      <c r="E191" s="384"/>
      <c r="F191" s="236"/>
      <c r="I191" s="231"/>
    </row>
    <row r="192" spans="1:9" x14ac:dyDescent="0.25">
      <c r="A192" s="5"/>
      <c r="B192" s="384"/>
      <c r="C192" s="384"/>
      <c r="D192" s="384"/>
      <c r="E192" s="384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PVC'!L$5</f>
        <v>31288.5</v>
      </c>
      <c r="H199" s="252">
        <f>G199/6000</f>
        <v>5.2147500000000004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PVC'!L$5</f>
        <v>31288.5</v>
      </c>
      <c r="H200" s="245">
        <f t="shared" ref="H200:H210" si="20">G200/6000</f>
        <v>5.2147500000000004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PVC'!L$6</f>
        <v>39992.22</v>
      </c>
      <c r="H201" s="245">
        <f t="shared" si="20"/>
        <v>6.6653700000000002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PVC'!L$6</f>
        <v>39992.22</v>
      </c>
      <c r="H202" s="245">
        <f t="shared" si="20"/>
        <v>6.6653700000000002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PVC'!L$8</f>
        <v>7500</v>
      </c>
      <c r="H203" s="245">
        <f t="shared" si="20"/>
        <v>1.25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PVC'!L$8</f>
        <v>7500</v>
      </c>
      <c r="H204" s="245">
        <f t="shared" si="20"/>
        <v>1.25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PVC'!L$11</f>
        <v>37481.25</v>
      </c>
      <c r="H205" s="245">
        <f t="shared" si="20"/>
        <v>6.2468750000000002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PVC'!L$10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PVC'!L$9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PVC'!L$9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PVC'!L$10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PVC'!L$10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PVC'!L$12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PVC'!L$14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PVC'!L$13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4" t="s">
        <v>168</v>
      </c>
      <c r="C221" s="384"/>
      <c r="D221" s="384"/>
      <c r="E221" s="384"/>
      <c r="F221" s="236"/>
      <c r="I221" s="231"/>
    </row>
    <row r="222" spans="1:9" x14ac:dyDescent="0.25">
      <c r="A222" s="5"/>
      <c r="B222" s="384"/>
      <c r="C222" s="384"/>
      <c r="D222" s="384"/>
      <c r="E222" s="384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PVC'!L$5</f>
        <v>31288.5</v>
      </c>
      <c r="H229" s="252">
        <f>G229/6000</f>
        <v>5.2147500000000004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PVC'!L$5</f>
        <v>31288.5</v>
      </c>
      <c r="H230" s="245">
        <f t="shared" ref="H230:H240" si="23">G230/6000</f>
        <v>5.2147500000000004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PVC'!L$6</f>
        <v>39992.22</v>
      </c>
      <c r="H231" s="245">
        <f t="shared" si="23"/>
        <v>6.6653700000000002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PVC'!L$6</f>
        <v>39992.22</v>
      </c>
      <c r="H232" s="245">
        <f t="shared" si="23"/>
        <v>6.6653700000000002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PVC'!L$8</f>
        <v>7500</v>
      </c>
      <c r="H233" s="245">
        <f t="shared" si="23"/>
        <v>1.25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PVC'!L$8</f>
        <v>7500</v>
      </c>
      <c r="H234" s="245">
        <f t="shared" si="23"/>
        <v>1.25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PVC'!L$11</f>
        <v>37481.25</v>
      </c>
      <c r="H235" s="245">
        <f t="shared" si="23"/>
        <v>6.2468750000000002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PVC'!L$10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PVC'!L$9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PVC'!L$9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PVC'!L$10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PVC'!L$10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PVC'!L$12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PVC'!L$14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PVC'!L$13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4" t="s">
        <v>168</v>
      </c>
      <c r="C251" s="384"/>
      <c r="D251" s="384"/>
      <c r="E251" s="384"/>
      <c r="F251" s="236"/>
      <c r="I251" s="231"/>
    </row>
    <row r="252" spans="1:9" x14ac:dyDescent="0.25">
      <c r="A252" s="5"/>
      <c r="B252" s="384"/>
      <c r="C252" s="384"/>
      <c r="D252" s="384"/>
      <c r="E252" s="384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PVC'!L$5</f>
        <v>31288.5</v>
      </c>
      <c r="H259" s="252">
        <f>G259/6000</f>
        <v>5.2147500000000004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PVC'!L$5</f>
        <v>31288.5</v>
      </c>
      <c r="H260" s="245">
        <f t="shared" ref="H260:H270" si="26">G260/6000</f>
        <v>5.2147500000000004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PVC'!L$6</f>
        <v>39992.22</v>
      </c>
      <c r="H261" s="245">
        <f t="shared" si="26"/>
        <v>6.6653700000000002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PVC'!L$6</f>
        <v>39992.22</v>
      </c>
      <c r="H262" s="245">
        <f t="shared" si="26"/>
        <v>6.6653700000000002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PVC'!L$8</f>
        <v>7500</v>
      </c>
      <c r="H263" s="245">
        <f t="shared" si="26"/>
        <v>1.25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PVC'!L$8</f>
        <v>7500</v>
      </c>
      <c r="H264" s="245">
        <f t="shared" si="26"/>
        <v>1.25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PVC'!L$11</f>
        <v>37481.25</v>
      </c>
      <c r="H265" s="245">
        <f t="shared" si="26"/>
        <v>6.2468750000000002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PVC'!L$10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PVC'!L$9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PVC'!L$9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PVC'!L$10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PVC'!L$10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PVC'!L$12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PVC'!L$14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PVC'!L$13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4" t="s">
        <v>168</v>
      </c>
      <c r="C281" s="384"/>
      <c r="D281" s="384"/>
      <c r="E281" s="384"/>
      <c r="F281" s="236"/>
      <c r="I281" s="231"/>
    </row>
    <row r="282" spans="1:9" x14ac:dyDescent="0.25">
      <c r="A282" s="5"/>
      <c r="B282" s="384"/>
      <c r="C282" s="384"/>
      <c r="D282" s="384"/>
      <c r="E282" s="384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PVC'!L$5</f>
        <v>31288.5</v>
      </c>
      <c r="H289" s="252">
        <f>G289/6000</f>
        <v>5.2147500000000004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PVC'!L$5</f>
        <v>31288.5</v>
      </c>
      <c r="H290" s="245">
        <f t="shared" ref="H290:H300" si="29">G290/6000</f>
        <v>5.2147500000000004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PVC'!L$6</f>
        <v>39992.22</v>
      </c>
      <c r="H291" s="245">
        <f t="shared" si="29"/>
        <v>6.6653700000000002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PVC'!L$6</f>
        <v>39992.22</v>
      </c>
      <c r="H292" s="245">
        <f t="shared" si="29"/>
        <v>6.6653700000000002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PVC'!L$8</f>
        <v>7500</v>
      </c>
      <c r="H293" s="245">
        <f t="shared" si="29"/>
        <v>1.25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PVC'!L$8</f>
        <v>7500</v>
      </c>
      <c r="H294" s="245">
        <f t="shared" si="29"/>
        <v>1.25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PVC'!L$11</f>
        <v>37481.25</v>
      </c>
      <c r="H295" s="245">
        <f t="shared" si="29"/>
        <v>6.2468750000000002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PVC'!L$10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PVC'!L$9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PVC'!L$9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PVC'!L$10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PVC'!L$10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PVC'!L$12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PVC'!L$14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PVC'!L$13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A4:B4"/>
    <mergeCell ref="A2:F2"/>
    <mergeCell ref="B131:E132"/>
    <mergeCell ref="B11:E12"/>
    <mergeCell ref="B41:E42"/>
    <mergeCell ref="B71:E72"/>
    <mergeCell ref="B101:E102"/>
    <mergeCell ref="A5:B5"/>
    <mergeCell ref="B161:E162"/>
    <mergeCell ref="B191:E192"/>
    <mergeCell ref="B221:E222"/>
    <mergeCell ref="B251:E252"/>
    <mergeCell ref="B281:E28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8E15BD-C947-884E-A46B-8497F1E18572}">
          <x14:formula1>
            <xm:f>'COSTOS VIDRIOS'!$A$2:$A$11</xm:f>
          </x14:formula1>
          <xm:sqref>C4</xm:sqref>
        </x14:dataValidation>
        <x14:dataValidation type="list" allowBlank="1" showInputMessage="1" showErrorMessage="1" xr:uid="{8625313F-839A-5F4C-A34C-F1DE433515B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7C11-BB9E-4369-907D-143655282FCC}">
  <dimension ref="A1"/>
  <sheetViews>
    <sheetView tabSelected="1" workbookViewId="0">
      <selection activeCell="G7" sqref="G7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5FBDF-B53E-4246-9B78-487C63C0F02E}">
  <sheetPr codeName="Hoja9"/>
  <dimension ref="A1:M1048576"/>
  <sheetViews>
    <sheetView workbookViewId="0">
      <selection activeCell="M2" sqref="M2"/>
    </sheetView>
  </sheetViews>
  <sheetFormatPr baseColWidth="10" defaultColWidth="11" defaultRowHeight="15.75" x14ac:dyDescent="0.25"/>
  <cols>
    <col min="1" max="1" width="21.125" bestFit="1" customWidth="1"/>
    <col min="2" max="2" width="4.5" bestFit="1" customWidth="1"/>
    <col min="3" max="3" width="4.875" bestFit="1" customWidth="1"/>
    <col min="4" max="4" width="7.375" bestFit="1" customWidth="1"/>
    <col min="5" max="5" width="8.875" bestFit="1" customWidth="1"/>
    <col min="6" max="6" width="11" bestFit="1" customWidth="1"/>
    <col min="7" max="7" width="9.125" bestFit="1" customWidth="1"/>
    <col min="8" max="8" width="12.625" bestFit="1" customWidth="1"/>
    <col min="9" max="9" width="9.875" bestFit="1" customWidth="1"/>
  </cols>
  <sheetData>
    <row r="1" spans="1:13" x14ac:dyDescent="0.25">
      <c r="A1" s="308" t="s">
        <v>169</v>
      </c>
      <c r="B1" s="309" t="s">
        <v>170</v>
      </c>
      <c r="C1" s="309" t="s">
        <v>171</v>
      </c>
      <c r="D1" s="309" t="s">
        <v>172</v>
      </c>
      <c r="E1" s="309" t="s">
        <v>173</v>
      </c>
      <c r="F1" s="256" t="s">
        <v>174</v>
      </c>
      <c r="G1" s="256" t="s">
        <v>175</v>
      </c>
      <c r="H1" s="256" t="s">
        <v>176</v>
      </c>
      <c r="I1" s="285" t="s">
        <v>177</v>
      </c>
      <c r="J1" s="285" t="s">
        <v>178</v>
      </c>
      <c r="K1" s="339" t="s">
        <v>179</v>
      </c>
      <c r="L1" s="339" t="s">
        <v>180</v>
      </c>
      <c r="M1" s="339" t="s">
        <v>181</v>
      </c>
    </row>
    <row r="2" spans="1:13" x14ac:dyDescent="0.25">
      <c r="A2" s="310" t="s">
        <v>49</v>
      </c>
      <c r="B2" s="275">
        <v>10</v>
      </c>
      <c r="C2" s="275">
        <v>2</v>
      </c>
      <c r="D2" s="306">
        <v>1000</v>
      </c>
      <c r="E2" s="306">
        <f>D2*C2</f>
        <v>2000</v>
      </c>
      <c r="F2" s="307">
        <v>2</v>
      </c>
      <c r="G2" s="306">
        <v>1200</v>
      </c>
      <c r="H2" s="306">
        <f>G2*F2*C2</f>
        <v>4800</v>
      </c>
      <c r="I2" s="311">
        <f>E2+H2</f>
        <v>6800</v>
      </c>
      <c r="J2" s="311">
        <f>I2/B2</f>
        <v>680</v>
      </c>
      <c r="K2">
        <v>6000</v>
      </c>
      <c r="L2">
        <f>K2*5*2</f>
        <v>60000</v>
      </c>
      <c r="M2">
        <f>L2/B2</f>
        <v>6000</v>
      </c>
    </row>
    <row r="3" spans="1:13" x14ac:dyDescent="0.25">
      <c r="A3" s="310" t="s">
        <v>182</v>
      </c>
      <c r="B3" s="275">
        <v>10</v>
      </c>
      <c r="C3">
        <v>2</v>
      </c>
      <c r="D3" s="306">
        <v>6000</v>
      </c>
      <c r="E3" s="306">
        <f>D3*C3</f>
        <v>12000</v>
      </c>
      <c r="F3" s="275">
        <v>7</v>
      </c>
      <c r="G3" s="306">
        <v>1200</v>
      </c>
      <c r="H3" s="306">
        <f>G3*F3*C3</f>
        <v>16800</v>
      </c>
      <c r="I3" s="311">
        <f>E3+H3</f>
        <v>28800</v>
      </c>
      <c r="J3" s="311">
        <f>I3/B3</f>
        <v>2880</v>
      </c>
    </row>
    <row r="4" spans="1:13" x14ac:dyDescent="0.25">
      <c r="A4" s="310" t="s">
        <v>183</v>
      </c>
      <c r="B4" s="275">
        <v>10</v>
      </c>
      <c r="C4">
        <v>2</v>
      </c>
      <c r="D4" s="306">
        <v>5000</v>
      </c>
      <c r="E4" s="306">
        <f>D4*C4</f>
        <v>10000</v>
      </c>
      <c r="F4" s="275">
        <v>5</v>
      </c>
      <c r="G4" s="306">
        <v>1200</v>
      </c>
      <c r="H4" s="306">
        <f>G4*F4*C4</f>
        <v>12000</v>
      </c>
      <c r="I4" s="311">
        <f>E4+H4</f>
        <v>22000</v>
      </c>
      <c r="J4" s="311">
        <f>I4/B4</f>
        <v>2200</v>
      </c>
    </row>
    <row r="5" spans="1:13" x14ac:dyDescent="0.25">
      <c r="A5" s="310" t="s">
        <v>184</v>
      </c>
      <c r="B5" s="275">
        <v>10</v>
      </c>
      <c r="C5">
        <v>2</v>
      </c>
      <c r="D5" s="306">
        <v>4000</v>
      </c>
      <c r="E5" s="306">
        <f>D5*C5</f>
        <v>8000</v>
      </c>
      <c r="F5" s="275">
        <v>5</v>
      </c>
      <c r="G5" s="306">
        <v>1200</v>
      </c>
      <c r="H5" s="306">
        <f>G5*F5*C5</f>
        <v>12000</v>
      </c>
      <c r="I5" s="311">
        <f>E5+H5</f>
        <v>20000</v>
      </c>
      <c r="J5" s="311">
        <f>I5/B5</f>
        <v>2000</v>
      </c>
    </row>
    <row r="6" spans="1:13" x14ac:dyDescent="0.25">
      <c r="A6" s="312" t="s">
        <v>185</v>
      </c>
      <c r="B6" s="32">
        <v>10</v>
      </c>
      <c r="C6" s="32">
        <v>2</v>
      </c>
      <c r="D6" s="258">
        <v>8000</v>
      </c>
      <c r="E6" s="258">
        <f>D6*C6</f>
        <v>16000</v>
      </c>
      <c r="F6" s="313">
        <v>8</v>
      </c>
      <c r="G6" s="258">
        <v>1200</v>
      </c>
      <c r="H6" s="258">
        <f>G6*F6*C6</f>
        <v>19200</v>
      </c>
      <c r="I6" s="314">
        <f>E6+H6</f>
        <v>35200</v>
      </c>
      <c r="J6" s="314">
        <f>I6/B6</f>
        <v>3520</v>
      </c>
    </row>
    <row r="1048576" spans="7:7" x14ac:dyDescent="0.25">
      <c r="G1048576" s="276"/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138A-54C2-7243-AE57-627529575752}">
  <sheetPr codeName="Hoja14"/>
  <dimension ref="A1:E42"/>
  <sheetViews>
    <sheetView workbookViewId="0">
      <selection activeCell="G16" sqref="G16"/>
    </sheetView>
  </sheetViews>
  <sheetFormatPr baseColWidth="10" defaultColWidth="11" defaultRowHeight="15.75" x14ac:dyDescent="0.25"/>
  <cols>
    <col min="1" max="1" width="24" bestFit="1" customWidth="1"/>
  </cols>
  <sheetData>
    <row r="1" spans="1:5" x14ac:dyDescent="0.25">
      <c r="A1" s="390" t="s">
        <v>186</v>
      </c>
      <c r="B1" s="390"/>
      <c r="C1" s="390"/>
      <c r="D1" s="231"/>
      <c r="E1" s="231"/>
    </row>
    <row r="2" spans="1:5" x14ac:dyDescent="0.25">
      <c r="D2" s="231"/>
      <c r="E2" s="231"/>
    </row>
    <row r="3" spans="1:5" x14ac:dyDescent="0.25">
      <c r="A3" s="391" t="s">
        <v>187</v>
      </c>
      <c r="B3" s="392"/>
      <c r="C3" s="393"/>
      <c r="D3" s="231"/>
      <c r="E3" s="231"/>
    </row>
    <row r="4" spans="1:5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190</v>
      </c>
    </row>
    <row r="5" spans="1:5" x14ac:dyDescent="0.25">
      <c r="A5" s="286" t="s">
        <v>191</v>
      </c>
      <c r="B5" s="286">
        <v>4209</v>
      </c>
      <c r="C5" s="286">
        <v>1</v>
      </c>
      <c r="D5" s="287">
        <v>11796</v>
      </c>
      <c r="E5" s="287">
        <f>D5*C5</f>
        <v>11796</v>
      </c>
    </row>
    <row r="6" spans="1:5" x14ac:dyDescent="0.25">
      <c r="A6" s="286" t="s">
        <v>192</v>
      </c>
      <c r="B6" s="286">
        <v>4209</v>
      </c>
      <c r="C6" s="286">
        <v>1</v>
      </c>
      <c r="D6" s="287">
        <v>18722</v>
      </c>
      <c r="E6" s="287">
        <f t="shared" ref="E6:E13" si="0">D6*C6</f>
        <v>18722</v>
      </c>
    </row>
    <row r="7" spans="1:5" x14ac:dyDescent="0.25">
      <c r="A7" s="286" t="s">
        <v>193</v>
      </c>
      <c r="B7" s="286">
        <v>4229</v>
      </c>
      <c r="C7" s="286">
        <v>1</v>
      </c>
      <c r="D7" s="287">
        <v>4838</v>
      </c>
      <c r="E7" s="287">
        <f t="shared" si="0"/>
        <v>4838</v>
      </c>
    </row>
    <row r="8" spans="1:5" x14ac:dyDescent="0.25">
      <c r="A8" s="286" t="s">
        <v>194</v>
      </c>
      <c r="B8" s="286">
        <v>4206</v>
      </c>
      <c r="C8" s="286">
        <v>1</v>
      </c>
      <c r="D8" s="287">
        <v>5756</v>
      </c>
      <c r="E8" s="287">
        <f t="shared" si="0"/>
        <v>5756</v>
      </c>
    </row>
    <row r="9" spans="1:5" x14ac:dyDescent="0.25">
      <c r="A9" s="286" t="s">
        <v>195</v>
      </c>
      <c r="B9" s="286">
        <v>4204</v>
      </c>
      <c r="C9" s="286">
        <v>1</v>
      </c>
      <c r="D9" s="353">
        <v>20523</v>
      </c>
      <c r="E9" s="287">
        <f t="shared" si="0"/>
        <v>20523</v>
      </c>
    </row>
    <row r="10" spans="1:5" x14ac:dyDescent="0.25">
      <c r="A10" s="286" t="s">
        <v>123</v>
      </c>
      <c r="B10" s="286"/>
      <c r="C10" s="286">
        <v>2</v>
      </c>
      <c r="D10" s="287">
        <v>1400</v>
      </c>
      <c r="E10" s="287">
        <f t="shared" si="0"/>
        <v>2800</v>
      </c>
    </row>
    <row r="11" spans="1:5" x14ac:dyDescent="0.25">
      <c r="A11" s="286" t="s">
        <v>124</v>
      </c>
      <c r="B11" s="286"/>
      <c r="C11" s="286">
        <v>2</v>
      </c>
      <c r="D11" s="287">
        <v>7121</v>
      </c>
      <c r="E11" s="287">
        <f t="shared" si="0"/>
        <v>14242</v>
      </c>
    </row>
    <row r="12" spans="1:5" x14ac:dyDescent="0.25">
      <c r="A12" s="286" t="s">
        <v>125</v>
      </c>
      <c r="B12" s="286"/>
      <c r="C12" s="286">
        <v>4</v>
      </c>
      <c r="D12" s="287">
        <v>169.9</v>
      </c>
      <c r="E12" s="287">
        <f t="shared" si="0"/>
        <v>679.6</v>
      </c>
    </row>
    <row r="13" spans="1:5" x14ac:dyDescent="0.25">
      <c r="A13" s="286" t="s">
        <v>127</v>
      </c>
      <c r="B13" s="286"/>
      <c r="C13" s="286">
        <v>8</v>
      </c>
      <c r="D13" s="287">
        <v>120.9</v>
      </c>
      <c r="E13" s="287">
        <f t="shared" si="0"/>
        <v>967.2</v>
      </c>
    </row>
    <row r="14" spans="1:5" x14ac:dyDescent="0.25">
      <c r="D14" s="231"/>
      <c r="E14" s="248">
        <f>SUM(E5:E13)</f>
        <v>80323.8</v>
      </c>
    </row>
    <row r="15" spans="1:5" x14ac:dyDescent="0.25">
      <c r="D15" s="231"/>
      <c r="E15" s="231"/>
    </row>
    <row r="16" spans="1:5" x14ac:dyDescent="0.25">
      <c r="A16" s="391" t="s">
        <v>196</v>
      </c>
      <c r="B16" s="392"/>
      <c r="C16" s="393"/>
      <c r="D16" s="231"/>
      <c r="E16" s="231"/>
    </row>
    <row r="17" spans="1:5" x14ac:dyDescent="0.25">
      <c r="A17" s="284" t="s">
        <v>19</v>
      </c>
      <c r="B17" s="284" t="s">
        <v>188</v>
      </c>
      <c r="C17" s="284" t="s">
        <v>23</v>
      </c>
      <c r="D17" s="285" t="s">
        <v>189</v>
      </c>
      <c r="E17" s="285" t="s">
        <v>190</v>
      </c>
    </row>
    <row r="18" spans="1:5" x14ac:dyDescent="0.25">
      <c r="A18" s="286" t="s">
        <v>197</v>
      </c>
      <c r="B18" s="286"/>
      <c r="C18" s="286">
        <v>1</v>
      </c>
      <c r="D18" s="287">
        <v>18071</v>
      </c>
      <c r="E18" s="287">
        <f>D18*C18</f>
        <v>18071</v>
      </c>
    </row>
    <row r="19" spans="1:5" x14ac:dyDescent="0.25">
      <c r="A19" s="286" t="s">
        <v>198</v>
      </c>
      <c r="B19" s="286"/>
      <c r="C19" s="286">
        <v>1</v>
      </c>
      <c r="D19" s="287">
        <v>22354</v>
      </c>
      <c r="E19" s="287">
        <f t="shared" ref="E19:E27" si="1">D19*C19</f>
        <v>22354</v>
      </c>
    </row>
    <row r="20" spans="1:5" x14ac:dyDescent="0.25">
      <c r="A20" s="286" t="s">
        <v>199</v>
      </c>
      <c r="B20" s="286"/>
      <c r="C20" s="286">
        <v>1</v>
      </c>
      <c r="D20" s="287">
        <v>23502</v>
      </c>
      <c r="E20" s="287">
        <f t="shared" si="1"/>
        <v>23502</v>
      </c>
    </row>
    <row r="21" spans="1:5" x14ac:dyDescent="0.25">
      <c r="A21" s="286" t="s">
        <v>200</v>
      </c>
      <c r="B21" s="286"/>
      <c r="C21" s="286">
        <v>1</v>
      </c>
      <c r="D21" s="287">
        <v>18941</v>
      </c>
      <c r="E21" s="287">
        <f t="shared" si="1"/>
        <v>18941</v>
      </c>
    </row>
    <row r="22" spans="1:5" x14ac:dyDescent="0.25">
      <c r="A22" s="286" t="s">
        <v>201</v>
      </c>
      <c r="B22" s="286"/>
      <c r="C22" s="286">
        <v>1</v>
      </c>
      <c r="D22" s="287">
        <v>16469</v>
      </c>
      <c r="E22" s="287">
        <f t="shared" si="1"/>
        <v>16469</v>
      </c>
    </row>
    <row r="23" spans="1:5" x14ac:dyDescent="0.25">
      <c r="A23" s="286" t="s">
        <v>202</v>
      </c>
      <c r="B23" s="286"/>
      <c r="C23" s="286">
        <v>1</v>
      </c>
      <c r="D23" s="287">
        <v>22283</v>
      </c>
      <c r="E23" s="287">
        <f t="shared" si="1"/>
        <v>22283</v>
      </c>
    </row>
    <row r="24" spans="1:5" x14ac:dyDescent="0.25">
      <c r="A24" s="286" t="s">
        <v>203</v>
      </c>
      <c r="B24" s="286"/>
      <c r="C24" s="286">
        <v>1</v>
      </c>
      <c r="D24" s="287">
        <v>22283</v>
      </c>
      <c r="E24" s="287">
        <f t="shared" si="1"/>
        <v>22283</v>
      </c>
    </row>
    <row r="25" spans="1:5" x14ac:dyDescent="0.25">
      <c r="A25" s="286" t="s">
        <v>204</v>
      </c>
      <c r="B25" s="286"/>
      <c r="C25" s="286">
        <v>10</v>
      </c>
      <c r="D25" s="287">
        <v>33.520000000000003</v>
      </c>
      <c r="E25" s="287">
        <f t="shared" si="1"/>
        <v>335.20000000000005</v>
      </c>
    </row>
    <row r="26" spans="1:5" x14ac:dyDescent="0.25">
      <c r="A26" s="286" t="s">
        <v>205</v>
      </c>
      <c r="B26" s="286"/>
      <c r="C26" s="286">
        <v>4</v>
      </c>
      <c r="D26" s="287">
        <v>1200</v>
      </c>
      <c r="E26" s="287">
        <f t="shared" si="1"/>
        <v>4800</v>
      </c>
    </row>
    <row r="27" spans="1:5" x14ac:dyDescent="0.25">
      <c r="A27" s="286" t="s">
        <v>206</v>
      </c>
      <c r="B27" s="286"/>
      <c r="C27" s="286">
        <v>2</v>
      </c>
      <c r="D27" s="287">
        <v>1400</v>
      </c>
      <c r="E27" s="287">
        <f t="shared" si="1"/>
        <v>2800</v>
      </c>
    </row>
    <row r="28" spans="1:5" x14ac:dyDescent="0.25">
      <c r="D28" s="231"/>
      <c r="E28" s="248">
        <f>SUM(E18:E27)</f>
        <v>151838.20000000001</v>
      </c>
    </row>
    <row r="30" spans="1:5" x14ac:dyDescent="0.25">
      <c r="A30" s="391" t="s">
        <v>207</v>
      </c>
      <c r="B30" s="392"/>
      <c r="C30" s="393"/>
      <c r="D30" s="231"/>
      <c r="E30" s="231"/>
    </row>
    <row r="31" spans="1:5" x14ac:dyDescent="0.25">
      <c r="A31" s="284" t="s">
        <v>19</v>
      </c>
      <c r="B31" s="284" t="s">
        <v>188</v>
      </c>
      <c r="C31" s="284" t="s">
        <v>23</v>
      </c>
      <c r="D31" s="285" t="s">
        <v>189</v>
      </c>
      <c r="E31" s="285" t="s">
        <v>190</v>
      </c>
    </row>
    <row r="32" spans="1:5" x14ac:dyDescent="0.25">
      <c r="A32" s="286" t="s">
        <v>197</v>
      </c>
      <c r="B32" s="286"/>
      <c r="C32" s="286">
        <v>1</v>
      </c>
      <c r="D32" s="287">
        <v>18071</v>
      </c>
      <c r="E32" s="287">
        <f>D32*C32</f>
        <v>18071</v>
      </c>
    </row>
    <row r="33" spans="1:5" x14ac:dyDescent="0.25">
      <c r="A33" s="286" t="s">
        <v>198</v>
      </c>
      <c r="B33" s="286"/>
      <c r="C33" s="286">
        <v>1</v>
      </c>
      <c r="D33" s="287">
        <v>22354</v>
      </c>
      <c r="E33" s="287">
        <f t="shared" ref="E33:E41" si="2">D33*C33</f>
        <v>22354</v>
      </c>
    </row>
    <row r="34" spans="1:5" x14ac:dyDescent="0.25">
      <c r="A34" s="286" t="s">
        <v>199</v>
      </c>
      <c r="B34" s="286"/>
      <c r="C34" s="286">
        <v>1</v>
      </c>
      <c r="D34" s="287">
        <v>23502</v>
      </c>
      <c r="E34" s="287">
        <f t="shared" si="2"/>
        <v>23502</v>
      </c>
    </row>
    <row r="35" spans="1:5" x14ac:dyDescent="0.25">
      <c r="A35" s="286" t="s">
        <v>200</v>
      </c>
      <c r="B35" s="286"/>
      <c r="C35" s="286">
        <v>1</v>
      </c>
      <c r="D35" s="287">
        <v>18941</v>
      </c>
      <c r="E35" s="287">
        <f t="shared" si="2"/>
        <v>18941</v>
      </c>
    </row>
    <row r="36" spans="1:5" x14ac:dyDescent="0.25">
      <c r="A36" s="286" t="s">
        <v>201</v>
      </c>
      <c r="B36" s="286"/>
      <c r="C36" s="286">
        <v>1</v>
      </c>
      <c r="D36" s="287">
        <v>16469</v>
      </c>
      <c r="E36" s="287">
        <f t="shared" si="2"/>
        <v>16469</v>
      </c>
    </row>
    <row r="37" spans="1:5" x14ac:dyDescent="0.25">
      <c r="A37" s="286" t="s">
        <v>202</v>
      </c>
      <c r="B37" s="286"/>
      <c r="C37" s="286">
        <v>1</v>
      </c>
      <c r="D37" s="287">
        <v>22283</v>
      </c>
      <c r="E37" s="287">
        <f t="shared" si="2"/>
        <v>22283</v>
      </c>
    </row>
    <row r="38" spans="1:5" x14ac:dyDescent="0.25">
      <c r="A38" s="286" t="s">
        <v>203</v>
      </c>
      <c r="B38" s="286"/>
      <c r="C38" s="286">
        <v>1</v>
      </c>
      <c r="D38" s="287">
        <v>22283</v>
      </c>
      <c r="E38" s="287">
        <f t="shared" si="2"/>
        <v>22283</v>
      </c>
    </row>
    <row r="39" spans="1:5" x14ac:dyDescent="0.25">
      <c r="A39" s="286" t="s">
        <v>204</v>
      </c>
      <c r="B39" s="286"/>
      <c r="C39" s="286">
        <v>10</v>
      </c>
      <c r="D39" s="287">
        <v>33.520000000000003</v>
      </c>
      <c r="E39" s="287">
        <f t="shared" si="2"/>
        <v>335.20000000000005</v>
      </c>
    </row>
    <row r="40" spans="1:5" x14ac:dyDescent="0.25">
      <c r="A40" s="286" t="s">
        <v>205</v>
      </c>
      <c r="B40" s="286"/>
      <c r="C40" s="286">
        <v>4</v>
      </c>
      <c r="D40" s="287">
        <v>1200</v>
      </c>
      <c r="E40" s="287">
        <f t="shared" si="2"/>
        <v>4800</v>
      </c>
    </row>
    <row r="41" spans="1:5" x14ac:dyDescent="0.25">
      <c r="A41" s="286" t="s">
        <v>206</v>
      </c>
      <c r="B41" s="286"/>
      <c r="C41" s="286">
        <v>2</v>
      </c>
      <c r="D41" s="287">
        <v>1400</v>
      </c>
      <c r="E41" s="287">
        <f t="shared" si="2"/>
        <v>2800</v>
      </c>
    </row>
    <row r="42" spans="1:5" x14ac:dyDescent="0.25">
      <c r="D42" s="231"/>
      <c r="E42" s="248">
        <f>SUM(E32:E41)</f>
        <v>151838.20000000001</v>
      </c>
    </row>
  </sheetData>
  <mergeCells count="4">
    <mergeCell ref="A1:C1"/>
    <mergeCell ref="A3:C3"/>
    <mergeCell ref="A16:C16"/>
    <mergeCell ref="A30:C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4C93-6085-A240-ACE4-62D60FE1EA43}">
  <sheetPr codeName="Hoja15"/>
  <dimension ref="A1:M33"/>
  <sheetViews>
    <sheetView zoomScale="125" workbookViewId="0">
      <selection activeCell="E12" sqref="E12"/>
    </sheetView>
  </sheetViews>
  <sheetFormatPr baseColWidth="10" defaultColWidth="11" defaultRowHeight="15.75" x14ac:dyDescent="0.25"/>
  <cols>
    <col min="1" max="1" width="33.5" bestFit="1" customWidth="1"/>
    <col min="3" max="3" width="8.625" bestFit="1" customWidth="1"/>
  </cols>
  <sheetData>
    <row r="1" spans="1:13" x14ac:dyDescent="0.25">
      <c r="A1" s="394" t="s">
        <v>208</v>
      </c>
      <c r="B1" s="395"/>
      <c r="C1" s="396"/>
      <c r="D1" s="231"/>
      <c r="E1" s="231"/>
      <c r="F1" s="231"/>
      <c r="H1" s="394" t="s">
        <v>209</v>
      </c>
      <c r="I1" s="395"/>
      <c r="J1" s="396"/>
      <c r="K1" s="231"/>
      <c r="L1" s="231"/>
      <c r="M1" s="231"/>
    </row>
    <row r="2" spans="1:13" x14ac:dyDescent="0.25">
      <c r="D2" s="231"/>
      <c r="E2" s="231"/>
      <c r="F2" s="231"/>
      <c r="K2" s="231"/>
      <c r="L2" s="231"/>
      <c r="M2" s="231"/>
    </row>
    <row r="3" spans="1:13" x14ac:dyDescent="0.25">
      <c r="A3" s="391" t="s">
        <v>210</v>
      </c>
      <c r="B3" s="392"/>
      <c r="C3" s="393"/>
      <c r="D3" s="231"/>
      <c r="E3" s="231"/>
      <c r="F3" s="231"/>
      <c r="H3" s="391" t="s">
        <v>211</v>
      </c>
      <c r="I3" s="392"/>
      <c r="J3" s="393"/>
      <c r="K3" s="231"/>
      <c r="L3" s="231"/>
      <c r="M3" s="231"/>
    </row>
    <row r="4" spans="1:13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212</v>
      </c>
      <c r="F4" s="285" t="s">
        <v>190</v>
      </c>
      <c r="H4" s="284" t="s">
        <v>19</v>
      </c>
      <c r="I4" s="284" t="s">
        <v>188</v>
      </c>
      <c r="J4" s="284" t="s">
        <v>23</v>
      </c>
      <c r="K4" s="285" t="s">
        <v>189</v>
      </c>
      <c r="L4" s="285" t="s">
        <v>212</v>
      </c>
      <c r="M4" s="285" t="s">
        <v>190</v>
      </c>
    </row>
    <row r="5" spans="1:13" x14ac:dyDescent="0.25">
      <c r="A5" s="286" t="s">
        <v>191</v>
      </c>
      <c r="B5" s="286" t="s">
        <v>156</v>
      </c>
      <c r="C5" s="286">
        <v>1</v>
      </c>
      <c r="D5" s="287">
        <v>25379</v>
      </c>
      <c r="E5" s="287">
        <f>D5*0.75</f>
        <v>19034.25</v>
      </c>
      <c r="F5" s="287">
        <f>E5*C5</f>
        <v>19034.25</v>
      </c>
      <c r="H5" s="286" t="s">
        <v>191</v>
      </c>
      <c r="I5" s="286" t="s">
        <v>156</v>
      </c>
      <c r="J5" s="286">
        <v>1</v>
      </c>
      <c r="K5" s="287">
        <v>41718</v>
      </c>
      <c r="L5" s="287">
        <f>K5*0.75</f>
        <v>31288.5</v>
      </c>
      <c r="M5" s="287">
        <f>L5*J5</f>
        <v>31288.5</v>
      </c>
    </row>
    <row r="6" spans="1:13" x14ac:dyDescent="0.25">
      <c r="A6" s="286" t="s">
        <v>213</v>
      </c>
      <c r="B6" s="286" t="s">
        <v>214</v>
      </c>
      <c r="C6" s="286">
        <v>1</v>
      </c>
      <c r="D6" s="287">
        <v>32514</v>
      </c>
      <c r="E6" s="287">
        <f t="shared" ref="E6:E15" si="0">D6*0.75</f>
        <v>24385.5</v>
      </c>
      <c r="F6" s="287">
        <f t="shared" ref="F6:F15" si="1">E6*C6</f>
        <v>24385.5</v>
      </c>
      <c r="H6" s="286" t="s">
        <v>213</v>
      </c>
      <c r="I6" s="286" t="s">
        <v>214</v>
      </c>
      <c r="J6" s="286">
        <v>1</v>
      </c>
      <c r="K6" s="287">
        <f>D6*1.64</f>
        <v>53322.96</v>
      </c>
      <c r="L6" s="287">
        <f t="shared" ref="L6:L15" si="2">K6*0.75</f>
        <v>39992.22</v>
      </c>
      <c r="M6" s="287">
        <f t="shared" ref="M6:M15" si="3">L6*J6</f>
        <v>39992.22</v>
      </c>
    </row>
    <row r="7" spans="1:13" x14ac:dyDescent="0.25">
      <c r="A7" s="286" t="s">
        <v>215</v>
      </c>
      <c r="B7" s="286" t="s">
        <v>158</v>
      </c>
      <c r="C7" s="286">
        <v>1</v>
      </c>
      <c r="D7" s="287">
        <v>6800</v>
      </c>
      <c r="E7" s="287">
        <f t="shared" si="0"/>
        <v>5100</v>
      </c>
      <c r="F7" s="287"/>
      <c r="H7" s="286" t="s">
        <v>215</v>
      </c>
      <c r="I7" s="286" t="s">
        <v>158</v>
      </c>
      <c r="J7" s="286">
        <v>1</v>
      </c>
      <c r="K7" s="287">
        <v>12870</v>
      </c>
      <c r="L7" s="287">
        <f t="shared" si="2"/>
        <v>9652.5</v>
      </c>
      <c r="M7" s="287"/>
    </row>
    <row r="8" spans="1:13" x14ac:dyDescent="0.25">
      <c r="A8" s="286" t="s">
        <v>216</v>
      </c>
      <c r="B8" s="286" t="s">
        <v>217</v>
      </c>
      <c r="C8" s="286">
        <v>1</v>
      </c>
      <c r="D8" s="287">
        <v>6909</v>
      </c>
      <c r="E8" s="287">
        <f t="shared" si="0"/>
        <v>5181.75</v>
      </c>
      <c r="F8" s="287">
        <f t="shared" si="1"/>
        <v>5181.75</v>
      </c>
      <c r="H8" s="286" t="s">
        <v>216</v>
      </c>
      <c r="I8" s="286" t="s">
        <v>217</v>
      </c>
      <c r="J8" s="286">
        <v>1</v>
      </c>
      <c r="K8" s="287">
        <v>10000</v>
      </c>
      <c r="L8" s="287">
        <f t="shared" si="2"/>
        <v>7500</v>
      </c>
      <c r="M8" s="287">
        <f t="shared" si="3"/>
        <v>7500</v>
      </c>
    </row>
    <row r="9" spans="1:13" x14ac:dyDescent="0.25">
      <c r="A9" s="286" t="s">
        <v>218</v>
      </c>
      <c r="B9" s="286" t="s">
        <v>219</v>
      </c>
      <c r="C9" s="286">
        <v>1</v>
      </c>
      <c r="D9" s="287">
        <v>9969</v>
      </c>
      <c r="E9" s="287">
        <f t="shared" si="0"/>
        <v>7476.75</v>
      </c>
      <c r="F9" s="287">
        <f t="shared" si="1"/>
        <v>7476.75</v>
      </c>
      <c r="H9" s="286" t="s">
        <v>218</v>
      </c>
      <c r="I9" s="286" t="s">
        <v>219</v>
      </c>
      <c r="J9" s="286">
        <v>1</v>
      </c>
      <c r="K9" s="287">
        <v>9969</v>
      </c>
      <c r="L9" s="287">
        <f t="shared" si="2"/>
        <v>7476.75</v>
      </c>
      <c r="M9" s="287">
        <f t="shared" si="3"/>
        <v>7476.75</v>
      </c>
    </row>
    <row r="10" spans="1:13" x14ac:dyDescent="0.25">
      <c r="A10" s="286" t="s">
        <v>220</v>
      </c>
      <c r="B10" s="288" t="s">
        <v>221</v>
      </c>
      <c r="C10" s="286">
        <v>1</v>
      </c>
      <c r="D10" s="287">
        <v>9341</v>
      </c>
      <c r="E10" s="287">
        <f t="shared" si="0"/>
        <v>7005.75</v>
      </c>
      <c r="F10" s="287">
        <f t="shared" si="1"/>
        <v>7005.75</v>
      </c>
      <c r="H10" s="286" t="s">
        <v>220</v>
      </c>
      <c r="I10" s="288" t="s">
        <v>221</v>
      </c>
      <c r="J10" s="286">
        <v>1</v>
      </c>
      <c r="K10" s="287">
        <v>9341</v>
      </c>
      <c r="L10" s="287">
        <f t="shared" si="2"/>
        <v>7005.75</v>
      </c>
      <c r="M10" s="287">
        <f t="shared" si="3"/>
        <v>7005.75</v>
      </c>
    </row>
    <row r="11" spans="1:13" x14ac:dyDescent="0.25">
      <c r="A11" s="286" t="s">
        <v>195</v>
      </c>
      <c r="B11" s="286" t="s">
        <v>161</v>
      </c>
      <c r="C11" s="286">
        <v>1</v>
      </c>
      <c r="D11" s="287">
        <v>30527</v>
      </c>
      <c r="E11" s="287">
        <f t="shared" si="0"/>
        <v>22895.25</v>
      </c>
      <c r="F11" s="287">
        <f t="shared" si="1"/>
        <v>22895.25</v>
      </c>
      <c r="H11" s="286" t="s">
        <v>195</v>
      </c>
      <c r="I11" s="286" t="s">
        <v>161</v>
      </c>
      <c r="J11" s="286">
        <v>1</v>
      </c>
      <c r="K11" s="287">
        <v>49975</v>
      </c>
      <c r="L11" s="287">
        <f t="shared" si="2"/>
        <v>37481.25</v>
      </c>
      <c r="M11" s="287">
        <f t="shared" si="3"/>
        <v>37481.25</v>
      </c>
    </row>
    <row r="12" spans="1:13" x14ac:dyDescent="0.25">
      <c r="A12" s="286" t="s">
        <v>148</v>
      </c>
      <c r="B12" s="286" t="s">
        <v>222</v>
      </c>
      <c r="C12" s="286">
        <v>2</v>
      </c>
      <c r="D12" s="287">
        <v>3434</v>
      </c>
      <c r="E12" s="287">
        <f t="shared" si="0"/>
        <v>2575.5</v>
      </c>
      <c r="F12" s="287">
        <f t="shared" si="1"/>
        <v>5151</v>
      </c>
      <c r="H12" s="286" t="s">
        <v>148</v>
      </c>
      <c r="I12" s="286" t="s">
        <v>222</v>
      </c>
      <c r="J12" s="286">
        <v>2</v>
      </c>
      <c r="K12" s="287">
        <v>3434</v>
      </c>
      <c r="L12" s="287">
        <f t="shared" si="2"/>
        <v>2575.5</v>
      </c>
      <c r="M12" s="287">
        <f t="shared" si="3"/>
        <v>5151</v>
      </c>
    </row>
    <row r="13" spans="1:13" x14ac:dyDescent="0.25">
      <c r="A13" s="286" t="s">
        <v>124</v>
      </c>
      <c r="B13" s="286">
        <v>90007</v>
      </c>
      <c r="C13" s="286">
        <v>2</v>
      </c>
      <c r="D13" s="287">
        <v>9124</v>
      </c>
      <c r="E13" s="287">
        <f t="shared" si="0"/>
        <v>6843</v>
      </c>
      <c r="F13" s="287">
        <f t="shared" si="1"/>
        <v>13686</v>
      </c>
      <c r="H13" s="286" t="s">
        <v>124</v>
      </c>
      <c r="I13" s="286">
        <v>90007</v>
      </c>
      <c r="J13" s="286">
        <v>2</v>
      </c>
      <c r="K13" s="287">
        <v>9124</v>
      </c>
      <c r="L13" s="287">
        <f t="shared" si="2"/>
        <v>6843</v>
      </c>
      <c r="M13" s="287">
        <f t="shared" si="3"/>
        <v>13686</v>
      </c>
    </row>
    <row r="14" spans="1:13" x14ac:dyDescent="0.25">
      <c r="A14" s="286" t="s">
        <v>146</v>
      </c>
      <c r="B14" s="286" t="s">
        <v>223</v>
      </c>
      <c r="C14" s="286">
        <v>2</v>
      </c>
      <c r="D14" s="287">
        <v>4459</v>
      </c>
      <c r="E14" s="287">
        <f t="shared" si="0"/>
        <v>3344.25</v>
      </c>
      <c r="F14" s="287">
        <f t="shared" si="1"/>
        <v>6688.5</v>
      </c>
      <c r="H14" s="286" t="s">
        <v>146</v>
      </c>
      <c r="I14" s="286" t="s">
        <v>223</v>
      </c>
      <c r="J14" s="286">
        <v>2</v>
      </c>
      <c r="K14" s="287">
        <v>4459</v>
      </c>
      <c r="L14" s="287">
        <f t="shared" si="2"/>
        <v>3344.25</v>
      </c>
      <c r="M14" s="287">
        <f t="shared" si="3"/>
        <v>6688.5</v>
      </c>
    </row>
    <row r="15" spans="1:13" x14ac:dyDescent="0.25">
      <c r="A15" s="286" t="s">
        <v>166</v>
      </c>
      <c r="B15" s="286" t="s">
        <v>224</v>
      </c>
      <c r="C15" s="286">
        <v>4</v>
      </c>
      <c r="D15" s="287">
        <v>390</v>
      </c>
      <c r="E15" s="287">
        <f t="shared" si="0"/>
        <v>292.5</v>
      </c>
      <c r="F15" s="287">
        <f t="shared" si="1"/>
        <v>1170</v>
      </c>
      <c r="H15" s="286" t="s">
        <v>166</v>
      </c>
      <c r="I15" s="286" t="s">
        <v>224</v>
      </c>
      <c r="J15" s="286">
        <v>4</v>
      </c>
      <c r="K15" s="287">
        <v>390</v>
      </c>
      <c r="L15" s="287">
        <f t="shared" si="2"/>
        <v>292.5</v>
      </c>
      <c r="M15" s="287">
        <f t="shared" si="3"/>
        <v>1170</v>
      </c>
    </row>
    <row r="16" spans="1:13" x14ac:dyDescent="0.25">
      <c r="D16" s="231"/>
      <c r="E16" s="231"/>
      <c r="F16" s="248">
        <f>SUM(F5:F15)</f>
        <v>112674.75</v>
      </c>
      <c r="K16" s="289"/>
      <c r="L16" s="289"/>
      <c r="M16" s="248">
        <f>SUM(M5:M15)</f>
        <v>157439.97</v>
      </c>
    </row>
    <row r="18" spans="1:13" x14ac:dyDescent="0.25">
      <c r="A18" s="391" t="s">
        <v>225</v>
      </c>
      <c r="B18" s="392"/>
      <c r="C18" s="393"/>
      <c r="D18" s="231"/>
      <c r="E18" s="231"/>
      <c r="F18" s="231"/>
      <c r="H18" s="391" t="s">
        <v>226</v>
      </c>
      <c r="I18" s="392"/>
      <c r="J18" s="393"/>
      <c r="K18" s="231"/>
      <c r="L18" s="231"/>
      <c r="M18" s="231"/>
    </row>
    <row r="19" spans="1:13" x14ac:dyDescent="0.25">
      <c r="A19" s="284" t="s">
        <v>19</v>
      </c>
      <c r="B19" s="284" t="s">
        <v>188</v>
      </c>
      <c r="C19" s="284" t="s">
        <v>23</v>
      </c>
      <c r="D19" s="285" t="s">
        <v>189</v>
      </c>
      <c r="E19" s="285" t="s">
        <v>212</v>
      </c>
      <c r="F19" s="285" t="s">
        <v>190</v>
      </c>
      <c r="H19" s="284" t="s">
        <v>19</v>
      </c>
      <c r="I19" s="284" t="s">
        <v>188</v>
      </c>
      <c r="J19" s="284" t="s">
        <v>23</v>
      </c>
      <c r="K19" s="285" t="s">
        <v>189</v>
      </c>
      <c r="L19" s="285" t="s">
        <v>212</v>
      </c>
      <c r="M19" s="285" t="s">
        <v>190</v>
      </c>
    </row>
    <row r="20" spans="1:13" x14ac:dyDescent="0.25">
      <c r="A20" s="286" t="s">
        <v>191</v>
      </c>
      <c r="B20" s="286" t="s">
        <v>130</v>
      </c>
      <c r="C20" s="286">
        <v>1</v>
      </c>
      <c r="D20" s="287">
        <v>33237</v>
      </c>
      <c r="E20" s="287">
        <f>D20*0.75</f>
        <v>24927.75</v>
      </c>
      <c r="F20" s="287">
        <f>E20*C20</f>
        <v>24927.75</v>
      </c>
      <c r="H20" s="286" t="s">
        <v>191</v>
      </c>
      <c r="I20" s="286" t="s">
        <v>130</v>
      </c>
      <c r="J20" s="286">
        <v>1</v>
      </c>
      <c r="K20" s="287">
        <v>48061</v>
      </c>
      <c r="L20" s="287">
        <f>K20*0.75</f>
        <v>36045.75</v>
      </c>
      <c r="M20" s="287">
        <f>L20*J20</f>
        <v>36045.75</v>
      </c>
    </row>
    <row r="21" spans="1:13" x14ac:dyDescent="0.25">
      <c r="A21" s="286" t="s">
        <v>227</v>
      </c>
      <c r="B21" s="286" t="s">
        <v>228</v>
      </c>
      <c r="C21" s="286">
        <v>1</v>
      </c>
      <c r="D21" s="287">
        <v>13099</v>
      </c>
      <c r="E21" s="287">
        <f>D21*0.75</f>
        <v>9824.25</v>
      </c>
      <c r="F21" s="287">
        <f>E21*C21</f>
        <v>9824.25</v>
      </c>
      <c r="H21" s="286" t="s">
        <v>227</v>
      </c>
      <c r="I21" s="286" t="s">
        <v>228</v>
      </c>
      <c r="J21" s="286">
        <v>1</v>
      </c>
      <c r="K21" s="287">
        <v>13099</v>
      </c>
      <c r="L21" s="287">
        <f>K21*0.75</f>
        <v>9824.25</v>
      </c>
      <c r="M21" s="287">
        <f>L21*J21</f>
        <v>9824.25</v>
      </c>
    </row>
    <row r="22" spans="1:13" x14ac:dyDescent="0.25">
      <c r="A22" s="286" t="s">
        <v>192</v>
      </c>
      <c r="B22" s="286" t="s">
        <v>131</v>
      </c>
      <c r="C22" s="286">
        <v>1</v>
      </c>
      <c r="D22" s="287">
        <v>39197</v>
      </c>
      <c r="E22" s="287">
        <f t="shared" ref="E22:E32" si="4">D22*0.75</f>
        <v>29397.75</v>
      </c>
      <c r="F22" s="287">
        <f t="shared" ref="F22:F32" si="5">E22*C22</f>
        <v>29397.75</v>
      </c>
      <c r="H22" s="286" t="s">
        <v>192</v>
      </c>
      <c r="I22" s="286" t="s">
        <v>131</v>
      </c>
      <c r="J22" s="286">
        <v>1</v>
      </c>
      <c r="K22" s="287">
        <v>62276</v>
      </c>
      <c r="L22" s="287">
        <f t="shared" ref="L22:L32" si="6">K22*0.75</f>
        <v>46707</v>
      </c>
      <c r="M22" s="287">
        <f t="shared" ref="M22:M32" si="7">L22*J22</f>
        <v>46707</v>
      </c>
    </row>
    <row r="23" spans="1:13" x14ac:dyDescent="0.25">
      <c r="A23" s="286" t="s">
        <v>218</v>
      </c>
      <c r="B23" s="286" t="s">
        <v>219</v>
      </c>
      <c r="C23" s="286">
        <v>1</v>
      </c>
      <c r="D23" s="287">
        <v>9341</v>
      </c>
      <c r="E23" s="287">
        <f t="shared" si="4"/>
        <v>7005.75</v>
      </c>
      <c r="F23" s="287">
        <f t="shared" si="5"/>
        <v>7005.75</v>
      </c>
      <c r="H23" s="286" t="s">
        <v>218</v>
      </c>
      <c r="I23" s="286" t="s">
        <v>219</v>
      </c>
      <c r="J23" s="286">
        <v>1</v>
      </c>
      <c r="K23" s="287">
        <v>9341</v>
      </c>
      <c r="L23" s="287">
        <f t="shared" si="6"/>
        <v>7005.75</v>
      </c>
      <c r="M23" s="287">
        <f t="shared" si="7"/>
        <v>7005.75</v>
      </c>
    </row>
    <row r="24" spans="1:13" x14ac:dyDescent="0.25">
      <c r="A24" s="286" t="s">
        <v>220</v>
      </c>
      <c r="B24" s="288" t="s">
        <v>221</v>
      </c>
      <c r="C24" s="286">
        <v>1</v>
      </c>
      <c r="D24" s="287">
        <v>10620</v>
      </c>
      <c r="E24" s="287">
        <f t="shared" si="4"/>
        <v>7965</v>
      </c>
      <c r="F24" s="287">
        <f t="shared" si="5"/>
        <v>7965</v>
      </c>
      <c r="H24" s="286" t="s">
        <v>220</v>
      </c>
      <c r="I24" s="288" t="s">
        <v>221</v>
      </c>
      <c r="J24" s="286">
        <v>1</v>
      </c>
      <c r="K24" s="287">
        <v>10620</v>
      </c>
      <c r="L24" s="287">
        <f t="shared" si="6"/>
        <v>7965</v>
      </c>
      <c r="M24" s="287">
        <f t="shared" si="7"/>
        <v>7965</v>
      </c>
    </row>
    <row r="25" spans="1:13" x14ac:dyDescent="0.25">
      <c r="A25" s="286" t="s">
        <v>216</v>
      </c>
      <c r="B25" s="286" t="s">
        <v>134</v>
      </c>
      <c r="C25" s="286">
        <v>1</v>
      </c>
      <c r="D25" s="287">
        <v>6909</v>
      </c>
      <c r="E25" s="287">
        <f t="shared" si="4"/>
        <v>5181.75</v>
      </c>
      <c r="F25" s="287">
        <f t="shared" si="5"/>
        <v>5181.75</v>
      </c>
      <c r="H25" s="286" t="s">
        <v>216</v>
      </c>
      <c r="I25" s="286" t="s">
        <v>134</v>
      </c>
      <c r="J25" s="286">
        <v>1</v>
      </c>
      <c r="K25" s="287">
        <v>12870</v>
      </c>
      <c r="L25" s="287">
        <f t="shared" si="6"/>
        <v>9652.5</v>
      </c>
      <c r="M25" s="287">
        <f t="shared" si="7"/>
        <v>9652.5</v>
      </c>
    </row>
    <row r="26" spans="1:13" x14ac:dyDescent="0.25">
      <c r="A26" s="286" t="s">
        <v>215</v>
      </c>
      <c r="B26" s="286" t="s">
        <v>229</v>
      </c>
      <c r="C26" s="286">
        <v>1</v>
      </c>
      <c r="D26" s="287">
        <v>6800</v>
      </c>
      <c r="E26" s="287">
        <f t="shared" si="4"/>
        <v>5100</v>
      </c>
      <c r="F26" s="287"/>
      <c r="H26" s="286" t="s">
        <v>215</v>
      </c>
      <c r="I26" s="286" t="s">
        <v>229</v>
      </c>
      <c r="J26" s="286">
        <v>1</v>
      </c>
      <c r="K26" s="287">
        <v>10000</v>
      </c>
      <c r="L26" s="287">
        <f t="shared" si="6"/>
        <v>7500</v>
      </c>
      <c r="M26" s="287"/>
    </row>
    <row r="27" spans="1:13" x14ac:dyDescent="0.25">
      <c r="A27" s="286" t="s">
        <v>201</v>
      </c>
      <c r="B27" s="286" t="s">
        <v>137</v>
      </c>
      <c r="C27" s="286">
        <v>1</v>
      </c>
      <c r="D27" s="287">
        <v>13051</v>
      </c>
      <c r="E27" s="287">
        <f t="shared" si="4"/>
        <v>9788.25</v>
      </c>
      <c r="F27" s="287">
        <f t="shared" si="5"/>
        <v>9788.25</v>
      </c>
      <c r="H27" s="286" t="s">
        <v>201</v>
      </c>
      <c r="I27" s="286" t="s">
        <v>137</v>
      </c>
      <c r="J27" s="286">
        <v>1</v>
      </c>
      <c r="K27" s="287">
        <v>25450</v>
      </c>
      <c r="L27" s="287">
        <f t="shared" si="6"/>
        <v>19087.5</v>
      </c>
      <c r="M27" s="287">
        <f t="shared" si="7"/>
        <v>19087.5</v>
      </c>
    </row>
    <row r="28" spans="1:13" x14ac:dyDescent="0.25">
      <c r="A28" s="286" t="s">
        <v>148</v>
      </c>
      <c r="B28" s="286" t="s">
        <v>222</v>
      </c>
      <c r="C28" s="286">
        <v>2</v>
      </c>
      <c r="D28" s="287">
        <v>2775</v>
      </c>
      <c r="E28" s="287">
        <f t="shared" si="4"/>
        <v>2081.25</v>
      </c>
      <c r="F28" s="287">
        <f t="shared" si="5"/>
        <v>4162.5</v>
      </c>
      <c r="H28" s="286" t="s">
        <v>148</v>
      </c>
      <c r="I28" s="286" t="s">
        <v>222</v>
      </c>
      <c r="J28" s="286">
        <v>2</v>
      </c>
      <c r="K28" s="287">
        <v>2890</v>
      </c>
      <c r="L28" s="287">
        <f t="shared" si="6"/>
        <v>2167.5</v>
      </c>
      <c r="M28" s="287">
        <f t="shared" si="7"/>
        <v>4335</v>
      </c>
    </row>
    <row r="29" spans="1:13" x14ac:dyDescent="0.25">
      <c r="A29" s="286" t="s">
        <v>146</v>
      </c>
      <c r="B29" s="286" t="s">
        <v>223</v>
      </c>
      <c r="C29" s="286">
        <v>2</v>
      </c>
      <c r="D29" s="287">
        <v>4056</v>
      </c>
      <c r="E29" s="287">
        <f t="shared" si="4"/>
        <v>3042</v>
      </c>
      <c r="F29" s="287">
        <f t="shared" si="5"/>
        <v>6084</v>
      </c>
      <c r="H29" s="286" t="s">
        <v>146</v>
      </c>
      <c r="I29" s="286" t="s">
        <v>223</v>
      </c>
      <c r="J29" s="286">
        <v>2</v>
      </c>
      <c r="K29" s="287">
        <v>4056</v>
      </c>
      <c r="L29" s="287">
        <f t="shared" si="6"/>
        <v>3042</v>
      </c>
      <c r="M29" s="287">
        <f t="shared" si="7"/>
        <v>6084</v>
      </c>
    </row>
    <row r="30" spans="1:13" x14ac:dyDescent="0.25">
      <c r="A30" s="286" t="s">
        <v>147</v>
      </c>
      <c r="B30" s="286" t="s">
        <v>230</v>
      </c>
      <c r="C30" s="286">
        <v>4</v>
      </c>
      <c r="D30" s="287">
        <v>3028</v>
      </c>
      <c r="E30" s="287">
        <f t="shared" si="4"/>
        <v>2271</v>
      </c>
      <c r="F30" s="287">
        <f t="shared" si="5"/>
        <v>9084</v>
      </c>
      <c r="H30" s="286" t="s">
        <v>147</v>
      </c>
      <c r="I30" s="286" t="s">
        <v>230</v>
      </c>
      <c r="J30" s="286">
        <v>4</v>
      </c>
      <c r="K30" s="287">
        <v>3028</v>
      </c>
      <c r="L30" s="287">
        <f t="shared" si="6"/>
        <v>2271</v>
      </c>
      <c r="M30" s="287">
        <f t="shared" si="7"/>
        <v>9084</v>
      </c>
    </row>
    <row r="31" spans="1:13" x14ac:dyDescent="0.25">
      <c r="A31" s="286" t="s">
        <v>145</v>
      </c>
      <c r="B31" s="286" t="s">
        <v>231</v>
      </c>
      <c r="C31" s="286">
        <v>10</v>
      </c>
      <c r="D31" s="287">
        <f>17599/100</f>
        <v>175.99</v>
      </c>
      <c r="E31" s="287">
        <f t="shared" si="4"/>
        <v>131.99250000000001</v>
      </c>
      <c r="F31" s="287">
        <f t="shared" si="5"/>
        <v>1319.9250000000002</v>
      </c>
      <c r="H31" s="286" t="s">
        <v>145</v>
      </c>
      <c r="I31" s="286" t="s">
        <v>231</v>
      </c>
      <c r="J31" s="286">
        <v>10</v>
      </c>
      <c r="K31" s="287">
        <f>17599/100</f>
        <v>175.99</v>
      </c>
      <c r="L31" s="287">
        <f t="shared" si="6"/>
        <v>131.99250000000001</v>
      </c>
      <c r="M31" s="287">
        <f t="shared" si="7"/>
        <v>1319.9250000000002</v>
      </c>
    </row>
    <row r="32" spans="1:13" x14ac:dyDescent="0.25">
      <c r="A32" s="286" t="s">
        <v>149</v>
      </c>
      <c r="B32" s="286" t="s">
        <v>232</v>
      </c>
      <c r="C32" s="286">
        <v>2</v>
      </c>
      <c r="D32" s="287">
        <f>14613/20</f>
        <v>730.65</v>
      </c>
      <c r="E32" s="287">
        <f t="shared" si="4"/>
        <v>547.98749999999995</v>
      </c>
      <c r="F32" s="287">
        <f t="shared" si="5"/>
        <v>1095.9749999999999</v>
      </c>
      <c r="H32" s="286" t="s">
        <v>149</v>
      </c>
      <c r="I32" s="286" t="s">
        <v>232</v>
      </c>
      <c r="J32" s="286">
        <v>2</v>
      </c>
      <c r="K32" s="287">
        <f>14613/20</f>
        <v>730.65</v>
      </c>
      <c r="L32" s="287">
        <f t="shared" si="6"/>
        <v>547.98749999999995</v>
      </c>
      <c r="M32" s="287">
        <f t="shared" si="7"/>
        <v>1095.9749999999999</v>
      </c>
    </row>
    <row r="33" spans="4:13" x14ac:dyDescent="0.25">
      <c r="D33" s="231"/>
      <c r="E33" s="231"/>
      <c r="F33" s="248">
        <f>SUM(F20:F32)</f>
        <v>115836.90000000001</v>
      </c>
      <c r="K33" s="289"/>
      <c r="L33" s="289"/>
      <c r="M33" s="248">
        <f>SUM(M20:M32)</f>
        <v>158206.65</v>
      </c>
    </row>
  </sheetData>
  <mergeCells count="6">
    <mergeCell ref="A1:C1"/>
    <mergeCell ref="H1:J1"/>
    <mergeCell ref="A3:C3"/>
    <mergeCell ref="H3:J3"/>
    <mergeCell ref="A18:C18"/>
    <mergeCell ref="H18:J1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284FD-7ECD-4B43-B0E7-41A5D00E8AF0}">
  <sheetPr codeName="Hoja3"/>
  <dimension ref="A1:G12"/>
  <sheetViews>
    <sheetView workbookViewId="0">
      <selection activeCell="D11" sqref="D11"/>
    </sheetView>
  </sheetViews>
  <sheetFormatPr baseColWidth="10" defaultColWidth="11" defaultRowHeight="15.75" x14ac:dyDescent="0.25"/>
  <cols>
    <col min="1" max="1" width="15.375" bestFit="1" customWidth="1"/>
    <col min="3" max="3" width="39.5" style="24" customWidth="1"/>
  </cols>
  <sheetData>
    <row r="1" spans="1:7" s="233" customFormat="1" x14ac:dyDescent="0.25">
      <c r="A1" s="233" t="s">
        <v>233</v>
      </c>
      <c r="B1" s="233" t="s">
        <v>234</v>
      </c>
      <c r="C1" s="235" t="s">
        <v>235</v>
      </c>
      <c r="G1" s="233" t="s">
        <v>236</v>
      </c>
    </row>
    <row r="2" spans="1:7" ht="138" customHeight="1" x14ac:dyDescent="0.25">
      <c r="A2" s="230" t="s">
        <v>237</v>
      </c>
      <c r="B2" s="230" t="s">
        <v>238</v>
      </c>
      <c r="C2" s="330" t="e" vm="4">
        <v>#VALUE!</v>
      </c>
      <c r="G2" t="s">
        <v>239</v>
      </c>
    </row>
    <row r="3" spans="1:7" ht="138" customHeight="1" x14ac:dyDescent="0.25">
      <c r="A3" s="230" t="s">
        <v>240</v>
      </c>
      <c r="B3" s="230" t="s">
        <v>238</v>
      </c>
      <c r="C3" s="330" t="e" vm="5">
        <v>#VALUE!</v>
      </c>
      <c r="G3" t="s">
        <v>29</v>
      </c>
    </row>
    <row r="4" spans="1:7" ht="138" customHeight="1" x14ac:dyDescent="0.25">
      <c r="A4" s="230" t="s">
        <v>241</v>
      </c>
      <c r="B4" s="230" t="s">
        <v>238</v>
      </c>
      <c r="C4" s="330" t="e" vm="6">
        <v>#VALUE!</v>
      </c>
      <c r="G4" t="s">
        <v>242</v>
      </c>
    </row>
    <row r="5" spans="1:7" ht="138" customHeight="1" x14ac:dyDescent="0.25">
      <c r="A5" s="230" t="s">
        <v>243</v>
      </c>
      <c r="B5" s="230" t="s">
        <v>238</v>
      </c>
      <c r="C5" s="330" t="e" vm="7">
        <v>#VALUE!</v>
      </c>
      <c r="G5" t="s">
        <v>244</v>
      </c>
    </row>
    <row r="6" spans="1:7" ht="138" customHeight="1" x14ac:dyDescent="0.25">
      <c r="A6" s="230" t="s">
        <v>245</v>
      </c>
      <c r="B6" s="230" t="s">
        <v>238</v>
      </c>
      <c r="C6" s="330" t="e" vm="8">
        <v>#VALUE!</v>
      </c>
      <c r="G6" t="s">
        <v>246</v>
      </c>
    </row>
    <row r="7" spans="1:7" ht="138" customHeight="1" x14ac:dyDescent="0.25">
      <c r="A7" s="230" t="s">
        <v>247</v>
      </c>
      <c r="B7" s="230" t="s">
        <v>238</v>
      </c>
      <c r="C7" s="330" t="e" vm="9">
        <v>#VALUE!</v>
      </c>
    </row>
    <row r="8" spans="1:7" ht="138" customHeight="1" x14ac:dyDescent="0.25">
      <c r="A8" s="230" t="s">
        <v>32</v>
      </c>
      <c r="B8" s="230" t="s">
        <v>248</v>
      </c>
      <c r="C8" s="330" t="e" vm="10">
        <v>#VALUE!</v>
      </c>
    </row>
    <row r="9" spans="1:7" ht="138" customHeight="1" x14ac:dyDescent="0.25">
      <c r="A9" s="230" t="s">
        <v>249</v>
      </c>
      <c r="B9" s="230" t="s">
        <v>248</v>
      </c>
      <c r="C9" s="330" t="e" vm="11">
        <v>#VALUE!</v>
      </c>
    </row>
    <row r="10" spans="1:7" ht="138" customHeight="1" x14ac:dyDescent="0.25">
      <c r="A10" s="230" t="s">
        <v>250</v>
      </c>
      <c r="B10" s="230" t="s">
        <v>248</v>
      </c>
      <c r="C10" s="330" t="e" vm="12">
        <v>#VALUE!</v>
      </c>
    </row>
    <row r="11" spans="1:7" ht="138" customHeight="1" x14ac:dyDescent="0.25">
      <c r="A11" s="230" t="s">
        <v>251</v>
      </c>
      <c r="B11" s="230" t="s">
        <v>248</v>
      </c>
      <c r="C11" s="330" t="e" vm="8">
        <v>#VALUE!</v>
      </c>
    </row>
    <row r="12" spans="1:7" ht="138" customHeight="1" x14ac:dyDescent="0.25">
      <c r="A12" s="230" t="s">
        <v>28</v>
      </c>
      <c r="B12" s="230" t="s">
        <v>248</v>
      </c>
      <c r="C12" s="330" t="e" vm="13">
        <v>#VALUE!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6CED-50E1-1C4E-9DB4-0377EAAC7DF3}">
  <sheetPr codeName="Hoja16"/>
  <dimension ref="A1:C11"/>
  <sheetViews>
    <sheetView workbookViewId="0">
      <selection activeCell="I17" sqref="I17"/>
    </sheetView>
  </sheetViews>
  <sheetFormatPr baseColWidth="10" defaultColWidth="11" defaultRowHeight="15.75" x14ac:dyDescent="0.25"/>
  <cols>
    <col min="1" max="1" width="26" bestFit="1" customWidth="1"/>
  </cols>
  <sheetData>
    <row r="1" spans="1:3" ht="16.5" thickBot="1" x14ac:dyDescent="0.3">
      <c r="A1" s="273" t="s">
        <v>252</v>
      </c>
      <c r="B1" s="274" t="s">
        <v>253</v>
      </c>
      <c r="C1" s="265" t="s">
        <v>254</v>
      </c>
    </row>
    <row r="2" spans="1:3" x14ac:dyDescent="0.25">
      <c r="A2" s="261" t="s">
        <v>44</v>
      </c>
      <c r="B2" s="275">
        <v>1</v>
      </c>
      <c r="C2" s="276">
        <v>21000</v>
      </c>
    </row>
    <row r="3" spans="1:3" x14ac:dyDescent="0.25">
      <c r="A3" s="261" t="s">
        <v>255</v>
      </c>
      <c r="B3" s="275">
        <v>1</v>
      </c>
      <c r="C3" s="276">
        <v>30135</v>
      </c>
    </row>
    <row r="4" spans="1:3" x14ac:dyDescent="0.25">
      <c r="A4" s="261" t="s">
        <v>256</v>
      </c>
      <c r="B4" s="275">
        <v>1</v>
      </c>
      <c r="C4" s="262">
        <v>25486</v>
      </c>
    </row>
    <row r="5" spans="1:3" x14ac:dyDescent="0.25">
      <c r="A5" s="261" t="s">
        <v>151</v>
      </c>
      <c r="B5" s="275">
        <v>1</v>
      </c>
      <c r="C5" s="276">
        <v>26996</v>
      </c>
    </row>
    <row r="6" spans="1:3" x14ac:dyDescent="0.25">
      <c r="A6" s="261" t="s">
        <v>257</v>
      </c>
      <c r="B6" s="275">
        <v>1</v>
      </c>
      <c r="C6" s="276">
        <v>51419</v>
      </c>
    </row>
    <row r="7" spans="1:3" x14ac:dyDescent="0.25">
      <c r="A7" s="261" t="s">
        <v>258</v>
      </c>
      <c r="B7" s="275">
        <v>1</v>
      </c>
      <c r="C7" s="276">
        <v>28506</v>
      </c>
    </row>
    <row r="8" spans="1:3" x14ac:dyDescent="0.25">
      <c r="A8" s="261" t="s">
        <v>259</v>
      </c>
      <c r="B8" s="275">
        <v>1</v>
      </c>
      <c r="C8" s="276">
        <v>53363</v>
      </c>
    </row>
    <row r="9" spans="1:3" x14ac:dyDescent="0.25">
      <c r="A9" s="261" t="s">
        <v>260</v>
      </c>
      <c r="B9" s="275">
        <v>1</v>
      </c>
      <c r="C9" s="276">
        <v>41126</v>
      </c>
    </row>
    <row r="10" spans="1:3" x14ac:dyDescent="0.25">
      <c r="A10" s="261" t="s">
        <v>261</v>
      </c>
      <c r="B10" s="275">
        <v>1</v>
      </c>
      <c r="C10" s="276">
        <v>43069</v>
      </c>
    </row>
    <row r="11" spans="1:3" ht="16.5" thickBot="1" x14ac:dyDescent="0.3">
      <c r="A11" s="263" t="s">
        <v>262</v>
      </c>
      <c r="B11" s="277">
        <v>1</v>
      </c>
      <c r="C11" s="278">
        <v>55127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4045-DD64-5D46-8A39-72140602E877}">
  <sheetPr codeName="Hoja17"/>
  <dimension ref="B2:G36"/>
  <sheetViews>
    <sheetView topLeftCell="A3" workbookViewId="0">
      <selection activeCell="P33" sqref="P33"/>
    </sheetView>
  </sheetViews>
  <sheetFormatPr baseColWidth="10" defaultColWidth="11" defaultRowHeight="15.75" x14ac:dyDescent="0.25"/>
  <cols>
    <col min="2" max="2" width="19.875" bestFit="1" customWidth="1"/>
    <col min="3" max="3" width="42.375" bestFit="1" customWidth="1"/>
    <col min="4" max="4" width="10.125" bestFit="1" customWidth="1"/>
    <col min="5" max="5" width="3.875" bestFit="1" customWidth="1"/>
    <col min="6" max="7" width="8.375" bestFit="1" customWidth="1"/>
  </cols>
  <sheetData>
    <row r="2" spans="2:7" x14ac:dyDescent="0.25">
      <c r="B2" t="s">
        <v>263</v>
      </c>
      <c r="D2" s="275"/>
      <c r="F2" s="231"/>
      <c r="G2" s="231"/>
    </row>
    <row r="3" spans="2:7" x14ac:dyDescent="0.25">
      <c r="D3" s="275"/>
      <c r="F3" s="231"/>
      <c r="G3" s="231"/>
    </row>
    <row r="4" spans="2:7" x14ac:dyDescent="0.25">
      <c r="B4" s="284" t="s">
        <v>264</v>
      </c>
      <c r="C4" s="284" t="s">
        <v>265</v>
      </c>
      <c r="D4" s="298" t="s">
        <v>266</v>
      </c>
      <c r="E4" s="284" t="s">
        <v>267</v>
      </c>
      <c r="F4" s="285" t="s">
        <v>268</v>
      </c>
      <c r="G4" s="285" t="s">
        <v>36</v>
      </c>
    </row>
    <row r="5" spans="2:7" x14ac:dyDescent="0.25">
      <c r="B5" s="286" t="s">
        <v>269</v>
      </c>
      <c r="C5" s="286" t="s">
        <v>270</v>
      </c>
      <c r="D5" s="286">
        <v>1</v>
      </c>
      <c r="E5" s="286" t="s">
        <v>271</v>
      </c>
      <c r="F5" s="287">
        <v>19203</v>
      </c>
      <c r="G5" s="287">
        <v>19203</v>
      </c>
    </row>
    <row r="6" spans="2:7" x14ac:dyDescent="0.25">
      <c r="B6" s="286" t="s">
        <v>272</v>
      </c>
      <c r="C6" s="286" t="s">
        <v>273</v>
      </c>
      <c r="D6" s="286">
        <v>1</v>
      </c>
      <c r="E6" s="286" t="s">
        <v>271</v>
      </c>
      <c r="F6" s="287">
        <v>30330</v>
      </c>
      <c r="G6" s="287">
        <v>30330</v>
      </c>
    </row>
    <row r="7" spans="2:7" x14ac:dyDescent="0.25">
      <c r="B7" s="286" t="s">
        <v>274</v>
      </c>
      <c r="C7" s="286" t="s">
        <v>275</v>
      </c>
      <c r="D7" s="286">
        <v>1</v>
      </c>
      <c r="E7" s="286" t="s">
        <v>271</v>
      </c>
      <c r="F7" s="287">
        <v>9254</v>
      </c>
      <c r="G7" s="287">
        <v>9254</v>
      </c>
    </row>
    <row r="8" spans="2:7" x14ac:dyDescent="0.25">
      <c r="B8" s="286" t="s">
        <v>276</v>
      </c>
      <c r="C8" s="286" t="s">
        <v>277</v>
      </c>
      <c r="D8" s="286">
        <v>1</v>
      </c>
      <c r="E8" s="286" t="s">
        <v>271</v>
      </c>
      <c r="F8" s="287">
        <v>7813</v>
      </c>
      <c r="G8" s="287">
        <v>7813</v>
      </c>
    </row>
    <row r="9" spans="2:7" x14ac:dyDescent="0.25">
      <c r="B9" s="286">
        <v>150006</v>
      </c>
      <c r="C9" s="286" t="s">
        <v>278</v>
      </c>
      <c r="D9" s="286">
        <v>2</v>
      </c>
      <c r="E9" s="286" t="s">
        <v>279</v>
      </c>
      <c r="F9" s="287">
        <v>7516.5</v>
      </c>
      <c r="G9" s="287">
        <v>15033</v>
      </c>
    </row>
    <row r="10" spans="2:7" x14ac:dyDescent="0.25">
      <c r="B10" s="286" t="s">
        <v>280</v>
      </c>
      <c r="C10" s="286" t="s">
        <v>281</v>
      </c>
      <c r="D10" s="286">
        <v>1</v>
      </c>
      <c r="E10" s="286" t="s">
        <v>271</v>
      </c>
      <c r="F10" s="287">
        <v>29855</v>
      </c>
      <c r="G10" s="287">
        <v>29855</v>
      </c>
    </row>
    <row r="11" spans="2:7" x14ac:dyDescent="0.25">
      <c r="B11" s="286">
        <v>13558</v>
      </c>
      <c r="C11" s="286" t="s">
        <v>282</v>
      </c>
      <c r="D11" s="286">
        <v>1</v>
      </c>
      <c r="E11" s="286" t="s">
        <v>283</v>
      </c>
      <c r="F11" s="287">
        <v>25650</v>
      </c>
      <c r="G11" s="287">
        <v>25650</v>
      </c>
    </row>
    <row r="12" spans="2:7" x14ac:dyDescent="0.25">
      <c r="B12" s="286">
        <v>10673</v>
      </c>
      <c r="C12" s="286" t="s">
        <v>284</v>
      </c>
      <c r="D12" s="286">
        <v>100</v>
      </c>
      <c r="E12" s="286" t="s">
        <v>285</v>
      </c>
      <c r="F12" s="287">
        <v>384.75</v>
      </c>
      <c r="G12" s="287">
        <v>38475</v>
      </c>
    </row>
    <row r="13" spans="2:7" x14ac:dyDescent="0.25">
      <c r="B13" s="286">
        <v>10667</v>
      </c>
      <c r="C13" s="286" t="s">
        <v>286</v>
      </c>
      <c r="D13" s="286">
        <v>100</v>
      </c>
      <c r="E13" s="286" t="s">
        <v>285</v>
      </c>
      <c r="F13" s="287">
        <v>470.25</v>
      </c>
      <c r="G13" s="287">
        <v>47025</v>
      </c>
    </row>
    <row r="14" spans="2:7" x14ac:dyDescent="0.25">
      <c r="B14" s="286">
        <v>140900</v>
      </c>
      <c r="C14" s="286" t="s">
        <v>287</v>
      </c>
      <c r="D14" s="286">
        <v>50</v>
      </c>
      <c r="E14" s="286" t="s">
        <v>279</v>
      </c>
      <c r="F14" s="287">
        <v>366.8</v>
      </c>
      <c r="G14" s="287">
        <v>18340</v>
      </c>
    </row>
    <row r="15" spans="2:7" x14ac:dyDescent="0.25">
      <c r="B15" s="286">
        <v>140901</v>
      </c>
      <c r="C15" s="286" t="s">
        <v>288</v>
      </c>
      <c r="D15" s="286">
        <v>50</v>
      </c>
      <c r="E15" s="286" t="s">
        <v>279</v>
      </c>
      <c r="F15" s="287">
        <v>284.72000000000003</v>
      </c>
      <c r="G15" s="287">
        <v>14236</v>
      </c>
    </row>
    <row r="16" spans="2:7" x14ac:dyDescent="0.25">
      <c r="B16" s="286" t="s">
        <v>289</v>
      </c>
      <c r="C16" s="286" t="s">
        <v>290</v>
      </c>
      <c r="D16" s="286">
        <v>1</v>
      </c>
      <c r="E16" s="286" t="s">
        <v>271</v>
      </c>
      <c r="F16" s="287">
        <v>24135</v>
      </c>
      <c r="G16" s="287">
        <v>24135</v>
      </c>
    </row>
    <row r="17" spans="2:7" x14ac:dyDescent="0.25">
      <c r="B17" s="286" t="s">
        <v>291</v>
      </c>
      <c r="C17" s="286" t="s">
        <v>292</v>
      </c>
      <c r="D17" s="286">
        <v>1</v>
      </c>
      <c r="E17" s="286" t="s">
        <v>271</v>
      </c>
      <c r="F17" s="287">
        <v>29763</v>
      </c>
      <c r="G17" s="287">
        <v>29763</v>
      </c>
    </row>
    <row r="18" spans="2:7" x14ac:dyDescent="0.25">
      <c r="B18" s="286" t="s">
        <v>293</v>
      </c>
      <c r="C18" s="286" t="s">
        <v>294</v>
      </c>
      <c r="D18" s="286">
        <v>1</v>
      </c>
      <c r="E18" s="286" t="s">
        <v>271</v>
      </c>
      <c r="F18" s="287">
        <v>30423</v>
      </c>
      <c r="G18" s="287">
        <v>30423</v>
      </c>
    </row>
    <row r="19" spans="2:7" x14ac:dyDescent="0.25">
      <c r="B19" s="286">
        <v>140003</v>
      </c>
      <c r="C19" s="286" t="s">
        <v>295</v>
      </c>
      <c r="D19" s="286">
        <v>100</v>
      </c>
      <c r="E19" s="286" t="s">
        <v>279</v>
      </c>
      <c r="F19" s="287">
        <v>90.63</v>
      </c>
      <c r="G19" s="287">
        <v>9063</v>
      </c>
    </row>
    <row r="20" spans="2:7" x14ac:dyDescent="0.25">
      <c r="B20" s="286">
        <v>140004</v>
      </c>
      <c r="C20" s="286" t="s">
        <v>296</v>
      </c>
      <c r="D20" s="286">
        <v>100</v>
      </c>
      <c r="E20" s="286" t="s">
        <v>279</v>
      </c>
      <c r="F20" s="287">
        <v>90.63</v>
      </c>
      <c r="G20" s="287">
        <v>9063</v>
      </c>
    </row>
    <row r="21" spans="2:7" x14ac:dyDescent="0.25">
      <c r="B21" s="286" t="s">
        <v>297</v>
      </c>
      <c r="C21" s="286" t="s">
        <v>298</v>
      </c>
      <c r="D21" s="286">
        <v>1</v>
      </c>
      <c r="E21" s="286" t="s">
        <v>271</v>
      </c>
      <c r="F21" s="287">
        <v>30110</v>
      </c>
      <c r="G21" s="287">
        <v>30110</v>
      </c>
    </row>
    <row r="22" spans="2:7" x14ac:dyDescent="0.25">
      <c r="B22" s="286" t="s">
        <v>299</v>
      </c>
      <c r="C22" s="286" t="s">
        <v>300</v>
      </c>
      <c r="D22" s="286">
        <v>1</v>
      </c>
      <c r="E22" s="286" t="s">
        <v>271</v>
      </c>
      <c r="F22" s="287">
        <v>30593</v>
      </c>
      <c r="G22" s="287">
        <v>30593</v>
      </c>
    </row>
    <row r="23" spans="2:7" x14ac:dyDescent="0.25">
      <c r="B23" s="286" t="s">
        <v>301</v>
      </c>
      <c r="C23" s="286" t="s">
        <v>302</v>
      </c>
      <c r="D23" s="286">
        <v>1</v>
      </c>
      <c r="E23" s="286" t="s">
        <v>271</v>
      </c>
      <c r="F23" s="287">
        <v>25796</v>
      </c>
      <c r="G23" s="287">
        <v>25796</v>
      </c>
    </row>
    <row r="24" spans="2:7" x14ac:dyDescent="0.25">
      <c r="B24" s="286" t="s">
        <v>303</v>
      </c>
      <c r="C24" s="286" t="s">
        <v>304</v>
      </c>
      <c r="D24" s="286">
        <v>1</v>
      </c>
      <c r="E24" s="286" t="s">
        <v>271</v>
      </c>
      <c r="F24" s="287">
        <v>25185</v>
      </c>
      <c r="G24" s="287">
        <v>25185</v>
      </c>
    </row>
    <row r="25" spans="2:7" x14ac:dyDescent="0.25">
      <c r="B25" s="286" t="s">
        <v>305</v>
      </c>
      <c r="C25" s="286" t="s">
        <v>306</v>
      </c>
      <c r="D25" s="286">
        <v>1</v>
      </c>
      <c r="E25" s="286" t="s">
        <v>271</v>
      </c>
      <c r="F25" s="287">
        <v>25008</v>
      </c>
      <c r="G25" s="287">
        <v>25008</v>
      </c>
    </row>
    <row r="26" spans="2:7" x14ac:dyDescent="0.25">
      <c r="B26" s="286" t="s">
        <v>307</v>
      </c>
      <c r="C26" s="286" t="s">
        <v>308</v>
      </c>
      <c r="D26" s="286">
        <v>1</v>
      </c>
      <c r="E26" s="286" t="s">
        <v>271</v>
      </c>
      <c r="F26" s="287">
        <v>25008</v>
      </c>
      <c r="G26" s="287">
        <v>25008</v>
      </c>
    </row>
    <row r="27" spans="2:7" x14ac:dyDescent="0.25">
      <c r="B27" s="286" t="s">
        <v>309</v>
      </c>
      <c r="C27" s="286" t="s">
        <v>310</v>
      </c>
      <c r="D27" s="286">
        <v>1</v>
      </c>
      <c r="E27" s="286" t="s">
        <v>271</v>
      </c>
      <c r="F27" s="287">
        <v>22915</v>
      </c>
      <c r="G27" s="287">
        <v>22915</v>
      </c>
    </row>
    <row r="28" spans="2:7" x14ac:dyDescent="0.25">
      <c r="B28" s="286" t="s">
        <v>307</v>
      </c>
      <c r="C28" s="286" t="s">
        <v>308</v>
      </c>
      <c r="D28" s="286">
        <v>1</v>
      </c>
      <c r="E28" s="286" t="s">
        <v>271</v>
      </c>
      <c r="F28" s="287">
        <v>25008</v>
      </c>
      <c r="G28" s="287">
        <v>25008</v>
      </c>
    </row>
    <row r="29" spans="2:7" x14ac:dyDescent="0.25">
      <c r="B29" s="286">
        <v>10675</v>
      </c>
      <c r="C29" s="286" t="s">
        <v>311</v>
      </c>
      <c r="D29" s="286">
        <v>100</v>
      </c>
      <c r="E29" s="286" t="s">
        <v>285</v>
      </c>
      <c r="F29" s="287">
        <v>800.28</v>
      </c>
      <c r="G29" s="287">
        <v>80028</v>
      </c>
    </row>
    <row r="30" spans="2:7" x14ac:dyDescent="0.25">
      <c r="B30" s="286">
        <v>10668</v>
      </c>
      <c r="C30" s="286" t="s">
        <v>312</v>
      </c>
      <c r="D30" s="286">
        <v>50</v>
      </c>
      <c r="E30" s="286" t="s">
        <v>285</v>
      </c>
      <c r="F30" s="287">
        <v>875.52</v>
      </c>
      <c r="G30" s="287">
        <v>43776</v>
      </c>
    </row>
    <row r="31" spans="2:7" x14ac:dyDescent="0.25">
      <c r="B31" s="286" t="s">
        <v>313</v>
      </c>
      <c r="C31" s="286" t="s">
        <v>314</v>
      </c>
      <c r="D31" s="286">
        <v>1</v>
      </c>
      <c r="E31" s="287" t="s">
        <v>315</v>
      </c>
      <c r="F31" s="287">
        <v>18648</v>
      </c>
      <c r="G31" s="287">
        <v>18648</v>
      </c>
    </row>
    <row r="32" spans="2:7" x14ac:dyDescent="0.25">
      <c r="B32" s="286">
        <v>150501</v>
      </c>
      <c r="C32" s="286" t="s">
        <v>316</v>
      </c>
      <c r="D32" s="286">
        <v>4</v>
      </c>
      <c r="E32" s="286" t="s">
        <v>279</v>
      </c>
      <c r="F32" s="287">
        <v>2117</v>
      </c>
      <c r="G32" s="287">
        <v>8468</v>
      </c>
    </row>
    <row r="33" spans="2:7" x14ac:dyDescent="0.25">
      <c r="B33" s="286" t="s">
        <v>317</v>
      </c>
      <c r="C33" s="286" t="s">
        <v>318</v>
      </c>
      <c r="D33" s="286">
        <v>2</v>
      </c>
      <c r="E33" s="286" t="s">
        <v>279</v>
      </c>
      <c r="F33" s="287">
        <v>2165</v>
      </c>
      <c r="G33" s="287">
        <v>4330</v>
      </c>
    </row>
    <row r="34" spans="2:7" x14ac:dyDescent="0.25">
      <c r="B34" s="286">
        <v>140008</v>
      </c>
      <c r="C34" s="286" t="s">
        <v>319</v>
      </c>
      <c r="D34" s="286">
        <v>1</v>
      </c>
      <c r="E34" s="286" t="s">
        <v>279</v>
      </c>
      <c r="F34" s="287">
        <v>130</v>
      </c>
      <c r="G34" s="287">
        <v>130</v>
      </c>
    </row>
    <row r="35" spans="2:7" x14ac:dyDescent="0.25">
      <c r="B35" s="286">
        <v>140009</v>
      </c>
      <c r="C35" s="286" t="s">
        <v>320</v>
      </c>
      <c r="D35" s="286">
        <v>1</v>
      </c>
      <c r="E35" s="286" t="s">
        <v>279</v>
      </c>
      <c r="F35" s="287">
        <v>130</v>
      </c>
      <c r="G35" s="287">
        <v>130</v>
      </c>
    </row>
    <row r="36" spans="2:7" x14ac:dyDescent="0.25">
      <c r="B36" s="286">
        <v>140005</v>
      </c>
      <c r="C36" s="286" t="s">
        <v>321</v>
      </c>
      <c r="D36" s="286">
        <v>8</v>
      </c>
      <c r="E36" s="286" t="s">
        <v>279</v>
      </c>
      <c r="F36" s="287">
        <v>128.25</v>
      </c>
      <c r="G36" s="287">
        <v>1026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6558A-651F-F240-9898-FA889DDEDE2D}">
  <sheetPr codeName="Hoja18"/>
  <dimension ref="A1:I228"/>
  <sheetViews>
    <sheetView zoomScale="116" workbookViewId="0">
      <selection activeCell="S144" sqref="S144"/>
    </sheetView>
  </sheetViews>
  <sheetFormatPr baseColWidth="10" defaultColWidth="11" defaultRowHeight="15.75" outlineLevelRow="1" x14ac:dyDescent="0.25"/>
  <cols>
    <col min="1" max="1" width="15.875" bestFit="1" customWidth="1"/>
    <col min="2" max="2" width="11.5" customWidth="1"/>
    <col min="3" max="3" width="26.125" bestFit="1" customWidth="1"/>
    <col min="4" max="4" width="8" bestFit="1" customWidth="1"/>
    <col min="5" max="5" width="11.5" bestFit="1" customWidth="1"/>
    <col min="6" max="6" width="13.625" bestFit="1" customWidth="1"/>
    <col min="7" max="7" width="14" bestFit="1" customWidth="1"/>
    <col min="8" max="8" width="13.625" bestFit="1" customWidth="1"/>
    <col min="9" max="9" width="15.375" style="231" bestFit="1" customWidth="1"/>
  </cols>
  <sheetData>
    <row r="1" spans="1:9" ht="16.5" thickBot="1" x14ac:dyDescent="0.3"/>
    <row r="2" spans="1:9" ht="21" customHeight="1" thickBot="1" x14ac:dyDescent="0.45">
      <c r="A2" s="234" t="s">
        <v>322</v>
      </c>
      <c r="H2" s="266"/>
      <c r="I2" s="267" t="s">
        <v>40</v>
      </c>
    </row>
    <row r="3" spans="1:9" ht="18.75" x14ac:dyDescent="0.3">
      <c r="H3" s="268" t="s">
        <v>323</v>
      </c>
      <c r="I3" s="269">
        <f>I10+I32+I54+I76+I98+I120+I142+I164+I186+I208</f>
        <v>275586.88266666664</v>
      </c>
    </row>
    <row r="4" spans="1:9" ht="18.75" x14ac:dyDescent="0.3">
      <c r="H4" s="270" t="s">
        <v>47</v>
      </c>
      <c r="I4" s="269">
        <f>I11+I33+I55+I77+I99+I121+I143+I165+I187+I209</f>
        <v>204075.31199999998</v>
      </c>
    </row>
    <row r="5" spans="1:9" ht="21" x14ac:dyDescent="0.45">
      <c r="H5" s="270" t="s">
        <v>51</v>
      </c>
      <c r="I5" s="271">
        <f>I12+I34+I56+I78+I100+I122+I144+I166+I188+I210</f>
        <v>49538.6</v>
      </c>
    </row>
    <row r="6" spans="1:9" ht="19.5" thickBot="1" x14ac:dyDescent="0.35">
      <c r="H6" s="272"/>
      <c r="I6" s="264">
        <f>SUM(I3:I5)</f>
        <v>529200.79466666665</v>
      </c>
    </row>
    <row r="7" spans="1:9" x14ac:dyDescent="0.25">
      <c r="A7" s="1" t="s">
        <v>61</v>
      </c>
      <c r="B7" s="238" t="s">
        <v>26</v>
      </c>
      <c r="C7" s="237"/>
      <c r="E7" s="3"/>
      <c r="F7" s="3"/>
    </row>
    <row r="8" spans="1:9" ht="15.95" customHeight="1" x14ac:dyDescent="0.25">
      <c r="A8" s="4" t="s">
        <v>62</v>
      </c>
      <c r="B8" s="384" t="s">
        <v>63</v>
      </c>
      <c r="C8" s="384"/>
      <c r="D8" s="384"/>
      <c r="E8" s="384"/>
      <c r="F8" s="236"/>
    </row>
    <row r="9" spans="1:9" x14ac:dyDescent="0.25">
      <c r="A9" s="5"/>
      <c r="B9" s="384"/>
      <c r="C9" s="384"/>
      <c r="D9" s="384"/>
      <c r="E9" s="384"/>
      <c r="F9" s="236"/>
    </row>
    <row r="10" spans="1:9" x14ac:dyDescent="0.25">
      <c r="A10" s="240" t="s">
        <v>64</v>
      </c>
      <c r="B10" s="239">
        <v>2</v>
      </c>
      <c r="C10" s="8"/>
      <c r="D10" s="8"/>
      <c r="E10" s="8"/>
      <c r="F10" s="236"/>
      <c r="H10" t="s">
        <v>65</v>
      </c>
      <c r="I10" s="232">
        <f>SUM(I15:I21)</f>
        <v>81514.572</v>
      </c>
    </row>
    <row r="11" spans="1:9" x14ac:dyDescent="0.25">
      <c r="A11" s="241" t="s">
        <v>66</v>
      </c>
      <c r="B11" s="242"/>
      <c r="C11" s="11"/>
      <c r="D11" s="12"/>
      <c r="E11" s="12"/>
      <c r="F11" s="12"/>
      <c r="H11" t="s">
        <v>68</v>
      </c>
      <c r="I11" s="246">
        <f>F26</f>
        <v>50455.103999999999</v>
      </c>
    </row>
    <row r="12" spans="1:9" ht="18" x14ac:dyDescent="0.4">
      <c r="A12" s="243" t="s">
        <v>69</v>
      </c>
      <c r="B12" s="14">
        <v>1000</v>
      </c>
      <c r="F12" s="15"/>
      <c r="H12" t="s">
        <v>70</v>
      </c>
      <c r="I12" s="247">
        <f>I22</f>
        <v>16205.6</v>
      </c>
    </row>
    <row r="13" spans="1:9" x14ac:dyDescent="0.25">
      <c r="A13" s="244" t="s">
        <v>71</v>
      </c>
      <c r="B13" s="17">
        <v>1500</v>
      </c>
      <c r="H13" t="s">
        <v>36</v>
      </c>
      <c r="I13" s="248">
        <f>SUM(I10:I12)</f>
        <v>148175.27600000001</v>
      </c>
    </row>
    <row r="14" spans="1:9" outlineLevel="1" x14ac:dyDescent="0.25">
      <c r="A14" s="4" t="s">
        <v>72</v>
      </c>
      <c r="B14" s="1" t="s">
        <v>73</v>
      </c>
      <c r="C14" s="1" t="s">
        <v>74</v>
      </c>
      <c r="D14" s="1" t="s">
        <v>75</v>
      </c>
      <c r="E14" s="1" t="s">
        <v>76</v>
      </c>
      <c r="F14" s="4" t="s">
        <v>77</v>
      </c>
      <c r="G14" s="4" t="s">
        <v>78</v>
      </c>
      <c r="H14" s="4" t="s">
        <v>79</v>
      </c>
      <c r="I14" s="4" t="s">
        <v>80</v>
      </c>
    </row>
    <row r="15" spans="1:9" outlineLevel="1" x14ac:dyDescent="0.25">
      <c r="A15" s="19"/>
      <c r="B15" s="20">
        <v>2501</v>
      </c>
      <c r="C15" s="3" t="s">
        <v>81</v>
      </c>
      <c r="D15" s="23">
        <f>B12-16</f>
        <v>984</v>
      </c>
      <c r="E15" s="24">
        <f>1*B10</f>
        <v>2</v>
      </c>
      <c r="F15" s="250">
        <f t="shared" ref="F15:F21" si="0">E15*D15</f>
        <v>1968</v>
      </c>
      <c r="G15" s="251">
        <v>22000</v>
      </c>
      <c r="H15" s="252">
        <f>G15/6000</f>
        <v>3.6666666666666665</v>
      </c>
      <c r="I15" s="253">
        <f t="shared" ref="I15:I21" si="1">H15*F15</f>
        <v>7216</v>
      </c>
    </row>
    <row r="16" spans="1:9" outlineLevel="1" x14ac:dyDescent="0.25">
      <c r="A16" s="19"/>
      <c r="B16" s="20">
        <v>2502</v>
      </c>
      <c r="C16" s="3" t="s">
        <v>82</v>
      </c>
      <c r="D16" s="23">
        <f>B12-16</f>
        <v>984</v>
      </c>
      <c r="E16" s="24">
        <f>1*B10</f>
        <v>2</v>
      </c>
      <c r="F16" s="249">
        <f t="shared" si="0"/>
        <v>1968</v>
      </c>
      <c r="G16" s="231">
        <v>22000</v>
      </c>
      <c r="H16" s="245">
        <f t="shared" ref="H16:H21" si="2">G16/6000</f>
        <v>3.6666666666666665</v>
      </c>
      <c r="I16" s="227">
        <f t="shared" si="1"/>
        <v>7216</v>
      </c>
    </row>
    <row r="17" spans="1:9" outlineLevel="1" x14ac:dyDescent="0.25">
      <c r="A17" s="19"/>
      <c r="B17" s="26">
        <v>2503</v>
      </c>
      <c r="C17" s="28" t="s">
        <v>83</v>
      </c>
      <c r="D17" s="30">
        <f>B13</f>
        <v>1500</v>
      </c>
      <c r="E17" s="31">
        <f>2*B10</f>
        <v>4</v>
      </c>
      <c r="F17" s="249">
        <f t="shared" si="0"/>
        <v>6000</v>
      </c>
      <c r="G17" s="231">
        <v>18000</v>
      </c>
      <c r="H17" s="245">
        <f t="shared" si="2"/>
        <v>3</v>
      </c>
      <c r="I17" s="227">
        <f t="shared" si="1"/>
        <v>18000</v>
      </c>
    </row>
    <row r="18" spans="1:9" outlineLevel="1" x14ac:dyDescent="0.25">
      <c r="A18" s="19"/>
      <c r="B18" s="20">
        <v>2504</v>
      </c>
      <c r="C18" s="3" t="s">
        <v>324</v>
      </c>
      <c r="D18" s="23">
        <f>(B12/2)-12</f>
        <v>488</v>
      </c>
      <c r="E18" s="24">
        <f>2*B10</f>
        <v>4</v>
      </c>
      <c r="F18" s="249">
        <f t="shared" si="0"/>
        <v>1952</v>
      </c>
      <c r="G18" s="231">
        <v>22283</v>
      </c>
      <c r="H18" s="245">
        <f t="shared" si="2"/>
        <v>3.7138333333333335</v>
      </c>
      <c r="I18" s="227">
        <f t="shared" si="1"/>
        <v>7249.4026666666668</v>
      </c>
    </row>
    <row r="19" spans="1:9" outlineLevel="1" x14ac:dyDescent="0.25">
      <c r="A19" s="19"/>
      <c r="B19" s="20">
        <v>2515</v>
      </c>
      <c r="C19" s="3" t="s">
        <v>325</v>
      </c>
      <c r="D19" s="23">
        <f>(B12/2)-12</f>
        <v>488</v>
      </c>
      <c r="E19" s="24">
        <f>2*B10</f>
        <v>4</v>
      </c>
      <c r="F19" s="249">
        <f t="shared" si="0"/>
        <v>1952</v>
      </c>
      <c r="G19" s="231">
        <v>22283</v>
      </c>
      <c r="H19" s="245">
        <f t="shared" si="2"/>
        <v>3.7138333333333335</v>
      </c>
      <c r="I19" s="227">
        <f t="shared" si="1"/>
        <v>7249.4026666666668</v>
      </c>
    </row>
    <row r="20" spans="1:9" outlineLevel="1" x14ac:dyDescent="0.25">
      <c r="A20" s="19"/>
      <c r="B20" s="20">
        <v>2506</v>
      </c>
      <c r="C20" s="3" t="s">
        <v>326</v>
      </c>
      <c r="D20" s="23">
        <f>B13-35</f>
        <v>1465</v>
      </c>
      <c r="E20" s="24">
        <f>2*B10</f>
        <v>4</v>
      </c>
      <c r="F20" s="249">
        <f t="shared" si="0"/>
        <v>5860</v>
      </c>
      <c r="G20" s="231">
        <v>18941</v>
      </c>
      <c r="H20" s="245">
        <f t="shared" si="2"/>
        <v>3.1568333333333332</v>
      </c>
      <c r="I20" s="227">
        <f t="shared" si="1"/>
        <v>18499.043333333331</v>
      </c>
    </row>
    <row r="21" spans="1:9" outlineLevel="1" x14ac:dyDescent="0.25">
      <c r="A21" s="5"/>
      <c r="B21" s="26">
        <v>2507</v>
      </c>
      <c r="C21" s="28" t="s">
        <v>138</v>
      </c>
      <c r="D21" s="30">
        <f>B13-35</f>
        <v>1465</v>
      </c>
      <c r="E21" s="31">
        <f>2*B10</f>
        <v>4</v>
      </c>
      <c r="F21" s="257">
        <f t="shared" si="0"/>
        <v>5860</v>
      </c>
      <c r="G21" s="258">
        <v>16469</v>
      </c>
      <c r="H21" s="259">
        <f t="shared" si="2"/>
        <v>2.7448333333333332</v>
      </c>
      <c r="I21" s="260">
        <f t="shared" si="1"/>
        <v>16084.723333333333</v>
      </c>
    </row>
    <row r="22" spans="1:9" outlineLevel="1" x14ac:dyDescent="0.25">
      <c r="A22" s="4" t="s">
        <v>88</v>
      </c>
      <c r="B22" s="20"/>
      <c r="C22" s="3" t="s">
        <v>89</v>
      </c>
      <c r="D22" s="23">
        <f>(B12*B13)/1000000*10*B10</f>
        <v>30</v>
      </c>
      <c r="E22" s="24" t="s">
        <v>90</v>
      </c>
      <c r="F22" s="351">
        <v>33.520000000000003</v>
      </c>
      <c r="G22" s="227">
        <f>F22*D22</f>
        <v>1005.6000000000001</v>
      </c>
      <c r="H22" s="4" t="s">
        <v>91</v>
      </c>
      <c r="I22" s="246">
        <f>SUM(G22:G24)</f>
        <v>16205.6</v>
      </c>
    </row>
    <row r="23" spans="1:9" outlineLevel="1" x14ac:dyDescent="0.25">
      <c r="A23" s="4"/>
      <c r="B23" s="20"/>
      <c r="C23" s="3" t="s">
        <v>92</v>
      </c>
      <c r="D23" s="23">
        <f>4*B10</f>
        <v>8</v>
      </c>
      <c r="E23" s="24" t="s">
        <v>93</v>
      </c>
      <c r="F23" s="351">
        <v>1200</v>
      </c>
      <c r="G23" s="227">
        <f>F23*D23</f>
        <v>9600</v>
      </c>
    </row>
    <row r="24" spans="1:9" outlineLevel="1" x14ac:dyDescent="0.25">
      <c r="A24" s="19"/>
      <c r="B24" s="20"/>
      <c r="C24" s="3" t="s">
        <v>94</v>
      </c>
      <c r="D24" s="23">
        <f>2*B10</f>
        <v>4</v>
      </c>
      <c r="E24" s="24" t="s">
        <v>93</v>
      </c>
      <c r="F24" s="351">
        <v>1400</v>
      </c>
      <c r="G24" s="227">
        <f>F24*D24</f>
        <v>5600</v>
      </c>
    </row>
    <row r="25" spans="1:9" outlineLevel="1" x14ac:dyDescent="0.25">
      <c r="A25" s="40" t="s">
        <v>95</v>
      </c>
      <c r="B25" s="1" t="s">
        <v>76</v>
      </c>
      <c r="C25" s="1" t="s">
        <v>96</v>
      </c>
      <c r="D25" s="1" t="s">
        <v>97</v>
      </c>
      <c r="E25" s="4" t="s">
        <v>45</v>
      </c>
      <c r="F25" s="4" t="s">
        <v>98</v>
      </c>
    </row>
    <row r="26" spans="1:9" outlineLevel="1" x14ac:dyDescent="0.25">
      <c r="A26" s="5"/>
      <c r="B26" s="31">
        <f>2*B10</f>
        <v>4</v>
      </c>
      <c r="C26" s="32">
        <f>(B12/2)-66</f>
        <v>434</v>
      </c>
      <c r="D26" s="32">
        <f>B13-116</f>
        <v>1384</v>
      </c>
      <c r="E26" s="255">
        <v>21000</v>
      </c>
      <c r="F26" s="256">
        <f>E26*B27</f>
        <v>50455.103999999999</v>
      </c>
    </row>
    <row r="27" spans="1:9" outlineLevel="1" x14ac:dyDescent="0.25">
      <c r="A27" s="6" t="s">
        <v>99</v>
      </c>
      <c r="B27" s="41">
        <f>(B26*C26*D26)/1000000</f>
        <v>2.4026239999999999</v>
      </c>
    </row>
    <row r="29" spans="1:9" x14ac:dyDescent="0.25">
      <c r="A29" s="1" t="s">
        <v>61</v>
      </c>
      <c r="B29" s="238" t="s">
        <v>30</v>
      </c>
      <c r="C29" s="237"/>
      <c r="E29" s="3"/>
    </row>
    <row r="30" spans="1:9" x14ac:dyDescent="0.25">
      <c r="A30" s="4" t="s">
        <v>62</v>
      </c>
      <c r="B30" s="384" t="s">
        <v>100</v>
      </c>
      <c r="C30" s="384"/>
      <c r="D30" s="384"/>
      <c r="E30" s="384"/>
    </row>
    <row r="31" spans="1:9" x14ac:dyDescent="0.25">
      <c r="A31" s="5"/>
      <c r="B31" s="384"/>
      <c r="C31" s="384"/>
      <c r="D31" s="384"/>
      <c r="E31" s="384"/>
    </row>
    <row r="32" spans="1:9" x14ac:dyDescent="0.25">
      <c r="A32" s="240" t="s">
        <v>64</v>
      </c>
      <c r="B32" s="239">
        <v>1</v>
      </c>
      <c r="C32" s="8"/>
      <c r="D32" s="8"/>
      <c r="E32" s="8"/>
      <c r="H32" t="s">
        <v>65</v>
      </c>
      <c r="I32" s="232">
        <f>SUM(I37:I43)</f>
        <v>49658.952666666672</v>
      </c>
    </row>
    <row r="33" spans="1:9" x14ac:dyDescent="0.25">
      <c r="A33" s="241" t="s">
        <v>66</v>
      </c>
      <c r="B33" s="242"/>
      <c r="C33" s="11"/>
      <c r="D33" s="12"/>
      <c r="E33" s="12"/>
      <c r="H33" t="s">
        <v>68</v>
      </c>
      <c r="I33" s="246">
        <f>F48</f>
        <v>34341.552000000003</v>
      </c>
    </row>
    <row r="34" spans="1:9" ht="18" x14ac:dyDescent="0.4">
      <c r="A34" s="243" t="s">
        <v>69</v>
      </c>
      <c r="B34" s="14">
        <v>1000</v>
      </c>
      <c r="H34" t="s">
        <v>70</v>
      </c>
      <c r="I34" s="247">
        <f>I44</f>
        <v>8270.4</v>
      </c>
    </row>
    <row r="35" spans="1:9" x14ac:dyDescent="0.25">
      <c r="A35" s="244" t="s">
        <v>71</v>
      </c>
      <c r="B35" s="17">
        <v>2000</v>
      </c>
      <c r="H35" t="s">
        <v>36</v>
      </c>
      <c r="I35" s="248">
        <f>SUM(I32:I34)</f>
        <v>92270.904666666669</v>
      </c>
    </row>
    <row r="36" spans="1:9" hidden="1" outlineLevel="1" x14ac:dyDescent="0.25">
      <c r="A36" s="4" t="s">
        <v>72</v>
      </c>
      <c r="B36" s="1" t="s">
        <v>73</v>
      </c>
      <c r="C36" s="1" t="s">
        <v>74</v>
      </c>
      <c r="D36" s="1" t="s">
        <v>75</v>
      </c>
      <c r="E36" s="1" t="s">
        <v>76</v>
      </c>
      <c r="F36" s="4" t="s">
        <v>77</v>
      </c>
      <c r="G36" s="4" t="s">
        <v>78</v>
      </c>
      <c r="H36" s="4" t="s">
        <v>79</v>
      </c>
      <c r="I36" s="4" t="s">
        <v>80</v>
      </c>
    </row>
    <row r="37" spans="1:9" hidden="1" outlineLevel="1" x14ac:dyDescent="0.25">
      <c r="A37" s="19"/>
      <c r="B37" s="20">
        <v>2501</v>
      </c>
      <c r="C37" s="3" t="s">
        <v>81</v>
      </c>
      <c r="D37" s="23">
        <f>B34-16</f>
        <v>984</v>
      </c>
      <c r="E37" s="24">
        <f>1*B32</f>
        <v>1</v>
      </c>
      <c r="F37" s="250">
        <f t="shared" ref="F37:F43" si="3">E37*D37</f>
        <v>984</v>
      </c>
      <c r="G37" s="251">
        <v>22000</v>
      </c>
      <c r="H37" s="252">
        <f>G37/6000</f>
        <v>3.6666666666666665</v>
      </c>
      <c r="I37" s="253">
        <f t="shared" ref="I37:I43" si="4">H37*F37</f>
        <v>3608</v>
      </c>
    </row>
    <row r="38" spans="1:9" hidden="1" outlineLevel="1" x14ac:dyDescent="0.25">
      <c r="A38" s="19"/>
      <c r="B38" s="20">
        <v>2502</v>
      </c>
      <c r="C38" s="3" t="s">
        <v>82</v>
      </c>
      <c r="D38" s="23">
        <f>B34-16</f>
        <v>984</v>
      </c>
      <c r="E38" s="24">
        <f>1*B32</f>
        <v>1</v>
      </c>
      <c r="F38" s="249">
        <f t="shared" si="3"/>
        <v>984</v>
      </c>
      <c r="G38" s="231">
        <v>22000</v>
      </c>
      <c r="H38" s="245">
        <f t="shared" ref="H38:H43" si="5">G38/6000</f>
        <v>3.6666666666666665</v>
      </c>
      <c r="I38" s="227">
        <f t="shared" si="4"/>
        <v>3608</v>
      </c>
    </row>
    <row r="39" spans="1:9" hidden="1" outlineLevel="1" x14ac:dyDescent="0.25">
      <c r="A39" s="19"/>
      <c r="B39" s="26">
        <v>2503</v>
      </c>
      <c r="C39" s="28" t="s">
        <v>83</v>
      </c>
      <c r="D39" s="30">
        <f>B35</f>
        <v>2000</v>
      </c>
      <c r="E39" s="31">
        <f>2*B32</f>
        <v>2</v>
      </c>
      <c r="F39" s="249">
        <f t="shared" si="3"/>
        <v>4000</v>
      </c>
      <c r="G39" s="231">
        <v>18000</v>
      </c>
      <c r="H39" s="245">
        <f t="shared" si="5"/>
        <v>3</v>
      </c>
      <c r="I39" s="227">
        <f t="shared" si="4"/>
        <v>12000</v>
      </c>
    </row>
    <row r="40" spans="1:9" hidden="1" outlineLevel="1" x14ac:dyDescent="0.25">
      <c r="A40" s="19"/>
      <c r="B40" s="20">
        <v>2504</v>
      </c>
      <c r="C40" s="3" t="s">
        <v>324</v>
      </c>
      <c r="D40" s="23">
        <f>(B34/2)-12</f>
        <v>488</v>
      </c>
      <c r="E40" s="24">
        <f>2*B32</f>
        <v>2</v>
      </c>
      <c r="F40" s="249">
        <f t="shared" si="3"/>
        <v>976</v>
      </c>
      <c r="G40" s="231">
        <v>22283</v>
      </c>
      <c r="H40" s="245">
        <f t="shared" si="5"/>
        <v>3.7138333333333335</v>
      </c>
      <c r="I40" s="227">
        <f t="shared" si="4"/>
        <v>3624.7013333333334</v>
      </c>
    </row>
    <row r="41" spans="1:9" hidden="1" outlineLevel="1" x14ac:dyDescent="0.25">
      <c r="A41" s="19"/>
      <c r="B41" s="20">
        <v>2515</v>
      </c>
      <c r="C41" s="3" t="s">
        <v>325</v>
      </c>
      <c r="D41" s="23">
        <f>(B34/2)-12</f>
        <v>488</v>
      </c>
      <c r="E41" s="24">
        <f>2*B32</f>
        <v>2</v>
      </c>
      <c r="F41" s="249">
        <f t="shared" si="3"/>
        <v>976</v>
      </c>
      <c r="G41" s="231">
        <v>22283</v>
      </c>
      <c r="H41" s="245">
        <f t="shared" si="5"/>
        <v>3.7138333333333335</v>
      </c>
      <c r="I41" s="227">
        <f t="shared" si="4"/>
        <v>3624.7013333333334</v>
      </c>
    </row>
    <row r="42" spans="1:9" hidden="1" outlineLevel="1" x14ac:dyDescent="0.25">
      <c r="A42" s="19"/>
      <c r="B42" s="20">
        <v>2506</v>
      </c>
      <c r="C42" s="3" t="s">
        <v>326</v>
      </c>
      <c r="D42" s="23">
        <f>B35-35</f>
        <v>1965</v>
      </c>
      <c r="E42" s="24">
        <f>2*B32</f>
        <v>2</v>
      </c>
      <c r="F42" s="249">
        <f t="shared" si="3"/>
        <v>3930</v>
      </c>
      <c r="G42" s="231">
        <v>18941</v>
      </c>
      <c r="H42" s="245">
        <f t="shared" si="5"/>
        <v>3.1568333333333332</v>
      </c>
      <c r="I42" s="227">
        <f t="shared" si="4"/>
        <v>12406.355</v>
      </c>
    </row>
    <row r="43" spans="1:9" hidden="1" outlineLevel="1" x14ac:dyDescent="0.25">
      <c r="A43" s="5"/>
      <c r="B43" s="26">
        <v>2507</v>
      </c>
      <c r="C43" s="28" t="s">
        <v>138</v>
      </c>
      <c r="D43" s="30">
        <f>B35-35</f>
        <v>1965</v>
      </c>
      <c r="E43" s="31">
        <f>2*B32</f>
        <v>2</v>
      </c>
      <c r="F43" s="257">
        <f t="shared" si="3"/>
        <v>3930</v>
      </c>
      <c r="G43" s="258">
        <v>16469</v>
      </c>
      <c r="H43" s="259">
        <f t="shared" si="5"/>
        <v>2.7448333333333332</v>
      </c>
      <c r="I43" s="260">
        <f t="shared" si="4"/>
        <v>10787.195</v>
      </c>
    </row>
    <row r="44" spans="1:9" hidden="1" outlineLevel="1" x14ac:dyDescent="0.25">
      <c r="A44" s="4" t="s">
        <v>88</v>
      </c>
      <c r="B44" s="20"/>
      <c r="C44" s="3" t="s">
        <v>89</v>
      </c>
      <c r="D44" s="23">
        <f>(B34*B35)/1000000*10*B32</f>
        <v>20</v>
      </c>
      <c r="E44" s="24" t="s">
        <v>90</v>
      </c>
      <c r="F44" s="351">
        <v>33.520000000000003</v>
      </c>
      <c r="G44" s="227">
        <f>F44*D44</f>
        <v>670.40000000000009</v>
      </c>
      <c r="H44" s="4" t="s">
        <v>91</v>
      </c>
      <c r="I44" s="246">
        <f>SUM(G44:G46)</f>
        <v>8270.4</v>
      </c>
    </row>
    <row r="45" spans="1:9" hidden="1" outlineLevel="1" x14ac:dyDescent="0.25">
      <c r="A45" s="4"/>
      <c r="B45" s="20"/>
      <c r="C45" s="3" t="s">
        <v>92</v>
      </c>
      <c r="D45" s="23">
        <f>4*B32</f>
        <v>4</v>
      </c>
      <c r="E45" s="24" t="s">
        <v>93</v>
      </c>
      <c r="F45" s="351">
        <v>1200</v>
      </c>
      <c r="G45" s="227">
        <f>F45*D45</f>
        <v>4800</v>
      </c>
    </row>
    <row r="46" spans="1:9" hidden="1" outlineLevel="1" x14ac:dyDescent="0.25">
      <c r="A46" s="19"/>
      <c r="B46" s="20"/>
      <c r="C46" s="3" t="s">
        <v>94</v>
      </c>
      <c r="D46" s="23">
        <f>2*B32</f>
        <v>2</v>
      </c>
      <c r="E46" s="24" t="s">
        <v>93</v>
      </c>
      <c r="F46" s="351">
        <v>1400</v>
      </c>
      <c r="G46" s="227">
        <f>F46*D46</f>
        <v>2800</v>
      </c>
    </row>
    <row r="47" spans="1:9" hidden="1" outlineLevel="1" x14ac:dyDescent="0.25">
      <c r="A47" s="40" t="s">
        <v>95</v>
      </c>
      <c r="B47" s="1" t="s">
        <v>76</v>
      </c>
      <c r="C47" s="1" t="s">
        <v>96</v>
      </c>
      <c r="D47" s="1" t="s">
        <v>97</v>
      </c>
      <c r="E47" s="4" t="s">
        <v>45</v>
      </c>
      <c r="F47" s="4" t="s">
        <v>98</v>
      </c>
      <c r="G47" s="231"/>
    </row>
    <row r="48" spans="1:9" hidden="1" outlineLevel="1" x14ac:dyDescent="0.25">
      <c r="A48" s="5"/>
      <c r="B48" s="31">
        <f>2*B32</f>
        <v>2</v>
      </c>
      <c r="C48" s="32">
        <f>(B34/2)-66</f>
        <v>434</v>
      </c>
      <c r="D48" s="32">
        <f>B35-116</f>
        <v>1884</v>
      </c>
      <c r="E48" s="255">
        <v>21000</v>
      </c>
      <c r="F48" s="256">
        <f>E48*B49</f>
        <v>34341.552000000003</v>
      </c>
      <c r="G48" s="231"/>
      <c r="I48"/>
    </row>
    <row r="49" spans="1:9" hidden="1" outlineLevel="1" x14ac:dyDescent="0.25">
      <c r="A49" s="6" t="s">
        <v>99</v>
      </c>
      <c r="B49" s="41">
        <f>(B48*C48*D48)/1000000</f>
        <v>1.6353120000000001</v>
      </c>
    </row>
    <row r="50" spans="1:9" collapsed="1" x14ac:dyDescent="0.25"/>
    <row r="51" spans="1:9" x14ac:dyDescent="0.25">
      <c r="A51" s="1" t="s">
        <v>61</v>
      </c>
      <c r="B51" s="238" t="s">
        <v>101</v>
      </c>
      <c r="C51" s="237"/>
      <c r="E51" s="3"/>
    </row>
    <row r="52" spans="1:9" x14ac:dyDescent="0.25">
      <c r="A52" s="4" t="s">
        <v>62</v>
      </c>
      <c r="B52" s="384" t="s">
        <v>102</v>
      </c>
      <c r="C52" s="384"/>
      <c r="D52" s="384"/>
      <c r="E52" s="384"/>
    </row>
    <row r="53" spans="1:9" x14ac:dyDescent="0.25">
      <c r="A53" s="5"/>
      <c r="B53" s="384"/>
      <c r="C53" s="384"/>
      <c r="D53" s="384"/>
      <c r="E53" s="384"/>
    </row>
    <row r="54" spans="1:9" x14ac:dyDescent="0.25">
      <c r="A54" s="240" t="s">
        <v>64</v>
      </c>
      <c r="B54" s="239">
        <v>3</v>
      </c>
      <c r="C54" s="8"/>
      <c r="D54" s="8"/>
      <c r="E54" s="8"/>
      <c r="H54" t="s">
        <v>65</v>
      </c>
      <c r="I54" s="232">
        <f>SUM(I59:I65)</f>
        <v>144413.35799999998</v>
      </c>
    </row>
    <row r="55" spans="1:9" x14ac:dyDescent="0.25">
      <c r="A55" s="241" t="s">
        <v>66</v>
      </c>
      <c r="B55" s="242"/>
      <c r="C55" s="11"/>
      <c r="D55" s="12"/>
      <c r="E55" s="12"/>
      <c r="H55" t="s">
        <v>68</v>
      </c>
      <c r="I55" s="246">
        <f>F70</f>
        <v>119278.65599999999</v>
      </c>
    </row>
    <row r="56" spans="1:9" ht="18" x14ac:dyDescent="0.4">
      <c r="A56" s="243" t="s">
        <v>69</v>
      </c>
      <c r="B56" s="14">
        <v>1500</v>
      </c>
      <c r="H56" t="s">
        <v>70</v>
      </c>
      <c r="I56" s="247">
        <f>I66</f>
        <v>25062.6</v>
      </c>
    </row>
    <row r="57" spans="1:9" x14ac:dyDescent="0.25">
      <c r="A57" s="244" t="s">
        <v>71</v>
      </c>
      <c r="B57" s="17">
        <v>1500</v>
      </c>
      <c r="H57" t="s">
        <v>36</v>
      </c>
      <c r="I57" s="248">
        <f>SUM(I54:I56)</f>
        <v>288754.61399999994</v>
      </c>
    </row>
    <row r="58" spans="1:9" hidden="1" outlineLevel="1" x14ac:dyDescent="0.25">
      <c r="A58" s="4" t="s">
        <v>72</v>
      </c>
      <c r="B58" s="1" t="s">
        <v>73</v>
      </c>
      <c r="C58" s="1" t="s">
        <v>74</v>
      </c>
      <c r="D58" s="1" t="s">
        <v>75</v>
      </c>
      <c r="E58" s="1" t="s">
        <v>76</v>
      </c>
      <c r="F58" s="4" t="s">
        <v>77</v>
      </c>
      <c r="G58" s="4" t="s">
        <v>78</v>
      </c>
      <c r="H58" s="4" t="s">
        <v>79</v>
      </c>
      <c r="I58" s="4" t="s">
        <v>80</v>
      </c>
    </row>
    <row r="59" spans="1:9" hidden="1" outlineLevel="1" x14ac:dyDescent="0.25">
      <c r="A59" s="19"/>
      <c r="B59" s="20">
        <v>2501</v>
      </c>
      <c r="C59" s="3" t="s">
        <v>81</v>
      </c>
      <c r="D59" s="23">
        <f>B56-16</f>
        <v>1484</v>
      </c>
      <c r="E59" s="24">
        <f>1*B54</f>
        <v>3</v>
      </c>
      <c r="F59" s="250">
        <f t="shared" ref="F59:F65" si="6">E59*D59</f>
        <v>4452</v>
      </c>
      <c r="G59" s="251">
        <v>22000</v>
      </c>
      <c r="H59" s="252">
        <f t="shared" ref="H59:H65" si="7">G59/6000</f>
        <v>3.6666666666666665</v>
      </c>
      <c r="I59" s="253">
        <f t="shared" ref="I59:I65" si="8">H59*F59</f>
        <v>16324</v>
      </c>
    </row>
    <row r="60" spans="1:9" hidden="1" outlineLevel="1" x14ac:dyDescent="0.25">
      <c r="A60" s="19"/>
      <c r="B60" s="20">
        <v>2502</v>
      </c>
      <c r="C60" s="3" t="s">
        <v>82</v>
      </c>
      <c r="D60" s="23">
        <f>B56-16</f>
        <v>1484</v>
      </c>
      <c r="E60" s="24">
        <f>1*B54</f>
        <v>3</v>
      </c>
      <c r="F60" s="249">
        <f t="shared" si="6"/>
        <v>4452</v>
      </c>
      <c r="G60" s="231">
        <v>22000</v>
      </c>
      <c r="H60" s="245">
        <f t="shared" si="7"/>
        <v>3.6666666666666665</v>
      </c>
      <c r="I60" s="227">
        <f t="shared" si="8"/>
        <v>16324</v>
      </c>
    </row>
    <row r="61" spans="1:9" hidden="1" outlineLevel="1" x14ac:dyDescent="0.25">
      <c r="A61" s="19"/>
      <c r="B61" s="26">
        <v>2503</v>
      </c>
      <c r="C61" s="28" t="s">
        <v>83</v>
      </c>
      <c r="D61" s="30">
        <f>B57</f>
        <v>1500</v>
      </c>
      <c r="E61" s="31">
        <f>2*B54</f>
        <v>6</v>
      </c>
      <c r="F61" s="249">
        <f t="shared" si="6"/>
        <v>9000</v>
      </c>
      <c r="G61" s="231">
        <v>18000</v>
      </c>
      <c r="H61" s="245">
        <f t="shared" si="7"/>
        <v>3</v>
      </c>
      <c r="I61" s="227">
        <f t="shared" si="8"/>
        <v>27000</v>
      </c>
    </row>
    <row r="62" spans="1:9" hidden="1" outlineLevel="1" x14ac:dyDescent="0.25">
      <c r="A62" s="19"/>
      <c r="B62" s="20">
        <v>2504</v>
      </c>
      <c r="C62" s="3" t="s">
        <v>324</v>
      </c>
      <c r="D62" s="23">
        <f>(B56/2)-12</f>
        <v>738</v>
      </c>
      <c r="E62" s="24">
        <f>2*B54</f>
        <v>6</v>
      </c>
      <c r="F62" s="249">
        <f t="shared" si="6"/>
        <v>4428</v>
      </c>
      <c r="G62" s="231">
        <v>22283</v>
      </c>
      <c r="H62" s="245">
        <f t="shared" si="7"/>
        <v>3.7138333333333335</v>
      </c>
      <c r="I62" s="227">
        <f t="shared" si="8"/>
        <v>16444.853999999999</v>
      </c>
    </row>
    <row r="63" spans="1:9" hidden="1" outlineLevel="1" x14ac:dyDescent="0.25">
      <c r="A63" s="19"/>
      <c r="B63" s="20">
        <v>2515</v>
      </c>
      <c r="C63" s="3" t="s">
        <v>325</v>
      </c>
      <c r="D63" s="23">
        <f>(B56/2)-12</f>
        <v>738</v>
      </c>
      <c r="E63" s="24">
        <f>2*B54</f>
        <v>6</v>
      </c>
      <c r="F63" s="249">
        <f t="shared" si="6"/>
        <v>4428</v>
      </c>
      <c r="G63" s="231">
        <v>22283</v>
      </c>
      <c r="H63" s="245">
        <f t="shared" si="7"/>
        <v>3.7138333333333335</v>
      </c>
      <c r="I63" s="227">
        <f t="shared" si="8"/>
        <v>16444.853999999999</v>
      </c>
    </row>
    <row r="64" spans="1:9" hidden="1" outlineLevel="1" x14ac:dyDescent="0.25">
      <c r="A64" s="19"/>
      <c r="B64" s="20">
        <v>2506</v>
      </c>
      <c r="C64" s="3" t="s">
        <v>326</v>
      </c>
      <c r="D64" s="23">
        <f>B57-35</f>
        <v>1465</v>
      </c>
      <c r="E64" s="24">
        <f>2*B54</f>
        <v>6</v>
      </c>
      <c r="F64" s="249">
        <f t="shared" si="6"/>
        <v>8790</v>
      </c>
      <c r="G64" s="231">
        <v>18941</v>
      </c>
      <c r="H64" s="245">
        <f t="shared" si="7"/>
        <v>3.1568333333333332</v>
      </c>
      <c r="I64" s="227">
        <f t="shared" si="8"/>
        <v>27748.564999999999</v>
      </c>
    </row>
    <row r="65" spans="1:9" hidden="1" outlineLevel="1" x14ac:dyDescent="0.25">
      <c r="A65" s="5"/>
      <c r="B65" s="26">
        <v>2507</v>
      </c>
      <c r="C65" s="28" t="s">
        <v>138</v>
      </c>
      <c r="D65" s="30">
        <f>B57-35</f>
        <v>1465</v>
      </c>
      <c r="E65" s="31">
        <f>2*B54</f>
        <v>6</v>
      </c>
      <c r="F65" s="257">
        <f t="shared" si="6"/>
        <v>8790</v>
      </c>
      <c r="G65" s="258">
        <v>16469</v>
      </c>
      <c r="H65" s="259">
        <f t="shared" si="7"/>
        <v>2.7448333333333332</v>
      </c>
      <c r="I65" s="260">
        <f t="shared" si="8"/>
        <v>24127.084999999999</v>
      </c>
    </row>
    <row r="66" spans="1:9" hidden="1" outlineLevel="1" x14ac:dyDescent="0.25">
      <c r="A66" s="4" t="s">
        <v>88</v>
      </c>
      <c r="B66" s="20"/>
      <c r="C66" s="3" t="s">
        <v>89</v>
      </c>
      <c r="D66" s="23">
        <f>(B56*B57)/1000000*10*B54</f>
        <v>67.5</v>
      </c>
      <c r="E66" s="24" t="s">
        <v>90</v>
      </c>
      <c r="F66" s="351">
        <v>33.520000000000003</v>
      </c>
      <c r="G66" s="227">
        <f>F66*D66</f>
        <v>2262.6000000000004</v>
      </c>
      <c r="H66" s="4" t="s">
        <v>91</v>
      </c>
      <c r="I66" s="246">
        <f>SUM(G66:G68)</f>
        <v>25062.6</v>
      </c>
    </row>
    <row r="67" spans="1:9" hidden="1" outlineLevel="1" x14ac:dyDescent="0.25">
      <c r="A67" s="4"/>
      <c r="B67" s="20"/>
      <c r="C67" s="3" t="s">
        <v>92</v>
      </c>
      <c r="D67" s="23">
        <f>4*B54</f>
        <v>12</v>
      </c>
      <c r="E67" s="24" t="s">
        <v>93</v>
      </c>
      <c r="F67" s="351">
        <v>1200</v>
      </c>
      <c r="G67" s="227">
        <f>F67*D67</f>
        <v>14400</v>
      </c>
    </row>
    <row r="68" spans="1:9" hidden="1" outlineLevel="1" x14ac:dyDescent="0.25">
      <c r="A68" s="19"/>
      <c r="B68" s="20"/>
      <c r="C68" s="3" t="s">
        <v>94</v>
      </c>
      <c r="D68" s="23">
        <f>2*B54</f>
        <v>6</v>
      </c>
      <c r="E68" s="24" t="s">
        <v>93</v>
      </c>
      <c r="F68" s="351">
        <v>1400</v>
      </c>
      <c r="G68" s="227">
        <f>F68*D68</f>
        <v>8400</v>
      </c>
    </row>
    <row r="69" spans="1:9" hidden="1" outlineLevel="1" x14ac:dyDescent="0.25">
      <c r="A69" s="40" t="s">
        <v>95</v>
      </c>
      <c r="B69" s="1" t="s">
        <v>76</v>
      </c>
      <c r="C69" s="1" t="s">
        <v>96</v>
      </c>
      <c r="D69" s="1" t="s">
        <v>97</v>
      </c>
      <c r="E69" s="4" t="s">
        <v>45</v>
      </c>
      <c r="F69" s="4" t="s">
        <v>98</v>
      </c>
      <c r="G69" s="231"/>
    </row>
    <row r="70" spans="1:9" hidden="1" outlineLevel="1" x14ac:dyDescent="0.25">
      <c r="A70" s="5"/>
      <c r="B70" s="31">
        <f>2*B54</f>
        <v>6</v>
      </c>
      <c r="C70" s="32">
        <f>(B56/2)-66</f>
        <v>684</v>
      </c>
      <c r="D70" s="32">
        <f>B57-116</f>
        <v>1384</v>
      </c>
      <c r="E70" s="255">
        <v>21000</v>
      </c>
      <c r="F70" s="256">
        <f>E70*B71</f>
        <v>119278.65599999999</v>
      </c>
      <c r="G70" s="231"/>
      <c r="I70"/>
    </row>
    <row r="71" spans="1:9" hidden="1" outlineLevel="1" x14ac:dyDescent="0.25">
      <c r="A71" s="6" t="s">
        <v>99</v>
      </c>
      <c r="B71" s="41">
        <f>(B70*C70*D70)/1000000</f>
        <v>5.6799359999999997</v>
      </c>
    </row>
    <row r="72" spans="1:9" collapsed="1" x14ac:dyDescent="0.25"/>
    <row r="73" spans="1:9" x14ac:dyDescent="0.25">
      <c r="A73" s="1" t="s">
        <v>61</v>
      </c>
      <c r="B73" s="238" t="s">
        <v>103</v>
      </c>
      <c r="C73" s="237"/>
      <c r="E73" s="3"/>
    </row>
    <row r="74" spans="1:9" x14ac:dyDescent="0.25">
      <c r="A74" s="4" t="s">
        <v>62</v>
      </c>
      <c r="B74" s="384" t="s">
        <v>63</v>
      </c>
      <c r="C74" s="384"/>
      <c r="D74" s="384"/>
      <c r="E74" s="384"/>
    </row>
    <row r="75" spans="1:9" x14ac:dyDescent="0.25">
      <c r="A75" s="5"/>
      <c r="B75" s="384"/>
      <c r="C75" s="384"/>
      <c r="D75" s="384"/>
      <c r="E75" s="384"/>
    </row>
    <row r="76" spans="1:9" x14ac:dyDescent="0.25">
      <c r="A76" s="240" t="s">
        <v>64</v>
      </c>
      <c r="B76" s="239">
        <v>0</v>
      </c>
      <c r="C76" s="8"/>
      <c r="D76" s="8"/>
      <c r="E76" s="8"/>
      <c r="H76" t="s">
        <v>65</v>
      </c>
      <c r="I76" s="232">
        <f>SUM(I81:I87)</f>
        <v>0</v>
      </c>
    </row>
    <row r="77" spans="1:9" x14ac:dyDescent="0.25">
      <c r="A77" s="241" t="s">
        <v>66</v>
      </c>
      <c r="B77" s="242"/>
      <c r="C77" s="11"/>
      <c r="D77" s="12"/>
      <c r="E77" s="12"/>
      <c r="H77" t="s">
        <v>68</v>
      </c>
      <c r="I77" s="246">
        <f>F92</f>
        <v>0</v>
      </c>
    </row>
    <row r="78" spans="1:9" ht="18" x14ac:dyDescent="0.4">
      <c r="A78" s="243" t="s">
        <v>69</v>
      </c>
      <c r="B78" s="14">
        <v>1000</v>
      </c>
      <c r="H78" t="s">
        <v>70</v>
      </c>
      <c r="I78" s="247">
        <f>I88</f>
        <v>0</v>
      </c>
    </row>
    <row r="79" spans="1:9" x14ac:dyDescent="0.25">
      <c r="A79" s="244" t="s">
        <v>71</v>
      </c>
      <c r="B79" s="17">
        <v>1500</v>
      </c>
      <c r="H79" t="s">
        <v>36</v>
      </c>
      <c r="I79" s="248">
        <f>SUM(I76:I78)</f>
        <v>0</v>
      </c>
    </row>
    <row r="80" spans="1:9" hidden="1" outlineLevel="1" x14ac:dyDescent="0.25">
      <c r="A80" s="4" t="s">
        <v>72</v>
      </c>
      <c r="B80" s="1" t="s">
        <v>73</v>
      </c>
      <c r="C80" s="1" t="s">
        <v>74</v>
      </c>
      <c r="D80" s="1" t="s">
        <v>75</v>
      </c>
      <c r="E80" s="1" t="s">
        <v>76</v>
      </c>
      <c r="F80" s="4" t="s">
        <v>77</v>
      </c>
      <c r="G80" s="4" t="s">
        <v>78</v>
      </c>
      <c r="H80" s="4" t="s">
        <v>79</v>
      </c>
      <c r="I80" s="4" t="s">
        <v>80</v>
      </c>
    </row>
    <row r="81" spans="1:9" hidden="1" outlineLevel="1" x14ac:dyDescent="0.25">
      <c r="A81" s="19"/>
      <c r="B81" s="20">
        <v>2501</v>
      </c>
      <c r="C81" s="3" t="s">
        <v>81</v>
      </c>
      <c r="D81" s="23">
        <f>B78-16</f>
        <v>984</v>
      </c>
      <c r="E81" s="24">
        <f>1*B76</f>
        <v>0</v>
      </c>
      <c r="F81" s="250">
        <f t="shared" ref="F81:F87" si="9">E81*D81</f>
        <v>0</v>
      </c>
      <c r="G81" s="251">
        <v>22000</v>
      </c>
      <c r="H81" s="252">
        <f>G81/6000</f>
        <v>3.6666666666666665</v>
      </c>
      <c r="I81" s="253">
        <f t="shared" ref="I81:I87" si="10">H81*F81</f>
        <v>0</v>
      </c>
    </row>
    <row r="82" spans="1:9" hidden="1" outlineLevel="1" x14ac:dyDescent="0.25">
      <c r="A82" s="19"/>
      <c r="B82" s="20">
        <v>2502</v>
      </c>
      <c r="C82" s="3" t="s">
        <v>82</v>
      </c>
      <c r="D82" s="23">
        <f>B78-16</f>
        <v>984</v>
      </c>
      <c r="E82" s="24">
        <f>1*B76</f>
        <v>0</v>
      </c>
      <c r="F82" s="249">
        <f t="shared" si="9"/>
        <v>0</v>
      </c>
      <c r="G82" s="231">
        <v>22000</v>
      </c>
      <c r="H82" s="245">
        <f t="shared" ref="H82:H87" si="11">G82/6000</f>
        <v>3.6666666666666665</v>
      </c>
      <c r="I82" s="227">
        <f t="shared" si="10"/>
        <v>0</v>
      </c>
    </row>
    <row r="83" spans="1:9" hidden="1" outlineLevel="1" x14ac:dyDescent="0.25">
      <c r="A83" s="19"/>
      <c r="B83" s="26">
        <v>2503</v>
      </c>
      <c r="C83" s="28" t="s">
        <v>83</v>
      </c>
      <c r="D83" s="30">
        <f>B79</f>
        <v>1500</v>
      </c>
      <c r="E83" s="31">
        <f>2*B76</f>
        <v>0</v>
      </c>
      <c r="F83" s="249">
        <f t="shared" si="9"/>
        <v>0</v>
      </c>
      <c r="G83" s="231">
        <v>18000</v>
      </c>
      <c r="H83" s="245">
        <f t="shared" si="11"/>
        <v>3</v>
      </c>
      <c r="I83" s="227">
        <f t="shared" si="10"/>
        <v>0</v>
      </c>
    </row>
    <row r="84" spans="1:9" hidden="1" outlineLevel="1" x14ac:dyDescent="0.25">
      <c r="A84" s="19"/>
      <c r="B84" s="20">
        <v>2504</v>
      </c>
      <c r="C84" s="3" t="s">
        <v>324</v>
      </c>
      <c r="D84" s="23">
        <f>(B78/2)-12</f>
        <v>488</v>
      </c>
      <c r="E84" s="24">
        <f>2*B76</f>
        <v>0</v>
      </c>
      <c r="F84" s="249">
        <f t="shared" si="9"/>
        <v>0</v>
      </c>
      <c r="G84" s="231">
        <v>22283</v>
      </c>
      <c r="H84" s="245">
        <f t="shared" si="11"/>
        <v>3.7138333333333335</v>
      </c>
      <c r="I84" s="227">
        <f t="shared" si="10"/>
        <v>0</v>
      </c>
    </row>
    <row r="85" spans="1:9" hidden="1" outlineLevel="1" x14ac:dyDescent="0.25">
      <c r="A85" s="19"/>
      <c r="B85" s="20">
        <v>2515</v>
      </c>
      <c r="C85" s="3" t="s">
        <v>325</v>
      </c>
      <c r="D85" s="23">
        <f>(B78/2)-12</f>
        <v>488</v>
      </c>
      <c r="E85" s="24">
        <f>2*B76</f>
        <v>0</v>
      </c>
      <c r="F85" s="249">
        <f t="shared" si="9"/>
        <v>0</v>
      </c>
      <c r="G85" s="231">
        <v>22283</v>
      </c>
      <c r="H85" s="245">
        <f t="shared" si="11"/>
        <v>3.7138333333333335</v>
      </c>
      <c r="I85" s="227">
        <f t="shared" si="10"/>
        <v>0</v>
      </c>
    </row>
    <row r="86" spans="1:9" hidden="1" outlineLevel="1" x14ac:dyDescent="0.25">
      <c r="A86" s="19"/>
      <c r="B86" s="20">
        <v>2506</v>
      </c>
      <c r="C86" s="3" t="s">
        <v>326</v>
      </c>
      <c r="D86" s="23">
        <f>B79-35</f>
        <v>1465</v>
      </c>
      <c r="E86" s="24">
        <f>2*B76</f>
        <v>0</v>
      </c>
      <c r="F86" s="249">
        <f t="shared" si="9"/>
        <v>0</v>
      </c>
      <c r="G86" s="231">
        <v>18941</v>
      </c>
      <c r="H86" s="245">
        <f t="shared" si="11"/>
        <v>3.1568333333333332</v>
      </c>
      <c r="I86" s="227">
        <f t="shared" si="10"/>
        <v>0</v>
      </c>
    </row>
    <row r="87" spans="1:9" hidden="1" outlineLevel="1" x14ac:dyDescent="0.25">
      <c r="A87" s="5"/>
      <c r="B87" s="26">
        <v>2507</v>
      </c>
      <c r="C87" s="28" t="s">
        <v>138</v>
      </c>
      <c r="D87" s="30">
        <f>B79-35</f>
        <v>1465</v>
      </c>
      <c r="E87" s="31">
        <f>2*B76</f>
        <v>0</v>
      </c>
      <c r="F87" s="257">
        <f t="shared" si="9"/>
        <v>0</v>
      </c>
      <c r="G87" s="258">
        <v>16469</v>
      </c>
      <c r="H87" s="259">
        <f t="shared" si="11"/>
        <v>2.7448333333333332</v>
      </c>
      <c r="I87" s="260">
        <f t="shared" si="10"/>
        <v>0</v>
      </c>
    </row>
    <row r="88" spans="1:9" hidden="1" outlineLevel="1" x14ac:dyDescent="0.25">
      <c r="A88" s="4" t="s">
        <v>88</v>
      </c>
      <c r="B88" s="20"/>
      <c r="C88" s="3" t="s">
        <v>89</v>
      </c>
      <c r="D88" s="23">
        <f>(B78*B79)/1000000*10*B76</f>
        <v>0</v>
      </c>
      <c r="E88" s="24" t="s">
        <v>90</v>
      </c>
      <c r="F88" s="351">
        <v>33.520000000000003</v>
      </c>
      <c r="G88" s="227">
        <f>F88*D88</f>
        <v>0</v>
      </c>
      <c r="H88" s="4" t="s">
        <v>91</v>
      </c>
      <c r="I88" s="246">
        <f>SUM(G88:G90)</f>
        <v>0</v>
      </c>
    </row>
    <row r="89" spans="1:9" hidden="1" outlineLevel="1" x14ac:dyDescent="0.25">
      <c r="A89" s="4"/>
      <c r="B89" s="20"/>
      <c r="C89" s="3" t="s">
        <v>92</v>
      </c>
      <c r="D89" s="23">
        <f>4*B76</f>
        <v>0</v>
      </c>
      <c r="E89" s="24" t="s">
        <v>93</v>
      </c>
      <c r="F89" s="351">
        <v>1200</v>
      </c>
      <c r="G89" s="227">
        <f>F89*D89</f>
        <v>0</v>
      </c>
    </row>
    <row r="90" spans="1:9" hidden="1" outlineLevel="1" x14ac:dyDescent="0.25">
      <c r="A90" s="19"/>
      <c r="B90" s="20"/>
      <c r="C90" s="3" t="s">
        <v>94</v>
      </c>
      <c r="D90" s="23">
        <f>2*B76</f>
        <v>0</v>
      </c>
      <c r="E90" s="24" t="s">
        <v>93</v>
      </c>
      <c r="F90" s="351">
        <v>1400</v>
      </c>
      <c r="G90" s="227">
        <f>F90*D90</f>
        <v>0</v>
      </c>
    </row>
    <row r="91" spans="1:9" hidden="1" outlineLevel="1" x14ac:dyDescent="0.25">
      <c r="A91" s="40" t="s">
        <v>95</v>
      </c>
      <c r="B91" s="1" t="s">
        <v>76</v>
      </c>
      <c r="C91" s="1" t="s">
        <v>96</v>
      </c>
      <c r="D91" s="1" t="s">
        <v>97</v>
      </c>
      <c r="E91" s="4" t="s">
        <v>45</v>
      </c>
      <c r="F91" s="4" t="s">
        <v>98</v>
      </c>
      <c r="G91" s="231"/>
    </row>
    <row r="92" spans="1:9" hidden="1" outlineLevel="1" x14ac:dyDescent="0.25">
      <c r="A92" s="5"/>
      <c r="B92" s="31">
        <f>2*B76</f>
        <v>0</v>
      </c>
      <c r="C92" s="32">
        <f>(B78/2)-66</f>
        <v>434</v>
      </c>
      <c r="D92" s="32">
        <f>B79-116</f>
        <v>1384</v>
      </c>
      <c r="E92" s="255">
        <v>21000</v>
      </c>
      <c r="F92" s="256">
        <f>E92*B93</f>
        <v>0</v>
      </c>
      <c r="G92" s="231"/>
      <c r="I92"/>
    </row>
    <row r="93" spans="1:9" hidden="1" outlineLevel="1" x14ac:dyDescent="0.25">
      <c r="A93" s="6" t="s">
        <v>99</v>
      </c>
      <c r="B93" s="41">
        <f>(B92*C92*D92)/1000000</f>
        <v>0</v>
      </c>
    </row>
    <row r="94" spans="1:9" collapsed="1" x14ac:dyDescent="0.25"/>
    <row r="95" spans="1:9" x14ac:dyDescent="0.25">
      <c r="A95" s="1" t="s">
        <v>61</v>
      </c>
      <c r="B95" s="238" t="s">
        <v>104</v>
      </c>
      <c r="C95" s="237"/>
      <c r="E95" s="3"/>
    </row>
    <row r="96" spans="1:9" x14ac:dyDescent="0.25">
      <c r="A96" s="4" t="s">
        <v>62</v>
      </c>
      <c r="B96" s="384" t="s">
        <v>63</v>
      </c>
      <c r="C96" s="384"/>
      <c r="D96" s="384"/>
      <c r="E96" s="384"/>
    </row>
    <row r="97" spans="1:9" x14ac:dyDescent="0.25">
      <c r="A97" s="5"/>
      <c r="B97" s="384"/>
      <c r="C97" s="384"/>
      <c r="D97" s="384"/>
      <c r="E97" s="384"/>
    </row>
    <row r="98" spans="1:9" x14ac:dyDescent="0.25">
      <c r="A98" s="240" t="s">
        <v>64</v>
      </c>
      <c r="B98" s="239">
        <v>0</v>
      </c>
      <c r="C98" s="8"/>
      <c r="D98" s="8"/>
      <c r="E98" s="8"/>
      <c r="H98" t="s">
        <v>65</v>
      </c>
      <c r="I98" s="232">
        <f>SUM(I103:I109)</f>
        <v>0</v>
      </c>
    </row>
    <row r="99" spans="1:9" x14ac:dyDescent="0.25">
      <c r="A99" s="241" t="s">
        <v>66</v>
      </c>
      <c r="B99" s="242"/>
      <c r="C99" s="11"/>
      <c r="D99" s="12"/>
      <c r="E99" s="12"/>
      <c r="H99" t="s">
        <v>68</v>
      </c>
      <c r="I99" s="246">
        <f>F114</f>
        <v>0</v>
      </c>
    </row>
    <row r="100" spans="1:9" ht="18" x14ac:dyDescent="0.4">
      <c r="A100" s="243" t="s">
        <v>69</v>
      </c>
      <c r="B100" s="14">
        <v>1000</v>
      </c>
      <c r="H100" t="s">
        <v>70</v>
      </c>
      <c r="I100" s="247">
        <f>I110</f>
        <v>0</v>
      </c>
    </row>
    <row r="101" spans="1:9" x14ac:dyDescent="0.25">
      <c r="A101" s="244" t="s">
        <v>71</v>
      </c>
      <c r="B101" s="17">
        <v>1500</v>
      </c>
      <c r="H101" t="s">
        <v>36</v>
      </c>
      <c r="I101" s="248">
        <f>SUM(I98:I100)</f>
        <v>0</v>
      </c>
    </row>
    <row r="102" spans="1:9" hidden="1" outlineLevel="1" x14ac:dyDescent="0.25">
      <c r="A102" s="4" t="s">
        <v>72</v>
      </c>
      <c r="B102" s="1" t="s">
        <v>73</v>
      </c>
      <c r="C102" s="1" t="s">
        <v>74</v>
      </c>
      <c r="D102" s="1" t="s">
        <v>75</v>
      </c>
      <c r="E102" s="1" t="s">
        <v>76</v>
      </c>
      <c r="F102" s="4" t="s">
        <v>77</v>
      </c>
      <c r="G102" s="4" t="s">
        <v>78</v>
      </c>
      <c r="H102" s="4" t="s">
        <v>79</v>
      </c>
      <c r="I102" s="4" t="s">
        <v>80</v>
      </c>
    </row>
    <row r="103" spans="1:9" hidden="1" outlineLevel="1" x14ac:dyDescent="0.25">
      <c r="A103" s="19"/>
      <c r="B103" s="20">
        <v>2501</v>
      </c>
      <c r="C103" s="3" t="s">
        <v>81</v>
      </c>
      <c r="D103" s="23">
        <f>B100-16</f>
        <v>984</v>
      </c>
      <c r="E103" s="24">
        <f>1*B98</f>
        <v>0</v>
      </c>
      <c r="F103" s="250">
        <f t="shared" ref="F103:F109" si="12">E103*D103</f>
        <v>0</v>
      </c>
      <c r="G103" s="251">
        <v>22000</v>
      </c>
      <c r="H103" s="252">
        <f>G103/6000</f>
        <v>3.6666666666666665</v>
      </c>
      <c r="I103" s="253">
        <f t="shared" ref="I103:I109" si="13">H103*F103</f>
        <v>0</v>
      </c>
    </row>
    <row r="104" spans="1:9" hidden="1" outlineLevel="1" x14ac:dyDescent="0.25">
      <c r="A104" s="19"/>
      <c r="B104" s="20">
        <v>2502</v>
      </c>
      <c r="C104" s="3" t="s">
        <v>82</v>
      </c>
      <c r="D104" s="23">
        <f>B100-16</f>
        <v>984</v>
      </c>
      <c r="E104" s="24">
        <f>1*B98</f>
        <v>0</v>
      </c>
      <c r="F104" s="249">
        <f t="shared" si="12"/>
        <v>0</v>
      </c>
      <c r="G104" s="231">
        <v>22000</v>
      </c>
      <c r="H104" s="245">
        <f t="shared" ref="H104:H109" si="14">G104/6000</f>
        <v>3.6666666666666665</v>
      </c>
      <c r="I104" s="227">
        <f t="shared" si="13"/>
        <v>0</v>
      </c>
    </row>
    <row r="105" spans="1:9" hidden="1" outlineLevel="1" x14ac:dyDescent="0.25">
      <c r="A105" s="19"/>
      <c r="B105" s="26">
        <v>2503</v>
      </c>
      <c r="C105" s="28" t="s">
        <v>83</v>
      </c>
      <c r="D105" s="30">
        <f>B101</f>
        <v>1500</v>
      </c>
      <c r="E105" s="31">
        <f>2*B98</f>
        <v>0</v>
      </c>
      <c r="F105" s="249">
        <f t="shared" si="12"/>
        <v>0</v>
      </c>
      <c r="G105" s="231">
        <v>18000</v>
      </c>
      <c r="H105" s="245">
        <f t="shared" si="14"/>
        <v>3</v>
      </c>
      <c r="I105" s="227">
        <f t="shared" si="13"/>
        <v>0</v>
      </c>
    </row>
    <row r="106" spans="1:9" hidden="1" outlineLevel="1" x14ac:dyDescent="0.25">
      <c r="A106" s="19"/>
      <c r="B106" s="20">
        <v>2504</v>
      </c>
      <c r="C106" s="3" t="s">
        <v>324</v>
      </c>
      <c r="D106" s="23">
        <f>(B100/2)-12</f>
        <v>488</v>
      </c>
      <c r="E106" s="24">
        <f>2*B98</f>
        <v>0</v>
      </c>
      <c r="F106" s="249">
        <f t="shared" si="12"/>
        <v>0</v>
      </c>
      <c r="G106" s="231">
        <v>22283</v>
      </c>
      <c r="H106" s="245">
        <f t="shared" si="14"/>
        <v>3.7138333333333335</v>
      </c>
      <c r="I106" s="227">
        <f t="shared" si="13"/>
        <v>0</v>
      </c>
    </row>
    <row r="107" spans="1:9" hidden="1" outlineLevel="1" x14ac:dyDescent="0.25">
      <c r="A107" s="19"/>
      <c r="B107" s="20">
        <v>2515</v>
      </c>
      <c r="C107" s="3" t="s">
        <v>325</v>
      </c>
      <c r="D107" s="23">
        <f>(B100/2)-12</f>
        <v>488</v>
      </c>
      <c r="E107" s="24">
        <f>2*B98</f>
        <v>0</v>
      </c>
      <c r="F107" s="249">
        <f t="shared" si="12"/>
        <v>0</v>
      </c>
      <c r="G107" s="231">
        <v>22283</v>
      </c>
      <c r="H107" s="245">
        <f t="shared" si="14"/>
        <v>3.7138333333333335</v>
      </c>
      <c r="I107" s="227">
        <f t="shared" si="13"/>
        <v>0</v>
      </c>
    </row>
    <row r="108" spans="1:9" hidden="1" outlineLevel="1" x14ac:dyDescent="0.25">
      <c r="A108" s="19"/>
      <c r="B108" s="20">
        <v>2506</v>
      </c>
      <c r="C108" s="3" t="s">
        <v>326</v>
      </c>
      <c r="D108" s="23">
        <f>B101-35</f>
        <v>1465</v>
      </c>
      <c r="E108" s="24">
        <f>2*B98</f>
        <v>0</v>
      </c>
      <c r="F108" s="249">
        <f t="shared" si="12"/>
        <v>0</v>
      </c>
      <c r="G108" s="231">
        <v>18941</v>
      </c>
      <c r="H108" s="245">
        <f t="shared" si="14"/>
        <v>3.1568333333333332</v>
      </c>
      <c r="I108" s="227">
        <f t="shared" si="13"/>
        <v>0</v>
      </c>
    </row>
    <row r="109" spans="1:9" hidden="1" outlineLevel="1" x14ac:dyDescent="0.25">
      <c r="A109" s="5"/>
      <c r="B109" s="26">
        <v>2507</v>
      </c>
      <c r="C109" s="28" t="s">
        <v>138</v>
      </c>
      <c r="D109" s="30">
        <f>B101-35</f>
        <v>1465</v>
      </c>
      <c r="E109" s="31">
        <f>2*B98</f>
        <v>0</v>
      </c>
      <c r="F109" s="257">
        <f t="shared" si="12"/>
        <v>0</v>
      </c>
      <c r="G109" s="258">
        <v>16469</v>
      </c>
      <c r="H109" s="259">
        <f t="shared" si="14"/>
        <v>2.7448333333333332</v>
      </c>
      <c r="I109" s="260">
        <f t="shared" si="13"/>
        <v>0</v>
      </c>
    </row>
    <row r="110" spans="1:9" hidden="1" outlineLevel="1" x14ac:dyDescent="0.25">
      <c r="A110" s="4" t="s">
        <v>88</v>
      </c>
      <c r="B110" s="20"/>
      <c r="C110" s="3" t="s">
        <v>89</v>
      </c>
      <c r="D110" s="23">
        <f>(B100*B101)/1000000*10*B98</f>
        <v>0</v>
      </c>
      <c r="E110" s="24" t="s">
        <v>90</v>
      </c>
      <c r="F110" s="351">
        <v>33.520000000000003</v>
      </c>
      <c r="G110" s="227">
        <f>F110*D110</f>
        <v>0</v>
      </c>
      <c r="H110" s="4" t="s">
        <v>91</v>
      </c>
      <c r="I110" s="246">
        <f>SUM(G110:G112)</f>
        <v>0</v>
      </c>
    </row>
    <row r="111" spans="1:9" hidden="1" outlineLevel="1" x14ac:dyDescent="0.25">
      <c r="A111" s="4"/>
      <c r="B111" s="20"/>
      <c r="C111" s="3" t="s">
        <v>92</v>
      </c>
      <c r="D111" s="23">
        <f>4*B98</f>
        <v>0</v>
      </c>
      <c r="E111" s="24" t="s">
        <v>93</v>
      </c>
      <c r="F111" s="351">
        <v>1200</v>
      </c>
      <c r="G111" s="227">
        <f>F111*D111</f>
        <v>0</v>
      </c>
    </row>
    <row r="112" spans="1:9" hidden="1" outlineLevel="1" x14ac:dyDescent="0.25">
      <c r="A112" s="19"/>
      <c r="B112" s="20"/>
      <c r="C112" s="3" t="s">
        <v>94</v>
      </c>
      <c r="D112" s="23">
        <f>2*B98</f>
        <v>0</v>
      </c>
      <c r="E112" s="24" t="s">
        <v>93</v>
      </c>
      <c r="F112" s="351">
        <v>1400</v>
      </c>
      <c r="G112" s="227">
        <f>F112*D112</f>
        <v>0</v>
      </c>
    </row>
    <row r="113" spans="1:9" hidden="1" outlineLevel="1" x14ac:dyDescent="0.25">
      <c r="A113" s="40" t="s">
        <v>95</v>
      </c>
      <c r="B113" s="1" t="s">
        <v>76</v>
      </c>
      <c r="C113" s="1" t="s">
        <v>96</v>
      </c>
      <c r="D113" s="1" t="s">
        <v>97</v>
      </c>
      <c r="E113" s="4" t="s">
        <v>45</v>
      </c>
      <c r="F113" s="4" t="s">
        <v>98</v>
      </c>
      <c r="G113" s="231"/>
    </row>
    <row r="114" spans="1:9" hidden="1" outlineLevel="1" x14ac:dyDescent="0.25">
      <c r="A114" s="5"/>
      <c r="B114" s="31">
        <f>2*B98</f>
        <v>0</v>
      </c>
      <c r="C114" s="32">
        <f>(B100/2)-66</f>
        <v>434</v>
      </c>
      <c r="D114" s="32">
        <f>B101-116</f>
        <v>1384</v>
      </c>
      <c r="E114" s="255">
        <v>21000</v>
      </c>
      <c r="F114" s="256">
        <f>E114*B115</f>
        <v>0</v>
      </c>
      <c r="G114" s="231"/>
      <c r="I114"/>
    </row>
    <row r="115" spans="1:9" hidden="1" outlineLevel="1" x14ac:dyDescent="0.25">
      <c r="A115" s="6" t="s">
        <v>99</v>
      </c>
      <c r="B115" s="41">
        <f>(B114*C114*D114)/1000000</f>
        <v>0</v>
      </c>
    </row>
    <row r="116" spans="1:9" collapsed="1" x14ac:dyDescent="0.25"/>
    <row r="117" spans="1:9" x14ac:dyDescent="0.25">
      <c r="A117" s="1" t="s">
        <v>61</v>
      </c>
      <c r="B117" s="238" t="s">
        <v>105</v>
      </c>
      <c r="C117" s="237"/>
      <c r="E117" s="3"/>
    </row>
    <row r="118" spans="1:9" x14ac:dyDescent="0.25">
      <c r="A118" s="4" t="s">
        <v>62</v>
      </c>
      <c r="B118" s="384" t="s">
        <v>63</v>
      </c>
      <c r="C118" s="384"/>
      <c r="D118" s="384"/>
      <c r="E118" s="384"/>
    </row>
    <row r="119" spans="1:9" x14ac:dyDescent="0.25">
      <c r="A119" s="5"/>
      <c r="B119" s="384"/>
      <c r="C119" s="384"/>
      <c r="D119" s="384"/>
      <c r="E119" s="384"/>
    </row>
    <row r="120" spans="1:9" x14ac:dyDescent="0.25">
      <c r="A120" s="240" t="s">
        <v>64</v>
      </c>
      <c r="B120" s="239">
        <v>0</v>
      </c>
      <c r="C120" s="8"/>
      <c r="D120" s="8"/>
      <c r="E120" s="8"/>
      <c r="H120" t="s">
        <v>65</v>
      </c>
      <c r="I120" s="232">
        <f>SUM(I125:I131)</f>
        <v>0</v>
      </c>
    </row>
    <row r="121" spans="1:9" x14ac:dyDescent="0.25">
      <c r="A121" s="241" t="s">
        <v>66</v>
      </c>
      <c r="B121" s="242"/>
      <c r="C121" s="11"/>
      <c r="D121" s="12"/>
      <c r="E121" s="12"/>
      <c r="H121" t="s">
        <v>68</v>
      </c>
      <c r="I121" s="246">
        <f>F136</f>
        <v>0</v>
      </c>
    </row>
    <row r="122" spans="1:9" ht="18" x14ac:dyDescent="0.4">
      <c r="A122" s="243" t="s">
        <v>69</v>
      </c>
      <c r="B122" s="14">
        <v>1000</v>
      </c>
      <c r="H122" t="s">
        <v>70</v>
      </c>
      <c r="I122" s="247">
        <f>I132</f>
        <v>0</v>
      </c>
    </row>
    <row r="123" spans="1:9" x14ac:dyDescent="0.25">
      <c r="A123" s="244" t="s">
        <v>71</v>
      </c>
      <c r="B123" s="17">
        <v>1500</v>
      </c>
      <c r="H123" t="s">
        <v>36</v>
      </c>
      <c r="I123" s="248">
        <f>SUM(I120:I122)</f>
        <v>0</v>
      </c>
    </row>
    <row r="124" spans="1:9" hidden="1" outlineLevel="1" x14ac:dyDescent="0.25">
      <c r="A124" s="4" t="s">
        <v>72</v>
      </c>
      <c r="B124" s="1" t="s">
        <v>73</v>
      </c>
      <c r="C124" s="1" t="s">
        <v>74</v>
      </c>
      <c r="D124" s="1" t="s">
        <v>75</v>
      </c>
      <c r="E124" s="1" t="s">
        <v>76</v>
      </c>
      <c r="F124" s="4" t="s">
        <v>77</v>
      </c>
      <c r="G124" s="4" t="s">
        <v>78</v>
      </c>
      <c r="H124" s="4" t="s">
        <v>79</v>
      </c>
      <c r="I124" s="4" t="s">
        <v>80</v>
      </c>
    </row>
    <row r="125" spans="1:9" hidden="1" outlineLevel="1" x14ac:dyDescent="0.25">
      <c r="A125" s="19"/>
      <c r="B125" s="20">
        <v>2501</v>
      </c>
      <c r="C125" s="3" t="s">
        <v>81</v>
      </c>
      <c r="D125" s="23">
        <f>B122-16</f>
        <v>984</v>
      </c>
      <c r="E125" s="24">
        <f>1*B120</f>
        <v>0</v>
      </c>
      <c r="F125" s="250">
        <f t="shared" ref="F125:F131" si="15">E125*D125</f>
        <v>0</v>
      </c>
      <c r="G125" s="251">
        <v>22000</v>
      </c>
      <c r="H125" s="252">
        <f>G125/6000</f>
        <v>3.6666666666666665</v>
      </c>
      <c r="I125" s="253">
        <f t="shared" ref="I125:I131" si="16">H125*F125</f>
        <v>0</v>
      </c>
    </row>
    <row r="126" spans="1:9" hidden="1" outlineLevel="1" x14ac:dyDescent="0.25">
      <c r="A126" s="19"/>
      <c r="B126" s="20">
        <v>2502</v>
      </c>
      <c r="C126" s="3" t="s">
        <v>82</v>
      </c>
      <c r="D126" s="23">
        <f>B122-16</f>
        <v>984</v>
      </c>
      <c r="E126" s="24">
        <f>1*B120</f>
        <v>0</v>
      </c>
      <c r="F126" s="249">
        <f t="shared" si="15"/>
        <v>0</v>
      </c>
      <c r="G126" s="231">
        <v>22000</v>
      </c>
      <c r="H126" s="245">
        <f t="shared" ref="H126:H131" si="17">G126/6000</f>
        <v>3.6666666666666665</v>
      </c>
      <c r="I126" s="227">
        <f t="shared" si="16"/>
        <v>0</v>
      </c>
    </row>
    <row r="127" spans="1:9" hidden="1" outlineLevel="1" x14ac:dyDescent="0.25">
      <c r="A127" s="19"/>
      <c r="B127" s="26">
        <v>2503</v>
      </c>
      <c r="C127" s="28" t="s">
        <v>83</v>
      </c>
      <c r="D127" s="30">
        <f>B123</f>
        <v>1500</v>
      </c>
      <c r="E127" s="31">
        <f>2*B120</f>
        <v>0</v>
      </c>
      <c r="F127" s="249">
        <f t="shared" si="15"/>
        <v>0</v>
      </c>
      <c r="G127" s="231">
        <v>18000</v>
      </c>
      <c r="H127" s="245">
        <f t="shared" si="17"/>
        <v>3</v>
      </c>
      <c r="I127" s="227">
        <f t="shared" si="16"/>
        <v>0</v>
      </c>
    </row>
    <row r="128" spans="1:9" hidden="1" outlineLevel="1" x14ac:dyDescent="0.25">
      <c r="A128" s="19"/>
      <c r="B128" s="20">
        <v>2504</v>
      </c>
      <c r="C128" s="3" t="s">
        <v>324</v>
      </c>
      <c r="D128" s="23">
        <f>(B122/2)-12</f>
        <v>488</v>
      </c>
      <c r="E128" s="24">
        <f>2*B120</f>
        <v>0</v>
      </c>
      <c r="F128" s="249">
        <f t="shared" si="15"/>
        <v>0</v>
      </c>
      <c r="G128" s="231">
        <v>22283</v>
      </c>
      <c r="H128" s="245">
        <f t="shared" si="17"/>
        <v>3.7138333333333335</v>
      </c>
      <c r="I128" s="227">
        <f t="shared" si="16"/>
        <v>0</v>
      </c>
    </row>
    <row r="129" spans="1:9" hidden="1" outlineLevel="1" x14ac:dyDescent="0.25">
      <c r="A129" s="19"/>
      <c r="B129" s="20">
        <v>2515</v>
      </c>
      <c r="C129" s="3" t="s">
        <v>325</v>
      </c>
      <c r="D129" s="23">
        <f>(B122/2)-12</f>
        <v>488</v>
      </c>
      <c r="E129" s="24">
        <f>2*B120</f>
        <v>0</v>
      </c>
      <c r="F129" s="249">
        <f t="shared" si="15"/>
        <v>0</v>
      </c>
      <c r="G129" s="231">
        <v>22283</v>
      </c>
      <c r="H129" s="245">
        <f t="shared" si="17"/>
        <v>3.7138333333333335</v>
      </c>
      <c r="I129" s="227">
        <f t="shared" si="16"/>
        <v>0</v>
      </c>
    </row>
    <row r="130" spans="1:9" hidden="1" outlineLevel="1" x14ac:dyDescent="0.25">
      <c r="A130" s="19"/>
      <c r="B130" s="20">
        <v>2506</v>
      </c>
      <c r="C130" s="3" t="s">
        <v>326</v>
      </c>
      <c r="D130" s="23">
        <f>B123-35</f>
        <v>1465</v>
      </c>
      <c r="E130" s="24">
        <f>2*B120</f>
        <v>0</v>
      </c>
      <c r="F130" s="249">
        <f t="shared" si="15"/>
        <v>0</v>
      </c>
      <c r="G130" s="231">
        <v>18941</v>
      </c>
      <c r="H130" s="245">
        <f t="shared" si="17"/>
        <v>3.1568333333333332</v>
      </c>
      <c r="I130" s="227">
        <f t="shared" si="16"/>
        <v>0</v>
      </c>
    </row>
    <row r="131" spans="1:9" hidden="1" outlineLevel="1" x14ac:dyDescent="0.25">
      <c r="A131" s="5"/>
      <c r="B131" s="26">
        <v>2507</v>
      </c>
      <c r="C131" s="28" t="s">
        <v>138</v>
      </c>
      <c r="D131" s="30">
        <f>B123-35</f>
        <v>1465</v>
      </c>
      <c r="E131" s="31">
        <f>2*B120</f>
        <v>0</v>
      </c>
      <c r="F131" s="257">
        <f t="shared" si="15"/>
        <v>0</v>
      </c>
      <c r="G131" s="258">
        <v>16469</v>
      </c>
      <c r="H131" s="259">
        <f t="shared" si="17"/>
        <v>2.7448333333333332</v>
      </c>
      <c r="I131" s="260">
        <f t="shared" si="16"/>
        <v>0</v>
      </c>
    </row>
    <row r="132" spans="1:9" hidden="1" outlineLevel="1" x14ac:dyDescent="0.25">
      <c r="A132" s="4" t="s">
        <v>88</v>
      </c>
      <c r="B132" s="20"/>
      <c r="C132" s="3" t="s">
        <v>89</v>
      </c>
      <c r="D132" s="23">
        <f>(B122*B123)/1000000*10*B120</f>
        <v>0</v>
      </c>
      <c r="E132" s="24" t="s">
        <v>90</v>
      </c>
      <c r="F132" s="351">
        <v>33.520000000000003</v>
      </c>
      <c r="G132" s="227">
        <f>F132*D132</f>
        <v>0</v>
      </c>
      <c r="H132" s="4" t="s">
        <v>91</v>
      </c>
      <c r="I132" s="246">
        <f>SUM(G132:G134)</f>
        <v>0</v>
      </c>
    </row>
    <row r="133" spans="1:9" hidden="1" outlineLevel="1" x14ac:dyDescent="0.25">
      <c r="A133" s="4"/>
      <c r="B133" s="20"/>
      <c r="C133" s="3" t="s">
        <v>92</v>
      </c>
      <c r="D133" s="23">
        <f>4*B120</f>
        <v>0</v>
      </c>
      <c r="E133" s="24" t="s">
        <v>93</v>
      </c>
      <c r="F133" s="351">
        <v>1200</v>
      </c>
      <c r="G133" s="227">
        <f>F133*D133</f>
        <v>0</v>
      </c>
    </row>
    <row r="134" spans="1:9" hidden="1" outlineLevel="1" x14ac:dyDescent="0.25">
      <c r="A134" s="19"/>
      <c r="B134" s="20"/>
      <c r="C134" s="3" t="s">
        <v>94</v>
      </c>
      <c r="D134" s="23">
        <f>2*B120</f>
        <v>0</v>
      </c>
      <c r="E134" s="24" t="s">
        <v>93</v>
      </c>
      <c r="F134" s="351">
        <v>1400</v>
      </c>
      <c r="G134" s="227">
        <f>F134*D134</f>
        <v>0</v>
      </c>
    </row>
    <row r="135" spans="1:9" hidden="1" outlineLevel="1" x14ac:dyDescent="0.25">
      <c r="A135" s="40" t="s">
        <v>95</v>
      </c>
      <c r="B135" s="1" t="s">
        <v>76</v>
      </c>
      <c r="C135" s="1" t="s">
        <v>96</v>
      </c>
      <c r="D135" s="1" t="s">
        <v>97</v>
      </c>
      <c r="E135" s="4" t="s">
        <v>45</v>
      </c>
      <c r="F135" s="4" t="s">
        <v>98</v>
      </c>
      <c r="G135" s="231"/>
    </row>
    <row r="136" spans="1:9" hidden="1" outlineLevel="1" x14ac:dyDescent="0.25">
      <c r="A136" s="5"/>
      <c r="B136" s="31">
        <f>2*B120</f>
        <v>0</v>
      </c>
      <c r="C136" s="32">
        <f>(B122/2)-66</f>
        <v>434</v>
      </c>
      <c r="D136" s="32">
        <f>B123-116</f>
        <v>1384</v>
      </c>
      <c r="E136" s="255">
        <v>21000</v>
      </c>
      <c r="F136" s="256">
        <f>E136*B137</f>
        <v>0</v>
      </c>
      <c r="G136" s="231"/>
      <c r="I136"/>
    </row>
    <row r="137" spans="1:9" hidden="1" outlineLevel="1" x14ac:dyDescent="0.25">
      <c r="A137" s="6" t="s">
        <v>99</v>
      </c>
      <c r="B137" s="41">
        <f>(B136*C136*D136)/1000000</f>
        <v>0</v>
      </c>
    </row>
    <row r="138" spans="1:9" collapsed="1" x14ac:dyDescent="0.25"/>
    <row r="139" spans="1:9" x14ac:dyDescent="0.25">
      <c r="A139" s="1" t="s">
        <v>61</v>
      </c>
      <c r="B139" s="238" t="s">
        <v>106</v>
      </c>
      <c r="C139" s="237"/>
      <c r="E139" s="3"/>
    </row>
    <row r="140" spans="1:9" x14ac:dyDescent="0.25">
      <c r="A140" s="4" t="s">
        <v>62</v>
      </c>
      <c r="B140" s="384" t="s">
        <v>63</v>
      </c>
      <c r="C140" s="384"/>
      <c r="D140" s="384"/>
      <c r="E140" s="384"/>
    </row>
    <row r="141" spans="1:9" x14ac:dyDescent="0.25">
      <c r="A141" s="5"/>
      <c r="B141" s="384"/>
      <c r="C141" s="384"/>
      <c r="D141" s="384"/>
      <c r="E141" s="384"/>
    </row>
    <row r="142" spans="1:9" x14ac:dyDescent="0.25">
      <c r="A142" s="240" t="s">
        <v>64</v>
      </c>
      <c r="B142" s="239">
        <v>0</v>
      </c>
      <c r="C142" s="8"/>
      <c r="D142" s="8"/>
      <c r="E142" s="8"/>
      <c r="H142" t="s">
        <v>65</v>
      </c>
      <c r="I142" s="232">
        <f>SUM(I147:I153)</f>
        <v>0</v>
      </c>
    </row>
    <row r="143" spans="1:9" x14ac:dyDescent="0.25">
      <c r="A143" s="241" t="s">
        <v>66</v>
      </c>
      <c r="B143" s="242"/>
      <c r="C143" s="11"/>
      <c r="D143" s="12"/>
      <c r="E143" s="12"/>
      <c r="H143" t="s">
        <v>68</v>
      </c>
      <c r="I143" s="246">
        <f>F158</f>
        <v>0</v>
      </c>
    </row>
    <row r="144" spans="1:9" ht="18" x14ac:dyDescent="0.4">
      <c r="A144" s="243" t="s">
        <v>69</v>
      </c>
      <c r="B144" s="14">
        <v>1000</v>
      </c>
      <c r="H144" t="s">
        <v>70</v>
      </c>
      <c r="I144" s="247">
        <f>I154</f>
        <v>0</v>
      </c>
    </row>
    <row r="145" spans="1:9" x14ac:dyDescent="0.25">
      <c r="A145" s="244" t="s">
        <v>71</v>
      </c>
      <c r="B145" s="17">
        <v>1500</v>
      </c>
      <c r="H145" t="s">
        <v>36</v>
      </c>
      <c r="I145" s="248">
        <f>SUM(I142:I144)</f>
        <v>0</v>
      </c>
    </row>
    <row r="146" spans="1:9" hidden="1" outlineLevel="1" x14ac:dyDescent="0.25">
      <c r="A146" s="4" t="s">
        <v>72</v>
      </c>
      <c r="B146" s="1" t="s">
        <v>73</v>
      </c>
      <c r="C146" s="1" t="s">
        <v>74</v>
      </c>
      <c r="D146" s="1" t="s">
        <v>75</v>
      </c>
      <c r="E146" s="1" t="s">
        <v>76</v>
      </c>
      <c r="F146" s="4" t="s">
        <v>77</v>
      </c>
      <c r="G146" s="4" t="s">
        <v>78</v>
      </c>
      <c r="H146" s="4" t="s">
        <v>79</v>
      </c>
      <c r="I146" s="4" t="s">
        <v>80</v>
      </c>
    </row>
    <row r="147" spans="1:9" hidden="1" outlineLevel="1" x14ac:dyDescent="0.25">
      <c r="A147" s="19"/>
      <c r="B147" s="20">
        <v>2501</v>
      </c>
      <c r="C147" s="3" t="s">
        <v>81</v>
      </c>
      <c r="D147" s="23">
        <f>B144-16</f>
        <v>984</v>
      </c>
      <c r="E147" s="24">
        <f>1*B142</f>
        <v>0</v>
      </c>
      <c r="F147" s="250">
        <f t="shared" ref="F147:F153" si="18">E147*D147</f>
        <v>0</v>
      </c>
      <c r="G147" s="251">
        <v>22000</v>
      </c>
      <c r="H147" s="252">
        <f>G147/6000</f>
        <v>3.6666666666666665</v>
      </c>
      <c r="I147" s="253">
        <f t="shared" ref="I147:I153" si="19">H147*F147</f>
        <v>0</v>
      </c>
    </row>
    <row r="148" spans="1:9" hidden="1" outlineLevel="1" x14ac:dyDescent="0.25">
      <c r="A148" s="19"/>
      <c r="B148" s="20">
        <v>2502</v>
      </c>
      <c r="C148" s="3" t="s">
        <v>82</v>
      </c>
      <c r="D148" s="23">
        <f>B144-16</f>
        <v>984</v>
      </c>
      <c r="E148" s="24">
        <f>1*B142</f>
        <v>0</v>
      </c>
      <c r="F148" s="249">
        <f t="shared" si="18"/>
        <v>0</v>
      </c>
      <c r="G148" s="231">
        <v>22000</v>
      </c>
      <c r="H148" s="245">
        <f t="shared" ref="H148:H153" si="20">G148/6000</f>
        <v>3.6666666666666665</v>
      </c>
      <c r="I148" s="227">
        <f t="shared" si="19"/>
        <v>0</v>
      </c>
    </row>
    <row r="149" spans="1:9" hidden="1" outlineLevel="1" x14ac:dyDescent="0.25">
      <c r="A149" s="19"/>
      <c r="B149" s="26">
        <v>2503</v>
      </c>
      <c r="C149" s="28" t="s">
        <v>83</v>
      </c>
      <c r="D149" s="30">
        <f>B145</f>
        <v>1500</v>
      </c>
      <c r="E149" s="31">
        <f>2*B142</f>
        <v>0</v>
      </c>
      <c r="F149" s="249">
        <f t="shared" si="18"/>
        <v>0</v>
      </c>
      <c r="G149" s="231">
        <v>18000</v>
      </c>
      <c r="H149" s="245">
        <f t="shared" si="20"/>
        <v>3</v>
      </c>
      <c r="I149" s="227">
        <f t="shared" si="19"/>
        <v>0</v>
      </c>
    </row>
    <row r="150" spans="1:9" hidden="1" outlineLevel="1" x14ac:dyDescent="0.25">
      <c r="A150" s="19"/>
      <c r="B150" s="20">
        <v>2504</v>
      </c>
      <c r="C150" s="3" t="s">
        <v>324</v>
      </c>
      <c r="D150" s="23">
        <f>(B144/2)-12</f>
        <v>488</v>
      </c>
      <c r="E150" s="24">
        <f>2*B142</f>
        <v>0</v>
      </c>
      <c r="F150" s="249">
        <f t="shared" si="18"/>
        <v>0</v>
      </c>
      <c r="G150" s="231">
        <v>22283</v>
      </c>
      <c r="H150" s="245">
        <f t="shared" si="20"/>
        <v>3.7138333333333335</v>
      </c>
      <c r="I150" s="227">
        <f t="shared" si="19"/>
        <v>0</v>
      </c>
    </row>
    <row r="151" spans="1:9" hidden="1" outlineLevel="1" x14ac:dyDescent="0.25">
      <c r="A151" s="19"/>
      <c r="B151" s="20">
        <v>2515</v>
      </c>
      <c r="C151" s="3" t="s">
        <v>325</v>
      </c>
      <c r="D151" s="23">
        <f>(B144/2)-12</f>
        <v>488</v>
      </c>
      <c r="E151" s="24">
        <f>2*B142</f>
        <v>0</v>
      </c>
      <c r="F151" s="249">
        <f t="shared" si="18"/>
        <v>0</v>
      </c>
      <c r="G151" s="231">
        <v>22283</v>
      </c>
      <c r="H151" s="245">
        <f t="shared" si="20"/>
        <v>3.7138333333333335</v>
      </c>
      <c r="I151" s="227">
        <f t="shared" si="19"/>
        <v>0</v>
      </c>
    </row>
    <row r="152" spans="1:9" hidden="1" outlineLevel="1" x14ac:dyDescent="0.25">
      <c r="A152" s="19"/>
      <c r="B152" s="20">
        <v>2506</v>
      </c>
      <c r="C152" s="3" t="s">
        <v>326</v>
      </c>
      <c r="D152" s="23">
        <f>B145-35</f>
        <v>1465</v>
      </c>
      <c r="E152" s="24">
        <f>2*B142</f>
        <v>0</v>
      </c>
      <c r="F152" s="249">
        <f t="shared" si="18"/>
        <v>0</v>
      </c>
      <c r="G152" s="231">
        <v>18941</v>
      </c>
      <c r="H152" s="245">
        <f t="shared" si="20"/>
        <v>3.1568333333333332</v>
      </c>
      <c r="I152" s="227">
        <f t="shared" si="19"/>
        <v>0</v>
      </c>
    </row>
    <row r="153" spans="1:9" hidden="1" outlineLevel="1" x14ac:dyDescent="0.25">
      <c r="A153" s="5"/>
      <c r="B153" s="26">
        <v>2507</v>
      </c>
      <c r="C153" s="28" t="s">
        <v>138</v>
      </c>
      <c r="D153" s="30">
        <f>B145-35</f>
        <v>1465</v>
      </c>
      <c r="E153" s="31">
        <f>2*B142</f>
        <v>0</v>
      </c>
      <c r="F153" s="257">
        <f t="shared" si="18"/>
        <v>0</v>
      </c>
      <c r="G153" s="258">
        <v>16469</v>
      </c>
      <c r="H153" s="259">
        <f t="shared" si="20"/>
        <v>2.7448333333333332</v>
      </c>
      <c r="I153" s="260">
        <f t="shared" si="19"/>
        <v>0</v>
      </c>
    </row>
    <row r="154" spans="1:9" hidden="1" outlineLevel="1" x14ac:dyDescent="0.25">
      <c r="A154" s="4" t="s">
        <v>88</v>
      </c>
      <c r="B154" s="20"/>
      <c r="C154" s="3" t="s">
        <v>89</v>
      </c>
      <c r="D154" s="23">
        <f>(B144*B145)/1000000*10*B142</f>
        <v>0</v>
      </c>
      <c r="E154" s="24" t="s">
        <v>90</v>
      </c>
      <c r="F154" s="351">
        <v>33.520000000000003</v>
      </c>
      <c r="G154" s="227">
        <f>F154*D154</f>
        <v>0</v>
      </c>
      <c r="H154" s="4" t="s">
        <v>91</v>
      </c>
      <c r="I154" s="246">
        <f>SUM(G154:G156)</f>
        <v>0</v>
      </c>
    </row>
    <row r="155" spans="1:9" hidden="1" outlineLevel="1" x14ac:dyDescent="0.25">
      <c r="A155" s="4"/>
      <c r="B155" s="20"/>
      <c r="C155" s="3" t="s">
        <v>92</v>
      </c>
      <c r="D155" s="23">
        <f>4*B142</f>
        <v>0</v>
      </c>
      <c r="E155" s="24" t="s">
        <v>93</v>
      </c>
      <c r="F155" s="351">
        <v>1200</v>
      </c>
      <c r="G155" s="227">
        <f>F155*D155</f>
        <v>0</v>
      </c>
    </row>
    <row r="156" spans="1:9" hidden="1" outlineLevel="1" x14ac:dyDescent="0.25">
      <c r="A156" s="19"/>
      <c r="B156" s="20"/>
      <c r="C156" s="3" t="s">
        <v>94</v>
      </c>
      <c r="D156" s="23">
        <f>2*B142</f>
        <v>0</v>
      </c>
      <c r="E156" s="24" t="s">
        <v>93</v>
      </c>
      <c r="F156" s="351">
        <v>1400</v>
      </c>
      <c r="G156" s="227">
        <f>F156*D156</f>
        <v>0</v>
      </c>
    </row>
    <row r="157" spans="1:9" hidden="1" outlineLevel="1" x14ac:dyDescent="0.25">
      <c r="A157" s="40" t="s">
        <v>95</v>
      </c>
      <c r="B157" s="1" t="s">
        <v>76</v>
      </c>
      <c r="C157" s="1" t="s">
        <v>96</v>
      </c>
      <c r="D157" s="1" t="s">
        <v>97</v>
      </c>
      <c r="E157" s="4" t="s">
        <v>45</v>
      </c>
      <c r="F157" s="4" t="s">
        <v>98</v>
      </c>
      <c r="G157" s="231"/>
    </row>
    <row r="158" spans="1:9" hidden="1" outlineLevel="1" x14ac:dyDescent="0.25">
      <c r="A158" s="5"/>
      <c r="B158" s="31">
        <f>2*B142</f>
        <v>0</v>
      </c>
      <c r="C158" s="32">
        <f>(B144/2)-66</f>
        <v>434</v>
      </c>
      <c r="D158" s="32">
        <f>B145-116</f>
        <v>1384</v>
      </c>
      <c r="E158" s="255">
        <v>21000</v>
      </c>
      <c r="F158" s="256">
        <f>E158*B159</f>
        <v>0</v>
      </c>
      <c r="G158" s="231"/>
      <c r="I158"/>
    </row>
    <row r="159" spans="1:9" hidden="1" outlineLevel="1" x14ac:dyDescent="0.25">
      <c r="A159" s="6" t="s">
        <v>99</v>
      </c>
      <c r="B159" s="41">
        <f>(B158*C158*D158)/1000000</f>
        <v>0</v>
      </c>
    </row>
    <row r="160" spans="1:9" collapsed="1" x14ac:dyDescent="0.25"/>
    <row r="161" spans="1:9" x14ac:dyDescent="0.25">
      <c r="A161" s="1" t="s">
        <v>61</v>
      </c>
      <c r="B161" s="238" t="s">
        <v>107</v>
      </c>
      <c r="C161" s="237"/>
      <c r="E161" s="3"/>
    </row>
    <row r="162" spans="1:9" x14ac:dyDescent="0.25">
      <c r="A162" s="4" t="s">
        <v>62</v>
      </c>
      <c r="B162" s="384" t="s">
        <v>63</v>
      </c>
      <c r="C162" s="384"/>
      <c r="D162" s="384"/>
      <c r="E162" s="384"/>
    </row>
    <row r="163" spans="1:9" x14ac:dyDescent="0.25">
      <c r="A163" s="5"/>
      <c r="B163" s="384"/>
      <c r="C163" s="384"/>
      <c r="D163" s="384"/>
      <c r="E163" s="384"/>
    </row>
    <row r="164" spans="1:9" x14ac:dyDescent="0.25">
      <c r="A164" s="240" t="s">
        <v>64</v>
      </c>
      <c r="B164" s="239">
        <v>0</v>
      </c>
      <c r="C164" s="8"/>
      <c r="D164" s="8"/>
      <c r="E164" s="8"/>
      <c r="H164" t="s">
        <v>65</v>
      </c>
      <c r="I164" s="232">
        <f>SUM(I169:I175)</f>
        <v>0</v>
      </c>
    </row>
    <row r="165" spans="1:9" x14ac:dyDescent="0.25">
      <c r="A165" s="241" t="s">
        <v>66</v>
      </c>
      <c r="B165" s="242"/>
      <c r="C165" s="11"/>
      <c r="D165" s="12"/>
      <c r="E165" s="12"/>
      <c r="H165" t="s">
        <v>68</v>
      </c>
      <c r="I165" s="246">
        <f>F180</f>
        <v>0</v>
      </c>
    </row>
    <row r="166" spans="1:9" ht="18" x14ac:dyDescent="0.4">
      <c r="A166" s="243" t="s">
        <v>69</v>
      </c>
      <c r="B166" s="14">
        <v>1000</v>
      </c>
      <c r="H166" t="s">
        <v>70</v>
      </c>
      <c r="I166" s="247">
        <f>I176</f>
        <v>0</v>
      </c>
    </row>
    <row r="167" spans="1:9" x14ac:dyDescent="0.25">
      <c r="A167" s="244" t="s">
        <v>71</v>
      </c>
      <c r="B167" s="17">
        <v>1500</v>
      </c>
      <c r="H167" t="s">
        <v>36</v>
      </c>
      <c r="I167" s="248">
        <f>SUM(I164:I166)</f>
        <v>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>
        <v>2501</v>
      </c>
      <c r="C169" s="3" t="s">
        <v>81</v>
      </c>
      <c r="D169" s="23">
        <f>B166-16</f>
        <v>984</v>
      </c>
      <c r="E169" s="24">
        <f>1*B164</f>
        <v>0</v>
      </c>
      <c r="F169" s="250">
        <f t="shared" ref="F169:F175" si="21">E169*D169</f>
        <v>0</v>
      </c>
      <c r="G169" s="251">
        <v>22000</v>
      </c>
      <c r="H169" s="252">
        <f>G169/6000</f>
        <v>3.6666666666666665</v>
      </c>
      <c r="I169" s="253">
        <f t="shared" ref="I169:I175" si="22">H169*F169</f>
        <v>0</v>
      </c>
    </row>
    <row r="170" spans="1:9" hidden="1" outlineLevel="1" x14ac:dyDescent="0.25">
      <c r="A170" s="19"/>
      <c r="B170" s="20">
        <v>2502</v>
      </c>
      <c r="C170" s="3" t="s">
        <v>82</v>
      </c>
      <c r="D170" s="23">
        <f>B166-16</f>
        <v>984</v>
      </c>
      <c r="E170" s="24">
        <f>1*B164</f>
        <v>0</v>
      </c>
      <c r="F170" s="249">
        <f t="shared" si="21"/>
        <v>0</v>
      </c>
      <c r="G170" s="231">
        <v>22000</v>
      </c>
      <c r="H170" s="245">
        <f t="shared" ref="H170:H175" si="23">G170/6000</f>
        <v>3.6666666666666665</v>
      </c>
      <c r="I170" s="227">
        <f t="shared" si="22"/>
        <v>0</v>
      </c>
    </row>
    <row r="171" spans="1:9" hidden="1" outlineLevel="1" x14ac:dyDescent="0.25">
      <c r="A171" s="19"/>
      <c r="B171" s="26">
        <v>2503</v>
      </c>
      <c r="C171" s="28" t="s">
        <v>83</v>
      </c>
      <c r="D171" s="30">
        <f>B167</f>
        <v>1500</v>
      </c>
      <c r="E171" s="31">
        <f>2*B164</f>
        <v>0</v>
      </c>
      <c r="F171" s="249">
        <f t="shared" si="21"/>
        <v>0</v>
      </c>
      <c r="G171" s="231">
        <v>18000</v>
      </c>
      <c r="H171" s="245">
        <f t="shared" si="23"/>
        <v>3</v>
      </c>
      <c r="I171" s="227">
        <f t="shared" si="22"/>
        <v>0</v>
      </c>
    </row>
    <row r="172" spans="1:9" hidden="1" outlineLevel="1" x14ac:dyDescent="0.25">
      <c r="A172" s="19"/>
      <c r="B172" s="20">
        <v>2504</v>
      </c>
      <c r="C172" s="3" t="s">
        <v>324</v>
      </c>
      <c r="D172" s="23">
        <f>(B166/2)-12</f>
        <v>488</v>
      </c>
      <c r="E172" s="24">
        <f>2*B164</f>
        <v>0</v>
      </c>
      <c r="F172" s="249">
        <f t="shared" si="21"/>
        <v>0</v>
      </c>
      <c r="G172" s="231">
        <v>22283</v>
      </c>
      <c r="H172" s="245">
        <f t="shared" si="23"/>
        <v>3.7138333333333335</v>
      </c>
      <c r="I172" s="227">
        <f t="shared" si="22"/>
        <v>0</v>
      </c>
    </row>
    <row r="173" spans="1:9" hidden="1" outlineLevel="1" x14ac:dyDescent="0.25">
      <c r="A173" s="19"/>
      <c r="B173" s="20">
        <v>2515</v>
      </c>
      <c r="C173" s="3" t="s">
        <v>325</v>
      </c>
      <c r="D173" s="23">
        <f>(B166/2)-12</f>
        <v>488</v>
      </c>
      <c r="E173" s="24">
        <f>2*B164</f>
        <v>0</v>
      </c>
      <c r="F173" s="249">
        <f t="shared" si="21"/>
        <v>0</v>
      </c>
      <c r="G173" s="231">
        <v>22283</v>
      </c>
      <c r="H173" s="245">
        <f t="shared" si="23"/>
        <v>3.7138333333333335</v>
      </c>
      <c r="I173" s="227">
        <f t="shared" si="22"/>
        <v>0</v>
      </c>
    </row>
    <row r="174" spans="1:9" hidden="1" outlineLevel="1" x14ac:dyDescent="0.25">
      <c r="A174" s="19"/>
      <c r="B174" s="20">
        <v>2506</v>
      </c>
      <c r="C174" s="3" t="s">
        <v>326</v>
      </c>
      <c r="D174" s="23">
        <f>B167-35</f>
        <v>1465</v>
      </c>
      <c r="E174" s="24">
        <f>2*B164</f>
        <v>0</v>
      </c>
      <c r="F174" s="249">
        <f t="shared" si="21"/>
        <v>0</v>
      </c>
      <c r="G174" s="231">
        <v>18941</v>
      </c>
      <c r="H174" s="245">
        <f t="shared" si="23"/>
        <v>3.1568333333333332</v>
      </c>
      <c r="I174" s="227">
        <f t="shared" si="22"/>
        <v>0</v>
      </c>
    </row>
    <row r="175" spans="1:9" hidden="1" outlineLevel="1" x14ac:dyDescent="0.25">
      <c r="A175" s="5"/>
      <c r="B175" s="26">
        <v>2507</v>
      </c>
      <c r="C175" s="28" t="s">
        <v>138</v>
      </c>
      <c r="D175" s="30">
        <f>B167-35</f>
        <v>1465</v>
      </c>
      <c r="E175" s="31">
        <f>2*B164</f>
        <v>0</v>
      </c>
      <c r="F175" s="257">
        <f t="shared" si="21"/>
        <v>0</v>
      </c>
      <c r="G175" s="258">
        <v>16469</v>
      </c>
      <c r="H175" s="259">
        <f t="shared" si="23"/>
        <v>2.7448333333333332</v>
      </c>
      <c r="I175" s="260">
        <f t="shared" si="22"/>
        <v>0</v>
      </c>
    </row>
    <row r="176" spans="1:9" hidden="1" outlineLevel="1" x14ac:dyDescent="0.25">
      <c r="A176" s="4" t="s">
        <v>88</v>
      </c>
      <c r="B176" s="20"/>
      <c r="C176" s="3" t="s">
        <v>89</v>
      </c>
      <c r="D176" s="23">
        <f>(B166*B167)/1000000*10*B164</f>
        <v>0</v>
      </c>
      <c r="E176" s="24" t="s">
        <v>90</v>
      </c>
      <c r="F176" s="351">
        <v>33.520000000000003</v>
      </c>
      <c r="G176" s="227">
        <f>F176*D176</f>
        <v>0</v>
      </c>
      <c r="H176" s="4" t="s">
        <v>91</v>
      </c>
      <c r="I176" s="246">
        <f>SUM(G176:G178)</f>
        <v>0</v>
      </c>
    </row>
    <row r="177" spans="1:9" hidden="1" outlineLevel="1" x14ac:dyDescent="0.25">
      <c r="A177" s="4"/>
      <c r="B177" s="20"/>
      <c r="C177" s="3" t="s">
        <v>92</v>
      </c>
      <c r="D177" s="23">
        <f>4*B164</f>
        <v>0</v>
      </c>
      <c r="E177" s="24" t="s">
        <v>93</v>
      </c>
      <c r="F177" s="351">
        <v>1200</v>
      </c>
      <c r="G177" s="227">
        <f>F177*D177</f>
        <v>0</v>
      </c>
    </row>
    <row r="178" spans="1:9" hidden="1" outlineLevel="1" x14ac:dyDescent="0.25">
      <c r="A178" s="19"/>
      <c r="B178" s="20"/>
      <c r="C178" s="3" t="s">
        <v>94</v>
      </c>
      <c r="D178" s="23">
        <f>2*B164</f>
        <v>0</v>
      </c>
      <c r="E178" s="24" t="s">
        <v>93</v>
      </c>
      <c r="F178" s="351">
        <v>1400</v>
      </c>
      <c r="G178" s="227">
        <f>F178*D178</f>
        <v>0</v>
      </c>
    </row>
    <row r="179" spans="1:9" hidden="1" outlineLevel="1" x14ac:dyDescent="0.25">
      <c r="A179" s="40" t="s">
        <v>95</v>
      </c>
      <c r="B179" s="1" t="s">
        <v>76</v>
      </c>
      <c r="C179" s="1" t="s">
        <v>96</v>
      </c>
      <c r="D179" s="1" t="s">
        <v>97</v>
      </c>
      <c r="E179" s="4" t="s">
        <v>45</v>
      </c>
      <c r="F179" s="4" t="s">
        <v>98</v>
      </c>
      <c r="G179" s="231"/>
    </row>
    <row r="180" spans="1:9" hidden="1" outlineLevel="1" x14ac:dyDescent="0.25">
      <c r="A180" s="5"/>
      <c r="B180" s="31">
        <f>2*B164</f>
        <v>0</v>
      </c>
      <c r="C180" s="32">
        <f>(B166/2)-66</f>
        <v>434</v>
      </c>
      <c r="D180" s="32">
        <f>B167-116</f>
        <v>1384</v>
      </c>
      <c r="E180" s="255">
        <v>21000</v>
      </c>
      <c r="F180" s="256">
        <f>E180*B181</f>
        <v>0</v>
      </c>
      <c r="G180" s="231"/>
      <c r="I180"/>
    </row>
    <row r="181" spans="1:9" hidden="1" outlineLevel="1" x14ac:dyDescent="0.25">
      <c r="A181" s="6" t="s">
        <v>99</v>
      </c>
      <c r="B181" s="41">
        <f>(B180*C180*D180)/1000000</f>
        <v>0</v>
      </c>
    </row>
    <row r="182" spans="1:9" collapsed="1" x14ac:dyDescent="0.25"/>
    <row r="183" spans="1:9" x14ac:dyDescent="0.25">
      <c r="A183" s="1" t="s">
        <v>61</v>
      </c>
      <c r="B183" s="238" t="s">
        <v>108</v>
      </c>
      <c r="C183" s="237"/>
      <c r="E183" s="3"/>
    </row>
    <row r="184" spans="1:9" x14ac:dyDescent="0.25">
      <c r="A184" s="4" t="s">
        <v>62</v>
      </c>
      <c r="B184" s="384" t="s">
        <v>63</v>
      </c>
      <c r="C184" s="384"/>
      <c r="D184" s="384"/>
      <c r="E184" s="384"/>
    </row>
    <row r="185" spans="1:9" x14ac:dyDescent="0.25">
      <c r="A185" s="5"/>
      <c r="B185" s="384"/>
      <c r="C185" s="384"/>
      <c r="D185" s="384"/>
      <c r="E185" s="384"/>
    </row>
    <row r="186" spans="1:9" x14ac:dyDescent="0.25">
      <c r="A186" s="240" t="s">
        <v>64</v>
      </c>
      <c r="B186" s="239">
        <v>0</v>
      </c>
      <c r="C186" s="8"/>
      <c r="D186" s="8"/>
      <c r="E186" s="8"/>
      <c r="H186" t="s">
        <v>65</v>
      </c>
      <c r="I186" s="232">
        <f>SUM(I191:I197)</f>
        <v>0</v>
      </c>
    </row>
    <row r="187" spans="1:9" x14ac:dyDescent="0.25">
      <c r="A187" s="241" t="s">
        <v>66</v>
      </c>
      <c r="B187" s="242"/>
      <c r="C187" s="11"/>
      <c r="D187" s="12"/>
      <c r="E187" s="12"/>
      <c r="H187" t="s">
        <v>68</v>
      </c>
      <c r="I187" s="246">
        <f>F202</f>
        <v>0</v>
      </c>
    </row>
    <row r="188" spans="1:9" ht="18" x14ac:dyDescent="0.4">
      <c r="A188" s="243" t="s">
        <v>69</v>
      </c>
      <c r="B188" s="14">
        <v>1000</v>
      </c>
      <c r="H188" t="s">
        <v>70</v>
      </c>
      <c r="I188" s="247">
        <f>I198</f>
        <v>0</v>
      </c>
    </row>
    <row r="189" spans="1:9" x14ac:dyDescent="0.25">
      <c r="A189" s="244" t="s">
        <v>71</v>
      </c>
      <c r="B189" s="17">
        <v>1500</v>
      </c>
      <c r="H189" t="s">
        <v>36</v>
      </c>
      <c r="I189" s="248">
        <f>SUM(I186:I188)</f>
        <v>0</v>
      </c>
    </row>
    <row r="190" spans="1:9" hidden="1" outlineLevel="1" x14ac:dyDescent="0.25">
      <c r="A190" s="4" t="s">
        <v>72</v>
      </c>
      <c r="B190" s="1" t="s">
        <v>73</v>
      </c>
      <c r="C190" s="1" t="s">
        <v>74</v>
      </c>
      <c r="D190" s="1" t="s">
        <v>75</v>
      </c>
      <c r="E190" s="1" t="s">
        <v>76</v>
      </c>
      <c r="F190" s="4" t="s">
        <v>77</v>
      </c>
      <c r="G190" s="4" t="s">
        <v>78</v>
      </c>
      <c r="H190" s="4" t="s">
        <v>79</v>
      </c>
      <c r="I190" s="4" t="s">
        <v>80</v>
      </c>
    </row>
    <row r="191" spans="1:9" hidden="1" outlineLevel="1" x14ac:dyDescent="0.25">
      <c r="A191" s="19"/>
      <c r="B191" s="20">
        <v>2501</v>
      </c>
      <c r="C191" s="3" t="s">
        <v>81</v>
      </c>
      <c r="D191" s="23">
        <f>B188-16</f>
        <v>984</v>
      </c>
      <c r="E191" s="24">
        <f>1*B186</f>
        <v>0</v>
      </c>
      <c r="F191" s="250">
        <f t="shared" ref="F191:F197" si="24">E191*D191</f>
        <v>0</v>
      </c>
      <c r="G191" s="251">
        <v>22000</v>
      </c>
      <c r="H191" s="252">
        <f>G191/6000</f>
        <v>3.6666666666666665</v>
      </c>
      <c r="I191" s="253">
        <f t="shared" ref="I191:I197" si="25">H191*F191</f>
        <v>0</v>
      </c>
    </row>
    <row r="192" spans="1:9" hidden="1" outlineLevel="1" x14ac:dyDescent="0.25">
      <c r="A192" s="19"/>
      <c r="B192" s="20">
        <v>2502</v>
      </c>
      <c r="C192" s="3" t="s">
        <v>82</v>
      </c>
      <c r="D192" s="23">
        <f>B188-16</f>
        <v>984</v>
      </c>
      <c r="E192" s="24">
        <f>1*B186</f>
        <v>0</v>
      </c>
      <c r="F192" s="249">
        <f t="shared" si="24"/>
        <v>0</v>
      </c>
      <c r="G192" s="231">
        <v>22000</v>
      </c>
      <c r="H192" s="245">
        <f t="shared" ref="H192:H197" si="26">G192/6000</f>
        <v>3.6666666666666665</v>
      </c>
      <c r="I192" s="227">
        <f t="shared" si="25"/>
        <v>0</v>
      </c>
    </row>
    <row r="193" spans="1:9" hidden="1" outlineLevel="1" x14ac:dyDescent="0.25">
      <c r="A193" s="19"/>
      <c r="B193" s="26">
        <v>2503</v>
      </c>
      <c r="C193" s="28" t="s">
        <v>83</v>
      </c>
      <c r="D193" s="30">
        <f>B189</f>
        <v>1500</v>
      </c>
      <c r="E193" s="31">
        <f>2*B186</f>
        <v>0</v>
      </c>
      <c r="F193" s="249">
        <f t="shared" si="24"/>
        <v>0</v>
      </c>
      <c r="G193" s="231">
        <v>18000</v>
      </c>
      <c r="H193" s="245">
        <f t="shared" si="26"/>
        <v>3</v>
      </c>
      <c r="I193" s="227">
        <f t="shared" si="25"/>
        <v>0</v>
      </c>
    </row>
    <row r="194" spans="1:9" hidden="1" outlineLevel="1" x14ac:dyDescent="0.25">
      <c r="A194" s="19"/>
      <c r="B194" s="20">
        <v>2504</v>
      </c>
      <c r="C194" s="3" t="s">
        <v>324</v>
      </c>
      <c r="D194" s="23">
        <f>(B188/2)-12</f>
        <v>488</v>
      </c>
      <c r="E194" s="24">
        <f>2*B186</f>
        <v>0</v>
      </c>
      <c r="F194" s="249">
        <f t="shared" si="24"/>
        <v>0</v>
      </c>
      <c r="G194" s="231">
        <v>22283</v>
      </c>
      <c r="H194" s="245">
        <f t="shared" si="26"/>
        <v>3.7138333333333335</v>
      </c>
      <c r="I194" s="227">
        <f t="shared" si="25"/>
        <v>0</v>
      </c>
    </row>
    <row r="195" spans="1:9" hidden="1" outlineLevel="1" x14ac:dyDescent="0.25">
      <c r="A195" s="19"/>
      <c r="B195" s="20">
        <v>2515</v>
      </c>
      <c r="C195" s="3" t="s">
        <v>325</v>
      </c>
      <c r="D195" s="23">
        <f>(B188/2)-12</f>
        <v>488</v>
      </c>
      <c r="E195" s="24">
        <f>2*B186</f>
        <v>0</v>
      </c>
      <c r="F195" s="249">
        <f t="shared" si="24"/>
        <v>0</v>
      </c>
      <c r="G195" s="231">
        <v>22283</v>
      </c>
      <c r="H195" s="245">
        <f t="shared" si="26"/>
        <v>3.7138333333333335</v>
      </c>
      <c r="I195" s="227">
        <f t="shared" si="25"/>
        <v>0</v>
      </c>
    </row>
    <row r="196" spans="1:9" hidden="1" outlineLevel="1" x14ac:dyDescent="0.25">
      <c r="A196" s="19"/>
      <c r="B196" s="20">
        <v>2506</v>
      </c>
      <c r="C196" s="3" t="s">
        <v>326</v>
      </c>
      <c r="D196" s="23">
        <f>B189-35</f>
        <v>1465</v>
      </c>
      <c r="E196" s="24">
        <f>2*B186</f>
        <v>0</v>
      </c>
      <c r="F196" s="249">
        <f t="shared" si="24"/>
        <v>0</v>
      </c>
      <c r="G196" s="231">
        <v>18941</v>
      </c>
      <c r="H196" s="245">
        <f t="shared" si="26"/>
        <v>3.1568333333333332</v>
      </c>
      <c r="I196" s="227">
        <f t="shared" si="25"/>
        <v>0</v>
      </c>
    </row>
    <row r="197" spans="1:9" hidden="1" outlineLevel="1" x14ac:dyDescent="0.25">
      <c r="A197" s="5"/>
      <c r="B197" s="26">
        <v>2507</v>
      </c>
      <c r="C197" s="28" t="s">
        <v>138</v>
      </c>
      <c r="D197" s="30">
        <f>B189-35</f>
        <v>1465</v>
      </c>
      <c r="E197" s="31">
        <f>2*B186</f>
        <v>0</v>
      </c>
      <c r="F197" s="257">
        <f t="shared" si="24"/>
        <v>0</v>
      </c>
      <c r="G197" s="258">
        <v>16469</v>
      </c>
      <c r="H197" s="259">
        <f t="shared" si="26"/>
        <v>2.7448333333333332</v>
      </c>
      <c r="I197" s="260">
        <f t="shared" si="25"/>
        <v>0</v>
      </c>
    </row>
    <row r="198" spans="1:9" hidden="1" outlineLevel="1" x14ac:dyDescent="0.25">
      <c r="A198" s="4" t="s">
        <v>88</v>
      </c>
      <c r="B198" s="20"/>
      <c r="C198" s="3" t="s">
        <v>89</v>
      </c>
      <c r="D198" s="23">
        <f>(B188*B189)/1000000*10*B186</f>
        <v>0</v>
      </c>
      <c r="E198" s="24" t="s">
        <v>90</v>
      </c>
      <c r="F198" s="351">
        <v>33.520000000000003</v>
      </c>
      <c r="G198" s="227">
        <f>F198*D198</f>
        <v>0</v>
      </c>
      <c r="H198" s="4" t="s">
        <v>91</v>
      </c>
      <c r="I198" s="246">
        <f>SUM(G198:G200)</f>
        <v>0</v>
      </c>
    </row>
    <row r="199" spans="1:9" hidden="1" outlineLevel="1" x14ac:dyDescent="0.25">
      <c r="A199" s="4"/>
      <c r="B199" s="20"/>
      <c r="C199" s="3" t="s">
        <v>92</v>
      </c>
      <c r="D199" s="23">
        <f>4*B186</f>
        <v>0</v>
      </c>
      <c r="E199" s="24" t="s">
        <v>93</v>
      </c>
      <c r="F199" s="351">
        <v>1200</v>
      </c>
      <c r="G199" s="227">
        <f>F199*D199</f>
        <v>0</v>
      </c>
    </row>
    <row r="200" spans="1:9" hidden="1" outlineLevel="1" x14ac:dyDescent="0.25">
      <c r="A200" s="19"/>
      <c r="B200" s="20"/>
      <c r="C200" s="3" t="s">
        <v>94</v>
      </c>
      <c r="D200" s="23">
        <f>2*B186</f>
        <v>0</v>
      </c>
      <c r="E200" s="24" t="s">
        <v>93</v>
      </c>
      <c r="F200" s="351">
        <v>1400</v>
      </c>
      <c r="G200" s="227">
        <f>F200*D200</f>
        <v>0</v>
      </c>
    </row>
    <row r="201" spans="1:9" hidden="1" outlineLevel="1" x14ac:dyDescent="0.25">
      <c r="A201" s="40" t="s">
        <v>95</v>
      </c>
      <c r="B201" s="1" t="s">
        <v>76</v>
      </c>
      <c r="C201" s="1" t="s">
        <v>96</v>
      </c>
      <c r="D201" s="1" t="s">
        <v>97</v>
      </c>
      <c r="E201" s="4" t="s">
        <v>45</v>
      </c>
      <c r="F201" s="4" t="s">
        <v>98</v>
      </c>
      <c r="G201" s="231"/>
    </row>
    <row r="202" spans="1:9" hidden="1" outlineLevel="1" x14ac:dyDescent="0.25">
      <c r="A202" s="5"/>
      <c r="B202" s="31">
        <f>2*B186</f>
        <v>0</v>
      </c>
      <c r="C202" s="32">
        <f>(B188/2)-66</f>
        <v>434</v>
      </c>
      <c r="D202" s="32">
        <f>B189-116</f>
        <v>1384</v>
      </c>
      <c r="E202" s="255">
        <v>21000</v>
      </c>
      <c r="F202" s="256">
        <f>E202*B203</f>
        <v>0</v>
      </c>
      <c r="G202" s="231"/>
      <c r="I202"/>
    </row>
    <row r="203" spans="1:9" hidden="1" outlineLevel="1" x14ac:dyDescent="0.25">
      <c r="A203" s="6" t="s">
        <v>99</v>
      </c>
      <c r="B203" s="41">
        <f>(B202*C202*D202)/1000000</f>
        <v>0</v>
      </c>
    </row>
    <row r="204" spans="1:9" collapsed="1" x14ac:dyDescent="0.25"/>
    <row r="205" spans="1:9" x14ac:dyDescent="0.25">
      <c r="A205" s="1" t="s">
        <v>61</v>
      </c>
      <c r="B205" s="238" t="s">
        <v>109</v>
      </c>
      <c r="C205" s="237"/>
      <c r="E205" s="3"/>
    </row>
    <row r="206" spans="1:9" x14ac:dyDescent="0.25">
      <c r="A206" s="4" t="s">
        <v>62</v>
      </c>
      <c r="B206" s="384" t="s">
        <v>63</v>
      </c>
      <c r="C206" s="384"/>
      <c r="D206" s="384"/>
      <c r="E206" s="384"/>
    </row>
    <row r="207" spans="1:9" x14ac:dyDescent="0.25">
      <c r="A207" s="5"/>
      <c r="B207" s="384"/>
      <c r="C207" s="384"/>
      <c r="D207" s="384"/>
      <c r="E207" s="384"/>
    </row>
    <row r="208" spans="1:9" x14ac:dyDescent="0.25">
      <c r="A208" s="240" t="s">
        <v>64</v>
      </c>
      <c r="B208" s="239">
        <v>0</v>
      </c>
      <c r="C208" s="8"/>
      <c r="D208" s="8"/>
      <c r="E208" s="8"/>
      <c r="H208" t="s">
        <v>65</v>
      </c>
      <c r="I208" s="232">
        <f>SUM(I213:I219)</f>
        <v>0</v>
      </c>
    </row>
    <row r="209" spans="1:9" x14ac:dyDescent="0.25">
      <c r="A209" s="241" t="s">
        <v>66</v>
      </c>
      <c r="B209" s="242"/>
      <c r="C209" s="11"/>
      <c r="D209" s="12"/>
      <c r="E209" s="12"/>
      <c r="H209" t="s">
        <v>68</v>
      </c>
      <c r="I209" s="246">
        <f>F224</f>
        <v>0</v>
      </c>
    </row>
    <row r="210" spans="1:9" ht="18" x14ac:dyDescent="0.4">
      <c r="A210" s="243" t="s">
        <v>69</v>
      </c>
      <c r="B210" s="14">
        <v>1000</v>
      </c>
      <c r="H210" t="s">
        <v>70</v>
      </c>
      <c r="I210" s="247">
        <f>I220</f>
        <v>0</v>
      </c>
    </row>
    <row r="211" spans="1:9" x14ac:dyDescent="0.25">
      <c r="A211" s="244" t="s">
        <v>71</v>
      </c>
      <c r="B211" s="17">
        <v>1500</v>
      </c>
      <c r="H211" t="s">
        <v>36</v>
      </c>
      <c r="I211" s="248">
        <f>SUM(I208:I210)</f>
        <v>0</v>
      </c>
    </row>
    <row r="212" spans="1:9" hidden="1" outlineLevel="1" x14ac:dyDescent="0.25">
      <c r="A212" s="4" t="s">
        <v>72</v>
      </c>
      <c r="B212" s="1" t="s">
        <v>73</v>
      </c>
      <c r="C212" s="1" t="s">
        <v>74</v>
      </c>
      <c r="D212" s="1" t="s">
        <v>75</v>
      </c>
      <c r="E212" s="1" t="s">
        <v>76</v>
      </c>
      <c r="F212" s="4" t="s">
        <v>77</v>
      </c>
      <c r="G212" s="4" t="s">
        <v>78</v>
      </c>
      <c r="H212" s="4" t="s">
        <v>79</v>
      </c>
      <c r="I212" s="4" t="s">
        <v>80</v>
      </c>
    </row>
    <row r="213" spans="1:9" hidden="1" outlineLevel="1" x14ac:dyDescent="0.25">
      <c r="A213" s="19"/>
      <c r="B213" s="20">
        <v>2501</v>
      </c>
      <c r="C213" s="3" t="s">
        <v>81</v>
      </c>
      <c r="D213" s="23">
        <f>B210-16</f>
        <v>984</v>
      </c>
      <c r="E213" s="24">
        <f>1*B208</f>
        <v>0</v>
      </c>
      <c r="F213" s="250">
        <f t="shared" ref="F213:F219" si="27">E213*D213</f>
        <v>0</v>
      </c>
      <c r="G213" s="251">
        <v>22000</v>
      </c>
      <c r="H213" s="252">
        <f>G213/6000</f>
        <v>3.6666666666666665</v>
      </c>
      <c r="I213" s="253">
        <f t="shared" ref="I213:I219" si="28">H213*F213</f>
        <v>0</v>
      </c>
    </row>
    <row r="214" spans="1:9" hidden="1" outlineLevel="1" x14ac:dyDescent="0.25">
      <c r="A214" s="19"/>
      <c r="B214" s="20">
        <v>2502</v>
      </c>
      <c r="C214" s="3" t="s">
        <v>82</v>
      </c>
      <c r="D214" s="23">
        <f>B210-16</f>
        <v>984</v>
      </c>
      <c r="E214" s="24">
        <f>1*B208</f>
        <v>0</v>
      </c>
      <c r="F214" s="249">
        <f t="shared" si="27"/>
        <v>0</v>
      </c>
      <c r="G214" s="231">
        <v>22000</v>
      </c>
      <c r="H214" s="245">
        <f t="shared" ref="H214:H219" si="29">G214/6000</f>
        <v>3.6666666666666665</v>
      </c>
      <c r="I214" s="227">
        <f t="shared" si="28"/>
        <v>0</v>
      </c>
    </row>
    <row r="215" spans="1:9" hidden="1" outlineLevel="1" x14ac:dyDescent="0.25">
      <c r="A215" s="19"/>
      <c r="B215" s="26">
        <v>2503</v>
      </c>
      <c r="C215" s="28" t="s">
        <v>83</v>
      </c>
      <c r="D215" s="30">
        <f>B211</f>
        <v>1500</v>
      </c>
      <c r="E215" s="31">
        <f>2*B208</f>
        <v>0</v>
      </c>
      <c r="F215" s="249">
        <f t="shared" si="27"/>
        <v>0</v>
      </c>
      <c r="G215" s="231">
        <v>18000</v>
      </c>
      <c r="H215" s="245">
        <f t="shared" si="29"/>
        <v>3</v>
      </c>
      <c r="I215" s="227">
        <f t="shared" si="28"/>
        <v>0</v>
      </c>
    </row>
    <row r="216" spans="1:9" hidden="1" outlineLevel="1" x14ac:dyDescent="0.25">
      <c r="A216" s="19"/>
      <c r="B216" s="20">
        <v>2504</v>
      </c>
      <c r="C216" s="3" t="s">
        <v>324</v>
      </c>
      <c r="D216" s="23">
        <f>(B210/2)-12</f>
        <v>488</v>
      </c>
      <c r="E216" s="24">
        <f>2*B208</f>
        <v>0</v>
      </c>
      <c r="F216" s="249">
        <f t="shared" si="27"/>
        <v>0</v>
      </c>
      <c r="G216" s="231">
        <v>22283</v>
      </c>
      <c r="H216" s="245">
        <f t="shared" si="29"/>
        <v>3.7138333333333335</v>
      </c>
      <c r="I216" s="227">
        <f t="shared" si="28"/>
        <v>0</v>
      </c>
    </row>
    <row r="217" spans="1:9" hidden="1" outlineLevel="1" x14ac:dyDescent="0.25">
      <c r="A217" s="19"/>
      <c r="B217" s="20">
        <v>2515</v>
      </c>
      <c r="C217" s="3" t="s">
        <v>325</v>
      </c>
      <c r="D217" s="23">
        <f>(B210/2)-12</f>
        <v>488</v>
      </c>
      <c r="E217" s="24">
        <f>2*B208</f>
        <v>0</v>
      </c>
      <c r="F217" s="249">
        <f t="shared" si="27"/>
        <v>0</v>
      </c>
      <c r="G217" s="231">
        <v>22283</v>
      </c>
      <c r="H217" s="245">
        <f t="shared" si="29"/>
        <v>3.7138333333333335</v>
      </c>
      <c r="I217" s="227">
        <f t="shared" si="28"/>
        <v>0</v>
      </c>
    </row>
    <row r="218" spans="1:9" hidden="1" outlineLevel="1" x14ac:dyDescent="0.25">
      <c r="A218" s="19"/>
      <c r="B218" s="20">
        <v>2506</v>
      </c>
      <c r="C218" s="3" t="s">
        <v>326</v>
      </c>
      <c r="D218" s="23">
        <f>B211-35</f>
        <v>1465</v>
      </c>
      <c r="E218" s="24">
        <f>2*B208</f>
        <v>0</v>
      </c>
      <c r="F218" s="249">
        <f t="shared" si="27"/>
        <v>0</v>
      </c>
      <c r="G218" s="231">
        <v>18941</v>
      </c>
      <c r="H218" s="245">
        <f t="shared" si="29"/>
        <v>3.1568333333333332</v>
      </c>
      <c r="I218" s="227">
        <f t="shared" si="28"/>
        <v>0</v>
      </c>
    </row>
    <row r="219" spans="1:9" hidden="1" outlineLevel="1" x14ac:dyDescent="0.25">
      <c r="A219" s="5"/>
      <c r="B219" s="26">
        <v>2507</v>
      </c>
      <c r="C219" s="28" t="s">
        <v>138</v>
      </c>
      <c r="D219" s="30">
        <f>B211-35</f>
        <v>1465</v>
      </c>
      <c r="E219" s="31">
        <f>2*B208</f>
        <v>0</v>
      </c>
      <c r="F219" s="257">
        <f t="shared" si="27"/>
        <v>0</v>
      </c>
      <c r="G219" s="258">
        <v>16469</v>
      </c>
      <c r="H219" s="259">
        <f t="shared" si="29"/>
        <v>2.7448333333333332</v>
      </c>
      <c r="I219" s="260">
        <f t="shared" si="28"/>
        <v>0</v>
      </c>
    </row>
    <row r="220" spans="1:9" hidden="1" outlineLevel="1" x14ac:dyDescent="0.25">
      <c r="A220" s="4" t="s">
        <v>88</v>
      </c>
      <c r="B220" s="20"/>
      <c r="C220" s="3" t="s">
        <v>89</v>
      </c>
      <c r="D220" s="23">
        <f>(B210*B211)/1000000*10*B208</f>
        <v>0</v>
      </c>
      <c r="E220" s="24" t="s">
        <v>90</v>
      </c>
      <c r="F220" s="351">
        <v>33.520000000000003</v>
      </c>
      <c r="G220" s="227">
        <f>F220*D220</f>
        <v>0</v>
      </c>
      <c r="H220" s="4" t="s">
        <v>91</v>
      </c>
      <c r="I220" s="246">
        <f>SUM(G220:G222)</f>
        <v>0</v>
      </c>
    </row>
    <row r="221" spans="1:9" hidden="1" outlineLevel="1" x14ac:dyDescent="0.25">
      <c r="A221" s="4"/>
      <c r="B221" s="20"/>
      <c r="C221" s="3" t="s">
        <v>92</v>
      </c>
      <c r="D221" s="23">
        <f>4*B208</f>
        <v>0</v>
      </c>
      <c r="E221" s="24" t="s">
        <v>93</v>
      </c>
      <c r="F221" s="351">
        <v>1200</v>
      </c>
      <c r="G221" s="227">
        <f>F221*D221</f>
        <v>0</v>
      </c>
    </row>
    <row r="222" spans="1:9" hidden="1" outlineLevel="1" x14ac:dyDescent="0.25">
      <c r="A222" s="19"/>
      <c r="B222" s="20"/>
      <c r="C222" s="3" t="s">
        <v>94</v>
      </c>
      <c r="D222" s="23">
        <f>2*B208</f>
        <v>0</v>
      </c>
      <c r="E222" s="24" t="s">
        <v>93</v>
      </c>
      <c r="F222" s="351">
        <v>1400</v>
      </c>
      <c r="G222" s="227">
        <f>F222*D222</f>
        <v>0</v>
      </c>
    </row>
    <row r="223" spans="1:9" hidden="1" outlineLevel="1" x14ac:dyDescent="0.25">
      <c r="A223" s="40" t="s">
        <v>95</v>
      </c>
      <c r="B223" s="1" t="s">
        <v>76</v>
      </c>
      <c r="C223" s="1" t="s">
        <v>96</v>
      </c>
      <c r="D223" s="1" t="s">
        <v>97</v>
      </c>
      <c r="E223" s="4" t="s">
        <v>45</v>
      </c>
      <c r="F223" s="4" t="s">
        <v>98</v>
      </c>
    </row>
    <row r="224" spans="1:9" hidden="1" outlineLevel="1" x14ac:dyDescent="0.25">
      <c r="A224" s="5"/>
      <c r="B224" s="31">
        <f>2*B208</f>
        <v>0</v>
      </c>
      <c r="C224" s="32">
        <f>(B210/2)-66</f>
        <v>434</v>
      </c>
      <c r="D224" s="32">
        <f>B211-116</f>
        <v>1384</v>
      </c>
      <c r="E224" s="255">
        <v>21000</v>
      </c>
      <c r="F224" s="256">
        <f>E224*B225</f>
        <v>0</v>
      </c>
    </row>
    <row r="225" spans="1:2" hidden="1" outlineLevel="1" x14ac:dyDescent="0.25">
      <c r="A225" s="6" t="s">
        <v>99</v>
      </c>
      <c r="B225" s="41">
        <f>(B224*C224*D224)/1000000</f>
        <v>0</v>
      </c>
    </row>
    <row r="226" spans="1:2" collapsed="1" x14ac:dyDescent="0.25"/>
    <row r="228" spans="1:2" x14ac:dyDescent="0.25">
      <c r="A228" s="233"/>
    </row>
  </sheetData>
  <mergeCells count="10">
    <mergeCell ref="B8:E9"/>
    <mergeCell ref="B162:E163"/>
    <mergeCell ref="B184:E185"/>
    <mergeCell ref="B206:E207"/>
    <mergeCell ref="B30:E31"/>
    <mergeCell ref="B52:E53"/>
    <mergeCell ref="B74:E75"/>
    <mergeCell ref="B96:E97"/>
    <mergeCell ref="B118:E119"/>
    <mergeCell ref="B140:E14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7" r:id="rId3" name="Button 41">
              <controlPr defaultSize="0" print="0" autoFill="0" autoPict="0" macro="[0]!VOLVER">
                <anchor moveWithCells="1" sizeWithCells="1">
                  <from>
                    <xdr:col>10</xdr:col>
                    <xdr:colOff>66675</xdr:colOff>
                    <xdr:row>1</xdr:row>
                    <xdr:rowOff>114300</xdr:rowOff>
                  </from>
                  <to>
                    <xdr:col>12</xdr:col>
                    <xdr:colOff>466725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21EC-9100-9D4E-BF69-FD7A1AED16E1}">
  <sheetPr codeName="Hoja2"/>
  <dimension ref="A1:J158"/>
  <sheetViews>
    <sheetView workbookViewId="0">
      <selection activeCell="D12" sqref="D12"/>
    </sheetView>
  </sheetViews>
  <sheetFormatPr baseColWidth="10" defaultColWidth="11" defaultRowHeight="15.75" x14ac:dyDescent="0.25"/>
  <sheetData>
    <row r="1" spans="1:10" x14ac:dyDescent="0.25">
      <c r="A1" s="1" t="s">
        <v>327</v>
      </c>
      <c r="B1" s="186" t="s">
        <v>328</v>
      </c>
      <c r="C1" s="2"/>
      <c r="E1" s="3"/>
      <c r="F1" s="3"/>
      <c r="G1" s="3"/>
      <c r="H1" s="3"/>
      <c r="I1" s="3"/>
      <c r="J1" s="3"/>
    </row>
    <row r="2" spans="1:10" x14ac:dyDescent="0.25">
      <c r="A2" s="4" t="s">
        <v>62</v>
      </c>
      <c r="B2" s="398" t="s">
        <v>329</v>
      </c>
      <c r="C2" s="398"/>
      <c r="D2" s="398"/>
      <c r="E2" s="398"/>
      <c r="F2" s="398"/>
      <c r="G2" s="398"/>
      <c r="H2" s="398"/>
      <c r="I2" s="398"/>
      <c r="J2" s="398"/>
    </row>
    <row r="3" spans="1:10" x14ac:dyDescent="0.25">
      <c r="A3" s="5"/>
      <c r="B3" s="399"/>
      <c r="C3" s="399"/>
      <c r="D3" s="399"/>
      <c r="E3" s="399"/>
      <c r="F3" s="399"/>
      <c r="G3" s="399"/>
      <c r="H3" s="399"/>
      <c r="I3" s="399"/>
      <c r="J3" s="399"/>
    </row>
    <row r="4" spans="1:10" x14ac:dyDescent="0.25">
      <c r="A4" s="6" t="s">
        <v>64</v>
      </c>
      <c r="B4" s="7">
        <v>1</v>
      </c>
      <c r="C4" s="8"/>
      <c r="D4" s="8"/>
      <c r="E4" s="8"/>
      <c r="F4" s="9"/>
      <c r="G4" s="9"/>
      <c r="H4" s="9"/>
      <c r="I4" s="9"/>
      <c r="J4" s="9"/>
    </row>
    <row r="5" spans="1:10" x14ac:dyDescent="0.25">
      <c r="A5" s="4" t="s">
        <v>66</v>
      </c>
      <c r="B5" s="10"/>
      <c r="C5" s="11"/>
      <c r="D5" s="12"/>
      <c r="E5" s="12"/>
      <c r="F5" s="12"/>
      <c r="G5" s="12"/>
      <c r="H5" s="12"/>
      <c r="I5" s="12"/>
      <c r="J5" s="12"/>
    </row>
    <row r="6" spans="1:10" x14ac:dyDescent="0.25">
      <c r="A6" s="13" t="s">
        <v>69</v>
      </c>
      <c r="B6" s="14">
        <v>1000</v>
      </c>
      <c r="F6" s="15"/>
    </row>
    <row r="7" spans="1:10" x14ac:dyDescent="0.25">
      <c r="A7" s="16" t="s">
        <v>71</v>
      </c>
      <c r="B7" s="17">
        <v>1000</v>
      </c>
    </row>
    <row r="8" spans="1:10" x14ac:dyDescent="0.25">
      <c r="A8" s="4" t="s">
        <v>72</v>
      </c>
      <c r="B8" s="1" t="s">
        <v>73</v>
      </c>
      <c r="C8" s="18" t="s">
        <v>330</v>
      </c>
      <c r="D8" s="1" t="s">
        <v>74</v>
      </c>
      <c r="E8" s="1" t="s">
        <v>331</v>
      </c>
      <c r="F8" s="1" t="s">
        <v>75</v>
      </c>
      <c r="G8" s="1" t="s">
        <v>76</v>
      </c>
      <c r="H8" s="1" t="s">
        <v>332</v>
      </c>
      <c r="I8" s="18" t="s">
        <v>333</v>
      </c>
      <c r="J8" s="18" t="s">
        <v>334</v>
      </c>
    </row>
    <row r="9" spans="1:10" x14ac:dyDescent="0.25">
      <c r="A9" s="19"/>
      <c r="B9" s="20">
        <v>3502</v>
      </c>
      <c r="C9" s="21">
        <v>0.47099999999999997</v>
      </c>
      <c r="D9" s="3" t="s">
        <v>114</v>
      </c>
      <c r="E9" s="22" t="s">
        <v>335</v>
      </c>
      <c r="F9" s="23">
        <f>B6</f>
        <v>1000</v>
      </c>
      <c r="G9" s="24">
        <f>1*B4</f>
        <v>1</v>
      </c>
      <c r="H9" t="s">
        <v>336</v>
      </c>
      <c r="I9" s="25">
        <f>(C9*F9*G9)/1000</f>
        <v>0.47099999999999997</v>
      </c>
      <c r="J9" s="25"/>
    </row>
    <row r="10" spans="1:10" x14ac:dyDescent="0.25">
      <c r="A10" s="19"/>
      <c r="B10" s="26">
        <v>3502</v>
      </c>
      <c r="C10" s="27">
        <v>0.47099999999999997</v>
      </c>
      <c r="D10" s="28" t="s">
        <v>83</v>
      </c>
      <c r="E10" s="29" t="s">
        <v>337</v>
      </c>
      <c r="F10" s="30">
        <f>B7</f>
        <v>1000</v>
      </c>
      <c r="G10" s="31">
        <f>2*B4</f>
        <v>2</v>
      </c>
      <c r="H10" s="32" t="s">
        <v>338</v>
      </c>
      <c r="I10" s="32"/>
      <c r="J10" s="33">
        <f>(C10*F10*G10)/1000</f>
        <v>0.94199999999999995</v>
      </c>
    </row>
    <row r="11" spans="1:10" x14ac:dyDescent="0.25">
      <c r="A11" s="19"/>
      <c r="B11" s="20">
        <v>3501</v>
      </c>
      <c r="C11" s="21">
        <v>0.92300000000000004</v>
      </c>
      <c r="D11" s="3" t="s">
        <v>324</v>
      </c>
      <c r="E11" s="22" t="s">
        <v>339</v>
      </c>
      <c r="F11" s="23">
        <f>B6-179</f>
        <v>821</v>
      </c>
      <c r="G11" s="24">
        <f>1*B4</f>
        <v>1</v>
      </c>
      <c r="H11" t="s">
        <v>340</v>
      </c>
      <c r="I11" s="25">
        <f>(C11*F11*G11)/1000</f>
        <v>0.75778299999999998</v>
      </c>
      <c r="J11" s="25"/>
    </row>
    <row r="12" spans="1:10" x14ac:dyDescent="0.25">
      <c r="A12" s="19"/>
      <c r="B12" s="20">
        <v>3503</v>
      </c>
      <c r="C12" s="21">
        <v>9.7000000000000003E-2</v>
      </c>
      <c r="D12" s="3" t="s">
        <v>117</v>
      </c>
      <c r="E12" s="22" t="s">
        <v>339</v>
      </c>
      <c r="F12" s="23">
        <f>B6-179</f>
        <v>821</v>
      </c>
      <c r="G12" s="24">
        <f>2*B4</f>
        <v>2</v>
      </c>
      <c r="H12" t="s">
        <v>340</v>
      </c>
      <c r="I12" s="25">
        <f>(C12*F12*G12)/1000</f>
        <v>0.159274</v>
      </c>
      <c r="J12" s="25"/>
    </row>
    <row r="13" spans="1:10" x14ac:dyDescent="0.25">
      <c r="A13" s="19"/>
      <c r="B13" s="20">
        <v>3501</v>
      </c>
      <c r="C13" s="21">
        <v>0.92300000000000004</v>
      </c>
      <c r="D13" s="3" t="s">
        <v>341</v>
      </c>
      <c r="E13" s="22" t="s">
        <v>339</v>
      </c>
      <c r="F13" s="23">
        <f>B6-179</f>
        <v>821</v>
      </c>
      <c r="G13" s="24">
        <f>1*B4</f>
        <v>1</v>
      </c>
      <c r="H13" t="s">
        <v>340</v>
      </c>
      <c r="I13" s="25">
        <f>(C13*F13*G13)/1000</f>
        <v>0.75778299999999998</v>
      </c>
      <c r="J13" s="25"/>
    </row>
    <row r="14" spans="1:10" x14ac:dyDescent="0.25">
      <c r="A14" s="19"/>
      <c r="B14" s="20">
        <v>3503</v>
      </c>
      <c r="C14" s="21">
        <v>9.7000000000000003E-2</v>
      </c>
      <c r="D14" s="3" t="s">
        <v>117</v>
      </c>
      <c r="E14" s="22" t="s">
        <v>339</v>
      </c>
      <c r="F14" s="23">
        <f>B6-179</f>
        <v>821</v>
      </c>
      <c r="G14" s="24">
        <f>2*B4</f>
        <v>2</v>
      </c>
      <c r="H14" t="s">
        <v>340</v>
      </c>
      <c r="I14" s="25">
        <f>(C14*F14*G14)/1000</f>
        <v>0.159274</v>
      </c>
      <c r="J14" s="25"/>
    </row>
    <row r="15" spans="1:10" x14ac:dyDescent="0.25">
      <c r="A15" s="19"/>
      <c r="B15" s="20">
        <v>3501</v>
      </c>
      <c r="C15" s="21">
        <v>0.92300000000000004</v>
      </c>
      <c r="D15" s="3" t="s">
        <v>326</v>
      </c>
      <c r="E15" s="22" t="s">
        <v>342</v>
      </c>
      <c r="F15" s="23">
        <f>B7-28</f>
        <v>972</v>
      </c>
      <c r="G15" s="24">
        <f>1*B4</f>
        <v>1</v>
      </c>
      <c r="H15" t="s">
        <v>340</v>
      </c>
      <c r="J15" s="25">
        <f>(C15*F15*G15)/1000</f>
        <v>0.89715600000000006</v>
      </c>
    </row>
    <row r="16" spans="1:10" x14ac:dyDescent="0.25">
      <c r="A16" s="19"/>
      <c r="B16" s="20">
        <v>3503</v>
      </c>
      <c r="C16" s="21">
        <v>9.7000000000000003E-2</v>
      </c>
      <c r="D16" s="3" t="s">
        <v>117</v>
      </c>
      <c r="E16" s="22" t="s">
        <v>343</v>
      </c>
      <c r="F16" s="23">
        <f>B7-168</f>
        <v>832</v>
      </c>
      <c r="G16" s="24">
        <f>2*B4</f>
        <v>2</v>
      </c>
      <c r="H16" t="s">
        <v>336</v>
      </c>
      <c r="I16" s="25"/>
      <c r="J16" s="25">
        <f>(C16*F16*G16)/1000</f>
        <v>0.16140800000000002</v>
      </c>
    </row>
    <row r="17" spans="1:10" x14ac:dyDescent="0.25">
      <c r="A17" s="19"/>
      <c r="B17" s="20">
        <v>3501</v>
      </c>
      <c r="C17" s="21">
        <v>0.92300000000000004</v>
      </c>
      <c r="D17" s="3" t="s">
        <v>326</v>
      </c>
      <c r="E17" s="22" t="s">
        <v>342</v>
      </c>
      <c r="F17" s="23">
        <f>B7-28</f>
        <v>972</v>
      </c>
      <c r="G17" s="24">
        <f>1*B4</f>
        <v>1</v>
      </c>
      <c r="H17" t="s">
        <v>340</v>
      </c>
      <c r="I17" s="25"/>
      <c r="J17" s="25">
        <f>(C17*F17*G17)/1000</f>
        <v>0.89715600000000006</v>
      </c>
    </row>
    <row r="18" spans="1:10" x14ac:dyDescent="0.25">
      <c r="A18" s="19"/>
      <c r="B18" s="20">
        <v>3503</v>
      </c>
      <c r="C18" s="21">
        <v>9.7000000000000003E-2</v>
      </c>
      <c r="D18" s="3" t="s">
        <v>117</v>
      </c>
      <c r="E18" s="22" t="s">
        <v>343</v>
      </c>
      <c r="F18" s="23">
        <f>B7-168</f>
        <v>832</v>
      </c>
      <c r="G18" s="24">
        <f>2*B4</f>
        <v>2</v>
      </c>
      <c r="H18" t="s">
        <v>336</v>
      </c>
      <c r="I18" s="25"/>
      <c r="J18" s="25">
        <f>(C18*F18*G18)/1000</f>
        <v>0.16140800000000002</v>
      </c>
    </row>
    <row r="19" spans="1:10" x14ac:dyDescent="0.25">
      <c r="A19" s="5"/>
      <c r="B19" s="26">
        <v>3506</v>
      </c>
      <c r="C19" s="27">
        <v>0.152</v>
      </c>
      <c r="D19" s="28" t="s">
        <v>344</v>
      </c>
      <c r="E19" s="29" t="s">
        <v>342</v>
      </c>
      <c r="F19" s="30">
        <f>B7-28</f>
        <v>972</v>
      </c>
      <c r="G19" s="31">
        <f>1*B4</f>
        <v>1</v>
      </c>
      <c r="H19" s="32" t="s">
        <v>340</v>
      </c>
      <c r="I19" s="33"/>
      <c r="J19" s="33">
        <f>(C19*F19*G19)/1000</f>
        <v>0.14774399999999999</v>
      </c>
    </row>
    <row r="20" spans="1:10" x14ac:dyDescent="0.25">
      <c r="A20" s="4" t="s">
        <v>345</v>
      </c>
      <c r="B20" s="34"/>
      <c r="C20" s="35"/>
    </row>
    <row r="21" spans="1:10" x14ac:dyDescent="0.25">
      <c r="A21" s="13" t="s">
        <v>69</v>
      </c>
      <c r="B21" s="36">
        <f>SUM(I9:I19)</f>
        <v>2.3051139999999997</v>
      </c>
      <c r="C21" s="35"/>
      <c r="I21" s="37"/>
      <c r="J21" s="37"/>
    </row>
    <row r="22" spans="1:10" x14ac:dyDescent="0.25">
      <c r="A22" s="13" t="s">
        <v>71</v>
      </c>
      <c r="B22" s="36">
        <f>SUM(J9:J19)</f>
        <v>3.2068720000000006</v>
      </c>
      <c r="C22" s="35"/>
      <c r="I22" s="37"/>
      <c r="J22" s="37"/>
    </row>
    <row r="23" spans="1:10" x14ac:dyDescent="0.25">
      <c r="A23" s="38" t="s">
        <v>346</v>
      </c>
      <c r="B23" s="39">
        <f>B21+B22</f>
        <v>5.5119860000000003</v>
      </c>
      <c r="E23" s="11"/>
      <c r="F23" s="11"/>
      <c r="G23" s="11"/>
      <c r="H23" s="11"/>
    </row>
    <row r="24" spans="1:10" x14ac:dyDescent="0.25">
      <c r="A24" s="40" t="s">
        <v>95</v>
      </c>
      <c r="B24" s="1" t="s">
        <v>76</v>
      </c>
      <c r="C24" s="1" t="s">
        <v>331</v>
      </c>
      <c r="D24" s="1" t="s">
        <v>96</v>
      </c>
      <c r="E24" s="1" t="s">
        <v>331</v>
      </c>
      <c r="F24" s="1" t="s">
        <v>97</v>
      </c>
    </row>
    <row r="25" spans="1:10" x14ac:dyDescent="0.25">
      <c r="A25" s="5"/>
      <c r="B25" s="31">
        <f>1*B4</f>
        <v>1</v>
      </c>
      <c r="C25" s="29" t="s">
        <v>347</v>
      </c>
      <c r="D25" s="32">
        <f>B6-188</f>
        <v>812</v>
      </c>
      <c r="E25" s="29" t="s">
        <v>348</v>
      </c>
      <c r="F25" s="32">
        <f>B7-176</f>
        <v>824</v>
      </c>
    </row>
    <row r="26" spans="1:10" x14ac:dyDescent="0.25">
      <c r="A26" s="6" t="s">
        <v>99</v>
      </c>
      <c r="B26" s="41">
        <f>(B25*D25*F25)/1000000</f>
        <v>0.66908800000000002</v>
      </c>
    </row>
    <row r="27" spans="1:10" x14ac:dyDescent="0.25">
      <c r="A27" s="1" t="s">
        <v>349</v>
      </c>
      <c r="B27" s="397"/>
      <c r="C27" s="397"/>
      <c r="D27" s="397"/>
      <c r="E27" s="397"/>
      <c r="F27" s="397"/>
      <c r="G27" s="397"/>
      <c r="H27" s="397"/>
      <c r="I27" s="397"/>
      <c r="J27" s="397"/>
    </row>
    <row r="28" spans="1:10" x14ac:dyDescent="0.25">
      <c r="A28" s="3"/>
      <c r="B28" s="42"/>
      <c r="C28" s="42"/>
      <c r="D28" s="42"/>
      <c r="E28" s="42"/>
      <c r="F28" s="42"/>
      <c r="G28" s="42"/>
      <c r="H28" s="42"/>
      <c r="I28" s="42"/>
      <c r="J28" s="43"/>
    </row>
    <row r="29" spans="1:10" x14ac:dyDescent="0.25">
      <c r="A29" s="1" t="s">
        <v>327</v>
      </c>
      <c r="B29" s="2" t="s">
        <v>350</v>
      </c>
      <c r="C29" s="2"/>
      <c r="E29" s="3"/>
      <c r="F29" s="3"/>
      <c r="G29" s="3"/>
      <c r="H29" s="3"/>
      <c r="I29" s="3"/>
      <c r="J29" s="3"/>
    </row>
    <row r="30" spans="1:10" x14ac:dyDescent="0.25">
      <c r="A30" s="4" t="s">
        <v>62</v>
      </c>
      <c r="B30" s="398" t="s">
        <v>351</v>
      </c>
      <c r="C30" s="398"/>
      <c r="D30" s="398"/>
      <c r="E30" s="398"/>
      <c r="F30" s="398"/>
      <c r="G30" s="398"/>
      <c r="H30" s="398"/>
      <c r="I30" s="398"/>
      <c r="J30" s="398"/>
    </row>
    <row r="31" spans="1:10" x14ac:dyDescent="0.25">
      <c r="A31" s="5"/>
      <c r="B31" s="399"/>
      <c r="C31" s="399"/>
      <c r="D31" s="399"/>
      <c r="E31" s="399"/>
      <c r="F31" s="399"/>
      <c r="G31" s="399"/>
      <c r="H31" s="399"/>
      <c r="I31" s="399"/>
      <c r="J31" s="399"/>
    </row>
    <row r="32" spans="1:10" x14ac:dyDescent="0.25">
      <c r="A32" s="6" t="s">
        <v>64</v>
      </c>
      <c r="B32" s="7">
        <v>1</v>
      </c>
      <c r="C32" s="8"/>
      <c r="D32" s="8"/>
      <c r="E32" s="8"/>
      <c r="F32" s="9"/>
      <c r="G32" s="9"/>
      <c r="H32" s="9"/>
      <c r="I32" s="9"/>
      <c r="J32" s="9"/>
    </row>
    <row r="33" spans="1:10" x14ac:dyDescent="0.25">
      <c r="A33" s="4" t="s">
        <v>66</v>
      </c>
      <c r="B33" s="10"/>
      <c r="C33" s="11"/>
      <c r="D33" s="12"/>
      <c r="E33" s="12"/>
      <c r="F33" s="12"/>
      <c r="G33" s="12"/>
      <c r="H33" s="12"/>
      <c r="I33" s="12"/>
      <c r="J33" s="12"/>
    </row>
    <row r="34" spans="1:10" x14ac:dyDescent="0.25">
      <c r="A34" s="13" t="s">
        <v>69</v>
      </c>
      <c r="B34" s="14">
        <v>1000</v>
      </c>
      <c r="F34" s="15"/>
    </row>
    <row r="35" spans="1:10" x14ac:dyDescent="0.25">
      <c r="A35" s="16" t="s">
        <v>71</v>
      </c>
      <c r="B35" s="17">
        <v>1000</v>
      </c>
    </row>
    <row r="36" spans="1:10" x14ac:dyDescent="0.25">
      <c r="A36" s="4" t="s">
        <v>72</v>
      </c>
      <c r="B36" s="1" t="s">
        <v>73</v>
      </c>
      <c r="C36" s="18" t="s">
        <v>330</v>
      </c>
      <c r="D36" s="1" t="s">
        <v>74</v>
      </c>
      <c r="E36" s="1" t="s">
        <v>331</v>
      </c>
      <c r="F36" s="1" t="s">
        <v>75</v>
      </c>
      <c r="G36" s="1" t="s">
        <v>76</v>
      </c>
      <c r="H36" s="1" t="s">
        <v>332</v>
      </c>
      <c r="I36" s="18" t="s">
        <v>333</v>
      </c>
      <c r="J36" s="18" t="s">
        <v>334</v>
      </c>
    </row>
    <row r="37" spans="1:10" x14ac:dyDescent="0.25">
      <c r="A37" s="19"/>
      <c r="B37" s="20">
        <v>4411</v>
      </c>
      <c r="C37" s="21">
        <v>0.61899999999999999</v>
      </c>
      <c r="D37" s="3" t="s">
        <v>114</v>
      </c>
      <c r="E37" s="22" t="s">
        <v>335</v>
      </c>
      <c r="F37" s="23">
        <f>B34</f>
        <v>1000</v>
      </c>
      <c r="G37" s="24">
        <f>1*B32</f>
        <v>1</v>
      </c>
      <c r="H37" t="s">
        <v>336</v>
      </c>
      <c r="I37" s="25">
        <f>(C37*F37*G37)/1000</f>
        <v>0.61899999999999999</v>
      </c>
      <c r="J37" s="25"/>
    </row>
    <row r="38" spans="1:10" x14ac:dyDescent="0.25">
      <c r="A38" s="19"/>
      <c r="B38" s="20">
        <v>4411</v>
      </c>
      <c r="C38" s="21">
        <v>0.61899999999999999</v>
      </c>
      <c r="D38" s="3" t="s">
        <v>83</v>
      </c>
      <c r="E38" s="22" t="s">
        <v>337</v>
      </c>
      <c r="F38" s="23">
        <f>B35</f>
        <v>1000</v>
      </c>
      <c r="G38" s="24">
        <f>2*B32</f>
        <v>2</v>
      </c>
      <c r="H38" t="s">
        <v>338</v>
      </c>
      <c r="J38" s="25">
        <f>(C38*F38*G38)/1000</f>
        <v>1.238</v>
      </c>
    </row>
    <row r="39" spans="1:10" x14ac:dyDescent="0.25">
      <c r="A39" s="19"/>
      <c r="B39" s="26">
        <v>3506</v>
      </c>
      <c r="C39" s="27">
        <v>0.152</v>
      </c>
      <c r="D39" s="28" t="s">
        <v>344</v>
      </c>
      <c r="E39" s="29" t="s">
        <v>352</v>
      </c>
      <c r="F39" s="30">
        <f>B35-22</f>
        <v>978</v>
      </c>
      <c r="G39" s="31">
        <f>1*B32</f>
        <v>1</v>
      </c>
      <c r="H39" s="32" t="s">
        <v>340</v>
      </c>
      <c r="I39" s="32"/>
      <c r="J39" s="33">
        <f>(C39*F39*G39)/1000</f>
        <v>0.14865600000000001</v>
      </c>
    </row>
    <row r="40" spans="1:10" x14ac:dyDescent="0.25">
      <c r="A40" s="19"/>
      <c r="B40" s="20">
        <v>4412</v>
      </c>
      <c r="C40" s="21">
        <v>1.1519999999999999</v>
      </c>
      <c r="D40" s="3" t="s">
        <v>324</v>
      </c>
      <c r="E40" s="22" t="s">
        <v>353</v>
      </c>
      <c r="F40" s="23">
        <f>B34-56</f>
        <v>944</v>
      </c>
      <c r="G40" s="24">
        <f>1*B32</f>
        <v>1</v>
      </c>
      <c r="H40" t="s">
        <v>336</v>
      </c>
      <c r="I40" s="25">
        <f>(C40*F40*G40)/1000</f>
        <v>1.0874879999999998</v>
      </c>
      <c r="J40" s="25"/>
    </row>
    <row r="41" spans="1:10" x14ac:dyDescent="0.25">
      <c r="A41" s="19"/>
      <c r="B41" s="20">
        <v>4412</v>
      </c>
      <c r="C41" s="21">
        <v>1.1519999999999999</v>
      </c>
      <c r="D41" s="3" t="s">
        <v>341</v>
      </c>
      <c r="E41" s="22" t="s">
        <v>353</v>
      </c>
      <c r="F41" s="23">
        <f>B34-56</f>
        <v>944</v>
      </c>
      <c r="G41" s="24">
        <f>1*B32</f>
        <v>1</v>
      </c>
      <c r="H41" t="s">
        <v>336</v>
      </c>
      <c r="I41" s="25">
        <f>(C41*F41*G41)/1000</f>
        <v>1.0874879999999998</v>
      </c>
      <c r="J41" s="25"/>
    </row>
    <row r="42" spans="1:10" x14ac:dyDescent="0.25">
      <c r="A42" s="19"/>
      <c r="B42" s="20">
        <v>4412</v>
      </c>
      <c r="C42" s="21">
        <v>1.1519999999999999</v>
      </c>
      <c r="D42" s="3" t="s">
        <v>326</v>
      </c>
      <c r="E42" s="22" t="s">
        <v>354</v>
      </c>
      <c r="F42" s="23">
        <f>B35-39</f>
        <v>961</v>
      </c>
      <c r="G42" s="24">
        <f>1*B32</f>
        <v>1</v>
      </c>
      <c r="H42" t="s">
        <v>336</v>
      </c>
      <c r="J42" s="25">
        <f>(C42*F42*G42)/1000</f>
        <v>1.1070719999999998</v>
      </c>
    </row>
    <row r="43" spans="1:10" x14ac:dyDescent="0.25">
      <c r="A43" s="19"/>
      <c r="B43" s="20">
        <v>4412</v>
      </c>
      <c r="C43" s="21">
        <v>1.1519999999999999</v>
      </c>
      <c r="D43" s="3" t="s">
        <v>326</v>
      </c>
      <c r="E43" s="22" t="s">
        <v>354</v>
      </c>
      <c r="F43" s="23">
        <f>B35-39</f>
        <v>961</v>
      </c>
      <c r="G43" s="24">
        <f>1*B32</f>
        <v>1</v>
      </c>
      <c r="H43" t="s">
        <v>336</v>
      </c>
      <c r="I43" s="25"/>
      <c r="J43" s="25">
        <f>(C43*F43*G43)/1000</f>
        <v>1.1070719999999998</v>
      </c>
    </row>
    <row r="44" spans="1:10" x14ac:dyDescent="0.25">
      <c r="A44" s="5"/>
      <c r="B44" s="26">
        <v>3506</v>
      </c>
      <c r="C44" s="27">
        <v>0.152</v>
      </c>
      <c r="D44" s="28" t="s">
        <v>344</v>
      </c>
      <c r="E44" s="29" t="s">
        <v>354</v>
      </c>
      <c r="F44" s="30">
        <f>B35-39</f>
        <v>961</v>
      </c>
      <c r="G44" s="31">
        <f>1*B32</f>
        <v>1</v>
      </c>
      <c r="H44" s="32" t="s">
        <v>340</v>
      </c>
      <c r="I44" s="33"/>
      <c r="J44" s="33">
        <f>(C44*F44*G44)/1000</f>
        <v>0.14607200000000001</v>
      </c>
    </row>
    <row r="45" spans="1:10" x14ac:dyDescent="0.25">
      <c r="A45" s="4" t="s">
        <v>345</v>
      </c>
      <c r="B45" s="34"/>
      <c r="C45" s="35"/>
    </row>
    <row r="46" spans="1:10" x14ac:dyDescent="0.25">
      <c r="A46" s="13" t="s">
        <v>69</v>
      </c>
      <c r="B46" s="36">
        <f>SUM(I37:I44)</f>
        <v>2.7939759999999998</v>
      </c>
      <c r="C46" s="35"/>
      <c r="I46" s="37"/>
      <c r="J46" s="37"/>
    </row>
    <row r="47" spans="1:10" x14ac:dyDescent="0.25">
      <c r="A47" s="13" t="s">
        <v>71</v>
      </c>
      <c r="B47" s="36">
        <f>SUM(J37:J44)</f>
        <v>3.7468719999999998</v>
      </c>
      <c r="C47" s="35"/>
      <c r="I47" s="37"/>
      <c r="J47" s="37"/>
    </row>
    <row r="48" spans="1:10" x14ac:dyDescent="0.25">
      <c r="A48" s="38" t="s">
        <v>346</v>
      </c>
      <c r="B48" s="39">
        <f>B46+B47</f>
        <v>6.5408479999999996</v>
      </c>
      <c r="E48" s="11"/>
      <c r="F48" s="11"/>
      <c r="G48" s="11"/>
      <c r="H48" s="11"/>
    </row>
    <row r="49" spans="1:10" x14ac:dyDescent="0.25">
      <c r="A49" s="40" t="s">
        <v>95</v>
      </c>
      <c r="B49" s="1" t="s">
        <v>76</v>
      </c>
      <c r="C49" s="1" t="s">
        <v>331</v>
      </c>
      <c r="D49" s="1" t="s">
        <v>96</v>
      </c>
      <c r="E49" s="1" t="s">
        <v>331</v>
      </c>
      <c r="F49" s="1" t="s">
        <v>97</v>
      </c>
    </row>
    <row r="50" spans="1:10" x14ac:dyDescent="0.25">
      <c r="A50" s="5"/>
      <c r="B50" s="31">
        <f>1*B32</f>
        <v>1</v>
      </c>
      <c r="C50" s="29" t="s">
        <v>355</v>
      </c>
      <c r="D50" s="32">
        <f>B34-198</f>
        <v>802</v>
      </c>
      <c r="E50" s="29" t="s">
        <v>356</v>
      </c>
      <c r="F50" s="32">
        <f>B35-181</f>
        <v>819</v>
      </c>
    </row>
    <row r="51" spans="1:10" x14ac:dyDescent="0.25">
      <c r="A51" s="6" t="s">
        <v>99</v>
      </c>
      <c r="B51" s="41">
        <f>(B50*D50*F50)/1000000</f>
        <v>0.65683800000000003</v>
      </c>
    </row>
    <row r="52" spans="1:10" x14ac:dyDescent="0.25">
      <c r="A52" s="1" t="s">
        <v>349</v>
      </c>
      <c r="B52" s="397"/>
      <c r="C52" s="397"/>
      <c r="D52" s="397"/>
      <c r="E52" s="397"/>
      <c r="F52" s="397"/>
      <c r="G52" s="397"/>
      <c r="H52" s="397"/>
      <c r="I52" s="397"/>
      <c r="J52" s="397"/>
    </row>
    <row r="53" spans="1:10" x14ac:dyDescent="0.25">
      <c r="A53" s="3"/>
      <c r="B53" s="42"/>
      <c r="C53" s="42"/>
      <c r="D53" s="42"/>
      <c r="E53" s="42"/>
      <c r="F53" s="42"/>
      <c r="G53" s="42"/>
      <c r="H53" s="42"/>
      <c r="I53" s="42"/>
      <c r="J53" s="43"/>
    </row>
    <row r="54" spans="1:10" x14ac:dyDescent="0.25">
      <c r="A54" s="1" t="s">
        <v>327</v>
      </c>
      <c r="B54" s="186" t="s">
        <v>357</v>
      </c>
      <c r="C54" s="2"/>
      <c r="E54" s="3"/>
      <c r="F54" s="3"/>
      <c r="G54" s="3"/>
      <c r="H54" s="3"/>
      <c r="I54" s="3"/>
      <c r="J54" s="3"/>
    </row>
    <row r="55" spans="1:10" x14ac:dyDescent="0.25">
      <c r="A55" s="4" t="s">
        <v>62</v>
      </c>
      <c r="B55" s="398" t="s">
        <v>358</v>
      </c>
      <c r="C55" s="398"/>
      <c r="D55" s="398"/>
      <c r="E55" s="398"/>
      <c r="F55" s="398"/>
      <c r="G55" s="398"/>
      <c r="H55" s="398"/>
      <c r="I55" s="398"/>
      <c r="J55" s="398"/>
    </row>
    <row r="56" spans="1:10" x14ac:dyDescent="0.25">
      <c r="A56" s="5"/>
      <c r="B56" s="399"/>
      <c r="C56" s="399"/>
      <c r="D56" s="399"/>
      <c r="E56" s="399"/>
      <c r="F56" s="399"/>
      <c r="G56" s="399"/>
      <c r="H56" s="399"/>
      <c r="I56" s="399"/>
      <c r="J56" s="399"/>
    </row>
    <row r="57" spans="1:10" x14ac:dyDescent="0.25">
      <c r="A57" s="6" t="s">
        <v>64</v>
      </c>
      <c r="B57" s="7">
        <v>1</v>
      </c>
      <c r="C57" s="8"/>
      <c r="D57" s="8"/>
      <c r="E57" s="8"/>
      <c r="F57" s="9"/>
      <c r="G57" s="9"/>
      <c r="H57" s="9"/>
      <c r="I57" s="9"/>
      <c r="J57" s="9"/>
    </row>
    <row r="58" spans="1:10" x14ac:dyDescent="0.25">
      <c r="A58" s="4" t="s">
        <v>66</v>
      </c>
      <c r="B58" s="10"/>
      <c r="C58" s="11"/>
      <c r="D58" s="12"/>
      <c r="E58" s="12"/>
      <c r="F58" s="12"/>
      <c r="G58" s="12"/>
      <c r="H58" s="12"/>
      <c r="I58" s="12"/>
      <c r="J58" s="12"/>
    </row>
    <row r="59" spans="1:10" x14ac:dyDescent="0.25">
      <c r="A59" s="13" t="s">
        <v>69</v>
      </c>
      <c r="B59" s="14">
        <v>1400</v>
      </c>
      <c r="F59" s="15"/>
    </row>
    <row r="60" spans="1:10" x14ac:dyDescent="0.25">
      <c r="A60" s="16" t="s">
        <v>71</v>
      </c>
      <c r="B60" s="17">
        <v>2100</v>
      </c>
    </row>
    <row r="61" spans="1:10" x14ac:dyDescent="0.25">
      <c r="A61" s="4" t="s">
        <v>72</v>
      </c>
      <c r="B61" s="1" t="s">
        <v>73</v>
      </c>
      <c r="C61" s="18" t="s">
        <v>330</v>
      </c>
      <c r="D61" s="1" t="s">
        <v>74</v>
      </c>
      <c r="E61" s="1" t="s">
        <v>331</v>
      </c>
      <c r="F61" s="1" t="s">
        <v>75</v>
      </c>
      <c r="G61" s="1" t="s">
        <v>76</v>
      </c>
      <c r="H61" s="1" t="s">
        <v>332</v>
      </c>
      <c r="I61" s="18" t="s">
        <v>333</v>
      </c>
      <c r="J61" s="18" t="s">
        <v>334</v>
      </c>
    </row>
    <row r="62" spans="1:10" x14ac:dyDescent="0.25">
      <c r="A62" s="19"/>
      <c r="B62" s="20">
        <v>3502</v>
      </c>
      <c r="C62" s="21">
        <v>0.47099999999999997</v>
      </c>
      <c r="D62" s="3" t="s">
        <v>114</v>
      </c>
      <c r="E62" s="22" t="s">
        <v>335</v>
      </c>
      <c r="F62" s="23">
        <f>B59</f>
        <v>1400</v>
      </c>
      <c r="G62" s="24">
        <f>1*B57</f>
        <v>1</v>
      </c>
      <c r="H62" t="s">
        <v>336</v>
      </c>
      <c r="I62" s="25">
        <f>(C62*F62*G62)/1000</f>
        <v>0.65939999999999999</v>
      </c>
      <c r="J62" s="25"/>
    </row>
    <row r="63" spans="1:10" x14ac:dyDescent="0.25">
      <c r="A63" s="19"/>
      <c r="B63" s="26">
        <v>3502</v>
      </c>
      <c r="C63" s="27">
        <v>0.47099999999999997</v>
      </c>
      <c r="D63" s="28" t="s">
        <v>83</v>
      </c>
      <c r="E63" s="29" t="s">
        <v>337</v>
      </c>
      <c r="F63" s="30">
        <f>B60</f>
        <v>2100</v>
      </c>
      <c r="G63" s="31">
        <f>2*B57</f>
        <v>2</v>
      </c>
      <c r="H63" s="32" t="s">
        <v>338</v>
      </c>
      <c r="I63" s="32"/>
      <c r="J63" s="33">
        <f>(C63*F63*G63)/1000</f>
        <v>1.9781999999999997</v>
      </c>
    </row>
    <row r="64" spans="1:10" x14ac:dyDescent="0.25">
      <c r="A64" s="19"/>
      <c r="B64" s="20">
        <v>3501</v>
      </c>
      <c r="C64" s="21">
        <v>0.92300000000000004</v>
      </c>
      <c r="D64" s="3" t="s">
        <v>324</v>
      </c>
      <c r="E64" s="22" t="s">
        <v>359</v>
      </c>
      <c r="F64" s="23">
        <f>(B59/2)-164</f>
        <v>536</v>
      </c>
      <c r="G64" s="24">
        <f>2*B57</f>
        <v>2</v>
      </c>
      <c r="H64" t="s">
        <v>340</v>
      </c>
      <c r="I64" s="25">
        <f>(C64*F64*G64)/1000</f>
        <v>0.989456</v>
      </c>
      <c r="J64" s="25"/>
    </row>
    <row r="65" spans="1:10" x14ac:dyDescent="0.25">
      <c r="A65" s="19"/>
      <c r="B65" s="20">
        <v>3503</v>
      </c>
      <c r="C65" s="21">
        <v>9.7000000000000003E-2</v>
      </c>
      <c r="D65" s="3" t="s">
        <v>117</v>
      </c>
      <c r="E65" s="22" t="s">
        <v>359</v>
      </c>
      <c r="F65" s="23">
        <f>(B60/2)-164</f>
        <v>886</v>
      </c>
      <c r="G65" s="24">
        <f>4*B57</f>
        <v>4</v>
      </c>
      <c r="H65" t="s">
        <v>340</v>
      </c>
      <c r="I65" s="25">
        <f>(C65*F65*G65)/1000</f>
        <v>0.34376800000000002</v>
      </c>
      <c r="J65" s="25"/>
    </row>
    <row r="66" spans="1:10" x14ac:dyDescent="0.25">
      <c r="A66" s="19"/>
      <c r="B66" s="20">
        <v>3501</v>
      </c>
      <c r="C66" s="21">
        <v>0.92300000000000004</v>
      </c>
      <c r="D66" s="3" t="s">
        <v>341</v>
      </c>
      <c r="E66" s="22" t="s">
        <v>359</v>
      </c>
      <c r="F66" s="23">
        <f>(B59/2)-164</f>
        <v>536</v>
      </c>
      <c r="G66" s="24">
        <f>2*B57</f>
        <v>2</v>
      </c>
      <c r="H66" t="s">
        <v>340</v>
      </c>
      <c r="I66" s="25">
        <f>(C66*F66*G66)/1000</f>
        <v>0.989456</v>
      </c>
      <c r="J66" s="25"/>
    </row>
    <row r="67" spans="1:10" x14ac:dyDescent="0.25">
      <c r="A67" s="19"/>
      <c r="B67" s="20">
        <v>3503</v>
      </c>
      <c r="C67" s="21">
        <v>9.7000000000000003E-2</v>
      </c>
      <c r="D67" s="3" t="s">
        <v>117</v>
      </c>
      <c r="E67" s="22" t="s">
        <v>359</v>
      </c>
      <c r="F67" s="23">
        <f>(B59/2)-164</f>
        <v>536</v>
      </c>
      <c r="G67" s="24">
        <f>4*B57</f>
        <v>4</v>
      </c>
      <c r="H67" t="s">
        <v>340</v>
      </c>
      <c r="I67" s="25">
        <f>(C67*F67*G67)/1000</f>
        <v>0.20796800000000001</v>
      </c>
      <c r="J67" s="25"/>
    </row>
    <row r="68" spans="1:10" x14ac:dyDescent="0.25">
      <c r="A68" s="19"/>
      <c r="B68" s="20">
        <v>3501</v>
      </c>
      <c r="C68" s="21">
        <v>0.92300000000000004</v>
      </c>
      <c r="D68" s="3" t="s">
        <v>326</v>
      </c>
      <c r="E68" s="22" t="s">
        <v>342</v>
      </c>
      <c r="F68" s="23">
        <f>B60-28</f>
        <v>2072</v>
      </c>
      <c r="G68" s="24">
        <f>2*B57</f>
        <v>2</v>
      </c>
      <c r="H68" t="s">
        <v>340</v>
      </c>
      <c r="J68" s="25">
        <f t="shared" ref="J68:J73" si="0">(C68*F68*G68)/1000</f>
        <v>3.8249120000000003</v>
      </c>
    </row>
    <row r="69" spans="1:10" x14ac:dyDescent="0.25">
      <c r="A69" s="19"/>
      <c r="B69" s="20">
        <v>3503</v>
      </c>
      <c r="C69" s="21">
        <v>9.7000000000000003E-2</v>
      </c>
      <c r="D69" s="3" t="s">
        <v>117</v>
      </c>
      <c r="E69" s="22" t="s">
        <v>343</v>
      </c>
      <c r="F69" s="23">
        <f>B60-168</f>
        <v>1932</v>
      </c>
      <c r="G69" s="24">
        <f>4*B57</f>
        <v>4</v>
      </c>
      <c r="H69" t="s">
        <v>336</v>
      </c>
      <c r="I69" s="25"/>
      <c r="J69" s="25">
        <f t="shared" si="0"/>
        <v>0.74961599999999995</v>
      </c>
    </row>
    <row r="70" spans="1:10" x14ac:dyDescent="0.25">
      <c r="A70" s="19"/>
      <c r="B70" s="20">
        <v>3501</v>
      </c>
      <c r="C70" s="21">
        <v>0.92300000000000004</v>
      </c>
      <c r="D70" s="3" t="s">
        <v>326</v>
      </c>
      <c r="E70" s="22" t="s">
        <v>342</v>
      </c>
      <c r="F70" s="23">
        <f>B60-28</f>
        <v>2072</v>
      </c>
      <c r="G70" s="24">
        <f>2*B57</f>
        <v>2</v>
      </c>
      <c r="H70" t="s">
        <v>340</v>
      </c>
      <c r="I70" s="25"/>
      <c r="J70" s="25">
        <f t="shared" si="0"/>
        <v>3.8249120000000003</v>
      </c>
    </row>
    <row r="71" spans="1:10" x14ac:dyDescent="0.25">
      <c r="A71" s="19"/>
      <c r="B71" s="20">
        <v>3503</v>
      </c>
      <c r="C71" s="21">
        <v>9.7000000000000003E-2</v>
      </c>
      <c r="D71" s="3" t="s">
        <v>117</v>
      </c>
      <c r="E71" s="22" t="s">
        <v>343</v>
      </c>
      <c r="F71" s="23">
        <f>B60-168</f>
        <v>1932</v>
      </c>
      <c r="G71" s="24">
        <f>4*B57</f>
        <v>4</v>
      </c>
      <c r="H71" t="s">
        <v>336</v>
      </c>
      <c r="I71" s="25"/>
      <c r="J71" s="25">
        <f t="shared" si="0"/>
        <v>0.74961599999999995</v>
      </c>
    </row>
    <row r="72" spans="1:10" x14ac:dyDescent="0.25">
      <c r="A72" s="19"/>
      <c r="B72" s="20">
        <v>3506</v>
      </c>
      <c r="C72" s="21">
        <v>0.152</v>
      </c>
      <c r="D72" s="3" t="s">
        <v>344</v>
      </c>
      <c r="E72" s="22" t="s">
        <v>342</v>
      </c>
      <c r="F72" s="23">
        <f>B60-28</f>
        <v>2072</v>
      </c>
      <c r="G72" s="24">
        <f>1*B57</f>
        <v>1</v>
      </c>
      <c r="H72" t="s">
        <v>340</v>
      </c>
      <c r="I72" s="25"/>
      <c r="J72" s="25">
        <f t="shared" si="0"/>
        <v>0.314944</v>
      </c>
    </row>
    <row r="73" spans="1:10" x14ac:dyDescent="0.25">
      <c r="A73" s="5"/>
      <c r="B73" s="26">
        <v>3509</v>
      </c>
      <c r="C73" s="27">
        <v>0.35299999999999998</v>
      </c>
      <c r="D73" s="28" t="s">
        <v>138</v>
      </c>
      <c r="E73" s="29" t="s">
        <v>342</v>
      </c>
      <c r="F73" s="30">
        <f>B60-28</f>
        <v>2072</v>
      </c>
      <c r="G73" s="31">
        <f>1*B57</f>
        <v>1</v>
      </c>
      <c r="H73" s="32" t="s">
        <v>340</v>
      </c>
      <c r="I73" s="33"/>
      <c r="J73" s="33">
        <f t="shared" si="0"/>
        <v>0.73141599999999996</v>
      </c>
    </row>
    <row r="74" spans="1:10" x14ac:dyDescent="0.25">
      <c r="A74" s="4" t="s">
        <v>345</v>
      </c>
      <c r="B74" s="34"/>
      <c r="C74" s="35"/>
    </row>
    <row r="75" spans="1:10" x14ac:dyDescent="0.25">
      <c r="A75" s="13" t="s">
        <v>69</v>
      </c>
      <c r="B75" s="36">
        <f>SUM(I62:I73)</f>
        <v>3.190048</v>
      </c>
      <c r="C75" s="35"/>
      <c r="I75" s="37"/>
      <c r="J75" s="37"/>
    </row>
    <row r="76" spans="1:10" x14ac:dyDescent="0.25">
      <c r="A76" s="13" t="s">
        <v>71</v>
      </c>
      <c r="B76" s="36">
        <f>SUM(J62:J73)</f>
        <v>12.173615999999999</v>
      </c>
      <c r="C76" s="35"/>
      <c r="I76" s="37"/>
      <c r="J76" s="37"/>
    </row>
    <row r="77" spans="1:10" x14ac:dyDescent="0.25">
      <c r="A77" s="38" t="s">
        <v>346</v>
      </c>
      <c r="B77" s="39">
        <f>B75+B76</f>
        <v>15.363664</v>
      </c>
      <c r="E77" s="11"/>
      <c r="F77" s="11"/>
      <c r="G77" s="11"/>
      <c r="H77" s="11"/>
    </row>
    <row r="78" spans="1:10" x14ac:dyDescent="0.25">
      <c r="A78" s="40" t="s">
        <v>95</v>
      </c>
      <c r="B78" s="1" t="s">
        <v>76</v>
      </c>
      <c r="C78" s="1" t="s">
        <v>331</v>
      </c>
      <c r="D78" s="1" t="s">
        <v>96</v>
      </c>
      <c r="E78" s="1" t="s">
        <v>331</v>
      </c>
      <c r="F78" s="1" t="s">
        <v>97</v>
      </c>
    </row>
    <row r="79" spans="1:10" x14ac:dyDescent="0.25">
      <c r="A79" s="5"/>
      <c r="B79" s="31">
        <f>2*B57</f>
        <v>2</v>
      </c>
      <c r="C79" s="29" t="s">
        <v>360</v>
      </c>
      <c r="D79" s="32">
        <f>B59-173</f>
        <v>1227</v>
      </c>
      <c r="E79" s="29" t="s">
        <v>348</v>
      </c>
      <c r="F79" s="32">
        <f>B60-176</f>
        <v>1924</v>
      </c>
    </row>
    <row r="80" spans="1:10" x14ac:dyDescent="0.25">
      <c r="A80" s="6" t="s">
        <v>99</v>
      </c>
      <c r="B80" s="41">
        <f>(B79*D79*F79)/1000000</f>
        <v>4.7214960000000001</v>
      </c>
    </row>
    <row r="81" spans="1:10" x14ac:dyDescent="0.25">
      <c r="A81" s="1" t="s">
        <v>349</v>
      </c>
      <c r="B81" s="397"/>
      <c r="C81" s="397"/>
      <c r="D81" s="397"/>
      <c r="E81" s="397"/>
      <c r="F81" s="397"/>
      <c r="G81" s="397"/>
      <c r="H81" s="397"/>
      <c r="I81" s="397"/>
      <c r="J81" s="397"/>
    </row>
    <row r="82" spans="1:10" x14ac:dyDescent="0.25">
      <c r="A82" s="3"/>
      <c r="B82" s="42"/>
      <c r="C82" s="42"/>
      <c r="D82" s="42"/>
      <c r="E82" s="42"/>
      <c r="F82" s="42"/>
      <c r="G82" s="42"/>
      <c r="H82" s="42"/>
      <c r="I82" s="42"/>
      <c r="J82" s="43"/>
    </row>
    <row r="83" spans="1:10" x14ac:dyDescent="0.25">
      <c r="A83" s="1" t="s">
        <v>327</v>
      </c>
      <c r="B83" s="2" t="s">
        <v>361</v>
      </c>
      <c r="C83" s="2"/>
      <c r="E83" s="3"/>
      <c r="F83" s="3"/>
      <c r="G83" s="3"/>
      <c r="H83" s="3"/>
      <c r="I83" s="3"/>
      <c r="J83" s="3"/>
    </row>
    <row r="84" spans="1:10" x14ac:dyDescent="0.25">
      <c r="A84" s="4" t="s">
        <v>62</v>
      </c>
      <c r="B84" s="398" t="s">
        <v>362</v>
      </c>
      <c r="C84" s="398"/>
      <c r="D84" s="398"/>
      <c r="E84" s="398"/>
      <c r="F84" s="398"/>
      <c r="G84" s="398"/>
      <c r="H84" s="398"/>
      <c r="I84" s="398"/>
      <c r="J84" s="398"/>
    </row>
    <row r="85" spans="1:10" x14ac:dyDescent="0.25">
      <c r="A85" s="5"/>
      <c r="B85" s="399"/>
      <c r="C85" s="399"/>
      <c r="D85" s="399"/>
      <c r="E85" s="399"/>
      <c r="F85" s="399"/>
      <c r="G85" s="399"/>
      <c r="H85" s="399"/>
      <c r="I85" s="399"/>
      <c r="J85" s="399"/>
    </row>
    <row r="86" spans="1:10" x14ac:dyDescent="0.25">
      <c r="A86" s="6" t="s">
        <v>64</v>
      </c>
      <c r="B86" s="7">
        <v>1</v>
      </c>
      <c r="C86" s="8"/>
      <c r="D86" s="8"/>
      <c r="E86" s="8"/>
      <c r="F86" s="9"/>
      <c r="G86" s="9"/>
      <c r="H86" s="9"/>
      <c r="I86" s="9"/>
      <c r="J86" s="9"/>
    </row>
    <row r="87" spans="1:10" x14ac:dyDescent="0.25">
      <c r="A87" s="4" t="s">
        <v>66</v>
      </c>
      <c r="B87" s="10"/>
      <c r="C87" s="11"/>
      <c r="D87" s="12"/>
      <c r="E87" s="12"/>
      <c r="F87" s="12"/>
      <c r="G87" s="12"/>
      <c r="H87" s="12"/>
      <c r="I87" s="12"/>
      <c r="J87" s="12"/>
    </row>
    <row r="88" spans="1:10" x14ac:dyDescent="0.25">
      <c r="A88" s="13" t="s">
        <v>69</v>
      </c>
      <c r="B88" s="14">
        <v>1000</v>
      </c>
      <c r="F88" s="15"/>
    </row>
    <row r="89" spans="1:10" x14ac:dyDescent="0.25">
      <c r="A89" s="16" t="s">
        <v>71</v>
      </c>
      <c r="B89" s="17">
        <v>1000</v>
      </c>
    </row>
    <row r="90" spans="1:10" x14ac:dyDescent="0.25">
      <c r="A90" s="4" t="s">
        <v>72</v>
      </c>
      <c r="B90" s="1" t="s">
        <v>73</v>
      </c>
      <c r="C90" s="18" t="s">
        <v>330</v>
      </c>
      <c r="D90" s="1" t="s">
        <v>74</v>
      </c>
      <c r="E90" s="1" t="s">
        <v>331</v>
      </c>
      <c r="F90" s="1" t="s">
        <v>75</v>
      </c>
      <c r="G90" s="1" t="s">
        <v>76</v>
      </c>
      <c r="H90" s="1" t="s">
        <v>332</v>
      </c>
      <c r="I90" s="18" t="s">
        <v>333</v>
      </c>
      <c r="J90" s="18" t="s">
        <v>334</v>
      </c>
    </row>
    <row r="91" spans="1:10" x14ac:dyDescent="0.25">
      <c r="A91" s="19"/>
      <c r="B91" s="20">
        <v>4411</v>
      </c>
      <c r="C91" s="21">
        <v>0.61899999999999999</v>
      </c>
      <c r="D91" s="3" t="s">
        <v>114</v>
      </c>
      <c r="E91" s="22" t="s">
        <v>335</v>
      </c>
      <c r="F91" s="23">
        <f>B88</f>
        <v>1000</v>
      </c>
      <c r="G91" s="24">
        <f>1*B86</f>
        <v>1</v>
      </c>
      <c r="H91" t="s">
        <v>336</v>
      </c>
      <c r="I91" s="25">
        <f>(C91*F91*G91)/1000</f>
        <v>0.61899999999999999</v>
      </c>
      <c r="J91" s="25"/>
    </row>
    <row r="92" spans="1:10" x14ac:dyDescent="0.25">
      <c r="A92" s="19"/>
      <c r="B92" s="26">
        <v>4411</v>
      </c>
      <c r="C92" s="27">
        <v>0.61899999999999999</v>
      </c>
      <c r="D92" s="28" t="s">
        <v>83</v>
      </c>
      <c r="E92" s="29" t="s">
        <v>337</v>
      </c>
      <c r="F92" s="30">
        <f>B89</f>
        <v>1000</v>
      </c>
      <c r="G92" s="31">
        <f>2*B86</f>
        <v>2</v>
      </c>
      <c r="H92" s="32" t="s">
        <v>338</v>
      </c>
      <c r="I92" s="32"/>
      <c r="J92" s="33">
        <f>(C92*F92*G92)/1000</f>
        <v>1.238</v>
      </c>
    </row>
    <row r="93" spans="1:10" x14ac:dyDescent="0.25">
      <c r="A93" s="19"/>
      <c r="B93" s="20">
        <v>4412</v>
      </c>
      <c r="C93" s="21">
        <v>1.1519999999999999</v>
      </c>
      <c r="D93" s="3" t="s">
        <v>324</v>
      </c>
      <c r="E93" s="22" t="s">
        <v>363</v>
      </c>
      <c r="F93" s="23">
        <f>(B88/2)-30</f>
        <v>470</v>
      </c>
      <c r="G93" s="24">
        <f>2*B86</f>
        <v>2</v>
      </c>
      <c r="H93" t="s">
        <v>336</v>
      </c>
      <c r="I93" s="25">
        <f>(C93*F93*G93)/1000</f>
        <v>1.0828799999999998</v>
      </c>
      <c r="J93" s="25"/>
    </row>
    <row r="94" spans="1:10" x14ac:dyDescent="0.25">
      <c r="A94" s="19"/>
      <c r="B94" s="20">
        <v>4412</v>
      </c>
      <c r="C94" s="21">
        <v>1.1519999999999999</v>
      </c>
      <c r="D94" s="3" t="s">
        <v>341</v>
      </c>
      <c r="E94" s="22" t="s">
        <v>363</v>
      </c>
      <c r="F94" s="23">
        <f>(B88/2)-30</f>
        <v>470</v>
      </c>
      <c r="G94" s="24">
        <f>2*B86</f>
        <v>2</v>
      </c>
      <c r="H94" t="s">
        <v>336</v>
      </c>
      <c r="I94" s="25">
        <f>(C94*F94*G94)/1000</f>
        <v>1.0828799999999998</v>
      </c>
      <c r="J94" s="25"/>
    </row>
    <row r="95" spans="1:10" x14ac:dyDescent="0.25">
      <c r="A95" s="19"/>
      <c r="B95" s="20">
        <v>4412</v>
      </c>
      <c r="C95" s="21">
        <v>1.1519999999999999</v>
      </c>
      <c r="D95" s="3" t="s">
        <v>326</v>
      </c>
      <c r="E95" s="22" t="s">
        <v>354</v>
      </c>
      <c r="F95" s="23">
        <f>B89-39</f>
        <v>961</v>
      </c>
      <c r="G95" s="24">
        <f>2*B86</f>
        <v>2</v>
      </c>
      <c r="H95" t="s">
        <v>336</v>
      </c>
      <c r="J95" s="25">
        <f>(C95*F95*G95)/1000</f>
        <v>2.2141439999999997</v>
      </c>
    </row>
    <row r="96" spans="1:10" x14ac:dyDescent="0.25">
      <c r="A96" s="19"/>
      <c r="B96" s="20">
        <v>4412</v>
      </c>
      <c r="C96" s="21">
        <v>1.1519999999999999</v>
      </c>
      <c r="D96" s="3" t="s">
        <v>326</v>
      </c>
      <c r="E96" s="22" t="s">
        <v>354</v>
      </c>
      <c r="F96" s="23">
        <f>B89-39</f>
        <v>961</v>
      </c>
      <c r="G96" s="24">
        <f>2*B86</f>
        <v>2</v>
      </c>
      <c r="H96" t="s">
        <v>336</v>
      </c>
      <c r="I96" s="25"/>
      <c r="J96" s="25">
        <f>(C96*F96*G96)/1000</f>
        <v>2.2141439999999997</v>
      </c>
    </row>
    <row r="97" spans="1:10" x14ac:dyDescent="0.25">
      <c r="A97" s="19"/>
      <c r="B97" s="20">
        <v>3506</v>
      </c>
      <c r="C97" s="21">
        <v>0.152</v>
      </c>
      <c r="D97" s="3" t="s">
        <v>344</v>
      </c>
      <c r="E97" s="22" t="s">
        <v>354</v>
      </c>
      <c r="F97" s="23">
        <f>B89-39</f>
        <v>961</v>
      </c>
      <c r="G97" s="24">
        <f>1*B86</f>
        <v>1</v>
      </c>
      <c r="H97" t="s">
        <v>340</v>
      </c>
      <c r="I97" s="25"/>
      <c r="J97" s="25">
        <f>(C97*F97*G97)/1000</f>
        <v>0.14607200000000001</v>
      </c>
    </row>
    <row r="98" spans="1:10" x14ac:dyDescent="0.25">
      <c r="A98" s="5"/>
      <c r="B98" s="26">
        <v>3509</v>
      </c>
      <c r="C98" s="27">
        <v>0.35299999999999998</v>
      </c>
      <c r="D98" s="28" t="s">
        <v>138</v>
      </c>
      <c r="E98" s="29" t="s">
        <v>354</v>
      </c>
      <c r="F98" s="30">
        <f>B89-39</f>
        <v>961</v>
      </c>
      <c r="G98" s="31">
        <f>1*B86</f>
        <v>1</v>
      </c>
      <c r="H98" s="32" t="s">
        <v>340</v>
      </c>
      <c r="I98" s="33"/>
      <c r="J98" s="33">
        <f>(C98*F98*G98)/1000</f>
        <v>0.33923300000000001</v>
      </c>
    </row>
    <row r="99" spans="1:10" x14ac:dyDescent="0.25">
      <c r="A99" s="4" t="s">
        <v>345</v>
      </c>
      <c r="B99" s="34"/>
      <c r="C99" s="35"/>
    </row>
    <row r="100" spans="1:10" x14ac:dyDescent="0.25">
      <c r="A100" s="13" t="s">
        <v>69</v>
      </c>
      <c r="B100" s="36">
        <f>SUM(I91:I98)</f>
        <v>2.7847599999999995</v>
      </c>
      <c r="C100" s="35"/>
      <c r="I100" s="37"/>
      <c r="J100" s="37"/>
    </row>
    <row r="101" spans="1:10" x14ac:dyDescent="0.25">
      <c r="A101" s="13" t="s">
        <v>71</v>
      </c>
      <c r="B101" s="36">
        <f>SUM(J91:J98)</f>
        <v>6.1515930000000001</v>
      </c>
      <c r="C101" s="35"/>
      <c r="I101" s="37"/>
      <c r="J101" s="37"/>
    </row>
    <row r="102" spans="1:10" x14ac:dyDescent="0.25">
      <c r="A102" s="38" t="s">
        <v>346</v>
      </c>
      <c r="B102" s="39">
        <f>B100+B101</f>
        <v>8.9363530000000004</v>
      </c>
      <c r="E102" s="11"/>
      <c r="F102" s="11"/>
      <c r="G102" s="11"/>
      <c r="H102" s="11"/>
    </row>
    <row r="103" spans="1:10" x14ac:dyDescent="0.25">
      <c r="A103" s="40" t="s">
        <v>95</v>
      </c>
      <c r="B103" s="1" t="s">
        <v>76</v>
      </c>
      <c r="C103" s="1" t="s">
        <v>331</v>
      </c>
      <c r="D103" s="1" t="s">
        <v>96</v>
      </c>
      <c r="E103" s="1" t="s">
        <v>331</v>
      </c>
      <c r="F103" s="1" t="s">
        <v>97</v>
      </c>
    </row>
    <row r="104" spans="1:10" x14ac:dyDescent="0.25">
      <c r="A104" s="5"/>
      <c r="B104" s="31">
        <f>2*B86</f>
        <v>2</v>
      </c>
      <c r="C104" s="29" t="s">
        <v>364</v>
      </c>
      <c r="D104" s="32">
        <f>B88-172</f>
        <v>828</v>
      </c>
      <c r="E104" s="29" t="s">
        <v>356</v>
      </c>
      <c r="F104" s="32">
        <f>B89-181</f>
        <v>819</v>
      </c>
    </row>
    <row r="105" spans="1:10" x14ac:dyDescent="0.25">
      <c r="A105" s="6" t="s">
        <v>99</v>
      </c>
      <c r="B105" s="41">
        <f>(B104*D104*F104)/1000000</f>
        <v>1.3562639999999999</v>
      </c>
    </row>
    <row r="106" spans="1:10" x14ac:dyDescent="0.25">
      <c r="A106" s="1" t="s">
        <v>349</v>
      </c>
      <c r="B106" s="397"/>
      <c r="C106" s="397"/>
      <c r="D106" s="397"/>
      <c r="E106" s="397"/>
      <c r="F106" s="397"/>
      <c r="G106" s="397"/>
      <c r="H106" s="397"/>
      <c r="I106" s="397"/>
      <c r="J106" s="397"/>
    </row>
    <row r="107" spans="1:10" x14ac:dyDescent="0.25">
      <c r="A107" s="3"/>
      <c r="B107" s="42"/>
      <c r="C107" s="42"/>
      <c r="D107" s="42"/>
      <c r="E107" s="42"/>
      <c r="F107" s="42"/>
      <c r="G107" s="42"/>
      <c r="H107" s="42"/>
      <c r="I107" s="42"/>
      <c r="J107" s="43"/>
    </row>
    <row r="108" spans="1:10" x14ac:dyDescent="0.25">
      <c r="A108" s="1" t="s">
        <v>327</v>
      </c>
      <c r="B108" s="186" t="s">
        <v>365</v>
      </c>
      <c r="C108" s="2"/>
      <c r="E108" s="3"/>
      <c r="F108" s="3"/>
      <c r="G108" s="3"/>
      <c r="H108" s="3"/>
      <c r="I108" s="3"/>
      <c r="J108" s="3"/>
    </row>
    <row r="109" spans="1:10" x14ac:dyDescent="0.25">
      <c r="A109" s="4" t="s">
        <v>62</v>
      </c>
      <c r="B109" s="398" t="s">
        <v>366</v>
      </c>
      <c r="C109" s="398"/>
      <c r="D109" s="398"/>
      <c r="E109" s="398"/>
      <c r="F109" s="398"/>
      <c r="G109" s="398"/>
      <c r="H109" s="398"/>
      <c r="I109" s="398"/>
      <c r="J109" s="398"/>
    </row>
    <row r="110" spans="1:10" x14ac:dyDescent="0.25">
      <c r="A110" s="5"/>
      <c r="B110" s="399"/>
      <c r="C110" s="399"/>
      <c r="D110" s="399"/>
      <c r="E110" s="399"/>
      <c r="F110" s="399"/>
      <c r="G110" s="399"/>
      <c r="H110" s="399"/>
      <c r="I110" s="399"/>
      <c r="J110" s="399"/>
    </row>
    <row r="111" spans="1:10" x14ac:dyDescent="0.25">
      <c r="A111" s="6" t="s">
        <v>64</v>
      </c>
      <c r="B111" s="7">
        <v>1</v>
      </c>
      <c r="C111" s="8"/>
      <c r="D111" s="8"/>
      <c r="E111" s="8"/>
      <c r="F111" s="9"/>
      <c r="G111" s="9"/>
      <c r="H111" s="9"/>
      <c r="I111" s="9"/>
      <c r="J111" s="9"/>
    </row>
    <row r="112" spans="1:10" x14ac:dyDescent="0.25">
      <c r="A112" s="4" t="s">
        <v>66</v>
      </c>
      <c r="B112" s="10"/>
      <c r="C112" s="11"/>
      <c r="D112" s="12"/>
      <c r="E112" s="12"/>
      <c r="F112" s="12"/>
      <c r="G112" s="12"/>
      <c r="H112" s="12"/>
      <c r="I112" s="12"/>
      <c r="J112" s="12"/>
    </row>
    <row r="113" spans="1:10" x14ac:dyDescent="0.25">
      <c r="A113" s="13" t="s">
        <v>69</v>
      </c>
      <c r="B113" s="14">
        <v>1000</v>
      </c>
      <c r="F113" s="15"/>
    </row>
    <row r="114" spans="1:10" x14ac:dyDescent="0.25">
      <c r="A114" s="16" t="s">
        <v>71</v>
      </c>
      <c r="B114" s="17">
        <v>1000</v>
      </c>
    </row>
    <row r="115" spans="1:10" x14ac:dyDescent="0.25">
      <c r="A115" s="4" t="s">
        <v>72</v>
      </c>
      <c r="B115" s="1" t="s">
        <v>73</v>
      </c>
      <c r="C115" s="18" t="s">
        <v>330</v>
      </c>
      <c r="D115" s="1" t="s">
        <v>74</v>
      </c>
      <c r="E115" s="1" t="s">
        <v>331</v>
      </c>
      <c r="F115" s="1" t="s">
        <v>75</v>
      </c>
      <c r="G115" s="1" t="s">
        <v>76</v>
      </c>
      <c r="H115" s="1" t="s">
        <v>332</v>
      </c>
      <c r="I115" s="18" t="s">
        <v>333</v>
      </c>
      <c r="J115" s="18" t="s">
        <v>334</v>
      </c>
    </row>
    <row r="116" spans="1:10" x14ac:dyDescent="0.25">
      <c r="A116" s="19"/>
      <c r="B116" s="20">
        <v>3501</v>
      </c>
      <c r="C116" s="21">
        <v>0.92300000000000004</v>
      </c>
      <c r="D116" s="3" t="s">
        <v>324</v>
      </c>
      <c r="E116" s="22" t="s">
        <v>367</v>
      </c>
      <c r="F116" s="23">
        <f>B113-14</f>
        <v>986</v>
      </c>
      <c r="G116" s="24">
        <f>1*B111</f>
        <v>1</v>
      </c>
      <c r="H116" t="s">
        <v>340</v>
      </c>
      <c r="I116" s="25">
        <f>(C116*F116*G116)/1000</f>
        <v>0.91007800000000005</v>
      </c>
      <c r="J116" s="25"/>
    </row>
    <row r="117" spans="1:10" x14ac:dyDescent="0.25">
      <c r="A117" s="19"/>
      <c r="B117" s="20">
        <v>3503</v>
      </c>
      <c r="C117" s="21">
        <v>9.7000000000000003E-2</v>
      </c>
      <c r="D117" s="3" t="s">
        <v>117</v>
      </c>
      <c r="E117" s="22" t="s">
        <v>368</v>
      </c>
      <c r="F117" s="23">
        <f>B113-154</f>
        <v>846</v>
      </c>
      <c r="G117" s="24">
        <f>2*B111</f>
        <v>2</v>
      </c>
      <c r="H117" t="s">
        <v>340</v>
      </c>
      <c r="I117" s="25">
        <f>(C117*F117*G117)/1000</f>
        <v>0.16412399999999999</v>
      </c>
      <c r="J117" s="25"/>
    </row>
    <row r="118" spans="1:10" x14ac:dyDescent="0.25">
      <c r="A118" s="19"/>
      <c r="B118" s="20">
        <v>3501</v>
      </c>
      <c r="C118" s="21">
        <v>0.92300000000000004</v>
      </c>
      <c r="D118" s="3" t="s">
        <v>341</v>
      </c>
      <c r="E118" s="22" t="s">
        <v>367</v>
      </c>
      <c r="F118" s="23">
        <f>B113-14</f>
        <v>986</v>
      </c>
      <c r="G118" s="24">
        <f>1*B111</f>
        <v>1</v>
      </c>
      <c r="H118" t="s">
        <v>340</v>
      </c>
      <c r="I118" s="25">
        <f>(C118*F118*G118)/1000</f>
        <v>0.91007800000000005</v>
      </c>
      <c r="J118" s="25"/>
    </row>
    <row r="119" spans="1:10" x14ac:dyDescent="0.25">
      <c r="A119" s="19"/>
      <c r="B119" s="20">
        <v>3503</v>
      </c>
      <c r="C119" s="21">
        <v>9.7000000000000003E-2</v>
      </c>
      <c r="D119" s="3" t="s">
        <v>117</v>
      </c>
      <c r="E119" s="22" t="s">
        <v>368</v>
      </c>
      <c r="F119" s="23">
        <f>B113-154</f>
        <v>846</v>
      </c>
      <c r="G119" s="24">
        <f>2*B111</f>
        <v>2</v>
      </c>
      <c r="H119" t="s">
        <v>340</v>
      </c>
      <c r="I119" s="25">
        <f>(C119*F119*G119)/1000</f>
        <v>0.16412399999999999</v>
      </c>
      <c r="J119" s="25"/>
    </row>
    <row r="120" spans="1:10" x14ac:dyDescent="0.25">
      <c r="A120" s="19"/>
      <c r="B120" s="20">
        <v>3501</v>
      </c>
      <c r="C120" s="21">
        <v>0.92300000000000004</v>
      </c>
      <c r="D120" s="3" t="s">
        <v>326</v>
      </c>
      <c r="E120" s="22" t="s">
        <v>369</v>
      </c>
      <c r="F120" s="23">
        <f>B114-14</f>
        <v>986</v>
      </c>
      <c r="G120" s="24">
        <f>1*B111</f>
        <v>1</v>
      </c>
      <c r="H120" t="s">
        <v>340</v>
      </c>
      <c r="J120" s="25">
        <f>(C120*F120*G120)/1000</f>
        <v>0.91007800000000005</v>
      </c>
    </row>
    <row r="121" spans="1:10" x14ac:dyDescent="0.25">
      <c r="A121" s="19"/>
      <c r="B121" s="20">
        <v>3503</v>
      </c>
      <c r="C121" s="21">
        <v>9.7000000000000003E-2</v>
      </c>
      <c r="D121" s="3" t="s">
        <v>117</v>
      </c>
      <c r="E121" s="22" t="s">
        <v>370</v>
      </c>
      <c r="F121" s="23">
        <f>B114-154</f>
        <v>846</v>
      </c>
      <c r="G121" s="24">
        <f>2*B111</f>
        <v>2</v>
      </c>
      <c r="H121" t="s">
        <v>336</v>
      </c>
      <c r="I121" s="25"/>
      <c r="J121" s="25">
        <f>(C121*F121*G121)/1000</f>
        <v>0.16412399999999999</v>
      </c>
    </row>
    <row r="122" spans="1:10" x14ac:dyDescent="0.25">
      <c r="A122" s="19"/>
      <c r="B122" s="20">
        <v>3501</v>
      </c>
      <c r="C122" s="21">
        <v>0.92300000000000004</v>
      </c>
      <c r="D122" s="3" t="s">
        <v>326</v>
      </c>
      <c r="E122" s="22" t="s">
        <v>369</v>
      </c>
      <c r="F122" s="23">
        <f>B114-14</f>
        <v>986</v>
      </c>
      <c r="G122" s="24">
        <f>1*B111</f>
        <v>1</v>
      </c>
      <c r="H122" t="s">
        <v>340</v>
      </c>
      <c r="I122" s="25"/>
      <c r="J122" s="25">
        <f>(C122*F122*G122)/1000</f>
        <v>0.91007800000000005</v>
      </c>
    </row>
    <row r="123" spans="1:10" x14ac:dyDescent="0.25">
      <c r="A123" s="19"/>
      <c r="B123" s="20">
        <v>3503</v>
      </c>
      <c r="C123" s="21">
        <v>9.7000000000000003E-2</v>
      </c>
      <c r="D123" s="3" t="s">
        <v>117</v>
      </c>
      <c r="E123" s="22" t="s">
        <v>370</v>
      </c>
      <c r="F123" s="23">
        <f>B114-154</f>
        <v>846</v>
      </c>
      <c r="G123" s="24">
        <f>2*B111</f>
        <v>2</v>
      </c>
      <c r="H123" t="s">
        <v>336</v>
      </c>
      <c r="I123" s="25"/>
      <c r="J123" s="25">
        <f>(C123*F123*G123)/1000</f>
        <v>0.16412399999999999</v>
      </c>
    </row>
    <row r="124" spans="1:10" x14ac:dyDescent="0.25">
      <c r="A124" s="5"/>
      <c r="B124" s="26">
        <v>3507</v>
      </c>
      <c r="C124" s="27">
        <v>0.18</v>
      </c>
      <c r="D124" s="28" t="s">
        <v>371</v>
      </c>
      <c r="E124" s="29" t="s">
        <v>369</v>
      </c>
      <c r="F124" s="30">
        <f>B114-14</f>
        <v>986</v>
      </c>
      <c r="G124" s="31">
        <f>2*B111</f>
        <v>2</v>
      </c>
      <c r="H124" s="32" t="s">
        <v>340</v>
      </c>
      <c r="I124" s="33"/>
      <c r="J124" s="33">
        <f>(C124*F124*G124)/1000</f>
        <v>0.35496</v>
      </c>
    </row>
    <row r="125" spans="1:10" x14ac:dyDescent="0.25">
      <c r="A125" s="4" t="s">
        <v>345</v>
      </c>
      <c r="B125" s="34"/>
      <c r="C125" s="35"/>
    </row>
    <row r="126" spans="1:10" x14ac:dyDescent="0.25">
      <c r="A126" s="13" t="s">
        <v>69</v>
      </c>
      <c r="B126" s="36">
        <f>SUM(I116:I124)</f>
        <v>2.1484040000000002</v>
      </c>
      <c r="C126" s="35"/>
      <c r="I126" s="37"/>
      <c r="J126" s="37"/>
    </row>
    <row r="127" spans="1:10" x14ac:dyDescent="0.25">
      <c r="A127" s="13" t="s">
        <v>71</v>
      </c>
      <c r="B127" s="36">
        <f>SUM(J116:J124)</f>
        <v>2.5033640000000004</v>
      </c>
      <c r="C127" s="35"/>
      <c r="I127" s="37"/>
      <c r="J127" s="37"/>
    </row>
    <row r="128" spans="1:10" x14ac:dyDescent="0.25">
      <c r="A128" s="38" t="s">
        <v>346</v>
      </c>
      <c r="B128" s="39">
        <f>B126+B127</f>
        <v>4.6517680000000006</v>
      </c>
      <c r="E128" s="11"/>
      <c r="F128" s="11"/>
      <c r="G128" s="11"/>
      <c r="H128" s="11"/>
    </row>
    <row r="129" spans="1:10" x14ac:dyDescent="0.25">
      <c r="A129" s="40" t="s">
        <v>95</v>
      </c>
      <c r="B129" s="1" t="s">
        <v>76</v>
      </c>
      <c r="C129" s="1" t="s">
        <v>331</v>
      </c>
      <c r="D129" s="1" t="s">
        <v>96</v>
      </c>
      <c r="E129" s="1" t="s">
        <v>331</v>
      </c>
      <c r="F129" s="1" t="s">
        <v>97</v>
      </c>
    </row>
    <row r="130" spans="1:10" x14ac:dyDescent="0.25">
      <c r="A130" s="5"/>
      <c r="B130" s="31">
        <f>1*B111</f>
        <v>1</v>
      </c>
      <c r="C130" s="29" t="s">
        <v>372</v>
      </c>
      <c r="D130" s="32">
        <f>B113-165</f>
        <v>835</v>
      </c>
      <c r="E130" s="29" t="s">
        <v>373</v>
      </c>
      <c r="F130" s="32">
        <f>B114-163</f>
        <v>837</v>
      </c>
    </row>
    <row r="131" spans="1:10" x14ac:dyDescent="0.25">
      <c r="A131" s="6" t="s">
        <v>99</v>
      </c>
      <c r="B131" s="41">
        <f>(B130*D130*F130)/1000000</f>
        <v>0.69889500000000004</v>
      </c>
    </row>
    <row r="132" spans="1:10" x14ac:dyDescent="0.25">
      <c r="A132" s="1" t="s">
        <v>349</v>
      </c>
      <c r="B132" s="397"/>
      <c r="C132" s="397"/>
      <c r="D132" s="397"/>
      <c r="E132" s="397"/>
      <c r="F132" s="397"/>
      <c r="G132" s="397"/>
      <c r="H132" s="397"/>
      <c r="I132" s="397"/>
      <c r="J132" s="397"/>
    </row>
    <row r="133" spans="1:10" x14ac:dyDescent="0.25">
      <c r="A133" s="3"/>
      <c r="B133" s="42"/>
      <c r="C133" s="42"/>
      <c r="D133" s="42"/>
      <c r="E133" s="42"/>
      <c r="F133" s="42"/>
      <c r="G133" s="42"/>
      <c r="H133" s="42"/>
      <c r="I133" s="42"/>
      <c r="J133" s="43"/>
    </row>
    <row r="134" spans="1:10" x14ac:dyDescent="0.25">
      <c r="A134" s="1" t="s">
        <v>327</v>
      </c>
      <c r="B134" s="186" t="s">
        <v>374</v>
      </c>
      <c r="C134" s="2"/>
      <c r="E134" s="3"/>
      <c r="F134" s="3"/>
      <c r="G134" s="3"/>
      <c r="H134" s="3"/>
      <c r="I134" s="3"/>
      <c r="J134" s="3"/>
    </row>
    <row r="135" spans="1:10" x14ac:dyDescent="0.25">
      <c r="A135" s="4" t="s">
        <v>62</v>
      </c>
      <c r="B135" s="398" t="s">
        <v>375</v>
      </c>
      <c r="C135" s="398"/>
      <c r="D135" s="398"/>
      <c r="E135" s="398"/>
      <c r="F135" s="398"/>
      <c r="G135" s="398"/>
      <c r="H135" s="398"/>
      <c r="I135" s="398"/>
      <c r="J135" s="398"/>
    </row>
    <row r="136" spans="1:10" x14ac:dyDescent="0.25">
      <c r="A136" s="5"/>
      <c r="B136" s="399"/>
      <c r="C136" s="399"/>
      <c r="D136" s="399"/>
      <c r="E136" s="399"/>
      <c r="F136" s="399"/>
      <c r="G136" s="399"/>
      <c r="H136" s="399"/>
      <c r="I136" s="399"/>
      <c r="J136" s="399"/>
    </row>
    <row r="137" spans="1:10" x14ac:dyDescent="0.25">
      <c r="A137" s="6" t="s">
        <v>64</v>
      </c>
      <c r="B137" s="7">
        <v>1</v>
      </c>
      <c r="C137" s="8"/>
      <c r="D137" s="8"/>
      <c r="E137" s="8"/>
      <c r="F137" s="9"/>
      <c r="G137" s="9"/>
      <c r="H137" s="9"/>
      <c r="I137" s="9"/>
      <c r="J137" s="9"/>
    </row>
    <row r="138" spans="1:10" x14ac:dyDescent="0.25">
      <c r="A138" s="4" t="s">
        <v>66</v>
      </c>
      <c r="B138" s="10"/>
      <c r="C138" s="11"/>
      <c r="D138" s="12"/>
      <c r="E138" s="12"/>
      <c r="F138" s="12"/>
      <c r="G138" s="12"/>
      <c r="H138" s="12"/>
      <c r="I138" s="12"/>
      <c r="J138" s="12"/>
    </row>
    <row r="139" spans="1:10" x14ac:dyDescent="0.25">
      <c r="A139" s="13" t="s">
        <v>69</v>
      </c>
      <c r="B139" s="14">
        <v>1000</v>
      </c>
      <c r="F139" s="15"/>
    </row>
    <row r="140" spans="1:10" x14ac:dyDescent="0.25">
      <c r="A140" s="16" t="s">
        <v>71</v>
      </c>
      <c r="B140" s="17">
        <v>1000</v>
      </c>
    </row>
    <row r="141" spans="1:10" x14ac:dyDescent="0.25">
      <c r="A141" s="4" t="s">
        <v>72</v>
      </c>
      <c r="B141" s="1" t="s">
        <v>73</v>
      </c>
      <c r="C141" s="18" t="s">
        <v>330</v>
      </c>
      <c r="D141" s="1" t="s">
        <v>74</v>
      </c>
      <c r="E141" s="1" t="s">
        <v>331</v>
      </c>
      <c r="F141" s="1" t="s">
        <v>75</v>
      </c>
      <c r="G141" s="1" t="s">
        <v>76</v>
      </c>
      <c r="H141" s="1" t="s">
        <v>332</v>
      </c>
      <c r="I141" s="18" t="s">
        <v>333</v>
      </c>
      <c r="J141" s="18" t="s">
        <v>334</v>
      </c>
    </row>
    <row r="142" spans="1:10" x14ac:dyDescent="0.25">
      <c r="A142" s="19"/>
      <c r="B142" s="20">
        <v>3501</v>
      </c>
      <c r="C142" s="21">
        <v>0.92300000000000004</v>
      </c>
      <c r="D142" s="3" t="s">
        <v>324</v>
      </c>
      <c r="E142" s="22" t="s">
        <v>376</v>
      </c>
      <c r="F142" s="23">
        <f>(B139/2)-14</f>
        <v>486</v>
      </c>
      <c r="G142" s="24">
        <f>2*B137</f>
        <v>2</v>
      </c>
      <c r="H142" t="s">
        <v>340</v>
      </c>
      <c r="I142" s="25">
        <f>(C142*F142*G142)/1000</f>
        <v>0.89715600000000006</v>
      </c>
      <c r="J142" s="25"/>
    </row>
    <row r="143" spans="1:10" x14ac:dyDescent="0.25">
      <c r="A143" s="19"/>
      <c r="B143" s="20">
        <v>3503</v>
      </c>
      <c r="C143" s="21">
        <v>9.7000000000000003E-2</v>
      </c>
      <c r="D143" s="3" t="s">
        <v>117</v>
      </c>
      <c r="E143" s="22" t="s">
        <v>377</v>
      </c>
      <c r="F143" s="23">
        <f>(B139/2)-154</f>
        <v>346</v>
      </c>
      <c r="G143" s="24">
        <f>4*B137</f>
        <v>4</v>
      </c>
      <c r="H143" t="s">
        <v>340</v>
      </c>
      <c r="I143" s="25">
        <f>(C143*F143*G143)/1000</f>
        <v>0.13424799999999998</v>
      </c>
      <c r="J143" s="25"/>
    </row>
    <row r="144" spans="1:10" x14ac:dyDescent="0.25">
      <c r="A144" s="19"/>
      <c r="B144" s="20">
        <v>3501</v>
      </c>
      <c r="C144" s="21">
        <v>0.92300000000000004</v>
      </c>
      <c r="D144" s="3" t="s">
        <v>341</v>
      </c>
      <c r="E144" s="22" t="s">
        <v>376</v>
      </c>
      <c r="F144" s="23">
        <f>(B139/2)-14</f>
        <v>486</v>
      </c>
      <c r="G144" s="24">
        <f>2*B137</f>
        <v>2</v>
      </c>
      <c r="H144" t="s">
        <v>340</v>
      </c>
      <c r="I144" s="25">
        <f>(C144*F144*G144)/1000</f>
        <v>0.89715600000000006</v>
      </c>
      <c r="J144" s="25"/>
    </row>
    <row r="145" spans="1:10" x14ac:dyDescent="0.25">
      <c r="A145" s="19"/>
      <c r="B145" s="20">
        <v>3503</v>
      </c>
      <c r="C145" s="21">
        <v>9.7000000000000003E-2</v>
      </c>
      <c r="D145" s="3" t="s">
        <v>117</v>
      </c>
      <c r="E145" s="22" t="s">
        <v>377</v>
      </c>
      <c r="F145" s="23">
        <f>(B139/2)-154</f>
        <v>346</v>
      </c>
      <c r="G145" s="24">
        <f>4*B137</f>
        <v>4</v>
      </c>
      <c r="H145" t="s">
        <v>340</v>
      </c>
      <c r="I145" s="25">
        <f>(C145*F145*G145)/1000</f>
        <v>0.13424799999999998</v>
      </c>
      <c r="J145" s="25"/>
    </row>
    <row r="146" spans="1:10" x14ac:dyDescent="0.25">
      <c r="A146" s="19"/>
      <c r="B146" s="20">
        <v>3501</v>
      </c>
      <c r="C146" s="21">
        <v>0.92300000000000004</v>
      </c>
      <c r="D146" s="3" t="s">
        <v>326</v>
      </c>
      <c r="E146" s="22" t="s">
        <v>369</v>
      </c>
      <c r="F146" s="23">
        <f>B140-14</f>
        <v>986</v>
      </c>
      <c r="G146" s="24">
        <f>2*B137</f>
        <v>2</v>
      </c>
      <c r="H146" t="s">
        <v>340</v>
      </c>
      <c r="J146" s="25">
        <f>(C146*F146*G146)/1000</f>
        <v>1.8201560000000001</v>
      </c>
    </row>
    <row r="147" spans="1:10" x14ac:dyDescent="0.25">
      <c r="A147" s="19"/>
      <c r="B147" s="20">
        <v>3503</v>
      </c>
      <c r="C147" s="21">
        <v>9.7000000000000003E-2</v>
      </c>
      <c r="D147" s="3" t="s">
        <v>117</v>
      </c>
      <c r="E147" s="22" t="s">
        <v>370</v>
      </c>
      <c r="F147" s="23">
        <f>B140-154</f>
        <v>846</v>
      </c>
      <c r="G147" s="24">
        <f>4*B137</f>
        <v>4</v>
      </c>
      <c r="H147" t="s">
        <v>336</v>
      </c>
      <c r="I147" s="25"/>
      <c r="J147" s="25">
        <f>(C147*F147*G147)/1000</f>
        <v>0.32824799999999998</v>
      </c>
    </row>
    <row r="148" spans="1:10" x14ac:dyDescent="0.25">
      <c r="A148" s="19"/>
      <c r="B148" s="20">
        <v>3501</v>
      </c>
      <c r="C148" s="21">
        <v>0.92300000000000004</v>
      </c>
      <c r="D148" s="3" t="s">
        <v>326</v>
      </c>
      <c r="E148" s="22" t="s">
        <v>369</v>
      </c>
      <c r="F148" s="23">
        <f>B140-14</f>
        <v>986</v>
      </c>
      <c r="G148" s="24">
        <f>2*B137</f>
        <v>2</v>
      </c>
      <c r="H148" t="s">
        <v>340</v>
      </c>
      <c r="I148" s="25"/>
      <c r="J148" s="25">
        <f>(C148*F148*G148)/1000</f>
        <v>1.8201560000000001</v>
      </c>
    </row>
    <row r="149" spans="1:10" x14ac:dyDescent="0.25">
      <c r="A149" s="19"/>
      <c r="B149" s="20">
        <v>3503</v>
      </c>
      <c r="C149" s="21">
        <v>9.7000000000000003E-2</v>
      </c>
      <c r="D149" s="3" t="s">
        <v>117</v>
      </c>
      <c r="E149" s="22" t="s">
        <v>370</v>
      </c>
      <c r="F149" s="23">
        <f>B140-154</f>
        <v>846</v>
      </c>
      <c r="G149" s="24">
        <f>4*B137</f>
        <v>4</v>
      </c>
      <c r="H149" t="s">
        <v>336</v>
      </c>
      <c r="I149" s="25"/>
      <c r="J149" s="25">
        <f>(C149*F149*G149)/1000</f>
        <v>0.32824799999999998</v>
      </c>
    </row>
    <row r="150" spans="1:10" x14ac:dyDescent="0.25">
      <c r="A150" s="5"/>
      <c r="B150" s="26">
        <v>3507</v>
      </c>
      <c r="C150" s="27">
        <v>0.18</v>
      </c>
      <c r="D150" s="28" t="s">
        <v>371</v>
      </c>
      <c r="E150" s="29" t="s">
        <v>369</v>
      </c>
      <c r="F150" s="30">
        <f>B140-14</f>
        <v>986</v>
      </c>
      <c r="G150" s="31">
        <f>4*B137</f>
        <v>4</v>
      </c>
      <c r="H150" s="32" t="s">
        <v>340</v>
      </c>
      <c r="I150" s="33"/>
      <c r="J150" s="33">
        <f>(C150*F150*G150)/1000</f>
        <v>0.70992</v>
      </c>
    </row>
    <row r="151" spans="1:10" x14ac:dyDescent="0.25">
      <c r="A151" s="4" t="s">
        <v>345</v>
      </c>
      <c r="B151" s="34"/>
      <c r="C151" s="35"/>
    </row>
    <row r="152" spans="1:10" x14ac:dyDescent="0.25">
      <c r="A152" s="13" t="s">
        <v>69</v>
      </c>
      <c r="B152" s="36">
        <f>SUM(I142:I150)</f>
        <v>2.062808</v>
      </c>
      <c r="C152" s="35"/>
      <c r="I152" s="37"/>
      <c r="J152" s="37"/>
    </row>
    <row r="153" spans="1:10" x14ac:dyDescent="0.25">
      <c r="A153" s="13" t="s">
        <v>71</v>
      </c>
      <c r="B153" s="36">
        <f>SUM(J142:J150)</f>
        <v>5.0067280000000007</v>
      </c>
      <c r="C153" s="35"/>
      <c r="I153" s="37"/>
      <c r="J153" s="37"/>
    </row>
    <row r="154" spans="1:10" x14ac:dyDescent="0.25">
      <c r="A154" s="38" t="s">
        <v>346</v>
      </c>
      <c r="B154" s="39">
        <f>B152+B153</f>
        <v>7.0695360000000012</v>
      </c>
      <c r="E154" s="11"/>
      <c r="F154" s="11"/>
      <c r="G154" s="11"/>
      <c r="H154" s="11"/>
    </row>
    <row r="155" spans="1:10" x14ac:dyDescent="0.25">
      <c r="A155" s="40" t="s">
        <v>95</v>
      </c>
      <c r="B155" s="1" t="s">
        <v>76</v>
      </c>
      <c r="C155" s="1" t="s">
        <v>331</v>
      </c>
      <c r="D155" s="1" t="s">
        <v>96</v>
      </c>
      <c r="E155" s="1" t="s">
        <v>331</v>
      </c>
      <c r="F155" s="1" t="s">
        <v>97</v>
      </c>
    </row>
    <row r="156" spans="1:10" x14ac:dyDescent="0.25">
      <c r="A156" s="5"/>
      <c r="B156" s="31">
        <f>2*B137</f>
        <v>2</v>
      </c>
      <c r="C156" s="29" t="s">
        <v>378</v>
      </c>
      <c r="D156" s="32">
        <f>(B139/2)-165</f>
        <v>335</v>
      </c>
      <c r="E156" s="29" t="s">
        <v>373</v>
      </c>
      <c r="F156" s="32">
        <f>B140-163</f>
        <v>837</v>
      </c>
    </row>
    <row r="157" spans="1:10" x14ac:dyDescent="0.25">
      <c r="A157" s="6" t="s">
        <v>99</v>
      </c>
      <c r="B157" s="41">
        <f>(B156*D156*F156)/1000000</f>
        <v>0.56079000000000001</v>
      </c>
    </row>
    <row r="158" spans="1:10" x14ac:dyDescent="0.25">
      <c r="A158" s="1" t="s">
        <v>349</v>
      </c>
      <c r="B158" s="397"/>
      <c r="C158" s="397"/>
      <c r="D158" s="397"/>
      <c r="E158" s="397"/>
      <c r="F158" s="397"/>
      <c r="G158" s="397"/>
      <c r="H158" s="397"/>
      <c r="I158" s="397"/>
      <c r="J158" s="397"/>
    </row>
  </sheetData>
  <mergeCells count="12">
    <mergeCell ref="B158:J158"/>
    <mergeCell ref="B2:J3"/>
    <mergeCell ref="B27:J27"/>
    <mergeCell ref="B30:J31"/>
    <mergeCell ref="B52:J52"/>
    <mergeCell ref="B55:J56"/>
    <mergeCell ref="B81:J81"/>
    <mergeCell ref="B84:J85"/>
    <mergeCell ref="B106:J106"/>
    <mergeCell ref="B109:J110"/>
    <mergeCell ref="B132:J132"/>
    <mergeCell ref="B135:J136"/>
  </mergeCells>
  <pageMargins left="0.7" right="0.7" top="0.75" bottom="0.75" header="0.3" footer="0.3"/>
  <pageSetup orientation="portrait" horizontalDpi="0" verticalDpi="0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1FC6-AA82-6F4E-A106-AD34315B471F}">
  <sheetPr codeName="Hoja4"/>
  <dimension ref="A1:H2433"/>
  <sheetViews>
    <sheetView topLeftCell="A59" zoomScale="144" workbookViewId="0">
      <selection activeCell="L87" sqref="L87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379</v>
      </c>
      <c r="B2" s="48"/>
      <c r="C2" s="49"/>
      <c r="D2" s="48"/>
      <c r="E2" s="49"/>
      <c r="F2" s="50"/>
      <c r="G2" s="50"/>
      <c r="H2" s="51"/>
    </row>
    <row r="3" spans="1:8" ht="16.5" thickBot="1" x14ac:dyDescent="0.3">
      <c r="A3" s="52"/>
      <c r="B3" s="53"/>
      <c r="C3" s="53"/>
      <c r="D3" s="53"/>
      <c r="E3" s="53"/>
      <c r="F3" s="53"/>
      <c r="G3" s="54" t="s">
        <v>380</v>
      </c>
      <c r="H3" s="51"/>
    </row>
    <row r="4" spans="1:8" ht="16.5" thickBot="1" x14ac:dyDescent="0.3">
      <c r="A4" s="400" t="s">
        <v>381</v>
      </c>
      <c r="B4" s="401"/>
      <c r="C4" s="402" t="s">
        <v>382</v>
      </c>
      <c r="D4" s="401"/>
      <c r="E4" s="55" t="s">
        <v>266</v>
      </c>
      <c r="F4" s="53"/>
      <c r="G4" s="53"/>
      <c r="H4" s="51"/>
    </row>
    <row r="5" spans="1:8" ht="16.5" thickBot="1" x14ac:dyDescent="0.3">
      <c r="A5" s="403">
        <v>1000</v>
      </c>
      <c r="B5" s="404"/>
      <c r="C5" s="403">
        <v>1000</v>
      </c>
      <c r="D5" s="404"/>
      <c r="E5" s="56">
        <v>2</v>
      </c>
      <c r="F5" s="53"/>
      <c r="G5" s="53"/>
      <c r="H5" s="51"/>
    </row>
    <row r="6" spans="1:8" x14ac:dyDescent="0.25">
      <c r="A6" s="57"/>
      <c r="B6" s="58"/>
      <c r="C6" s="58"/>
      <c r="D6" s="58"/>
      <c r="E6" s="58"/>
      <c r="F6" s="53"/>
      <c r="G6" s="53"/>
      <c r="H6" s="51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6901</v>
      </c>
      <c r="B8" s="61">
        <f>1*E5</f>
        <v>2</v>
      </c>
      <c r="C8" s="61" t="s">
        <v>367</v>
      </c>
      <c r="D8" s="61">
        <f>A5-14</f>
        <v>986</v>
      </c>
      <c r="E8" s="61" t="s">
        <v>340</v>
      </c>
      <c r="F8" s="62" t="s">
        <v>388</v>
      </c>
      <c r="G8" s="63">
        <v>0.69199999999999995</v>
      </c>
      <c r="H8" s="63">
        <f t="shared" ref="H8:H14" si="0">(D8/1000)*B8*G8</f>
        <v>1.3646239999999998</v>
      </c>
    </row>
    <row r="9" spans="1:8" x14ac:dyDescent="0.25">
      <c r="A9" s="60">
        <v>6902</v>
      </c>
      <c r="B9" s="61">
        <f>1*E5</f>
        <v>2</v>
      </c>
      <c r="C9" s="61" t="s">
        <v>367</v>
      </c>
      <c r="D9" s="61">
        <f>A5-14</f>
        <v>986</v>
      </c>
      <c r="E9" s="61" t="s">
        <v>340</v>
      </c>
      <c r="F9" s="62" t="s">
        <v>82</v>
      </c>
      <c r="G9" s="63">
        <v>0.67700000000000005</v>
      </c>
      <c r="H9" s="63">
        <f t="shared" si="0"/>
        <v>1.3350440000000001</v>
      </c>
    </row>
    <row r="10" spans="1:8" x14ac:dyDescent="0.25">
      <c r="A10" s="60">
        <v>6903</v>
      </c>
      <c r="B10" s="61">
        <f>2*E5</f>
        <v>4</v>
      </c>
      <c r="C10" s="61" t="s">
        <v>337</v>
      </c>
      <c r="D10" s="61">
        <f>C5</f>
        <v>1000</v>
      </c>
      <c r="E10" s="61" t="s">
        <v>340</v>
      </c>
      <c r="F10" s="62" t="s">
        <v>83</v>
      </c>
      <c r="G10" s="63">
        <v>0.55000000000000004</v>
      </c>
      <c r="H10" s="63">
        <f t="shared" si="0"/>
        <v>2.2000000000000002</v>
      </c>
    </row>
    <row r="11" spans="1:8" x14ac:dyDescent="0.25">
      <c r="A11" s="60">
        <v>6907</v>
      </c>
      <c r="B11" s="61">
        <f>2*E5</f>
        <v>4</v>
      </c>
      <c r="C11" s="61" t="s">
        <v>389</v>
      </c>
      <c r="D11" s="61">
        <f>A5/2-13</f>
        <v>487</v>
      </c>
      <c r="E11" s="61" t="s">
        <v>340</v>
      </c>
      <c r="F11" s="62" t="s">
        <v>324</v>
      </c>
      <c r="G11" s="63">
        <v>0.437</v>
      </c>
      <c r="H11" s="63">
        <f t="shared" si="0"/>
        <v>0.85127600000000003</v>
      </c>
    </row>
    <row r="12" spans="1:8" x14ac:dyDescent="0.25">
      <c r="A12" s="60">
        <v>6908</v>
      </c>
      <c r="B12" s="61">
        <f>2*E5</f>
        <v>4</v>
      </c>
      <c r="C12" s="61" t="s">
        <v>389</v>
      </c>
      <c r="D12" s="61">
        <f>A5/2-13</f>
        <v>487</v>
      </c>
      <c r="E12" s="61" t="s">
        <v>340</v>
      </c>
      <c r="F12" s="62" t="s">
        <v>341</v>
      </c>
      <c r="G12" s="63">
        <v>0.54300000000000004</v>
      </c>
      <c r="H12" s="63">
        <f t="shared" si="0"/>
        <v>1.0577640000000001</v>
      </c>
    </row>
    <row r="13" spans="1:8" x14ac:dyDescent="0.25">
      <c r="A13" s="60">
        <v>6905</v>
      </c>
      <c r="B13" s="61">
        <f>2*E5</f>
        <v>4</v>
      </c>
      <c r="C13" s="61" t="s">
        <v>390</v>
      </c>
      <c r="D13" s="61">
        <f>C5-40</f>
        <v>960</v>
      </c>
      <c r="E13" s="61" t="s">
        <v>340</v>
      </c>
      <c r="F13" s="62" t="s">
        <v>391</v>
      </c>
      <c r="G13" s="63">
        <v>0.54300000000000004</v>
      </c>
      <c r="H13" s="63">
        <f t="shared" si="0"/>
        <v>2.0851199999999999</v>
      </c>
    </row>
    <row r="14" spans="1:8" x14ac:dyDescent="0.25">
      <c r="A14" s="60">
        <v>6906</v>
      </c>
      <c r="B14" s="61">
        <f>2*E5</f>
        <v>4</v>
      </c>
      <c r="C14" s="61" t="s">
        <v>390</v>
      </c>
      <c r="D14" s="61">
        <f>10:10-40</f>
        <v>960</v>
      </c>
      <c r="E14" s="61" t="s">
        <v>340</v>
      </c>
      <c r="F14" s="62" t="s">
        <v>138</v>
      </c>
      <c r="G14" s="63">
        <v>0.48</v>
      </c>
      <c r="H14" s="63">
        <f t="shared" si="0"/>
        <v>1.8431999999999999</v>
      </c>
    </row>
    <row r="15" spans="1:8" x14ac:dyDescent="0.25">
      <c r="A15" s="64"/>
      <c r="B15" s="65"/>
      <c r="C15" s="65"/>
      <c r="D15" s="65"/>
      <c r="E15" s="65"/>
      <c r="F15" s="65"/>
      <c r="G15" s="63" t="s">
        <v>392</v>
      </c>
      <c r="H15" s="63">
        <f>SUM(H8:H14)</f>
        <v>10.737028</v>
      </c>
    </row>
    <row r="16" spans="1:8" x14ac:dyDescent="0.25">
      <c r="A16" s="64"/>
      <c r="B16" s="65"/>
      <c r="C16" s="65"/>
      <c r="D16" s="65"/>
      <c r="E16" s="65"/>
      <c r="F16" s="65"/>
      <c r="G16" s="66"/>
      <c r="H16" s="67"/>
    </row>
    <row r="17" spans="1:8" x14ac:dyDescent="0.25">
      <c r="A17" s="64"/>
      <c r="B17" s="65"/>
      <c r="C17" s="65"/>
      <c r="D17" s="65"/>
      <c r="E17" s="65"/>
      <c r="F17" s="65"/>
      <c r="G17" s="68"/>
      <c r="H17" s="67"/>
    </row>
    <row r="18" spans="1:8" x14ac:dyDescent="0.25">
      <c r="A18" s="69" t="s">
        <v>393</v>
      </c>
      <c r="B18" s="70"/>
      <c r="C18" s="70"/>
      <c r="D18" s="71"/>
      <c r="E18" s="59" t="s">
        <v>36</v>
      </c>
      <c r="F18" s="59" t="s">
        <v>266</v>
      </c>
      <c r="G18" s="52"/>
      <c r="H18" s="72"/>
    </row>
    <row r="19" spans="1:8" x14ac:dyDescent="0.25">
      <c r="A19" s="73" t="s">
        <v>394</v>
      </c>
      <c r="B19" s="74"/>
      <c r="C19" s="70"/>
      <c r="D19" s="71"/>
      <c r="E19" s="75">
        <f>F19*E5</f>
        <v>4</v>
      </c>
      <c r="F19" s="61">
        <v>2</v>
      </c>
      <c r="G19" s="76"/>
      <c r="H19" s="77"/>
    </row>
    <row r="20" spans="1:8" x14ac:dyDescent="0.25">
      <c r="A20" s="73" t="s">
        <v>395</v>
      </c>
      <c r="B20" s="74"/>
      <c r="C20" s="70"/>
      <c r="D20" s="71"/>
      <c r="E20" s="78">
        <f>F20*E5</f>
        <v>2</v>
      </c>
      <c r="F20" s="61">
        <v>1</v>
      </c>
      <c r="G20" s="76"/>
      <c r="H20" s="77"/>
    </row>
    <row r="21" spans="1:8" x14ac:dyDescent="0.25">
      <c r="A21" s="73" t="s">
        <v>396</v>
      </c>
      <c r="B21" s="74"/>
      <c r="C21" s="70"/>
      <c r="D21" s="71"/>
      <c r="E21" s="75">
        <f>F21*E5</f>
        <v>2</v>
      </c>
      <c r="F21" s="61">
        <v>1</v>
      </c>
      <c r="G21" s="76"/>
      <c r="H21" s="77"/>
    </row>
    <row r="22" spans="1:8" x14ac:dyDescent="0.25">
      <c r="A22" s="73" t="s">
        <v>397</v>
      </c>
      <c r="B22" s="74"/>
      <c r="C22" s="70"/>
      <c r="D22" s="71"/>
      <c r="E22" s="75">
        <f>4*(A5/1000)+4*(C5/1000)*E5</f>
        <v>12</v>
      </c>
      <c r="F22" s="61" t="s">
        <v>398</v>
      </c>
      <c r="G22" s="79"/>
      <c r="H22" s="77"/>
    </row>
    <row r="23" spans="1:8" x14ac:dyDescent="0.25">
      <c r="A23" s="73" t="s">
        <v>399</v>
      </c>
      <c r="B23" s="74"/>
      <c r="C23" s="70"/>
      <c r="D23" s="71"/>
      <c r="E23" s="75">
        <f>2*(C5/1000)*E5</f>
        <v>4</v>
      </c>
      <c r="F23" s="61" t="s">
        <v>400</v>
      </c>
      <c r="G23" s="79"/>
      <c r="H23" s="77"/>
    </row>
    <row r="24" spans="1:8" x14ac:dyDescent="0.25">
      <c r="A24" s="73" t="s">
        <v>401</v>
      </c>
      <c r="B24" s="74"/>
      <c r="C24" s="70"/>
      <c r="D24" s="71"/>
      <c r="E24" s="75">
        <f>2*(A5/1000)+4*(C5/1000)*E5</f>
        <v>10</v>
      </c>
      <c r="F24" s="61" t="s">
        <v>402</v>
      </c>
      <c r="G24" s="79"/>
      <c r="H24" s="77"/>
    </row>
    <row r="25" spans="1:8" x14ac:dyDescent="0.25">
      <c r="A25" s="73" t="s">
        <v>403</v>
      </c>
      <c r="B25" s="74"/>
      <c r="C25" s="70"/>
      <c r="D25" s="71"/>
      <c r="E25" s="75">
        <f>F25*E5</f>
        <v>8</v>
      </c>
      <c r="F25" s="61">
        <v>4</v>
      </c>
      <c r="G25" s="76"/>
      <c r="H25" s="77"/>
    </row>
    <row r="26" spans="1:8" x14ac:dyDescent="0.25">
      <c r="A26" s="73" t="s">
        <v>404</v>
      </c>
      <c r="B26" s="74"/>
      <c r="C26" s="70"/>
      <c r="D26" s="71"/>
      <c r="E26" s="75">
        <f>F26*E5</f>
        <v>8</v>
      </c>
      <c r="F26" s="61">
        <v>4</v>
      </c>
      <c r="G26" s="76"/>
      <c r="H26" s="77"/>
    </row>
    <row r="27" spans="1:8" x14ac:dyDescent="0.25">
      <c r="A27" s="73" t="s">
        <v>405</v>
      </c>
      <c r="B27" s="74"/>
      <c r="C27" s="70"/>
      <c r="D27" s="71"/>
      <c r="E27" s="75">
        <f>F27*E5</f>
        <v>8</v>
      </c>
      <c r="F27" s="61">
        <v>4</v>
      </c>
      <c r="G27" s="76"/>
      <c r="H27" s="77"/>
    </row>
    <row r="28" spans="1:8" x14ac:dyDescent="0.25">
      <c r="A28" s="73" t="s">
        <v>406</v>
      </c>
      <c r="B28" s="74"/>
      <c r="C28" s="70"/>
      <c r="D28" s="71"/>
      <c r="E28" s="75">
        <f>F28*E5</f>
        <v>4</v>
      </c>
      <c r="F28" s="61">
        <v>2</v>
      </c>
      <c r="G28" s="53"/>
      <c r="H28" s="80"/>
    </row>
    <row r="29" spans="1:8" x14ac:dyDescent="0.25">
      <c r="A29" s="73" t="s">
        <v>407</v>
      </c>
      <c r="B29" s="74"/>
      <c r="C29" s="70"/>
      <c r="D29" s="71"/>
      <c r="E29" s="75">
        <f>F29*E5</f>
        <v>4</v>
      </c>
      <c r="F29" s="61">
        <v>2</v>
      </c>
      <c r="G29" s="53"/>
      <c r="H29" s="80"/>
    </row>
    <row r="30" spans="1:8" x14ac:dyDescent="0.25">
      <c r="A30" s="73" t="s">
        <v>408</v>
      </c>
      <c r="B30" s="74"/>
      <c r="C30" s="70"/>
      <c r="D30" s="71"/>
      <c r="E30" s="75">
        <f>F30*E5</f>
        <v>4</v>
      </c>
      <c r="F30" s="61">
        <v>2</v>
      </c>
      <c r="G30" s="53"/>
      <c r="H30" s="80"/>
    </row>
    <row r="31" spans="1:8" x14ac:dyDescent="0.25">
      <c r="A31" s="81" t="s">
        <v>409</v>
      </c>
      <c r="B31" s="74"/>
      <c r="C31" s="70"/>
      <c r="D31" s="71"/>
      <c r="E31" s="75">
        <f>F31*E5</f>
        <v>8</v>
      </c>
      <c r="F31" s="61">
        <v>4</v>
      </c>
      <c r="G31" s="53"/>
      <c r="H31" s="80"/>
    </row>
    <row r="32" spans="1:8" x14ac:dyDescent="0.25">
      <c r="A32" s="73" t="s">
        <v>410</v>
      </c>
      <c r="B32" s="74"/>
      <c r="C32" s="70"/>
      <c r="D32" s="71"/>
      <c r="E32" s="75">
        <f>F32*E5</f>
        <v>2</v>
      </c>
      <c r="F32" s="61">
        <v>1</v>
      </c>
      <c r="G32" s="82"/>
      <c r="H32" s="51"/>
    </row>
    <row r="33" spans="1:8" x14ac:dyDescent="0.25">
      <c r="A33" s="73" t="s">
        <v>411</v>
      </c>
      <c r="B33" s="74"/>
      <c r="C33" s="70"/>
      <c r="D33" s="71"/>
      <c r="E33" s="75">
        <f>F33*E5</f>
        <v>2</v>
      </c>
      <c r="F33" s="61">
        <v>1</v>
      </c>
      <c r="G33" s="82"/>
      <c r="H33" s="51"/>
    </row>
    <row r="34" spans="1:8" x14ac:dyDescent="0.25">
      <c r="A34" s="73" t="s">
        <v>412</v>
      </c>
      <c r="B34" s="74"/>
      <c r="C34" s="70"/>
      <c r="D34" s="71"/>
      <c r="E34" s="75">
        <f>F34*E5</f>
        <v>32</v>
      </c>
      <c r="F34" s="61">
        <v>16</v>
      </c>
      <c r="G34" s="65"/>
      <c r="H34" s="51"/>
    </row>
    <row r="35" spans="1:8" x14ac:dyDescent="0.25">
      <c r="A35" s="52"/>
      <c r="B35" s="53"/>
      <c r="C35" s="53"/>
      <c r="D35" s="53"/>
      <c r="E35" s="53"/>
      <c r="F35" s="65"/>
      <c r="G35" s="53"/>
      <c r="H35" s="83"/>
    </row>
    <row r="36" spans="1:8" x14ac:dyDescent="0.25">
      <c r="A36" s="52"/>
      <c r="B36" s="53"/>
      <c r="C36" s="53"/>
      <c r="D36" s="53"/>
      <c r="E36" s="53"/>
      <c r="F36" s="65"/>
      <c r="G36" s="53"/>
      <c r="H36" s="83"/>
    </row>
    <row r="37" spans="1:8" x14ac:dyDescent="0.25">
      <c r="A37" s="59" t="s">
        <v>413</v>
      </c>
      <c r="B37" s="84" t="s">
        <v>266</v>
      </c>
      <c r="C37" s="84" t="s">
        <v>383</v>
      </c>
      <c r="D37" s="405" t="s">
        <v>414</v>
      </c>
      <c r="E37" s="406"/>
      <c r="F37" s="85" t="s">
        <v>415</v>
      </c>
      <c r="G37" s="59" t="s">
        <v>416</v>
      </c>
      <c r="H37" s="86"/>
    </row>
    <row r="38" spans="1:8" x14ac:dyDescent="0.25">
      <c r="A38" s="87"/>
      <c r="B38" s="61">
        <f>2*E5</f>
        <v>4</v>
      </c>
      <c r="C38" s="88" t="s">
        <v>417</v>
      </c>
      <c r="D38" s="407">
        <f>A5/2-55</f>
        <v>445</v>
      </c>
      <c r="E38" s="408"/>
      <c r="F38" s="61">
        <f>C5-116</f>
        <v>884</v>
      </c>
      <c r="G38" s="91">
        <f>+(D38/1000)*(F38/1000)*B38</f>
        <v>1.57352</v>
      </c>
      <c r="H38" s="92"/>
    </row>
    <row r="39" spans="1:8" x14ac:dyDescent="0.25">
      <c r="A39" s="52"/>
      <c r="B39" s="93"/>
      <c r="C39" s="53"/>
      <c r="D39" s="53"/>
      <c r="E39" s="53"/>
      <c r="F39" s="94" t="s">
        <v>418</v>
      </c>
      <c r="G39" s="95">
        <f>SUM(G38)</f>
        <v>1.57352</v>
      </c>
      <c r="H39" s="51"/>
    </row>
    <row r="40" spans="1:8" x14ac:dyDescent="0.25">
      <c r="A40" s="52"/>
      <c r="B40" s="93"/>
      <c r="C40" s="53"/>
      <c r="D40" s="53"/>
      <c r="E40" s="53"/>
      <c r="F40" s="94"/>
      <c r="G40" s="96"/>
      <c r="H40" s="51"/>
    </row>
    <row r="41" spans="1:8" x14ac:dyDescent="0.25">
      <c r="A41" s="52"/>
      <c r="B41" s="93"/>
      <c r="C41" s="53"/>
      <c r="D41" s="53"/>
      <c r="E41" s="53"/>
      <c r="F41" s="94"/>
      <c r="G41" s="96"/>
      <c r="H41" s="51"/>
    </row>
    <row r="42" spans="1:8" x14ac:dyDescent="0.25">
      <c r="A42" s="52"/>
      <c r="B42" s="93"/>
      <c r="C42" s="53"/>
      <c r="D42" s="53"/>
      <c r="E42" s="53"/>
      <c r="F42" s="94"/>
      <c r="G42" s="96"/>
      <c r="H42" s="51"/>
    </row>
    <row r="43" spans="1:8" x14ac:dyDescent="0.25">
      <c r="A43" s="52"/>
      <c r="B43" s="93"/>
      <c r="C43" s="53"/>
      <c r="D43" s="53"/>
      <c r="E43" s="53"/>
      <c r="F43" s="94"/>
      <c r="G43" s="96"/>
      <c r="H43" s="51"/>
    </row>
    <row r="44" spans="1:8" x14ac:dyDescent="0.25">
      <c r="A44" s="52"/>
      <c r="B44" s="93"/>
      <c r="C44" s="53"/>
      <c r="D44" s="53"/>
      <c r="E44" s="53"/>
      <c r="F44" s="94"/>
      <c r="G44" s="96"/>
      <c r="H44" s="51"/>
    </row>
    <row r="45" spans="1:8" x14ac:dyDescent="0.25">
      <c r="A45" s="52"/>
      <c r="B45" s="93"/>
      <c r="C45" s="53"/>
      <c r="D45" s="53"/>
      <c r="E45" s="53"/>
      <c r="F45" s="94"/>
      <c r="G45" s="96"/>
      <c r="H45" s="51"/>
    </row>
    <row r="46" spans="1:8" x14ac:dyDescent="0.25">
      <c r="A46" s="52"/>
      <c r="B46" s="93"/>
      <c r="C46" s="53"/>
      <c r="D46" s="53"/>
      <c r="E46" s="53"/>
      <c r="F46" s="94"/>
      <c r="G46" s="96"/>
      <c r="H46" s="51"/>
    </row>
    <row r="47" spans="1:8" x14ac:dyDescent="0.25">
      <c r="A47" s="52"/>
      <c r="B47" s="93"/>
      <c r="C47" s="53"/>
      <c r="D47" s="53"/>
      <c r="E47" s="53"/>
      <c r="F47" s="94"/>
      <c r="G47" s="96"/>
      <c r="H47" s="51"/>
    </row>
    <row r="48" spans="1:8" x14ac:dyDescent="0.25">
      <c r="A48" s="52"/>
      <c r="B48" s="93"/>
      <c r="C48" s="53"/>
      <c r="D48" s="53"/>
      <c r="E48" s="53"/>
      <c r="F48" s="94"/>
      <c r="G48" s="96"/>
      <c r="H48" s="51"/>
    </row>
    <row r="49" spans="1:8" x14ac:dyDescent="0.25">
      <c r="A49" s="52"/>
      <c r="B49" s="93"/>
      <c r="C49" s="53"/>
      <c r="D49" s="53"/>
      <c r="E49" s="53"/>
      <c r="F49" s="94"/>
      <c r="G49" s="96"/>
      <c r="H49" s="51"/>
    </row>
    <row r="50" spans="1:8" x14ac:dyDescent="0.25">
      <c r="A50" s="52"/>
      <c r="B50" s="93"/>
      <c r="C50" s="53"/>
      <c r="D50" s="53"/>
      <c r="E50" s="53"/>
      <c r="F50" s="94"/>
      <c r="G50" s="96"/>
      <c r="H50" s="51"/>
    </row>
    <row r="51" spans="1:8" x14ac:dyDescent="0.25">
      <c r="A51" s="52"/>
      <c r="B51" s="93"/>
      <c r="C51" s="53"/>
      <c r="D51" s="53"/>
      <c r="E51" s="53"/>
      <c r="F51" s="94"/>
      <c r="G51" s="96"/>
      <c r="H51" s="51"/>
    </row>
    <row r="52" spans="1:8" x14ac:dyDescent="0.25">
      <c r="A52" s="52"/>
      <c r="B52" s="93"/>
      <c r="C52" s="53"/>
      <c r="D52" s="53"/>
      <c r="E52" s="53"/>
      <c r="F52" s="94"/>
      <c r="G52" s="96"/>
      <c r="H52" s="51"/>
    </row>
    <row r="53" spans="1:8" x14ac:dyDescent="0.25">
      <c r="A53" s="52"/>
      <c r="B53" s="93"/>
      <c r="C53" s="53"/>
      <c r="D53" s="53"/>
      <c r="E53" s="53"/>
      <c r="F53" s="94"/>
      <c r="G53" s="96"/>
      <c r="H53" s="51"/>
    </row>
    <row r="54" spans="1:8" x14ac:dyDescent="0.25">
      <c r="A54" s="52"/>
      <c r="B54" s="93"/>
      <c r="C54" s="53"/>
      <c r="D54" s="53"/>
      <c r="E54" s="53"/>
      <c r="F54" s="94"/>
      <c r="G54" s="96"/>
      <c r="H54" s="51"/>
    </row>
    <row r="55" spans="1:8" x14ac:dyDescent="0.25">
      <c r="A55" s="52"/>
      <c r="B55" s="93"/>
      <c r="C55" s="53"/>
      <c r="D55" s="53"/>
      <c r="E55" s="53"/>
      <c r="F55" s="94"/>
      <c r="G55" s="96"/>
      <c r="H55" s="51"/>
    </row>
    <row r="56" spans="1:8" x14ac:dyDescent="0.25">
      <c r="A56" s="52"/>
      <c r="B56" s="93"/>
      <c r="C56" s="53"/>
      <c r="D56" s="53"/>
      <c r="E56" s="53"/>
      <c r="F56" s="94"/>
      <c r="G56" s="96"/>
      <c r="H56" s="51"/>
    </row>
    <row r="57" spans="1:8" x14ac:dyDescent="0.25">
      <c r="A57" s="52"/>
      <c r="B57" s="93"/>
      <c r="C57" s="53"/>
      <c r="D57" s="53"/>
      <c r="E57" s="53"/>
      <c r="F57" s="94"/>
      <c r="G57" s="96"/>
      <c r="H57" s="51"/>
    </row>
    <row r="58" spans="1:8" x14ac:dyDescent="0.25">
      <c r="A58" s="52"/>
      <c r="B58" s="93"/>
      <c r="C58" s="53"/>
      <c r="D58" s="53"/>
      <c r="E58" s="53"/>
      <c r="F58" s="94"/>
      <c r="G58" s="96"/>
      <c r="H58" s="51"/>
    </row>
    <row r="59" spans="1:8" x14ac:dyDescent="0.25">
      <c r="A59" s="45"/>
      <c r="B59" s="97"/>
      <c r="C59" s="45"/>
      <c r="D59" s="45"/>
      <c r="E59" s="45"/>
      <c r="F59" s="98"/>
      <c r="G59" s="99"/>
      <c r="H59" s="45"/>
    </row>
    <row r="60" spans="1:8" x14ac:dyDescent="0.25">
      <c r="A60" s="100"/>
      <c r="B60" s="100"/>
      <c r="C60" s="100"/>
      <c r="D60" s="100"/>
      <c r="E60" s="100"/>
      <c r="F60" s="101"/>
      <c r="G60" s="100"/>
      <c r="H60" s="100"/>
    </row>
    <row r="61" spans="1:8" x14ac:dyDescent="0.25">
      <c r="A61" s="44"/>
      <c r="B61" s="45"/>
      <c r="C61" s="45"/>
      <c r="D61" s="45"/>
      <c r="E61" s="45"/>
      <c r="F61" s="102"/>
      <c r="G61" s="45"/>
      <c r="H61" s="46"/>
    </row>
    <row r="62" spans="1:8" x14ac:dyDescent="0.25">
      <c r="A62" s="52"/>
      <c r="B62" s="53"/>
      <c r="C62" s="53"/>
      <c r="D62" s="53"/>
      <c r="E62" s="53"/>
      <c r="F62" s="65"/>
      <c r="G62" s="53"/>
      <c r="H62" s="51"/>
    </row>
    <row r="63" spans="1:8" x14ac:dyDescent="0.25">
      <c r="A63" s="47" t="s">
        <v>419</v>
      </c>
      <c r="B63" s="48"/>
      <c r="C63" s="49"/>
      <c r="D63" s="49"/>
      <c r="E63" s="49"/>
      <c r="F63" s="50"/>
      <c r="G63" s="50"/>
      <c r="H63" s="103"/>
    </row>
    <row r="64" spans="1:8" ht="16.5" thickBot="1" x14ac:dyDescent="0.3">
      <c r="A64" s="52"/>
      <c r="B64" s="53"/>
      <c r="C64" s="53"/>
      <c r="D64" s="53"/>
      <c r="E64" s="53"/>
      <c r="F64" s="65"/>
      <c r="G64" s="54" t="s">
        <v>420</v>
      </c>
      <c r="H64" s="51"/>
    </row>
    <row r="65" spans="1:8" ht="16.5" thickBot="1" x14ac:dyDescent="0.3">
      <c r="A65" s="400" t="s">
        <v>381</v>
      </c>
      <c r="B65" s="401"/>
      <c r="C65" s="402" t="s">
        <v>382</v>
      </c>
      <c r="D65" s="401"/>
      <c r="E65" s="55" t="s">
        <v>266</v>
      </c>
      <c r="F65" s="65"/>
      <c r="G65" s="53"/>
      <c r="H65" s="51"/>
    </row>
    <row r="66" spans="1:8" ht="16.5" thickBot="1" x14ac:dyDescent="0.3">
      <c r="A66" s="403">
        <v>2100</v>
      </c>
      <c r="B66" s="404"/>
      <c r="C66" s="403">
        <v>1200</v>
      </c>
      <c r="D66" s="404"/>
      <c r="E66" s="56">
        <v>1</v>
      </c>
      <c r="F66" s="65"/>
      <c r="G66" s="53"/>
      <c r="H66" s="51"/>
    </row>
    <row r="67" spans="1:8" x14ac:dyDescent="0.25">
      <c r="A67" s="52"/>
      <c r="B67" s="58"/>
      <c r="C67" s="58"/>
      <c r="D67" s="58"/>
      <c r="E67" s="58"/>
      <c r="F67" s="58"/>
      <c r="G67" s="53"/>
      <c r="H67" s="83"/>
    </row>
    <row r="68" spans="1:8" x14ac:dyDescent="0.25">
      <c r="A68" s="59" t="s">
        <v>323</v>
      </c>
      <c r="B68" s="59" t="s">
        <v>266</v>
      </c>
      <c r="C68" s="59" t="s">
        <v>383</v>
      </c>
      <c r="D68" s="59" t="s">
        <v>384</v>
      </c>
      <c r="E68" s="59" t="s">
        <v>332</v>
      </c>
      <c r="F68" s="59" t="s">
        <v>385</v>
      </c>
      <c r="G68" s="59" t="s">
        <v>386</v>
      </c>
      <c r="H68" s="59" t="s">
        <v>387</v>
      </c>
    </row>
    <row r="69" spans="1:8" x14ac:dyDescent="0.25">
      <c r="A69" s="60">
        <v>6901</v>
      </c>
      <c r="B69" s="61">
        <f>1*E66</f>
        <v>1</v>
      </c>
      <c r="C69" s="61" t="s">
        <v>367</v>
      </c>
      <c r="D69" s="61">
        <f>A66-14</f>
        <v>2086</v>
      </c>
      <c r="E69" s="61" t="s">
        <v>340</v>
      </c>
      <c r="F69" s="104" t="s">
        <v>388</v>
      </c>
      <c r="G69" s="63">
        <v>0.69199999999999995</v>
      </c>
      <c r="H69" s="63">
        <f t="shared" ref="H69:H77" si="1">(D69/1000)*B69*G69</f>
        <v>1.4435119999999997</v>
      </c>
    </row>
    <row r="70" spans="1:8" x14ac:dyDescent="0.25">
      <c r="A70" s="60">
        <v>6902</v>
      </c>
      <c r="B70" s="61">
        <f>1*E66</f>
        <v>1</v>
      </c>
      <c r="C70" s="61" t="s">
        <v>367</v>
      </c>
      <c r="D70" s="61">
        <f>A66-14</f>
        <v>2086</v>
      </c>
      <c r="E70" s="61" t="s">
        <v>340</v>
      </c>
      <c r="F70" s="104" t="s">
        <v>82</v>
      </c>
      <c r="G70" s="63">
        <v>0.67700000000000005</v>
      </c>
      <c r="H70" s="63">
        <f t="shared" si="1"/>
        <v>1.4122220000000001</v>
      </c>
    </row>
    <row r="71" spans="1:8" x14ac:dyDescent="0.25">
      <c r="A71" s="60">
        <v>6903</v>
      </c>
      <c r="B71" s="61">
        <f>2*E66</f>
        <v>2</v>
      </c>
      <c r="C71" s="61" t="s">
        <v>337</v>
      </c>
      <c r="D71" s="61">
        <f>C66</f>
        <v>1200</v>
      </c>
      <c r="E71" s="61" t="s">
        <v>340</v>
      </c>
      <c r="F71" s="104" t="s">
        <v>83</v>
      </c>
      <c r="G71" s="63">
        <v>0.55000000000000004</v>
      </c>
      <c r="H71" s="63">
        <f t="shared" si="1"/>
        <v>1.32</v>
      </c>
    </row>
    <row r="72" spans="1:8" x14ac:dyDescent="0.25">
      <c r="A72" s="60">
        <v>6907</v>
      </c>
      <c r="B72" s="61">
        <v>2</v>
      </c>
      <c r="C72" s="61" t="s">
        <v>421</v>
      </c>
      <c r="D72" s="105">
        <f>A66/3-13</f>
        <v>687</v>
      </c>
      <c r="E72" s="61" t="s">
        <v>340</v>
      </c>
      <c r="F72" s="104" t="s">
        <v>324</v>
      </c>
      <c r="G72" s="63">
        <v>0.437</v>
      </c>
      <c r="H72" s="63">
        <f t="shared" si="1"/>
        <v>0.60043800000000003</v>
      </c>
    </row>
    <row r="73" spans="1:8" x14ac:dyDescent="0.25">
      <c r="A73" s="60">
        <v>6908</v>
      </c>
      <c r="B73" s="61">
        <f>2*E66</f>
        <v>2</v>
      </c>
      <c r="C73" s="61" t="s">
        <v>421</v>
      </c>
      <c r="D73" s="105">
        <f>A66/3-13</f>
        <v>687</v>
      </c>
      <c r="E73" s="61" t="s">
        <v>340</v>
      </c>
      <c r="F73" s="104" t="s">
        <v>341</v>
      </c>
      <c r="G73" s="63">
        <v>0.54300000000000004</v>
      </c>
      <c r="H73" s="63">
        <f t="shared" si="1"/>
        <v>0.74608200000000013</v>
      </c>
    </row>
    <row r="74" spans="1:8" x14ac:dyDescent="0.25">
      <c r="A74" s="60">
        <v>6907</v>
      </c>
      <c r="B74" s="61">
        <f>1*E66</f>
        <v>1</v>
      </c>
      <c r="C74" s="61" t="s">
        <v>422</v>
      </c>
      <c r="D74" s="105">
        <f>A66/3+26</f>
        <v>726</v>
      </c>
      <c r="E74" s="61" t="s">
        <v>340</v>
      </c>
      <c r="F74" s="104" t="s">
        <v>324</v>
      </c>
      <c r="G74" s="63">
        <v>0.437</v>
      </c>
      <c r="H74" s="63">
        <f t="shared" si="1"/>
        <v>0.31726199999999999</v>
      </c>
    </row>
    <row r="75" spans="1:8" x14ac:dyDescent="0.25">
      <c r="A75" s="60">
        <v>6908</v>
      </c>
      <c r="B75" s="61">
        <f>1*E66</f>
        <v>1</v>
      </c>
      <c r="C75" s="61" t="s">
        <v>422</v>
      </c>
      <c r="D75" s="105">
        <f>A66/3+26</f>
        <v>726</v>
      </c>
      <c r="E75" s="61" t="s">
        <v>340</v>
      </c>
      <c r="F75" s="104" t="s">
        <v>341</v>
      </c>
      <c r="G75" s="63">
        <v>0.54300000000000004</v>
      </c>
      <c r="H75" s="63">
        <f t="shared" si="1"/>
        <v>0.39421800000000001</v>
      </c>
    </row>
    <row r="76" spans="1:8" x14ac:dyDescent="0.25">
      <c r="A76" s="60">
        <v>6905</v>
      </c>
      <c r="B76" s="61">
        <f>2*E66</f>
        <v>2</v>
      </c>
      <c r="C76" s="61" t="s">
        <v>390</v>
      </c>
      <c r="D76" s="61">
        <f>C66-40</f>
        <v>1160</v>
      </c>
      <c r="E76" s="61" t="s">
        <v>340</v>
      </c>
      <c r="F76" s="104" t="s">
        <v>391</v>
      </c>
      <c r="G76" s="63">
        <v>0.54300000000000004</v>
      </c>
      <c r="H76" s="63">
        <f t="shared" si="1"/>
        <v>1.25976</v>
      </c>
    </row>
    <row r="77" spans="1:8" x14ac:dyDescent="0.25">
      <c r="A77" s="60">
        <v>6906</v>
      </c>
      <c r="B77" s="61">
        <v>4</v>
      </c>
      <c r="C77" s="61" t="s">
        <v>390</v>
      </c>
      <c r="D77" s="61">
        <f>C66-40</f>
        <v>1160</v>
      </c>
      <c r="E77" s="61" t="s">
        <v>340</v>
      </c>
      <c r="F77" s="104" t="s">
        <v>138</v>
      </c>
      <c r="G77" s="63">
        <v>0.48</v>
      </c>
      <c r="H77" s="63">
        <f t="shared" si="1"/>
        <v>2.2271999999999998</v>
      </c>
    </row>
    <row r="78" spans="1:8" x14ac:dyDescent="0.25">
      <c r="A78" s="64"/>
      <c r="B78" s="65"/>
      <c r="C78" s="65"/>
      <c r="D78" s="65"/>
      <c r="E78" s="65"/>
      <c r="F78" s="65"/>
      <c r="G78" s="63" t="s">
        <v>392</v>
      </c>
      <c r="H78" s="63">
        <f>SUM(H69:H77)</f>
        <v>9.7206940000000017</v>
      </c>
    </row>
    <row r="79" spans="1:8" x14ac:dyDescent="0.25">
      <c r="A79" s="64"/>
      <c r="B79" s="65"/>
      <c r="C79" s="65"/>
      <c r="D79" s="65"/>
      <c r="E79" s="65"/>
      <c r="F79" s="65"/>
      <c r="G79" s="66"/>
      <c r="H79" s="67"/>
    </row>
    <row r="80" spans="1:8" x14ac:dyDescent="0.25">
      <c r="A80" s="64"/>
      <c r="B80" s="65"/>
      <c r="C80" s="65"/>
      <c r="D80" s="65"/>
      <c r="E80" s="65"/>
      <c r="F80" s="65"/>
      <c r="G80" s="68"/>
      <c r="H80" s="67"/>
    </row>
    <row r="81" spans="1:8" x14ac:dyDescent="0.25">
      <c r="A81" s="69" t="s">
        <v>393</v>
      </c>
      <c r="B81" s="70"/>
      <c r="C81" s="70"/>
      <c r="D81" s="71"/>
      <c r="E81" s="59" t="s">
        <v>36</v>
      </c>
      <c r="F81" s="59" t="s">
        <v>266</v>
      </c>
      <c r="G81" s="52"/>
      <c r="H81" s="72"/>
    </row>
    <row r="82" spans="1:8" x14ac:dyDescent="0.25">
      <c r="A82" s="73" t="s">
        <v>394</v>
      </c>
      <c r="B82" s="74"/>
      <c r="C82" s="70"/>
      <c r="D82" s="71"/>
      <c r="E82" s="106">
        <f>F82*E66</f>
        <v>2</v>
      </c>
      <c r="F82" s="61">
        <v>2</v>
      </c>
      <c r="G82" s="76"/>
      <c r="H82" s="77"/>
    </row>
    <row r="83" spans="1:8" x14ac:dyDescent="0.25">
      <c r="A83" s="73" t="s">
        <v>395</v>
      </c>
      <c r="B83" s="74"/>
      <c r="C83" s="70"/>
      <c r="D83" s="71"/>
      <c r="E83" s="107">
        <f>F83*E66</f>
        <v>1</v>
      </c>
      <c r="F83" s="61">
        <v>1</v>
      </c>
      <c r="G83" s="76"/>
      <c r="H83" s="77"/>
    </row>
    <row r="84" spans="1:8" x14ac:dyDescent="0.25">
      <c r="A84" s="73" t="s">
        <v>396</v>
      </c>
      <c r="B84" s="74"/>
      <c r="C84" s="70"/>
      <c r="D84" s="71"/>
      <c r="E84" s="107">
        <f>F84*E66</f>
        <v>1</v>
      </c>
      <c r="F84" s="61">
        <v>1</v>
      </c>
      <c r="G84" s="93"/>
      <c r="H84" s="77"/>
    </row>
    <row r="85" spans="1:8" x14ac:dyDescent="0.25">
      <c r="A85" s="73" t="s">
        <v>397</v>
      </c>
      <c r="B85" s="74"/>
      <c r="C85" s="70"/>
      <c r="D85" s="71"/>
      <c r="E85" s="107">
        <f>4*(A66/1000)+4*(C66/1000)*E66</f>
        <v>13.2</v>
      </c>
      <c r="F85" s="61" t="s">
        <v>398</v>
      </c>
      <c r="G85" s="79"/>
      <c r="H85" s="77"/>
    </row>
    <row r="86" spans="1:8" x14ac:dyDescent="0.25">
      <c r="A86" s="73" t="s">
        <v>399</v>
      </c>
      <c r="B86" s="74"/>
      <c r="C86" s="70"/>
      <c r="D86" s="71"/>
      <c r="E86" s="107">
        <f>4*(C66/1000)*E66</f>
        <v>4.8</v>
      </c>
      <c r="F86" s="61" t="s">
        <v>423</v>
      </c>
      <c r="G86" s="79"/>
      <c r="H86" s="77"/>
    </row>
    <row r="87" spans="1:8" x14ac:dyDescent="0.25">
      <c r="A87" s="73" t="s">
        <v>401</v>
      </c>
      <c r="B87" s="74"/>
      <c r="C87" s="70"/>
      <c r="D87" s="71"/>
      <c r="E87" s="107">
        <f>2*(A66/1000)+6*(C66/1000)*E66</f>
        <v>11.399999999999999</v>
      </c>
      <c r="F87" s="61" t="s">
        <v>424</v>
      </c>
      <c r="G87" s="79"/>
      <c r="H87" s="77"/>
    </row>
    <row r="88" spans="1:8" x14ac:dyDescent="0.25">
      <c r="A88" s="73" t="s">
        <v>403</v>
      </c>
      <c r="B88" s="74"/>
      <c r="C88" s="70"/>
      <c r="D88" s="71"/>
      <c r="E88" s="107">
        <f>F88*E66</f>
        <v>4</v>
      </c>
      <c r="F88" s="61">
        <v>4</v>
      </c>
      <c r="G88" s="76"/>
      <c r="H88" s="77"/>
    </row>
    <row r="89" spans="1:8" x14ac:dyDescent="0.25">
      <c r="A89" s="73" t="s">
        <v>404</v>
      </c>
      <c r="B89" s="74"/>
      <c r="C89" s="70"/>
      <c r="D89" s="71"/>
      <c r="E89" s="107">
        <f>F89*E66</f>
        <v>8</v>
      </c>
      <c r="F89" s="61">
        <v>8</v>
      </c>
      <c r="G89" s="76"/>
      <c r="H89" s="77"/>
    </row>
    <row r="90" spans="1:8" x14ac:dyDescent="0.25">
      <c r="A90" s="73" t="s">
        <v>405</v>
      </c>
      <c r="B90" s="74"/>
      <c r="C90" s="70"/>
      <c r="D90" s="71"/>
      <c r="E90" s="107">
        <f>F90*E66</f>
        <v>8</v>
      </c>
      <c r="F90" s="61">
        <v>8</v>
      </c>
      <c r="G90" s="53"/>
      <c r="H90" s="80"/>
    </row>
    <row r="91" spans="1:8" x14ac:dyDescent="0.25">
      <c r="A91" s="73" t="s">
        <v>406</v>
      </c>
      <c r="B91" s="74"/>
      <c r="C91" s="70"/>
      <c r="D91" s="71"/>
      <c r="E91" s="107">
        <f>F91*E66</f>
        <v>2</v>
      </c>
      <c r="F91" s="61">
        <v>2</v>
      </c>
      <c r="G91" s="53"/>
      <c r="H91" s="80"/>
    </row>
    <row r="92" spans="1:8" x14ac:dyDescent="0.25">
      <c r="A92" s="73" t="s">
        <v>407</v>
      </c>
      <c r="B92" s="74"/>
      <c r="C92" s="70"/>
      <c r="D92" s="71"/>
      <c r="E92" s="107">
        <f>F92*E66</f>
        <v>2</v>
      </c>
      <c r="F92" s="61">
        <v>2</v>
      </c>
      <c r="G92" s="53"/>
      <c r="H92" s="80"/>
    </row>
    <row r="93" spans="1:8" x14ac:dyDescent="0.25">
      <c r="A93" s="73" t="s">
        <v>408</v>
      </c>
      <c r="B93" s="74"/>
      <c r="C93" s="70"/>
      <c r="D93" s="71"/>
      <c r="E93" s="107">
        <f>F93*E66</f>
        <v>2</v>
      </c>
      <c r="F93" s="61">
        <v>2</v>
      </c>
      <c r="G93" s="53"/>
      <c r="H93" s="80"/>
    </row>
    <row r="94" spans="1:8" x14ac:dyDescent="0.25">
      <c r="A94" s="81" t="s">
        <v>409</v>
      </c>
      <c r="B94" s="74"/>
      <c r="C94" s="70"/>
      <c r="D94" s="71"/>
      <c r="E94" s="107">
        <f>F94*E66</f>
        <v>4</v>
      </c>
      <c r="F94" s="61">
        <v>4</v>
      </c>
      <c r="G94" s="82"/>
      <c r="H94" s="51"/>
    </row>
    <row r="95" spans="1:8" x14ac:dyDescent="0.25">
      <c r="A95" s="73" t="s">
        <v>410</v>
      </c>
      <c r="B95" s="74"/>
      <c r="C95" s="70"/>
      <c r="D95" s="71"/>
      <c r="E95" s="107">
        <f>F95*E66</f>
        <v>2</v>
      </c>
      <c r="F95" s="61">
        <v>2</v>
      </c>
      <c r="G95" s="82"/>
      <c r="H95" s="51"/>
    </row>
    <row r="96" spans="1:8" x14ac:dyDescent="0.25">
      <c r="A96" s="73" t="s">
        <v>411</v>
      </c>
      <c r="B96" s="74"/>
      <c r="C96" s="70"/>
      <c r="D96" s="71"/>
      <c r="E96" s="107">
        <f>F96*E66</f>
        <v>2</v>
      </c>
      <c r="F96" s="61">
        <v>2</v>
      </c>
      <c r="G96" s="82"/>
      <c r="H96" s="51"/>
    </row>
    <row r="97" spans="1:8" x14ac:dyDescent="0.25">
      <c r="A97" s="73" t="s">
        <v>412</v>
      </c>
      <c r="B97" s="74"/>
      <c r="C97" s="70"/>
      <c r="D97" s="71"/>
      <c r="E97" s="107">
        <f>F97*E66</f>
        <v>20</v>
      </c>
      <c r="F97" s="61">
        <v>20</v>
      </c>
      <c r="G97" s="82"/>
      <c r="H97" s="51"/>
    </row>
    <row r="98" spans="1:8" x14ac:dyDescent="0.25">
      <c r="A98" s="52"/>
      <c r="B98" s="53"/>
      <c r="C98" s="53"/>
      <c r="D98" s="53"/>
      <c r="E98" s="53"/>
      <c r="F98" s="65"/>
      <c r="G98" s="53"/>
      <c r="H98" s="83"/>
    </row>
    <row r="99" spans="1:8" x14ac:dyDescent="0.25">
      <c r="A99" s="52"/>
      <c r="B99" s="53"/>
      <c r="C99" s="53"/>
      <c r="D99" s="53"/>
      <c r="E99" s="53"/>
      <c r="F99" s="65"/>
      <c r="G99" s="53"/>
      <c r="H99" s="83"/>
    </row>
    <row r="100" spans="1:8" x14ac:dyDescent="0.25">
      <c r="A100" s="59" t="s">
        <v>413</v>
      </c>
      <c r="B100" s="84" t="s">
        <v>266</v>
      </c>
      <c r="C100" s="84" t="s">
        <v>383</v>
      </c>
      <c r="D100" s="405" t="s">
        <v>414</v>
      </c>
      <c r="E100" s="406"/>
      <c r="F100" s="85" t="s">
        <v>415</v>
      </c>
      <c r="G100" s="59" t="s">
        <v>416</v>
      </c>
      <c r="H100" s="86"/>
    </row>
    <row r="101" spans="1:8" x14ac:dyDescent="0.25">
      <c r="A101" s="61"/>
      <c r="B101" s="89">
        <f>2*E66</f>
        <v>2</v>
      </c>
      <c r="C101" s="108" t="s">
        <v>425</v>
      </c>
      <c r="D101" s="409">
        <f>A66/3-55</f>
        <v>645</v>
      </c>
      <c r="E101" s="410"/>
      <c r="F101" s="90">
        <f>C66-116</f>
        <v>1084</v>
      </c>
      <c r="G101" s="91">
        <f>+(D101/1000)*(F101/1000)*B101</f>
        <v>1.39836</v>
      </c>
      <c r="H101" s="83"/>
    </row>
    <row r="102" spans="1:8" x14ac:dyDescent="0.25">
      <c r="A102" s="87"/>
      <c r="B102" s="61">
        <f>1*E66</f>
        <v>1</v>
      </c>
      <c r="C102" s="88" t="s">
        <v>426</v>
      </c>
      <c r="D102" s="409">
        <f>A66/3-8</f>
        <v>692</v>
      </c>
      <c r="E102" s="410"/>
      <c r="F102" s="61">
        <f>C66-116</f>
        <v>1084</v>
      </c>
      <c r="G102" s="91">
        <f>+(D102/1000)*(F102/1000)*B102</f>
        <v>0.75012800000000002</v>
      </c>
      <c r="H102" s="92"/>
    </row>
    <row r="103" spans="1:8" x14ac:dyDescent="0.25">
      <c r="A103" s="52"/>
      <c r="B103" s="93"/>
      <c r="C103" s="53"/>
      <c r="D103" s="53"/>
      <c r="E103" s="53"/>
      <c r="F103" s="94" t="s">
        <v>418</v>
      </c>
      <c r="G103" s="95">
        <f>SUM(G101:G102)</f>
        <v>2.148488</v>
      </c>
      <c r="H103" s="51"/>
    </row>
    <row r="104" spans="1:8" x14ac:dyDescent="0.25">
      <c r="A104" s="52"/>
      <c r="B104" s="93"/>
      <c r="C104" s="53"/>
      <c r="D104" s="53"/>
      <c r="E104" s="53"/>
      <c r="F104" s="94"/>
      <c r="G104" s="96"/>
      <c r="H104" s="51"/>
    </row>
    <row r="105" spans="1:8" x14ac:dyDescent="0.25">
      <c r="A105" s="52"/>
      <c r="B105" s="93"/>
      <c r="C105" s="53"/>
      <c r="D105" s="53"/>
      <c r="E105" s="53"/>
      <c r="F105" s="94"/>
      <c r="G105" s="96"/>
      <c r="H105" s="51"/>
    </row>
    <row r="106" spans="1:8" x14ac:dyDescent="0.25">
      <c r="A106" s="52"/>
      <c r="B106" s="93"/>
      <c r="C106" s="53"/>
      <c r="D106" s="53"/>
      <c r="E106" s="53"/>
      <c r="F106" s="94"/>
      <c r="G106" s="96"/>
      <c r="H106" s="51"/>
    </row>
    <row r="107" spans="1:8" x14ac:dyDescent="0.25">
      <c r="A107" s="52"/>
      <c r="B107" s="93"/>
      <c r="C107" s="53"/>
      <c r="D107" s="53"/>
      <c r="E107" s="53"/>
      <c r="F107" s="94"/>
      <c r="G107" s="96"/>
      <c r="H107" s="51"/>
    </row>
    <row r="108" spans="1:8" x14ac:dyDescent="0.25">
      <c r="A108" s="52"/>
      <c r="B108" s="93"/>
      <c r="C108" s="53"/>
      <c r="D108" s="53"/>
      <c r="E108" s="53"/>
      <c r="F108" s="94"/>
      <c r="G108" s="96"/>
      <c r="H108" s="51"/>
    </row>
    <row r="109" spans="1:8" x14ac:dyDescent="0.25">
      <c r="A109" s="52"/>
      <c r="B109" s="93"/>
      <c r="C109" s="53"/>
      <c r="D109" s="53"/>
      <c r="E109" s="53"/>
      <c r="F109" s="94"/>
      <c r="G109" s="96"/>
      <c r="H109" s="51"/>
    </row>
    <row r="110" spans="1:8" x14ac:dyDescent="0.25">
      <c r="A110" s="52"/>
      <c r="B110" s="93"/>
      <c r="C110" s="53"/>
      <c r="D110" s="53"/>
      <c r="E110" s="53"/>
      <c r="F110" s="94"/>
      <c r="G110" s="96"/>
      <c r="H110" s="51"/>
    </row>
    <row r="111" spans="1:8" x14ac:dyDescent="0.25">
      <c r="A111" s="52"/>
      <c r="B111" s="93"/>
      <c r="C111" s="53"/>
      <c r="D111" s="53"/>
      <c r="E111" s="53"/>
      <c r="F111" s="94"/>
      <c r="G111" s="96"/>
      <c r="H111" s="51"/>
    </row>
    <row r="112" spans="1:8" x14ac:dyDescent="0.25">
      <c r="A112" s="52"/>
      <c r="B112" s="93"/>
      <c r="C112" s="53"/>
      <c r="D112" s="53"/>
      <c r="E112" s="53"/>
      <c r="F112" s="94"/>
      <c r="G112" s="96"/>
      <c r="H112" s="51"/>
    </row>
    <row r="113" spans="1:8" x14ac:dyDescent="0.25">
      <c r="A113" s="52"/>
      <c r="B113" s="93"/>
      <c r="C113" s="53"/>
      <c r="D113" s="53"/>
      <c r="E113" s="53"/>
      <c r="F113" s="94"/>
      <c r="G113" s="96"/>
      <c r="H113" s="51"/>
    </row>
    <row r="114" spans="1:8" x14ac:dyDescent="0.25">
      <c r="A114" s="52"/>
      <c r="B114" s="93"/>
      <c r="C114" s="53"/>
      <c r="D114" s="53"/>
      <c r="E114" s="53"/>
      <c r="F114" s="94"/>
      <c r="G114" s="96"/>
      <c r="H114" s="51"/>
    </row>
    <row r="115" spans="1:8" x14ac:dyDescent="0.25">
      <c r="A115" s="52"/>
      <c r="B115" s="93"/>
      <c r="C115" s="53"/>
      <c r="D115" s="53"/>
      <c r="E115" s="53"/>
      <c r="F115" s="94"/>
      <c r="G115" s="96"/>
      <c r="H115" s="51"/>
    </row>
    <row r="116" spans="1:8" x14ac:dyDescent="0.25">
      <c r="A116" s="52"/>
      <c r="B116" s="93"/>
      <c r="C116" s="53"/>
      <c r="D116" s="53"/>
      <c r="E116" s="53"/>
      <c r="F116" s="94"/>
      <c r="G116" s="96"/>
      <c r="H116" s="51"/>
    </row>
    <row r="117" spans="1:8" x14ac:dyDescent="0.25">
      <c r="A117" s="52"/>
      <c r="B117" s="93"/>
      <c r="C117" s="53"/>
      <c r="D117" s="53"/>
      <c r="E117" s="53"/>
      <c r="F117" s="94"/>
      <c r="G117" s="96"/>
      <c r="H117" s="51"/>
    </row>
    <row r="118" spans="1:8" x14ac:dyDescent="0.25">
      <c r="A118" s="52"/>
      <c r="B118" s="93"/>
      <c r="C118" s="53"/>
      <c r="D118" s="53"/>
      <c r="E118" s="53"/>
      <c r="F118" s="94"/>
      <c r="G118" s="96"/>
      <c r="H118" s="51"/>
    </row>
    <row r="119" spans="1:8" x14ac:dyDescent="0.25">
      <c r="A119" s="52"/>
      <c r="B119" s="93"/>
      <c r="C119" s="53"/>
      <c r="D119" s="53"/>
      <c r="E119" s="53"/>
      <c r="F119" s="94"/>
      <c r="G119" s="96"/>
      <c r="H119" s="51"/>
    </row>
    <row r="120" spans="1:8" x14ac:dyDescent="0.25">
      <c r="A120" s="52"/>
      <c r="B120" s="93"/>
      <c r="C120" s="53"/>
      <c r="D120" s="53"/>
      <c r="E120" s="53"/>
      <c r="F120" s="94"/>
      <c r="G120" s="96"/>
      <c r="H120" s="51"/>
    </row>
    <row r="121" spans="1:8" x14ac:dyDescent="0.25">
      <c r="A121" s="45"/>
      <c r="B121" s="45"/>
      <c r="C121" s="45"/>
      <c r="D121" s="45"/>
      <c r="E121" s="45"/>
      <c r="F121" s="102"/>
      <c r="G121" s="45"/>
      <c r="H121" s="45"/>
    </row>
    <row r="122" spans="1:8" x14ac:dyDescent="0.25">
      <c r="A122" s="100"/>
      <c r="B122" s="109"/>
      <c r="C122" s="109"/>
      <c r="D122" s="100"/>
      <c r="E122" s="100"/>
      <c r="F122" s="101"/>
      <c r="G122" s="100"/>
      <c r="H122" s="100"/>
    </row>
    <row r="123" spans="1:8" x14ac:dyDescent="0.25">
      <c r="A123" s="44"/>
      <c r="B123" s="97"/>
      <c r="C123" s="97"/>
      <c r="D123" s="45"/>
      <c r="E123" s="45"/>
      <c r="F123" s="102"/>
      <c r="G123" s="45"/>
      <c r="H123" s="46"/>
    </row>
    <row r="124" spans="1:8" x14ac:dyDescent="0.25">
      <c r="A124" s="52"/>
      <c r="B124" s="53"/>
      <c r="C124" s="53"/>
      <c r="D124" s="53"/>
      <c r="E124" s="53"/>
      <c r="F124" s="65"/>
      <c r="G124" s="53"/>
      <c r="H124" s="51"/>
    </row>
    <row r="125" spans="1:8" x14ac:dyDescent="0.25">
      <c r="A125" s="47" t="s">
        <v>427</v>
      </c>
      <c r="B125" s="48"/>
      <c r="C125" s="49"/>
      <c r="D125" s="49"/>
      <c r="E125" s="49"/>
      <c r="F125" s="50"/>
      <c r="G125" s="50"/>
      <c r="H125" s="103"/>
    </row>
    <row r="126" spans="1:8" ht="16.5" thickBot="1" x14ac:dyDescent="0.3">
      <c r="A126" s="52"/>
      <c r="B126" s="53"/>
      <c r="C126" s="53"/>
      <c r="D126" s="53"/>
      <c r="E126" s="53"/>
      <c r="F126" s="65"/>
      <c r="G126" s="54" t="s">
        <v>428</v>
      </c>
      <c r="H126" s="51"/>
    </row>
    <row r="127" spans="1:8" ht="16.5" thickBot="1" x14ac:dyDescent="0.3">
      <c r="A127" s="400" t="s">
        <v>381</v>
      </c>
      <c r="B127" s="401"/>
      <c r="C127" s="402" t="s">
        <v>382</v>
      </c>
      <c r="D127" s="401"/>
      <c r="E127" s="55" t="s">
        <v>266</v>
      </c>
      <c r="F127" s="65"/>
      <c r="G127" s="53"/>
      <c r="H127" s="51"/>
    </row>
    <row r="128" spans="1:8" ht="16.5" thickBot="1" x14ac:dyDescent="0.3">
      <c r="A128" s="403">
        <v>0</v>
      </c>
      <c r="B128" s="404"/>
      <c r="C128" s="403">
        <v>0</v>
      </c>
      <c r="D128" s="404"/>
      <c r="E128" s="56">
        <v>1</v>
      </c>
      <c r="F128" s="65"/>
      <c r="G128" s="53"/>
      <c r="H128" s="51"/>
    </row>
    <row r="129" spans="1:8" x14ac:dyDescent="0.25">
      <c r="A129" s="52"/>
      <c r="B129" s="58"/>
      <c r="C129" s="58"/>
      <c r="D129" s="58"/>
      <c r="E129" s="58"/>
      <c r="F129" s="58"/>
      <c r="G129" s="53"/>
      <c r="H129" s="83"/>
    </row>
    <row r="130" spans="1:8" x14ac:dyDescent="0.25">
      <c r="A130" s="59" t="s">
        <v>323</v>
      </c>
      <c r="B130" s="59" t="s">
        <v>266</v>
      </c>
      <c r="C130" s="59" t="s">
        <v>383</v>
      </c>
      <c r="D130" s="59" t="s">
        <v>384</v>
      </c>
      <c r="E130" s="59" t="s">
        <v>332</v>
      </c>
      <c r="F130" s="59" t="s">
        <v>385</v>
      </c>
      <c r="G130" s="59" t="s">
        <v>386</v>
      </c>
      <c r="H130" s="59" t="s">
        <v>387</v>
      </c>
    </row>
    <row r="131" spans="1:8" x14ac:dyDescent="0.25">
      <c r="A131" s="60">
        <v>6901</v>
      </c>
      <c r="B131" s="61">
        <f>1*E128</f>
        <v>1</v>
      </c>
      <c r="C131" s="61" t="s">
        <v>367</v>
      </c>
      <c r="D131" s="61">
        <f>A128-14</f>
        <v>-14</v>
      </c>
      <c r="E131" s="61" t="s">
        <v>340</v>
      </c>
      <c r="F131" s="104" t="s">
        <v>388</v>
      </c>
      <c r="G131" s="63">
        <v>0.69199999999999995</v>
      </c>
      <c r="H131" s="63">
        <f t="shared" ref="H131:H140" si="2">(D131/1000)*B131*G131</f>
        <v>-9.6879999999999987E-3</v>
      </c>
    </row>
    <row r="132" spans="1:8" x14ac:dyDescent="0.25">
      <c r="A132" s="60">
        <v>6902</v>
      </c>
      <c r="B132" s="61">
        <f>1*E128</f>
        <v>1</v>
      </c>
      <c r="C132" s="61" t="s">
        <v>367</v>
      </c>
      <c r="D132" s="61">
        <f>A128-14</f>
        <v>-14</v>
      </c>
      <c r="E132" s="61" t="s">
        <v>340</v>
      </c>
      <c r="F132" s="104" t="s">
        <v>82</v>
      </c>
      <c r="G132" s="63">
        <v>0.67700000000000005</v>
      </c>
      <c r="H132" s="63">
        <f t="shared" si="2"/>
        <v>-9.4780000000000003E-3</v>
      </c>
    </row>
    <row r="133" spans="1:8" x14ac:dyDescent="0.25">
      <c r="A133" s="60">
        <v>6903</v>
      </c>
      <c r="B133" s="61">
        <f>2*E128</f>
        <v>2</v>
      </c>
      <c r="C133" s="61" t="s">
        <v>337</v>
      </c>
      <c r="D133" s="61">
        <f>C128</f>
        <v>0</v>
      </c>
      <c r="E133" s="61" t="s">
        <v>340</v>
      </c>
      <c r="F133" s="104" t="s">
        <v>83</v>
      </c>
      <c r="G133" s="63">
        <v>0.55000000000000004</v>
      </c>
      <c r="H133" s="63">
        <f t="shared" si="2"/>
        <v>0</v>
      </c>
    </row>
    <row r="134" spans="1:8" x14ac:dyDescent="0.25">
      <c r="A134" s="60">
        <v>6907</v>
      </c>
      <c r="B134" s="61">
        <f>2*E128</f>
        <v>2</v>
      </c>
      <c r="C134" s="61" t="s">
        <v>429</v>
      </c>
      <c r="D134" s="105">
        <f>A128/4-13</f>
        <v>-13</v>
      </c>
      <c r="E134" s="61" t="s">
        <v>340</v>
      </c>
      <c r="F134" s="104" t="s">
        <v>324</v>
      </c>
      <c r="G134" s="63">
        <v>0.437</v>
      </c>
      <c r="H134" s="63">
        <f t="shared" si="2"/>
        <v>-1.1361999999999999E-2</v>
      </c>
    </row>
    <row r="135" spans="1:8" x14ac:dyDescent="0.25">
      <c r="A135" s="60">
        <v>6908</v>
      </c>
      <c r="B135" s="61">
        <f>2*E128</f>
        <v>2</v>
      </c>
      <c r="C135" s="61" t="s">
        <v>429</v>
      </c>
      <c r="D135" s="61">
        <f>A128/4-13</f>
        <v>-13</v>
      </c>
      <c r="E135" s="61" t="s">
        <v>340</v>
      </c>
      <c r="F135" s="104" t="s">
        <v>341</v>
      </c>
      <c r="G135" s="63">
        <v>0.54300000000000004</v>
      </c>
      <c r="H135" s="63">
        <f t="shared" si="2"/>
        <v>-1.4118E-2</v>
      </c>
    </row>
    <row r="136" spans="1:8" x14ac:dyDescent="0.25">
      <c r="A136" s="60">
        <v>6907</v>
      </c>
      <c r="B136" s="61">
        <f>2*E128</f>
        <v>2</v>
      </c>
      <c r="C136" s="61" t="s">
        <v>430</v>
      </c>
      <c r="D136" s="61">
        <f>A128/4-4</f>
        <v>-4</v>
      </c>
      <c r="E136" s="61" t="s">
        <v>340</v>
      </c>
      <c r="F136" s="104" t="s">
        <v>324</v>
      </c>
      <c r="G136" s="63">
        <v>0.437</v>
      </c>
      <c r="H136" s="63">
        <f t="shared" si="2"/>
        <v>-3.496E-3</v>
      </c>
    </row>
    <row r="137" spans="1:8" x14ac:dyDescent="0.25">
      <c r="A137" s="60">
        <v>6908</v>
      </c>
      <c r="B137" s="61">
        <f>2*E128</f>
        <v>2</v>
      </c>
      <c r="C137" s="61" t="s">
        <v>430</v>
      </c>
      <c r="D137" s="61">
        <f>A128/4-4</f>
        <v>-4</v>
      </c>
      <c r="E137" s="61" t="s">
        <v>340</v>
      </c>
      <c r="F137" s="104" t="s">
        <v>341</v>
      </c>
      <c r="G137" s="63">
        <v>0.54300000000000004</v>
      </c>
      <c r="H137" s="63">
        <f t="shared" si="2"/>
        <v>-4.3440000000000006E-3</v>
      </c>
    </row>
    <row r="138" spans="1:8" x14ac:dyDescent="0.25">
      <c r="A138" s="60">
        <v>6905</v>
      </c>
      <c r="B138" s="61">
        <f>4*E128</f>
        <v>4</v>
      </c>
      <c r="C138" s="61" t="s">
        <v>390</v>
      </c>
      <c r="D138" s="61">
        <f>C128-40</f>
        <v>-40</v>
      </c>
      <c r="E138" s="61" t="s">
        <v>340</v>
      </c>
      <c r="F138" s="104" t="s">
        <v>391</v>
      </c>
      <c r="G138" s="63">
        <v>0.54300000000000004</v>
      </c>
      <c r="H138" s="63">
        <f t="shared" si="2"/>
        <v>-8.6880000000000013E-2</v>
      </c>
    </row>
    <row r="139" spans="1:8" x14ac:dyDescent="0.25">
      <c r="A139" s="60">
        <v>6906</v>
      </c>
      <c r="B139" s="61">
        <f>4*E128</f>
        <v>4</v>
      </c>
      <c r="C139" s="61" t="s">
        <v>390</v>
      </c>
      <c r="D139" s="61">
        <f>C128-40</f>
        <v>-40</v>
      </c>
      <c r="E139" s="61" t="s">
        <v>340</v>
      </c>
      <c r="F139" s="104" t="s">
        <v>138</v>
      </c>
      <c r="G139" s="63">
        <v>0.48</v>
      </c>
      <c r="H139" s="63">
        <f t="shared" si="2"/>
        <v>-7.6799999999999993E-2</v>
      </c>
    </row>
    <row r="140" spans="1:8" x14ac:dyDescent="0.25">
      <c r="A140" s="60">
        <v>6919</v>
      </c>
      <c r="B140" s="61">
        <f>1*E128</f>
        <v>1</v>
      </c>
      <c r="C140" s="61" t="s">
        <v>390</v>
      </c>
      <c r="D140" s="61">
        <f>C128-40</f>
        <v>-40</v>
      </c>
      <c r="E140" s="61" t="s">
        <v>340</v>
      </c>
      <c r="F140" s="110" t="s">
        <v>431</v>
      </c>
      <c r="G140" s="63">
        <v>0.27600000000000002</v>
      </c>
      <c r="H140" s="63">
        <f t="shared" si="2"/>
        <v>-1.1040000000000001E-2</v>
      </c>
    </row>
    <row r="141" spans="1:8" x14ac:dyDescent="0.25">
      <c r="A141" s="64"/>
      <c r="B141" s="65"/>
      <c r="C141" s="65"/>
      <c r="D141" s="65"/>
      <c r="E141" s="65"/>
      <c r="F141" s="65"/>
      <c r="G141" s="63" t="s">
        <v>392</v>
      </c>
      <c r="H141" s="63">
        <f>SUM(H131:H140)</f>
        <v>-0.22720600000000002</v>
      </c>
    </row>
    <row r="142" spans="1:8" x14ac:dyDescent="0.25">
      <c r="A142" s="64"/>
      <c r="B142" s="65"/>
      <c r="C142" s="65"/>
      <c r="D142" s="65"/>
      <c r="E142" s="65"/>
      <c r="F142" s="65"/>
      <c r="G142" s="66"/>
      <c r="H142" s="67"/>
    </row>
    <row r="143" spans="1:8" x14ac:dyDescent="0.25">
      <c r="A143" s="64"/>
      <c r="B143" s="65"/>
      <c r="C143" s="65"/>
      <c r="D143" s="65"/>
      <c r="E143" s="65"/>
      <c r="F143" s="65"/>
      <c r="G143" s="68"/>
      <c r="H143" s="67"/>
    </row>
    <row r="144" spans="1:8" x14ac:dyDescent="0.25">
      <c r="A144" s="69" t="s">
        <v>393</v>
      </c>
      <c r="B144" s="70"/>
      <c r="C144" s="70"/>
      <c r="D144" s="71"/>
      <c r="E144" s="59" t="s">
        <v>36</v>
      </c>
      <c r="F144" s="59" t="s">
        <v>266</v>
      </c>
      <c r="G144" s="52"/>
      <c r="H144" s="72"/>
    </row>
    <row r="145" spans="1:8" x14ac:dyDescent="0.25">
      <c r="A145" s="73" t="s">
        <v>394</v>
      </c>
      <c r="B145" s="74"/>
      <c r="C145" s="70"/>
      <c r="D145" s="71"/>
      <c r="E145" s="106">
        <f>F145*E128</f>
        <v>2</v>
      </c>
      <c r="F145" s="61">
        <v>2</v>
      </c>
      <c r="G145" s="76"/>
      <c r="H145" s="77"/>
    </row>
    <row r="146" spans="1:8" x14ac:dyDescent="0.25">
      <c r="A146" s="73" t="s">
        <v>395</v>
      </c>
      <c r="B146" s="74"/>
      <c r="C146" s="70"/>
      <c r="D146" s="71"/>
      <c r="E146" s="107">
        <f>F146*E128</f>
        <v>1</v>
      </c>
      <c r="F146" s="61">
        <v>1</v>
      </c>
      <c r="G146" s="76"/>
      <c r="H146" s="77"/>
    </row>
    <row r="147" spans="1:8" x14ac:dyDescent="0.25">
      <c r="A147" s="73" t="s">
        <v>396</v>
      </c>
      <c r="B147" s="74"/>
      <c r="C147" s="70"/>
      <c r="D147" s="71"/>
      <c r="E147" s="107">
        <f>F147*E128</f>
        <v>1</v>
      </c>
      <c r="F147" s="61">
        <v>1</v>
      </c>
      <c r="G147" s="93"/>
      <c r="H147" s="77"/>
    </row>
    <row r="148" spans="1:8" x14ac:dyDescent="0.25">
      <c r="A148" s="73" t="s">
        <v>397</v>
      </c>
      <c r="B148" s="74"/>
      <c r="C148" s="70"/>
      <c r="D148" s="71"/>
      <c r="E148" s="107">
        <f>2*(A128/1000)+6*(C128/1000)*E128</f>
        <v>0</v>
      </c>
      <c r="F148" s="61" t="s">
        <v>424</v>
      </c>
      <c r="G148" s="79"/>
      <c r="H148" s="77"/>
    </row>
    <row r="149" spans="1:8" x14ac:dyDescent="0.25">
      <c r="A149" s="73" t="s">
        <v>399</v>
      </c>
      <c r="B149" s="74"/>
      <c r="C149" s="70"/>
      <c r="D149" s="71"/>
      <c r="E149" s="107">
        <f>4*(C128/1000)*E128</f>
        <v>0</v>
      </c>
      <c r="F149" s="61" t="s">
        <v>423</v>
      </c>
      <c r="G149" s="79"/>
      <c r="H149" s="77"/>
    </row>
    <row r="150" spans="1:8" x14ac:dyDescent="0.25">
      <c r="A150" s="73" t="s">
        <v>401</v>
      </c>
      <c r="B150" s="74"/>
      <c r="C150" s="70"/>
      <c r="D150" s="71"/>
      <c r="E150" s="107">
        <f>2*(A128/1000)+8*(C128/1000)*E128</f>
        <v>0</v>
      </c>
      <c r="F150" s="61" t="s">
        <v>432</v>
      </c>
      <c r="G150" s="79"/>
      <c r="H150" s="77"/>
    </row>
    <row r="151" spans="1:8" x14ac:dyDescent="0.25">
      <c r="A151" s="73" t="s">
        <v>403</v>
      </c>
      <c r="B151" s="74"/>
      <c r="C151" s="70"/>
      <c r="D151" s="71"/>
      <c r="E151" s="107">
        <f>F151*E128</f>
        <v>8</v>
      </c>
      <c r="F151" s="61">
        <v>8</v>
      </c>
      <c r="G151" s="76"/>
      <c r="H151" s="77"/>
    </row>
    <row r="152" spans="1:8" x14ac:dyDescent="0.25">
      <c r="A152" s="73" t="s">
        <v>404</v>
      </c>
      <c r="B152" s="74"/>
      <c r="C152" s="70"/>
      <c r="D152" s="71"/>
      <c r="E152" s="107">
        <f>F152*E128</f>
        <v>8</v>
      </c>
      <c r="F152" s="61">
        <v>8</v>
      </c>
      <c r="G152" s="76"/>
      <c r="H152" s="77"/>
    </row>
    <row r="153" spans="1:8" x14ac:dyDescent="0.25">
      <c r="A153" s="73" t="s">
        <v>405</v>
      </c>
      <c r="B153" s="74"/>
      <c r="C153" s="70"/>
      <c r="D153" s="71"/>
      <c r="E153" s="107">
        <f>F153*E128</f>
        <v>8</v>
      </c>
      <c r="F153" s="61">
        <v>8</v>
      </c>
      <c r="G153" s="53"/>
      <c r="H153" s="80"/>
    </row>
    <row r="154" spans="1:8" x14ac:dyDescent="0.25">
      <c r="A154" s="73" t="s">
        <v>406</v>
      </c>
      <c r="B154" s="74"/>
      <c r="C154" s="70"/>
      <c r="D154" s="71"/>
      <c r="E154" s="107">
        <f>F154*E128</f>
        <v>3</v>
      </c>
      <c r="F154" s="61">
        <v>3</v>
      </c>
      <c r="G154" s="53"/>
      <c r="H154" s="80"/>
    </row>
    <row r="155" spans="1:8" x14ac:dyDescent="0.25">
      <c r="A155" s="73" t="s">
        <v>407</v>
      </c>
      <c r="B155" s="74"/>
      <c r="C155" s="70"/>
      <c r="D155" s="71"/>
      <c r="E155" s="107">
        <f>F155*E128</f>
        <v>3</v>
      </c>
      <c r="F155" s="61">
        <v>3</v>
      </c>
      <c r="G155" s="53"/>
      <c r="H155" s="80"/>
    </row>
    <row r="156" spans="1:8" x14ac:dyDescent="0.25">
      <c r="A156" s="73" t="s">
        <v>408</v>
      </c>
      <c r="B156" s="74"/>
      <c r="C156" s="70"/>
      <c r="D156" s="71"/>
      <c r="E156" s="107">
        <f>F156*E128</f>
        <v>3</v>
      </c>
      <c r="F156" s="61">
        <v>3</v>
      </c>
      <c r="G156" s="53"/>
      <c r="H156" s="80"/>
    </row>
    <row r="157" spans="1:8" x14ac:dyDescent="0.25">
      <c r="A157" s="73" t="s">
        <v>410</v>
      </c>
      <c r="B157" s="74"/>
      <c r="C157" s="70"/>
      <c r="D157" s="71"/>
      <c r="E157" s="107">
        <f>F157*E128</f>
        <v>2</v>
      </c>
      <c r="F157" s="61">
        <v>2</v>
      </c>
      <c r="G157" s="82"/>
      <c r="H157" s="51"/>
    </row>
    <row r="158" spans="1:8" x14ac:dyDescent="0.25">
      <c r="A158" s="73" t="s">
        <v>411</v>
      </c>
      <c r="B158" s="74"/>
      <c r="C158" s="70"/>
      <c r="D158" s="71"/>
      <c r="E158" s="107">
        <f>F158*E128</f>
        <v>2</v>
      </c>
      <c r="F158" s="61">
        <v>2</v>
      </c>
      <c r="G158" s="82"/>
      <c r="H158" s="51"/>
    </row>
    <row r="159" spans="1:8" x14ac:dyDescent="0.25">
      <c r="A159" s="73" t="s">
        <v>433</v>
      </c>
      <c r="B159" s="74"/>
      <c r="C159" s="70"/>
      <c r="D159" s="71"/>
      <c r="E159" s="107">
        <f>F159*E128</f>
        <v>6</v>
      </c>
      <c r="F159" s="61">
        <v>6</v>
      </c>
      <c r="G159" s="82"/>
      <c r="H159" s="51"/>
    </row>
    <row r="160" spans="1:8" x14ac:dyDescent="0.25">
      <c r="A160" s="73" t="s">
        <v>412</v>
      </c>
      <c r="B160" s="74"/>
      <c r="C160" s="70"/>
      <c r="D160" s="71"/>
      <c r="E160" s="107">
        <f>F160*E128</f>
        <v>24</v>
      </c>
      <c r="F160" s="61">
        <v>24</v>
      </c>
      <c r="G160" s="82"/>
      <c r="H160" s="51"/>
    </row>
    <row r="161" spans="1:8" x14ac:dyDescent="0.25">
      <c r="A161" s="52"/>
      <c r="B161" s="53"/>
      <c r="C161" s="53"/>
      <c r="D161" s="53"/>
      <c r="E161" s="53"/>
      <c r="F161" s="65"/>
      <c r="G161" s="53"/>
      <c r="H161" s="83"/>
    </row>
    <row r="162" spans="1:8" x14ac:dyDescent="0.25">
      <c r="A162" s="52"/>
      <c r="B162" s="53"/>
      <c r="C162" s="53"/>
      <c r="D162" s="53"/>
      <c r="E162" s="53"/>
      <c r="F162" s="65"/>
      <c r="G162" s="53"/>
      <c r="H162" s="83"/>
    </row>
    <row r="163" spans="1:8" x14ac:dyDescent="0.25">
      <c r="A163" s="59" t="s">
        <v>413</v>
      </c>
      <c r="B163" s="84" t="s">
        <v>266</v>
      </c>
      <c r="C163" s="84" t="s">
        <v>383</v>
      </c>
      <c r="D163" s="405" t="s">
        <v>414</v>
      </c>
      <c r="E163" s="406"/>
      <c r="F163" s="85" t="s">
        <v>415</v>
      </c>
      <c r="G163" s="59" t="s">
        <v>416</v>
      </c>
      <c r="H163" s="86"/>
    </row>
    <row r="164" spans="1:8" x14ac:dyDescent="0.25">
      <c r="A164" s="61"/>
      <c r="B164" s="89">
        <f>2*E128</f>
        <v>2</v>
      </c>
      <c r="C164" s="108" t="s">
        <v>434</v>
      </c>
      <c r="D164" s="407">
        <f>A128/4-46</f>
        <v>-46</v>
      </c>
      <c r="E164" s="408"/>
      <c r="F164" s="90">
        <f>C128-116</f>
        <v>-116</v>
      </c>
      <c r="G164" s="91">
        <f>+(D164/1000)*(F164/1000)*B164</f>
        <v>1.0672000000000001E-2</v>
      </c>
      <c r="H164" s="83"/>
    </row>
    <row r="165" spans="1:8" x14ac:dyDescent="0.25">
      <c r="A165" s="87"/>
      <c r="B165" s="61">
        <f>2*E128</f>
        <v>2</v>
      </c>
      <c r="C165" s="88" t="s">
        <v>435</v>
      </c>
      <c r="D165" s="407">
        <f>A128/4-55</f>
        <v>-55</v>
      </c>
      <c r="E165" s="408"/>
      <c r="F165" s="61">
        <f>C128-116</f>
        <v>-116</v>
      </c>
      <c r="G165" s="91">
        <f>+(D165/1000)*(F165/1000)*B165</f>
        <v>1.2760000000000001E-2</v>
      </c>
      <c r="H165" s="92"/>
    </row>
    <row r="166" spans="1:8" x14ac:dyDescent="0.25">
      <c r="A166" s="52"/>
      <c r="B166" s="93"/>
      <c r="C166" s="53"/>
      <c r="D166" s="53"/>
      <c r="E166" s="53"/>
      <c r="F166" s="94" t="s">
        <v>418</v>
      </c>
      <c r="G166" s="95">
        <f>SUM(G164:G165)</f>
        <v>2.3432000000000001E-2</v>
      </c>
      <c r="H166" s="51"/>
    </row>
    <row r="167" spans="1:8" x14ac:dyDescent="0.25">
      <c r="A167" s="52"/>
      <c r="B167" s="93"/>
      <c r="C167" s="53"/>
      <c r="D167" s="53"/>
      <c r="E167" s="53"/>
      <c r="F167" s="94"/>
      <c r="G167" s="96"/>
      <c r="H167" s="51"/>
    </row>
    <row r="168" spans="1:8" x14ac:dyDescent="0.25">
      <c r="A168" s="52"/>
      <c r="B168" s="93"/>
      <c r="C168" s="53"/>
      <c r="D168" s="53"/>
      <c r="E168" s="53"/>
      <c r="F168" s="94"/>
      <c r="G168" s="96"/>
      <c r="H168" s="51"/>
    </row>
    <row r="169" spans="1:8" x14ac:dyDescent="0.25">
      <c r="A169" s="52"/>
      <c r="B169" s="93"/>
      <c r="C169" s="53"/>
      <c r="D169" s="53"/>
      <c r="E169" s="53"/>
      <c r="F169" s="94"/>
      <c r="G169" s="96"/>
      <c r="H169" s="51"/>
    </row>
    <row r="170" spans="1:8" x14ac:dyDescent="0.25">
      <c r="A170" s="52"/>
      <c r="B170" s="93"/>
      <c r="C170" s="53"/>
      <c r="D170" s="53"/>
      <c r="E170" s="53"/>
      <c r="F170" s="94"/>
      <c r="G170" s="96"/>
      <c r="H170" s="51"/>
    </row>
    <row r="171" spans="1:8" x14ac:dyDescent="0.25">
      <c r="A171" s="52"/>
      <c r="B171" s="93"/>
      <c r="C171" s="53"/>
      <c r="D171" s="53"/>
      <c r="E171" s="53"/>
      <c r="F171" s="94"/>
      <c r="G171" s="96"/>
      <c r="H171" s="51"/>
    </row>
    <row r="172" spans="1:8" x14ac:dyDescent="0.25">
      <c r="A172" s="52"/>
      <c r="B172" s="93"/>
      <c r="C172" s="53"/>
      <c r="D172" s="53"/>
      <c r="E172" s="53"/>
      <c r="F172" s="94"/>
      <c r="G172" s="96"/>
      <c r="H172" s="51"/>
    </row>
    <row r="173" spans="1:8" x14ac:dyDescent="0.25">
      <c r="A173" s="52"/>
      <c r="B173" s="93"/>
      <c r="C173" s="53"/>
      <c r="D173" s="53"/>
      <c r="E173" s="53"/>
      <c r="F173" s="94"/>
      <c r="G173" s="96"/>
      <c r="H173" s="51"/>
    </row>
    <row r="174" spans="1:8" x14ac:dyDescent="0.25">
      <c r="A174" s="52"/>
      <c r="B174" s="93"/>
      <c r="C174" s="53"/>
      <c r="D174" s="53"/>
      <c r="E174" s="53"/>
      <c r="F174" s="94"/>
      <c r="G174" s="96"/>
      <c r="H174" s="51"/>
    </row>
    <row r="175" spans="1:8" x14ac:dyDescent="0.25">
      <c r="A175" s="52"/>
      <c r="B175" s="93"/>
      <c r="C175" s="53"/>
      <c r="D175" s="53"/>
      <c r="E175" s="53"/>
      <c r="F175" s="94"/>
      <c r="G175" s="96"/>
      <c r="H175" s="51"/>
    </row>
    <row r="176" spans="1:8" x14ac:dyDescent="0.25">
      <c r="A176" s="52"/>
      <c r="B176" s="93"/>
      <c r="C176" s="53"/>
      <c r="D176" s="53"/>
      <c r="E176" s="53"/>
      <c r="F176" s="94"/>
      <c r="G176" s="96"/>
      <c r="H176" s="51"/>
    </row>
    <row r="177" spans="1:8" x14ac:dyDescent="0.25">
      <c r="A177" s="52"/>
      <c r="B177" s="93"/>
      <c r="C177" s="53"/>
      <c r="D177" s="53"/>
      <c r="E177" s="53"/>
      <c r="F177" s="94"/>
      <c r="G177" s="96"/>
      <c r="H177" s="51"/>
    </row>
    <row r="178" spans="1:8" x14ac:dyDescent="0.25">
      <c r="A178" s="52"/>
      <c r="B178" s="93"/>
      <c r="C178" s="53"/>
      <c r="D178" s="53"/>
      <c r="E178" s="53"/>
      <c r="F178" s="94"/>
      <c r="G178" s="96"/>
      <c r="H178" s="51"/>
    </row>
    <row r="179" spans="1:8" x14ac:dyDescent="0.25">
      <c r="A179" s="52"/>
      <c r="B179" s="93"/>
      <c r="C179" s="53"/>
      <c r="D179" s="53"/>
      <c r="E179" s="53"/>
      <c r="F179" s="94"/>
      <c r="G179" s="96"/>
      <c r="H179" s="51"/>
    </row>
    <row r="180" spans="1:8" x14ac:dyDescent="0.25">
      <c r="A180" s="52"/>
      <c r="B180" s="93"/>
      <c r="C180" s="53"/>
      <c r="D180" s="53"/>
      <c r="E180" s="53"/>
      <c r="F180" s="94"/>
      <c r="G180" s="96"/>
      <c r="H180" s="51"/>
    </row>
    <row r="181" spans="1:8" x14ac:dyDescent="0.25">
      <c r="A181" s="52"/>
      <c r="B181" s="93"/>
      <c r="C181" s="53"/>
      <c r="D181" s="53"/>
      <c r="E181" s="53"/>
      <c r="F181" s="94"/>
      <c r="G181" s="96"/>
      <c r="H181" s="51"/>
    </row>
    <row r="182" spans="1:8" x14ac:dyDescent="0.25">
      <c r="A182" s="52"/>
      <c r="B182" s="93"/>
      <c r="C182" s="53"/>
      <c r="D182" s="53"/>
      <c r="E182" s="53"/>
      <c r="F182" s="94"/>
      <c r="G182" s="96"/>
      <c r="H182" s="51"/>
    </row>
    <row r="183" spans="1:8" x14ac:dyDescent="0.25">
      <c r="A183" s="52"/>
      <c r="B183" s="93"/>
      <c r="C183" s="53"/>
      <c r="D183" s="53"/>
      <c r="E183" s="53"/>
      <c r="F183" s="94"/>
      <c r="G183" s="96"/>
      <c r="H183" s="51"/>
    </row>
    <row r="184" spans="1:8" x14ac:dyDescent="0.25">
      <c r="A184" s="45"/>
      <c r="B184" s="97"/>
      <c r="C184" s="97"/>
      <c r="D184" s="45"/>
      <c r="E184" s="45"/>
      <c r="F184" s="102"/>
      <c r="G184" s="45"/>
      <c r="H184" s="45"/>
    </row>
    <row r="185" spans="1:8" x14ac:dyDescent="0.25">
      <c r="A185" s="100"/>
      <c r="B185" s="109"/>
      <c r="C185" s="109"/>
      <c r="D185" s="100"/>
      <c r="E185" s="100"/>
      <c r="F185" s="101"/>
      <c r="G185" s="100"/>
      <c r="H185" s="100"/>
    </row>
    <row r="186" spans="1:8" x14ac:dyDescent="0.25">
      <c r="A186" s="44"/>
      <c r="B186" s="45"/>
      <c r="C186" s="45"/>
      <c r="D186" s="45"/>
      <c r="E186" s="45"/>
      <c r="F186" s="102"/>
      <c r="G186" s="45"/>
      <c r="H186" s="46"/>
    </row>
    <row r="187" spans="1:8" x14ac:dyDescent="0.25">
      <c r="A187" s="52"/>
      <c r="B187" s="53"/>
      <c r="C187" s="53"/>
      <c r="D187" s="53"/>
      <c r="E187" s="53"/>
      <c r="F187" s="65"/>
      <c r="G187" s="53"/>
      <c r="H187" s="51"/>
    </row>
    <row r="188" spans="1:8" x14ac:dyDescent="0.25">
      <c r="A188" s="47" t="s">
        <v>436</v>
      </c>
      <c r="B188" s="111"/>
      <c r="C188" s="112"/>
      <c r="D188" s="111"/>
      <c r="E188" s="112"/>
      <c r="F188" s="113"/>
      <c r="G188" s="50"/>
      <c r="H188" s="103"/>
    </row>
    <row r="189" spans="1:8" ht="16.5" thickBot="1" x14ac:dyDescent="0.3">
      <c r="A189" s="52"/>
      <c r="B189" s="53"/>
      <c r="C189" s="53"/>
      <c r="D189" s="53"/>
      <c r="E189" s="53"/>
      <c r="F189" s="65"/>
      <c r="G189" s="54" t="s">
        <v>437</v>
      </c>
      <c r="H189" s="51"/>
    </row>
    <row r="190" spans="1:8" ht="16.5" thickBot="1" x14ac:dyDescent="0.3">
      <c r="A190" s="400" t="s">
        <v>381</v>
      </c>
      <c r="B190" s="401"/>
      <c r="C190" s="402" t="s">
        <v>382</v>
      </c>
      <c r="D190" s="401"/>
      <c r="E190" s="55" t="s">
        <v>266</v>
      </c>
      <c r="F190" s="65"/>
      <c r="G190" s="53"/>
      <c r="H190" s="51"/>
    </row>
    <row r="191" spans="1:8" ht="16.5" thickBot="1" x14ac:dyDescent="0.3">
      <c r="A191" s="403">
        <v>0</v>
      </c>
      <c r="B191" s="404"/>
      <c r="C191" s="403">
        <v>0</v>
      </c>
      <c r="D191" s="404"/>
      <c r="E191" s="56">
        <v>1</v>
      </c>
      <c r="F191" s="65"/>
      <c r="G191" s="53"/>
      <c r="H191" s="51"/>
    </row>
    <row r="192" spans="1:8" x14ac:dyDescent="0.25">
      <c r="A192" s="52"/>
      <c r="B192" s="58"/>
      <c r="C192" s="58"/>
      <c r="D192" s="58"/>
      <c r="E192" s="58"/>
      <c r="F192" s="58"/>
      <c r="G192" s="53"/>
      <c r="H192" s="83"/>
    </row>
    <row r="193" spans="1:8" x14ac:dyDescent="0.25">
      <c r="A193" s="59" t="s">
        <v>323</v>
      </c>
      <c r="B193" s="59" t="s">
        <v>266</v>
      </c>
      <c r="C193" s="59" t="s">
        <v>383</v>
      </c>
      <c r="D193" s="59" t="s">
        <v>384</v>
      </c>
      <c r="E193" s="59" t="s">
        <v>332</v>
      </c>
      <c r="F193" s="59" t="s">
        <v>385</v>
      </c>
      <c r="G193" s="59" t="s">
        <v>386</v>
      </c>
      <c r="H193" s="59" t="s">
        <v>387</v>
      </c>
    </row>
    <row r="194" spans="1:8" x14ac:dyDescent="0.25">
      <c r="A194" s="60">
        <v>6921</v>
      </c>
      <c r="B194" s="61">
        <f>2*E191</f>
        <v>2</v>
      </c>
      <c r="C194" s="61" t="s">
        <v>367</v>
      </c>
      <c r="D194" s="61">
        <f>A191-14</f>
        <v>-14</v>
      </c>
      <c r="E194" s="61" t="s">
        <v>340</v>
      </c>
      <c r="F194" s="104" t="s">
        <v>438</v>
      </c>
      <c r="G194" s="63">
        <v>0.60499999999999998</v>
      </c>
      <c r="H194" s="63">
        <f t="shared" ref="H194:H202" si="3">(D194/1000)*B194*G194</f>
        <v>-1.694E-2</v>
      </c>
    </row>
    <row r="195" spans="1:8" x14ac:dyDescent="0.25">
      <c r="A195" s="60">
        <v>6903</v>
      </c>
      <c r="B195" s="61">
        <f>1*E191</f>
        <v>1</v>
      </c>
      <c r="C195" s="61" t="s">
        <v>337</v>
      </c>
      <c r="D195" s="61">
        <f>C191</f>
        <v>0</v>
      </c>
      <c r="E195" s="61" t="s">
        <v>340</v>
      </c>
      <c r="F195" s="104" t="s">
        <v>83</v>
      </c>
      <c r="G195" s="63">
        <v>0.55000000000000004</v>
      </c>
      <c r="H195" s="63">
        <f t="shared" si="3"/>
        <v>0</v>
      </c>
    </row>
    <row r="196" spans="1:8" x14ac:dyDescent="0.25">
      <c r="A196" s="60">
        <v>6925</v>
      </c>
      <c r="B196" s="61">
        <f>1*E191</f>
        <v>1</v>
      </c>
      <c r="C196" s="61" t="s">
        <v>337</v>
      </c>
      <c r="D196" s="61">
        <f>C191</f>
        <v>0</v>
      </c>
      <c r="E196" s="61" t="s">
        <v>340</v>
      </c>
      <c r="F196" s="110" t="s">
        <v>439</v>
      </c>
      <c r="G196" s="63">
        <v>0.52100000000000002</v>
      </c>
      <c r="H196" s="63">
        <f t="shared" si="3"/>
        <v>0</v>
      </c>
    </row>
    <row r="197" spans="1:8" x14ac:dyDescent="0.25">
      <c r="A197" s="60">
        <v>6907</v>
      </c>
      <c r="B197" s="61">
        <f>1*E191</f>
        <v>1</v>
      </c>
      <c r="C197" s="61" t="s">
        <v>389</v>
      </c>
      <c r="D197" s="105">
        <f>A191/2-13</f>
        <v>-13</v>
      </c>
      <c r="E197" s="61" t="s">
        <v>340</v>
      </c>
      <c r="F197" s="104" t="s">
        <v>324</v>
      </c>
      <c r="G197" s="63">
        <v>0.437</v>
      </c>
      <c r="H197" s="63">
        <f t="shared" si="3"/>
        <v>-5.6809999999999994E-3</v>
      </c>
    </row>
    <row r="198" spans="1:8" x14ac:dyDescent="0.25">
      <c r="A198" s="60">
        <v>6908</v>
      </c>
      <c r="B198" s="61">
        <f>1*E191</f>
        <v>1</v>
      </c>
      <c r="C198" s="61" t="s">
        <v>389</v>
      </c>
      <c r="D198" s="61">
        <f>A191/2-13</f>
        <v>-13</v>
      </c>
      <c r="E198" s="61" t="s">
        <v>340</v>
      </c>
      <c r="F198" s="104" t="s">
        <v>341</v>
      </c>
      <c r="G198" s="63">
        <v>0.54300000000000004</v>
      </c>
      <c r="H198" s="63">
        <f t="shared" si="3"/>
        <v>-7.0590000000000002E-3</v>
      </c>
    </row>
    <row r="199" spans="1:8" x14ac:dyDescent="0.25">
      <c r="A199" s="60">
        <v>6923</v>
      </c>
      <c r="B199" s="61">
        <f>2*E191</f>
        <v>2</v>
      </c>
      <c r="C199" s="61" t="s">
        <v>440</v>
      </c>
      <c r="D199" s="61">
        <f>A191/2-6</f>
        <v>-6</v>
      </c>
      <c r="E199" s="61" t="s">
        <v>340</v>
      </c>
      <c r="F199" s="110" t="s">
        <v>441</v>
      </c>
      <c r="G199" s="63">
        <v>0.23300000000000001</v>
      </c>
      <c r="H199" s="63">
        <f t="shared" si="3"/>
        <v>-2.7960000000000003E-3</v>
      </c>
    </row>
    <row r="200" spans="1:8" x14ac:dyDescent="0.25">
      <c r="A200" s="60">
        <v>6905</v>
      </c>
      <c r="B200" s="61">
        <f>1*E191</f>
        <v>1</v>
      </c>
      <c r="C200" s="61" t="s">
        <v>442</v>
      </c>
      <c r="D200" s="61">
        <f>C191-48</f>
        <v>-48</v>
      </c>
      <c r="E200" s="61" t="s">
        <v>340</v>
      </c>
      <c r="F200" s="104" t="s">
        <v>391</v>
      </c>
      <c r="G200" s="63">
        <v>0.54300000000000004</v>
      </c>
      <c r="H200" s="63">
        <f t="shared" si="3"/>
        <v>-2.6064000000000004E-2</v>
      </c>
    </row>
    <row r="201" spans="1:8" x14ac:dyDescent="0.25">
      <c r="A201" s="60">
        <v>6906</v>
      </c>
      <c r="B201" s="61">
        <f>1*E191</f>
        <v>1</v>
      </c>
      <c r="C201" s="61" t="s">
        <v>442</v>
      </c>
      <c r="D201" s="61">
        <f>C191-48</f>
        <v>-48</v>
      </c>
      <c r="E201" s="61" t="s">
        <v>340</v>
      </c>
      <c r="F201" s="104" t="s">
        <v>443</v>
      </c>
      <c r="G201" s="63">
        <v>0.48</v>
      </c>
      <c r="H201" s="63">
        <f t="shared" si="3"/>
        <v>-2.3039999999999998E-2</v>
      </c>
    </row>
    <row r="202" spans="1:8" x14ac:dyDescent="0.25">
      <c r="A202" s="60">
        <v>6926</v>
      </c>
      <c r="B202" s="61">
        <f>1*E191</f>
        <v>1</v>
      </c>
      <c r="C202" s="61" t="s">
        <v>444</v>
      </c>
      <c r="D202" s="61">
        <f>C191-20</f>
        <v>-20</v>
      </c>
      <c r="E202" s="61" t="s">
        <v>340</v>
      </c>
      <c r="F202" s="104" t="s">
        <v>445</v>
      </c>
      <c r="G202" s="63">
        <v>0.52900000000000003</v>
      </c>
      <c r="H202" s="63">
        <f t="shared" si="3"/>
        <v>-1.0580000000000001E-2</v>
      </c>
    </row>
    <row r="203" spans="1:8" x14ac:dyDescent="0.25">
      <c r="A203" s="64"/>
      <c r="B203" s="65"/>
      <c r="C203" s="65"/>
      <c r="D203" s="65"/>
      <c r="E203" s="65"/>
      <c r="F203" s="65"/>
      <c r="G203" s="63" t="s">
        <v>392</v>
      </c>
      <c r="H203" s="63">
        <f>SUM(H194:H202)</f>
        <v>-9.2160000000000006E-2</v>
      </c>
    </row>
    <row r="204" spans="1:8" x14ac:dyDescent="0.25">
      <c r="A204" s="64"/>
      <c r="B204" s="65"/>
      <c r="C204" s="65"/>
      <c r="D204" s="65"/>
      <c r="E204" s="65"/>
      <c r="F204" s="65"/>
      <c r="G204" s="66"/>
      <c r="H204" s="67"/>
    </row>
    <row r="205" spans="1:8" x14ac:dyDescent="0.25">
      <c r="A205" s="64"/>
      <c r="B205" s="65"/>
      <c r="C205" s="65"/>
      <c r="D205" s="65"/>
      <c r="E205" s="65"/>
      <c r="F205" s="65"/>
      <c r="G205" s="68"/>
      <c r="H205" s="67"/>
    </row>
    <row r="206" spans="1:8" x14ac:dyDescent="0.25">
      <c r="A206" s="69" t="s">
        <v>393</v>
      </c>
      <c r="B206" s="70"/>
      <c r="C206" s="70"/>
      <c r="D206" s="71"/>
      <c r="E206" s="59" t="s">
        <v>36</v>
      </c>
      <c r="F206" s="59" t="s">
        <v>266</v>
      </c>
      <c r="G206" s="52"/>
      <c r="H206" s="72"/>
    </row>
    <row r="207" spans="1:8" x14ac:dyDescent="0.25">
      <c r="A207" s="73" t="s">
        <v>446</v>
      </c>
      <c r="B207" s="74"/>
      <c r="C207" s="70"/>
      <c r="D207" s="71"/>
      <c r="E207" s="114">
        <f>F207*E191</f>
        <v>2</v>
      </c>
      <c r="F207" s="90">
        <v>2</v>
      </c>
      <c r="G207" s="76"/>
      <c r="H207" s="77"/>
    </row>
    <row r="208" spans="1:8" x14ac:dyDescent="0.25">
      <c r="A208" s="73" t="s">
        <v>447</v>
      </c>
      <c r="B208" s="74"/>
      <c r="C208" s="70"/>
      <c r="D208" s="71"/>
      <c r="E208" s="115">
        <f>F208*E191</f>
        <v>2</v>
      </c>
      <c r="F208" s="90">
        <v>2</v>
      </c>
      <c r="G208" s="76"/>
      <c r="H208" s="77"/>
    </row>
    <row r="209" spans="1:8" x14ac:dyDescent="0.25">
      <c r="A209" s="73" t="s">
        <v>397</v>
      </c>
      <c r="B209" s="74"/>
      <c r="C209" s="70"/>
      <c r="D209" s="71"/>
      <c r="E209" s="115">
        <f>2*(A191/1000)+2*(C191/1000)*E191</f>
        <v>0</v>
      </c>
      <c r="F209" s="90" t="s">
        <v>448</v>
      </c>
      <c r="G209" s="64"/>
      <c r="H209" s="77"/>
    </row>
    <row r="210" spans="1:8" x14ac:dyDescent="0.25">
      <c r="A210" s="73" t="s">
        <v>399</v>
      </c>
      <c r="B210" s="74"/>
      <c r="C210" s="70"/>
      <c r="D210" s="71"/>
      <c r="E210" s="115">
        <f>2*(C191/1000)*E191</f>
        <v>0</v>
      </c>
      <c r="F210" s="90" t="s">
        <v>400</v>
      </c>
      <c r="G210" s="64"/>
      <c r="H210" s="77"/>
    </row>
    <row r="211" spans="1:8" x14ac:dyDescent="0.25">
      <c r="A211" s="73" t="s">
        <v>401</v>
      </c>
      <c r="B211" s="74"/>
      <c r="C211" s="70"/>
      <c r="D211" s="71"/>
      <c r="E211" s="115">
        <f>(A191/1000)+4*(C191/1000)*E191</f>
        <v>0</v>
      </c>
      <c r="F211" s="90" t="s">
        <v>449</v>
      </c>
      <c r="G211" s="64"/>
      <c r="H211" s="77"/>
    </row>
    <row r="212" spans="1:8" x14ac:dyDescent="0.25">
      <c r="A212" s="73" t="s">
        <v>403</v>
      </c>
      <c r="B212" s="74"/>
      <c r="C212" s="70"/>
      <c r="D212" s="71"/>
      <c r="E212" s="115">
        <f>F212*E191</f>
        <v>2</v>
      </c>
      <c r="F212" s="90">
        <v>2</v>
      </c>
      <c r="G212" s="93"/>
      <c r="H212" s="77"/>
    </row>
    <row r="213" spans="1:8" x14ac:dyDescent="0.25">
      <c r="A213" s="73" t="s">
        <v>404</v>
      </c>
      <c r="B213" s="74"/>
      <c r="C213" s="70"/>
      <c r="D213" s="71"/>
      <c r="E213" s="115">
        <f>F213*E191</f>
        <v>2</v>
      </c>
      <c r="F213" s="90">
        <v>2</v>
      </c>
      <c r="G213" s="76"/>
      <c r="H213" s="77"/>
    </row>
    <row r="214" spans="1:8" x14ac:dyDescent="0.25">
      <c r="A214" s="73" t="s">
        <v>405</v>
      </c>
      <c r="B214" s="74"/>
      <c r="C214" s="70"/>
      <c r="D214" s="71"/>
      <c r="E214" s="115">
        <f>F214*E191</f>
        <v>2</v>
      </c>
      <c r="F214" s="90">
        <v>2</v>
      </c>
      <c r="G214" s="76"/>
      <c r="H214" s="77"/>
    </row>
    <row r="215" spans="1:8" x14ac:dyDescent="0.25">
      <c r="A215" s="73" t="s">
        <v>406</v>
      </c>
      <c r="B215" s="74"/>
      <c r="C215" s="70"/>
      <c r="D215" s="71"/>
      <c r="E215" s="115">
        <f>F215*E191</f>
        <v>1</v>
      </c>
      <c r="F215" s="90">
        <v>1</v>
      </c>
      <c r="G215" s="53"/>
      <c r="H215" s="80"/>
    </row>
    <row r="216" spans="1:8" x14ac:dyDescent="0.25">
      <c r="A216" s="73" t="s">
        <v>407</v>
      </c>
      <c r="B216" s="74"/>
      <c r="C216" s="70"/>
      <c r="D216" s="71"/>
      <c r="E216" s="115">
        <f>F216*E191</f>
        <v>1</v>
      </c>
      <c r="F216" s="90">
        <v>1</v>
      </c>
      <c r="G216" s="53"/>
      <c r="H216" s="80"/>
    </row>
    <row r="217" spans="1:8" x14ac:dyDescent="0.25">
      <c r="A217" s="73" t="s">
        <v>408</v>
      </c>
      <c r="B217" s="74"/>
      <c r="C217" s="70"/>
      <c r="D217" s="71"/>
      <c r="E217" s="115">
        <f>F217*E191</f>
        <v>1</v>
      </c>
      <c r="F217" s="90">
        <v>1</v>
      </c>
      <c r="G217" s="53"/>
      <c r="H217" s="80"/>
    </row>
    <row r="218" spans="1:8" x14ac:dyDescent="0.25">
      <c r="A218" s="73" t="s">
        <v>450</v>
      </c>
      <c r="B218" s="74"/>
      <c r="C218" s="70"/>
      <c r="D218" s="71"/>
      <c r="E218" s="115">
        <f>F218*E191</f>
        <v>2</v>
      </c>
      <c r="F218" s="90">
        <v>2</v>
      </c>
      <c r="G218" s="53"/>
      <c r="H218" s="80"/>
    </row>
    <row r="219" spans="1:8" x14ac:dyDescent="0.25">
      <c r="A219" s="81" t="s">
        <v>409</v>
      </c>
      <c r="B219" s="74"/>
      <c r="C219" s="70"/>
      <c r="D219" s="71"/>
      <c r="E219" s="115">
        <f>F219*E191</f>
        <v>2</v>
      </c>
      <c r="F219" s="90">
        <v>2</v>
      </c>
      <c r="G219" s="82"/>
      <c r="H219" s="51"/>
    </row>
    <row r="220" spans="1:8" x14ac:dyDescent="0.25">
      <c r="A220" s="73" t="s">
        <v>412</v>
      </c>
      <c r="B220" s="74"/>
      <c r="C220" s="70"/>
      <c r="D220" s="71"/>
      <c r="E220" s="115">
        <f>F220*E191</f>
        <v>16</v>
      </c>
      <c r="F220" s="90">
        <v>16</v>
      </c>
      <c r="G220" s="82"/>
      <c r="H220" s="51"/>
    </row>
    <row r="221" spans="1:8" x14ac:dyDescent="0.25">
      <c r="A221" s="52"/>
      <c r="B221" s="53"/>
      <c r="C221" s="53"/>
      <c r="D221" s="53"/>
      <c r="E221" s="53"/>
      <c r="F221" s="65"/>
      <c r="G221" s="53"/>
      <c r="H221" s="83"/>
    </row>
    <row r="222" spans="1:8" x14ac:dyDescent="0.25">
      <c r="A222" s="52"/>
      <c r="B222" s="53"/>
      <c r="C222" s="53"/>
      <c r="D222" s="53"/>
      <c r="E222" s="53"/>
      <c r="F222" s="65"/>
      <c r="G222" s="53"/>
      <c r="H222" s="83"/>
    </row>
    <row r="223" spans="1:8" x14ac:dyDescent="0.25">
      <c r="A223" s="59" t="s">
        <v>413</v>
      </c>
      <c r="B223" s="84" t="s">
        <v>266</v>
      </c>
      <c r="C223" s="84" t="s">
        <v>383</v>
      </c>
      <c r="D223" s="405" t="s">
        <v>414</v>
      </c>
      <c r="E223" s="406"/>
      <c r="F223" s="85" t="s">
        <v>415</v>
      </c>
      <c r="G223" s="59" t="s">
        <v>416</v>
      </c>
      <c r="H223" s="86"/>
    </row>
    <row r="224" spans="1:8" x14ac:dyDescent="0.25">
      <c r="A224" s="61"/>
      <c r="B224" s="89">
        <f>1*E191</f>
        <v>1</v>
      </c>
      <c r="C224" s="108" t="s">
        <v>451</v>
      </c>
      <c r="D224" s="407">
        <f>A191/2-55</f>
        <v>-55</v>
      </c>
      <c r="E224" s="408"/>
      <c r="F224" s="90">
        <f>C191-125</f>
        <v>-125</v>
      </c>
      <c r="G224" s="91">
        <f>+(D224/1000)*(F224/1000)*B224</f>
        <v>6.875E-3</v>
      </c>
      <c r="H224" s="83"/>
    </row>
    <row r="225" spans="1:8" x14ac:dyDescent="0.25">
      <c r="A225" s="87"/>
      <c r="B225" s="61">
        <f>1*E191</f>
        <v>1</v>
      </c>
      <c r="C225" s="88" t="s">
        <v>452</v>
      </c>
      <c r="D225" s="407">
        <f>A191/2-14</f>
        <v>-14</v>
      </c>
      <c r="E225" s="408"/>
      <c r="F225" s="61">
        <f>C191-44</f>
        <v>-44</v>
      </c>
      <c r="G225" s="91">
        <f>+(D225/1000)*(F225/1000)*B225</f>
        <v>6.1600000000000001E-4</v>
      </c>
      <c r="H225" s="92"/>
    </row>
    <row r="226" spans="1:8" x14ac:dyDescent="0.25">
      <c r="A226" s="52"/>
      <c r="B226" s="93"/>
      <c r="C226" s="53"/>
      <c r="D226" s="53"/>
      <c r="E226" s="53"/>
      <c r="F226" s="94" t="s">
        <v>418</v>
      </c>
      <c r="G226" s="95">
        <f>SUM(G224:G225)</f>
        <v>7.4910000000000003E-3</v>
      </c>
      <c r="H226" s="51"/>
    </row>
    <row r="227" spans="1:8" x14ac:dyDescent="0.25">
      <c r="A227" s="52"/>
      <c r="B227" s="93"/>
      <c r="C227" s="53"/>
      <c r="D227" s="53"/>
      <c r="E227" s="53"/>
      <c r="F227" s="94"/>
      <c r="G227" s="96"/>
      <c r="H227" s="51"/>
    </row>
    <row r="228" spans="1:8" x14ac:dyDescent="0.25">
      <c r="A228" s="52"/>
      <c r="B228" s="93"/>
      <c r="C228" s="53"/>
      <c r="D228" s="53"/>
      <c r="E228" s="53"/>
      <c r="F228" s="94"/>
      <c r="G228" s="96"/>
      <c r="H228" s="51"/>
    </row>
    <row r="229" spans="1:8" x14ac:dyDescent="0.25">
      <c r="A229" s="52"/>
      <c r="B229" s="93"/>
      <c r="C229" s="53"/>
      <c r="D229" s="53"/>
      <c r="E229" s="53"/>
      <c r="F229" s="94"/>
      <c r="G229" s="96"/>
      <c r="H229" s="51"/>
    </row>
    <row r="230" spans="1:8" x14ac:dyDescent="0.25">
      <c r="A230" s="52"/>
      <c r="B230" s="93"/>
      <c r="C230" s="53"/>
      <c r="D230" s="53"/>
      <c r="E230" s="53"/>
      <c r="F230" s="94"/>
      <c r="G230" s="96"/>
      <c r="H230" s="51"/>
    </row>
    <row r="231" spans="1:8" x14ac:dyDescent="0.25">
      <c r="A231" s="52"/>
      <c r="B231" s="93"/>
      <c r="C231" s="53"/>
      <c r="D231" s="53"/>
      <c r="E231" s="53"/>
      <c r="F231" s="94"/>
      <c r="G231" s="96"/>
      <c r="H231" s="51"/>
    </row>
    <row r="232" spans="1:8" x14ac:dyDescent="0.25">
      <c r="A232" s="52"/>
      <c r="B232" s="93"/>
      <c r="C232" s="53"/>
      <c r="D232" s="53"/>
      <c r="E232" s="53"/>
      <c r="F232" s="94"/>
      <c r="G232" s="96"/>
      <c r="H232" s="51"/>
    </row>
    <row r="233" spans="1:8" x14ac:dyDescent="0.25">
      <c r="A233" s="52"/>
      <c r="B233" s="93"/>
      <c r="C233" s="53"/>
      <c r="D233" s="53"/>
      <c r="E233" s="53"/>
      <c r="F233" s="94"/>
      <c r="G233" s="96"/>
      <c r="H233" s="51"/>
    </row>
    <row r="234" spans="1:8" x14ac:dyDescent="0.25">
      <c r="A234" s="52"/>
      <c r="B234" s="93"/>
      <c r="C234" s="53"/>
      <c r="D234" s="53"/>
      <c r="E234" s="53"/>
      <c r="F234" s="94"/>
      <c r="G234" s="96"/>
      <c r="H234" s="51"/>
    </row>
    <row r="235" spans="1:8" x14ac:dyDescent="0.25">
      <c r="A235" s="52"/>
      <c r="B235" s="93"/>
      <c r="C235" s="53"/>
      <c r="D235" s="53"/>
      <c r="E235" s="53"/>
      <c r="F235" s="94"/>
      <c r="G235" s="96"/>
      <c r="H235" s="51"/>
    </row>
    <row r="236" spans="1:8" x14ac:dyDescent="0.25">
      <c r="A236" s="52"/>
      <c r="B236" s="93"/>
      <c r="C236" s="53"/>
      <c r="D236" s="53"/>
      <c r="E236" s="53"/>
      <c r="F236" s="94"/>
      <c r="G236" s="96"/>
      <c r="H236" s="51"/>
    </row>
    <row r="237" spans="1:8" x14ac:dyDescent="0.25">
      <c r="A237" s="52"/>
      <c r="B237" s="93"/>
      <c r="C237" s="53"/>
      <c r="D237" s="53"/>
      <c r="E237" s="53"/>
      <c r="F237" s="94"/>
      <c r="G237" s="96"/>
      <c r="H237" s="51"/>
    </row>
    <row r="238" spans="1:8" x14ac:dyDescent="0.25">
      <c r="A238" s="52"/>
      <c r="B238" s="93"/>
      <c r="C238" s="53"/>
      <c r="D238" s="53"/>
      <c r="E238" s="53"/>
      <c r="F238" s="94"/>
      <c r="G238" s="96"/>
      <c r="H238" s="51"/>
    </row>
    <row r="239" spans="1:8" x14ac:dyDescent="0.25">
      <c r="A239" s="52"/>
      <c r="B239" s="93"/>
      <c r="C239" s="53"/>
      <c r="D239" s="53"/>
      <c r="E239" s="53"/>
      <c r="F239" s="94"/>
      <c r="G239" s="96"/>
      <c r="H239" s="51"/>
    </row>
    <row r="240" spans="1:8" x14ac:dyDescent="0.25">
      <c r="A240" s="52"/>
      <c r="B240" s="93"/>
      <c r="C240" s="53"/>
      <c r="D240" s="53"/>
      <c r="E240" s="53"/>
      <c r="F240" s="94"/>
      <c r="G240" s="96"/>
      <c r="H240" s="51"/>
    </row>
    <row r="241" spans="1:8" x14ac:dyDescent="0.25">
      <c r="A241" s="52"/>
      <c r="B241" s="93"/>
      <c r="C241" s="53"/>
      <c r="D241" s="53"/>
      <c r="E241" s="53"/>
      <c r="F241" s="94"/>
      <c r="G241" s="96"/>
      <c r="H241" s="51"/>
    </row>
    <row r="242" spans="1:8" x14ac:dyDescent="0.25">
      <c r="A242" s="52"/>
      <c r="B242" s="93"/>
      <c r="C242" s="53"/>
      <c r="D242" s="53"/>
      <c r="E242" s="53"/>
      <c r="F242" s="94"/>
      <c r="G242" s="96"/>
      <c r="H242" s="51"/>
    </row>
    <row r="243" spans="1:8" x14ac:dyDescent="0.25">
      <c r="A243" s="52"/>
      <c r="B243" s="93"/>
      <c r="C243" s="53"/>
      <c r="D243" s="53"/>
      <c r="E243" s="53"/>
      <c r="F243" s="94"/>
      <c r="G243" s="96"/>
      <c r="H243" s="51"/>
    </row>
    <row r="244" spans="1:8" x14ac:dyDescent="0.25">
      <c r="A244" s="52"/>
      <c r="B244" s="93"/>
      <c r="C244" s="53"/>
      <c r="D244" s="53"/>
      <c r="E244" s="53"/>
      <c r="F244" s="94"/>
      <c r="G244" s="96"/>
      <c r="H244" s="51"/>
    </row>
    <row r="245" spans="1:8" x14ac:dyDescent="0.25">
      <c r="A245" s="52"/>
      <c r="B245" s="93"/>
      <c r="C245" s="93"/>
      <c r="D245" s="53"/>
      <c r="E245" s="53"/>
      <c r="F245" s="65"/>
      <c r="G245" s="53"/>
      <c r="H245" s="51"/>
    </row>
    <row r="246" spans="1:8" x14ac:dyDescent="0.25">
      <c r="A246" s="45"/>
      <c r="B246" s="97"/>
      <c r="C246" s="97"/>
      <c r="D246" s="45"/>
      <c r="E246" s="45"/>
      <c r="F246" s="102"/>
      <c r="G246" s="45"/>
      <c r="H246" s="45"/>
    </row>
    <row r="247" spans="1:8" x14ac:dyDescent="0.25">
      <c r="A247" s="100"/>
      <c r="B247" s="100"/>
      <c r="C247" s="100"/>
      <c r="D247" s="100"/>
      <c r="E247" s="100"/>
      <c r="F247" s="101"/>
      <c r="G247" s="100"/>
      <c r="H247" s="100"/>
    </row>
    <row r="248" spans="1:8" x14ac:dyDescent="0.25">
      <c r="A248" s="44"/>
      <c r="B248" s="45"/>
      <c r="C248" s="45"/>
      <c r="D248" s="45"/>
      <c r="E248" s="45"/>
      <c r="F248" s="102"/>
      <c r="G248" s="45"/>
      <c r="H248" s="46"/>
    </row>
    <row r="249" spans="1:8" x14ac:dyDescent="0.25">
      <c r="A249" s="52"/>
      <c r="B249" s="53"/>
      <c r="C249" s="53"/>
      <c r="D249" s="53"/>
      <c r="E249" s="53"/>
      <c r="F249" s="65"/>
      <c r="G249" s="53"/>
      <c r="H249" s="51"/>
    </row>
    <row r="250" spans="1:8" x14ac:dyDescent="0.25">
      <c r="A250" s="47" t="s">
        <v>453</v>
      </c>
      <c r="B250" s="48"/>
      <c r="C250" s="49"/>
      <c r="D250" s="48"/>
      <c r="E250" s="49"/>
      <c r="F250" s="50"/>
      <c r="G250" s="50"/>
      <c r="H250" s="103"/>
    </row>
    <row r="251" spans="1:8" ht="16.5" thickBot="1" x14ac:dyDescent="0.3">
      <c r="A251" s="52"/>
      <c r="B251" s="53"/>
      <c r="C251" s="53"/>
      <c r="D251" s="53"/>
      <c r="E251" s="53"/>
      <c r="F251" s="65"/>
      <c r="G251" s="54" t="s">
        <v>454</v>
      </c>
      <c r="H251" s="51"/>
    </row>
    <row r="252" spans="1:8" ht="16.5" thickBot="1" x14ac:dyDescent="0.3">
      <c r="A252" s="400" t="s">
        <v>381</v>
      </c>
      <c r="B252" s="401"/>
      <c r="C252" s="402" t="s">
        <v>382</v>
      </c>
      <c r="D252" s="401"/>
      <c r="E252" s="55" t="s">
        <v>266</v>
      </c>
      <c r="F252" s="65"/>
      <c r="G252" s="54"/>
      <c r="H252" s="51"/>
    </row>
    <row r="253" spans="1:8" ht="16.5" thickBot="1" x14ac:dyDescent="0.3">
      <c r="A253" s="403">
        <v>0</v>
      </c>
      <c r="B253" s="404"/>
      <c r="C253" s="403">
        <v>0</v>
      </c>
      <c r="D253" s="404"/>
      <c r="E253" s="56">
        <v>1</v>
      </c>
      <c r="F253" s="65"/>
      <c r="G253" s="53"/>
      <c r="H253" s="51"/>
    </row>
    <row r="254" spans="1:8" x14ac:dyDescent="0.25">
      <c r="A254" s="52"/>
      <c r="B254" s="58"/>
      <c r="C254" s="58"/>
      <c r="D254" s="58"/>
      <c r="E254" s="58"/>
      <c r="F254" s="58"/>
      <c r="G254" s="53"/>
      <c r="H254" s="83"/>
    </row>
    <row r="255" spans="1:8" x14ac:dyDescent="0.25">
      <c r="A255" s="59" t="s">
        <v>323</v>
      </c>
      <c r="B255" s="59" t="s">
        <v>266</v>
      </c>
      <c r="C255" s="59" t="s">
        <v>383</v>
      </c>
      <c r="D255" s="59" t="s">
        <v>384</v>
      </c>
      <c r="E255" s="59" t="s">
        <v>332</v>
      </c>
      <c r="F255" s="59" t="s">
        <v>385</v>
      </c>
      <c r="G255" s="59" t="s">
        <v>386</v>
      </c>
      <c r="H255" s="59" t="s">
        <v>387</v>
      </c>
    </row>
    <row r="256" spans="1:8" x14ac:dyDescent="0.25">
      <c r="A256" s="116">
        <v>6921</v>
      </c>
      <c r="B256" s="117">
        <f>2*E253</f>
        <v>2</v>
      </c>
      <c r="C256" s="117" t="s">
        <v>367</v>
      </c>
      <c r="D256" s="117">
        <f>A253-14</f>
        <v>-14</v>
      </c>
      <c r="E256" s="117" t="s">
        <v>340</v>
      </c>
      <c r="F256" s="118" t="s">
        <v>438</v>
      </c>
      <c r="G256" s="63">
        <v>0.60499999999999998</v>
      </c>
      <c r="H256" s="63">
        <f t="shared" ref="H256:H263" si="4">(D256/1000)*B256*G256</f>
        <v>-1.694E-2</v>
      </c>
    </row>
    <row r="257" spans="1:8" x14ac:dyDescent="0.25">
      <c r="A257" s="116">
        <v>6903</v>
      </c>
      <c r="B257" s="117">
        <f>2*E253</f>
        <v>2</v>
      </c>
      <c r="C257" s="117" t="s">
        <v>337</v>
      </c>
      <c r="D257" s="117">
        <f>C253</f>
        <v>0</v>
      </c>
      <c r="E257" s="117" t="s">
        <v>340</v>
      </c>
      <c r="F257" s="118" t="s">
        <v>83</v>
      </c>
      <c r="G257" s="63">
        <v>0.55000000000000004</v>
      </c>
      <c r="H257" s="63">
        <f t="shared" si="4"/>
        <v>0</v>
      </c>
    </row>
    <row r="258" spans="1:8" x14ac:dyDescent="0.25">
      <c r="A258" s="116">
        <v>6907</v>
      </c>
      <c r="B258" s="117">
        <f>2*E253</f>
        <v>2</v>
      </c>
      <c r="C258" s="117" t="s">
        <v>421</v>
      </c>
      <c r="D258" s="119">
        <f>A253/3-13</f>
        <v>-13</v>
      </c>
      <c r="E258" s="117" t="s">
        <v>340</v>
      </c>
      <c r="F258" s="118" t="s">
        <v>324</v>
      </c>
      <c r="G258" s="63">
        <v>0.437</v>
      </c>
      <c r="H258" s="63">
        <f t="shared" si="4"/>
        <v>-1.1361999999999999E-2</v>
      </c>
    </row>
    <row r="259" spans="1:8" x14ac:dyDescent="0.25">
      <c r="A259" s="116">
        <v>6908</v>
      </c>
      <c r="B259" s="117">
        <f>2*E253</f>
        <v>2</v>
      </c>
      <c r="C259" s="117" t="s">
        <v>421</v>
      </c>
      <c r="D259" s="119">
        <f>A253/3-13</f>
        <v>-13</v>
      </c>
      <c r="E259" s="117" t="s">
        <v>340</v>
      </c>
      <c r="F259" s="118" t="s">
        <v>341</v>
      </c>
      <c r="G259" s="63">
        <v>0.54300000000000004</v>
      </c>
      <c r="H259" s="63">
        <f t="shared" si="4"/>
        <v>-1.4118E-2</v>
      </c>
    </row>
    <row r="260" spans="1:8" x14ac:dyDescent="0.25">
      <c r="A260" s="116">
        <v>6905</v>
      </c>
      <c r="B260" s="117">
        <f>2*E253</f>
        <v>2</v>
      </c>
      <c r="C260" s="117" t="s">
        <v>442</v>
      </c>
      <c r="D260" s="119">
        <f>C253-48</f>
        <v>-48</v>
      </c>
      <c r="E260" s="117" t="s">
        <v>340</v>
      </c>
      <c r="F260" s="118" t="s">
        <v>391</v>
      </c>
      <c r="G260" s="63">
        <v>0.54300000000000004</v>
      </c>
      <c r="H260" s="63">
        <f t="shared" si="4"/>
        <v>-5.2128000000000008E-2</v>
      </c>
    </row>
    <row r="261" spans="1:8" x14ac:dyDescent="0.25">
      <c r="A261" s="116">
        <v>6906</v>
      </c>
      <c r="B261" s="117">
        <f>2*E253</f>
        <v>2</v>
      </c>
      <c r="C261" s="117" t="s">
        <v>442</v>
      </c>
      <c r="D261" s="119">
        <f>C253-48</f>
        <v>-48</v>
      </c>
      <c r="E261" s="117" t="s">
        <v>340</v>
      </c>
      <c r="F261" s="118" t="s">
        <v>443</v>
      </c>
      <c r="G261" s="63">
        <v>0.48</v>
      </c>
      <c r="H261" s="63">
        <f t="shared" si="4"/>
        <v>-4.6079999999999996E-2</v>
      </c>
    </row>
    <row r="262" spans="1:8" x14ac:dyDescent="0.25">
      <c r="A262" s="116">
        <v>6926</v>
      </c>
      <c r="B262" s="117">
        <f>2*E253</f>
        <v>2</v>
      </c>
      <c r="C262" s="117" t="s">
        <v>444</v>
      </c>
      <c r="D262" s="119">
        <f>C253-20</f>
        <v>-20</v>
      </c>
      <c r="E262" s="117" t="s">
        <v>340</v>
      </c>
      <c r="F262" s="118" t="s">
        <v>445</v>
      </c>
      <c r="G262" s="63">
        <v>0.52900000000000003</v>
      </c>
      <c r="H262" s="63">
        <f t="shared" si="4"/>
        <v>-2.1160000000000002E-2</v>
      </c>
    </row>
    <row r="263" spans="1:8" x14ac:dyDescent="0.25">
      <c r="A263" s="116">
        <v>6923</v>
      </c>
      <c r="B263" s="117">
        <f>2*E253</f>
        <v>2</v>
      </c>
      <c r="C263" s="117" t="s">
        <v>455</v>
      </c>
      <c r="D263" s="119">
        <f>A253/3+2</f>
        <v>2</v>
      </c>
      <c r="E263" s="117" t="s">
        <v>340</v>
      </c>
      <c r="F263" s="120" t="s">
        <v>441</v>
      </c>
      <c r="G263" s="63">
        <v>0.23300000000000001</v>
      </c>
      <c r="H263" s="63">
        <f t="shared" si="4"/>
        <v>9.320000000000001E-4</v>
      </c>
    </row>
    <row r="264" spans="1:8" x14ac:dyDescent="0.25">
      <c r="A264" s="64"/>
      <c r="B264" s="65"/>
      <c r="C264" s="65"/>
      <c r="D264" s="65"/>
      <c r="E264" s="65"/>
      <c r="F264" s="65"/>
      <c r="G264" s="63" t="s">
        <v>392</v>
      </c>
      <c r="H264" s="63">
        <f>SUM(H256:H263)</f>
        <v>-0.16085600000000003</v>
      </c>
    </row>
    <row r="265" spans="1:8" x14ac:dyDescent="0.25">
      <c r="A265" s="64"/>
      <c r="B265" s="65"/>
      <c r="C265" s="65"/>
      <c r="D265" s="65"/>
      <c r="E265" s="65"/>
      <c r="F265" s="65"/>
      <c r="G265" s="66"/>
      <c r="H265" s="67"/>
    </row>
    <row r="266" spans="1:8" x14ac:dyDescent="0.25">
      <c r="A266" s="64"/>
      <c r="B266" s="65"/>
      <c r="C266" s="65"/>
      <c r="D266" s="65"/>
      <c r="E266" s="65"/>
      <c r="F266" s="65"/>
      <c r="G266" s="68"/>
      <c r="H266" s="67"/>
    </row>
    <row r="267" spans="1:8" x14ac:dyDescent="0.25">
      <c r="A267" s="69" t="s">
        <v>393</v>
      </c>
      <c r="B267" s="70"/>
      <c r="C267" s="70"/>
      <c r="D267" s="71"/>
      <c r="E267" s="59" t="s">
        <v>36</v>
      </c>
      <c r="F267" s="59" t="s">
        <v>266</v>
      </c>
      <c r="G267" s="52"/>
      <c r="H267" s="72"/>
    </row>
    <row r="268" spans="1:8" x14ac:dyDescent="0.25">
      <c r="A268" s="73" t="s">
        <v>446</v>
      </c>
      <c r="B268" s="74"/>
      <c r="C268" s="70"/>
      <c r="D268" s="71"/>
      <c r="E268" s="106">
        <f>F268*E253</f>
        <v>2</v>
      </c>
      <c r="F268" s="61">
        <v>2</v>
      </c>
      <c r="G268" s="76"/>
      <c r="H268" s="77"/>
    </row>
    <row r="269" spans="1:8" x14ac:dyDescent="0.25">
      <c r="A269" s="73" t="s">
        <v>447</v>
      </c>
      <c r="B269" s="74"/>
      <c r="C269" s="70"/>
      <c r="D269" s="71"/>
      <c r="E269" s="107">
        <f>F269*E253</f>
        <v>2</v>
      </c>
      <c r="F269" s="61">
        <v>2</v>
      </c>
      <c r="G269" s="76"/>
      <c r="H269" s="77"/>
    </row>
    <row r="270" spans="1:8" x14ac:dyDescent="0.25">
      <c r="A270" s="73" t="s">
        <v>397</v>
      </c>
      <c r="B270" s="74"/>
      <c r="C270" s="70"/>
      <c r="D270" s="71"/>
      <c r="E270" s="107">
        <f>3*(A253/1000)+4*(C253/1000)*E253</f>
        <v>0</v>
      </c>
      <c r="F270" s="61" t="s">
        <v>456</v>
      </c>
      <c r="G270" s="79"/>
      <c r="H270" s="77"/>
    </row>
    <row r="271" spans="1:8" x14ac:dyDescent="0.25">
      <c r="A271" s="73" t="s">
        <v>399</v>
      </c>
      <c r="B271" s="74"/>
      <c r="C271" s="70"/>
      <c r="D271" s="71"/>
      <c r="E271" s="107">
        <f>4*(C253/1000)*E253</f>
        <v>0</v>
      </c>
      <c r="F271" s="61" t="s">
        <v>423</v>
      </c>
      <c r="G271" s="79"/>
      <c r="H271" s="77"/>
    </row>
    <row r="272" spans="1:8" x14ac:dyDescent="0.25">
      <c r="A272" s="73" t="s">
        <v>401</v>
      </c>
      <c r="B272" s="74"/>
      <c r="C272" s="70"/>
      <c r="D272" s="71"/>
      <c r="E272" s="107">
        <f>2*(A253/1000)+6*(C253/1000)*E253</f>
        <v>0</v>
      </c>
      <c r="F272" s="61" t="s">
        <v>424</v>
      </c>
      <c r="G272" s="79"/>
      <c r="H272" s="77"/>
    </row>
    <row r="273" spans="1:8" x14ac:dyDescent="0.25">
      <c r="A273" s="73" t="s">
        <v>403</v>
      </c>
      <c r="B273" s="74"/>
      <c r="C273" s="70"/>
      <c r="D273" s="71"/>
      <c r="E273" s="107">
        <f>F273*E253</f>
        <v>4</v>
      </c>
      <c r="F273" s="61">
        <v>4</v>
      </c>
      <c r="G273" s="93"/>
      <c r="H273" s="77"/>
    </row>
    <row r="274" spans="1:8" x14ac:dyDescent="0.25">
      <c r="A274" s="73" t="s">
        <v>404</v>
      </c>
      <c r="B274" s="74"/>
      <c r="C274" s="70"/>
      <c r="D274" s="71"/>
      <c r="E274" s="107">
        <f>F274*E253</f>
        <v>4</v>
      </c>
      <c r="F274" s="61">
        <v>4</v>
      </c>
      <c r="G274" s="76"/>
      <c r="H274" s="77"/>
    </row>
    <row r="275" spans="1:8" x14ac:dyDescent="0.25">
      <c r="A275" s="73" t="s">
        <v>405</v>
      </c>
      <c r="B275" s="74"/>
      <c r="C275" s="70"/>
      <c r="D275" s="71"/>
      <c r="E275" s="107">
        <f>F275*E253</f>
        <v>4</v>
      </c>
      <c r="F275" s="61">
        <v>4</v>
      </c>
      <c r="G275" s="76"/>
      <c r="H275" s="77"/>
    </row>
    <row r="276" spans="1:8" x14ac:dyDescent="0.25">
      <c r="A276" s="73" t="s">
        <v>406</v>
      </c>
      <c r="B276" s="74"/>
      <c r="C276" s="70"/>
      <c r="D276" s="71"/>
      <c r="E276" s="107">
        <f>F276*E253</f>
        <v>2</v>
      </c>
      <c r="F276" s="61">
        <v>2</v>
      </c>
      <c r="G276" s="53"/>
      <c r="H276" s="80"/>
    </row>
    <row r="277" spans="1:8" x14ac:dyDescent="0.25">
      <c r="A277" s="73" t="s">
        <v>407</v>
      </c>
      <c r="B277" s="74"/>
      <c r="C277" s="70"/>
      <c r="D277" s="71"/>
      <c r="E277" s="107">
        <f>F277*E253</f>
        <v>2</v>
      </c>
      <c r="F277" s="61">
        <v>2</v>
      </c>
      <c r="G277" s="53"/>
      <c r="H277" s="80"/>
    </row>
    <row r="278" spans="1:8" x14ac:dyDescent="0.25">
      <c r="A278" s="73" t="s">
        <v>408</v>
      </c>
      <c r="B278" s="74"/>
      <c r="C278" s="70"/>
      <c r="D278" s="71"/>
      <c r="E278" s="107">
        <f>F278*E253</f>
        <v>2</v>
      </c>
      <c r="F278" s="61">
        <v>2</v>
      </c>
      <c r="G278" s="53"/>
      <c r="H278" s="80"/>
    </row>
    <row r="279" spans="1:8" x14ac:dyDescent="0.25">
      <c r="A279" s="73" t="s">
        <v>450</v>
      </c>
      <c r="B279" s="74"/>
      <c r="C279" s="70"/>
      <c r="D279" s="71"/>
      <c r="E279" s="107">
        <f>F279*E253</f>
        <v>4</v>
      </c>
      <c r="F279" s="61">
        <v>4</v>
      </c>
      <c r="G279" s="53"/>
      <c r="H279" s="80"/>
    </row>
    <row r="280" spans="1:8" x14ac:dyDescent="0.25">
      <c r="A280" s="81" t="s">
        <v>409</v>
      </c>
      <c r="B280" s="74"/>
      <c r="C280" s="70"/>
      <c r="D280" s="71"/>
      <c r="E280" s="107">
        <f>F280*E253</f>
        <v>4</v>
      </c>
      <c r="F280" s="61">
        <v>4</v>
      </c>
      <c r="G280" s="82"/>
      <c r="H280" s="51"/>
    </row>
    <row r="281" spans="1:8" x14ac:dyDescent="0.25">
      <c r="A281" s="73" t="s">
        <v>412</v>
      </c>
      <c r="B281" s="74"/>
      <c r="C281" s="70"/>
      <c r="D281" s="71"/>
      <c r="E281" s="107">
        <f>F281*E253</f>
        <v>24</v>
      </c>
      <c r="F281" s="61">
        <v>24</v>
      </c>
      <c r="G281" s="82"/>
      <c r="H281" s="51"/>
    </row>
    <row r="282" spans="1:8" x14ac:dyDescent="0.25">
      <c r="A282" s="52"/>
      <c r="B282" s="53"/>
      <c r="C282" s="53"/>
      <c r="D282" s="53"/>
      <c r="E282" s="53"/>
      <c r="F282" s="65"/>
      <c r="G282" s="53"/>
      <c r="H282" s="83"/>
    </row>
    <row r="283" spans="1:8" x14ac:dyDescent="0.25">
      <c r="A283" s="52"/>
      <c r="B283" s="53"/>
      <c r="C283" s="53"/>
      <c r="D283" s="53"/>
      <c r="E283" s="53"/>
      <c r="F283" s="65"/>
      <c r="G283" s="53"/>
      <c r="H283" s="83"/>
    </row>
    <row r="284" spans="1:8" x14ac:dyDescent="0.25">
      <c r="A284" s="59" t="s">
        <v>413</v>
      </c>
      <c r="B284" s="84" t="s">
        <v>266</v>
      </c>
      <c r="C284" s="84" t="s">
        <v>383</v>
      </c>
      <c r="D284" s="405" t="s">
        <v>414</v>
      </c>
      <c r="E284" s="406"/>
      <c r="F284" s="85" t="s">
        <v>415</v>
      </c>
      <c r="G284" s="59" t="s">
        <v>416</v>
      </c>
      <c r="H284" s="86"/>
    </row>
    <row r="285" spans="1:8" x14ac:dyDescent="0.25">
      <c r="A285" s="61"/>
      <c r="B285" s="89">
        <f>2*E253</f>
        <v>2</v>
      </c>
      <c r="C285" s="108" t="s">
        <v>457</v>
      </c>
      <c r="D285" s="409">
        <f>A253/3-55</f>
        <v>-55</v>
      </c>
      <c r="E285" s="410"/>
      <c r="F285" s="90">
        <f>C253-125</f>
        <v>-125</v>
      </c>
      <c r="G285" s="91">
        <f>+(D285/1000)*(F285/1000)*B285</f>
        <v>1.375E-2</v>
      </c>
      <c r="H285" s="83"/>
    </row>
    <row r="286" spans="1:8" x14ac:dyDescent="0.25">
      <c r="A286" s="87"/>
      <c r="B286" s="61">
        <f>1*E253</f>
        <v>1</v>
      </c>
      <c r="C286" s="88" t="s">
        <v>458</v>
      </c>
      <c r="D286" s="409">
        <f>A253/3-6</f>
        <v>-6</v>
      </c>
      <c r="E286" s="410"/>
      <c r="F286" s="61">
        <f>C253-44</f>
        <v>-44</v>
      </c>
      <c r="G286" s="91">
        <f>+(D286/1000)*(F286/1000)*B286</f>
        <v>2.6399999999999997E-4</v>
      </c>
      <c r="H286" s="92"/>
    </row>
    <row r="287" spans="1:8" x14ac:dyDescent="0.25">
      <c r="A287" s="52"/>
      <c r="B287" s="93"/>
      <c r="C287" s="53"/>
      <c r="D287" s="53"/>
      <c r="E287" s="53"/>
      <c r="F287" s="94" t="s">
        <v>418</v>
      </c>
      <c r="G287" s="95">
        <f>SUM(G285:G286)</f>
        <v>1.4014E-2</v>
      </c>
      <c r="H287" s="51"/>
    </row>
    <row r="288" spans="1:8" x14ac:dyDescent="0.25">
      <c r="A288" s="52"/>
      <c r="B288" s="93"/>
      <c r="C288" s="53"/>
      <c r="D288" s="53"/>
      <c r="E288" s="53"/>
      <c r="F288" s="94"/>
      <c r="G288" s="96"/>
      <c r="H288" s="51"/>
    </row>
    <row r="289" spans="1:8" x14ac:dyDescent="0.25">
      <c r="A289" s="52"/>
      <c r="B289" s="93"/>
      <c r="C289" s="53"/>
      <c r="D289" s="53"/>
      <c r="E289" s="53"/>
      <c r="F289" s="94"/>
      <c r="G289" s="96"/>
      <c r="H289" s="51"/>
    </row>
    <row r="290" spans="1:8" x14ac:dyDescent="0.25">
      <c r="A290" s="52"/>
      <c r="B290" s="93"/>
      <c r="C290" s="53"/>
      <c r="D290" s="53"/>
      <c r="E290" s="53"/>
      <c r="F290" s="94"/>
      <c r="G290" s="96"/>
      <c r="H290" s="51"/>
    </row>
    <row r="291" spans="1:8" x14ac:dyDescent="0.25">
      <c r="A291" s="52"/>
      <c r="B291" s="93"/>
      <c r="C291" s="53"/>
      <c r="D291" s="53"/>
      <c r="E291" s="53"/>
      <c r="F291" s="94"/>
      <c r="G291" s="96"/>
      <c r="H291" s="51"/>
    </row>
    <row r="292" spans="1:8" x14ac:dyDescent="0.25">
      <c r="A292" s="52"/>
      <c r="B292" s="93"/>
      <c r="C292" s="53"/>
      <c r="D292" s="53"/>
      <c r="E292" s="53"/>
      <c r="F292" s="94"/>
      <c r="G292" s="96"/>
      <c r="H292" s="51"/>
    </row>
    <row r="293" spans="1:8" x14ac:dyDescent="0.25">
      <c r="A293" s="52"/>
      <c r="B293" s="93"/>
      <c r="C293" s="53"/>
      <c r="D293" s="53"/>
      <c r="E293" s="53"/>
      <c r="F293" s="94"/>
      <c r="G293" s="96"/>
      <c r="H293" s="51"/>
    </row>
    <row r="294" spans="1:8" x14ac:dyDescent="0.25">
      <c r="A294" s="52"/>
      <c r="B294" s="93"/>
      <c r="C294" s="53"/>
      <c r="D294" s="53"/>
      <c r="E294" s="53"/>
      <c r="F294" s="94"/>
      <c r="G294" s="96"/>
      <c r="H294" s="51"/>
    </row>
    <row r="295" spans="1:8" x14ac:dyDescent="0.25">
      <c r="A295" s="52"/>
      <c r="B295" s="93"/>
      <c r="C295" s="53"/>
      <c r="D295" s="53"/>
      <c r="E295" s="53"/>
      <c r="F295" s="94"/>
      <c r="G295" s="96"/>
      <c r="H295" s="51"/>
    </row>
    <row r="296" spans="1:8" x14ac:dyDescent="0.25">
      <c r="A296" s="52"/>
      <c r="B296" s="93"/>
      <c r="C296" s="53"/>
      <c r="D296" s="53"/>
      <c r="E296" s="53"/>
      <c r="F296" s="94"/>
      <c r="G296" s="96"/>
      <c r="H296" s="51"/>
    </row>
    <row r="297" spans="1:8" x14ac:dyDescent="0.25">
      <c r="A297" s="52"/>
      <c r="B297" s="93"/>
      <c r="C297" s="53"/>
      <c r="D297" s="53"/>
      <c r="E297" s="53"/>
      <c r="F297" s="94"/>
      <c r="G297" s="96"/>
      <c r="H297" s="51"/>
    </row>
    <row r="298" spans="1:8" x14ac:dyDescent="0.25">
      <c r="A298" s="52"/>
      <c r="B298" s="93"/>
      <c r="C298" s="53"/>
      <c r="D298" s="53"/>
      <c r="E298" s="53"/>
      <c r="F298" s="94"/>
      <c r="G298" s="96"/>
      <c r="H298" s="51"/>
    </row>
    <row r="299" spans="1:8" x14ac:dyDescent="0.25">
      <c r="A299" s="52"/>
      <c r="B299" s="93"/>
      <c r="C299" s="53"/>
      <c r="D299" s="53"/>
      <c r="E299" s="53"/>
      <c r="F299" s="94"/>
      <c r="G299" s="96"/>
      <c r="H299" s="51"/>
    </row>
    <row r="300" spans="1:8" x14ac:dyDescent="0.25">
      <c r="A300" s="52"/>
      <c r="B300" s="93"/>
      <c r="C300" s="53"/>
      <c r="D300" s="53"/>
      <c r="E300" s="53"/>
      <c r="F300" s="94"/>
      <c r="G300" s="96"/>
      <c r="H300" s="51"/>
    </row>
    <row r="301" spans="1:8" x14ac:dyDescent="0.25">
      <c r="A301" s="52"/>
      <c r="B301" s="93"/>
      <c r="C301" s="53"/>
      <c r="D301" s="53"/>
      <c r="E301" s="53"/>
      <c r="F301" s="94"/>
      <c r="G301" s="96"/>
      <c r="H301" s="51"/>
    </row>
    <row r="302" spans="1:8" x14ac:dyDescent="0.25">
      <c r="A302" s="52"/>
      <c r="B302" s="93"/>
      <c r="C302" s="53"/>
      <c r="D302" s="53"/>
      <c r="E302" s="53"/>
      <c r="F302" s="94"/>
      <c r="G302" s="96"/>
      <c r="H302" s="51"/>
    </row>
    <row r="303" spans="1:8" x14ac:dyDescent="0.25">
      <c r="A303" s="52"/>
      <c r="B303" s="93"/>
      <c r="C303" s="53"/>
      <c r="D303" s="53"/>
      <c r="E303" s="53"/>
      <c r="F303" s="94"/>
      <c r="G303" s="96"/>
      <c r="H303" s="51"/>
    </row>
    <row r="304" spans="1:8" x14ac:dyDescent="0.25">
      <c r="A304" s="52"/>
      <c r="B304" s="93"/>
      <c r="C304" s="53"/>
      <c r="D304" s="53"/>
      <c r="E304" s="53"/>
      <c r="F304" s="94"/>
      <c r="G304" s="96"/>
      <c r="H304" s="51"/>
    </row>
    <row r="305" spans="1:8" x14ac:dyDescent="0.25">
      <c r="A305" s="52"/>
      <c r="B305" s="93"/>
      <c r="C305" s="53"/>
      <c r="D305" s="53"/>
      <c r="E305" s="53"/>
      <c r="F305" s="94"/>
      <c r="G305" s="96"/>
      <c r="H305" s="51"/>
    </row>
    <row r="306" spans="1:8" x14ac:dyDescent="0.25">
      <c r="A306" s="52"/>
      <c r="B306" s="93"/>
      <c r="C306" s="53"/>
      <c r="D306" s="53"/>
      <c r="E306" s="53"/>
      <c r="F306" s="94"/>
      <c r="G306" s="96"/>
      <c r="H306" s="51"/>
    </row>
    <row r="307" spans="1:8" x14ac:dyDescent="0.25">
      <c r="A307" s="52"/>
      <c r="B307" s="93"/>
      <c r="C307" s="93"/>
      <c r="D307" s="53"/>
      <c r="E307" s="53"/>
      <c r="F307" s="65"/>
      <c r="G307" s="53"/>
      <c r="H307" s="51"/>
    </row>
    <row r="308" spans="1:8" x14ac:dyDescent="0.25">
      <c r="A308" s="45"/>
      <c r="B308" s="97"/>
      <c r="C308" s="97"/>
      <c r="D308" s="45"/>
      <c r="E308" s="45"/>
      <c r="F308" s="102"/>
      <c r="G308" s="45"/>
      <c r="H308" s="45"/>
    </row>
    <row r="309" spans="1:8" x14ac:dyDescent="0.25">
      <c r="A309" s="100"/>
      <c r="B309" s="100"/>
      <c r="C309" s="100"/>
      <c r="D309" s="100"/>
      <c r="E309" s="100"/>
      <c r="F309" s="101"/>
      <c r="G309" s="100"/>
      <c r="H309" s="100"/>
    </row>
    <row r="310" spans="1:8" x14ac:dyDescent="0.25">
      <c r="A310" s="44"/>
      <c r="B310" s="45"/>
      <c r="C310" s="45"/>
      <c r="D310" s="45"/>
      <c r="E310" s="45"/>
      <c r="F310" s="102"/>
      <c r="G310" s="45"/>
      <c r="H310" s="46"/>
    </row>
    <row r="311" spans="1:8" x14ac:dyDescent="0.25">
      <c r="A311" s="52"/>
      <c r="B311" s="53"/>
      <c r="C311" s="53"/>
      <c r="D311" s="53"/>
      <c r="E311" s="53"/>
      <c r="F311" s="65"/>
      <c r="G311" s="53"/>
      <c r="H311" s="51"/>
    </row>
    <row r="312" spans="1:8" x14ac:dyDescent="0.25">
      <c r="A312" s="47" t="s">
        <v>459</v>
      </c>
      <c r="B312" s="49"/>
      <c r="C312" s="49"/>
      <c r="D312" s="49"/>
      <c r="E312" s="49"/>
      <c r="F312" s="50"/>
      <c r="G312" s="50"/>
      <c r="H312" s="103"/>
    </row>
    <row r="313" spans="1:8" ht="16.5" thickBot="1" x14ac:dyDescent="0.3">
      <c r="A313" s="52"/>
      <c r="B313" s="53"/>
      <c r="C313" s="53"/>
      <c r="D313" s="53"/>
      <c r="E313" s="53"/>
      <c r="F313" s="65"/>
      <c r="G313" s="54" t="s">
        <v>460</v>
      </c>
      <c r="H313" s="51"/>
    </row>
    <row r="314" spans="1:8" ht="16.5" thickBot="1" x14ac:dyDescent="0.3">
      <c r="A314" s="400" t="s">
        <v>381</v>
      </c>
      <c r="B314" s="401"/>
      <c r="C314" s="402" t="s">
        <v>382</v>
      </c>
      <c r="D314" s="401"/>
      <c r="E314" s="55" t="s">
        <v>266</v>
      </c>
      <c r="F314" s="65"/>
      <c r="G314" s="53"/>
      <c r="H314" s="51"/>
    </row>
    <row r="315" spans="1:8" ht="16.5" thickBot="1" x14ac:dyDescent="0.3">
      <c r="A315" s="403">
        <v>0</v>
      </c>
      <c r="B315" s="404"/>
      <c r="C315" s="403">
        <v>0</v>
      </c>
      <c r="D315" s="404"/>
      <c r="E315" s="56">
        <v>1</v>
      </c>
      <c r="F315" s="65"/>
      <c r="G315" s="53"/>
      <c r="H315" s="51"/>
    </row>
    <row r="316" spans="1:8" x14ac:dyDescent="0.25">
      <c r="A316" s="52"/>
      <c r="B316" s="58"/>
      <c r="C316" s="58"/>
      <c r="D316" s="58"/>
      <c r="E316" s="58"/>
      <c r="F316" s="58"/>
      <c r="G316" s="53"/>
      <c r="H316" s="83"/>
    </row>
    <row r="317" spans="1:8" x14ac:dyDescent="0.25">
      <c r="A317" s="59" t="s">
        <v>323</v>
      </c>
      <c r="B317" s="59" t="s">
        <v>266</v>
      </c>
      <c r="C317" s="59" t="s">
        <v>383</v>
      </c>
      <c r="D317" s="59" t="s">
        <v>384</v>
      </c>
      <c r="E317" s="59" t="s">
        <v>332</v>
      </c>
      <c r="F317" s="59" t="s">
        <v>385</v>
      </c>
      <c r="G317" s="59" t="s">
        <v>386</v>
      </c>
      <c r="H317" s="59" t="s">
        <v>387</v>
      </c>
    </row>
    <row r="318" spans="1:8" x14ac:dyDescent="0.25">
      <c r="A318" s="60">
        <v>6921</v>
      </c>
      <c r="B318" s="61">
        <f>2*E315</f>
        <v>2</v>
      </c>
      <c r="C318" s="61" t="s">
        <v>367</v>
      </c>
      <c r="D318" s="61">
        <f>A315-14</f>
        <v>-14</v>
      </c>
      <c r="E318" s="61" t="s">
        <v>340</v>
      </c>
      <c r="F318" s="104" t="s">
        <v>438</v>
      </c>
      <c r="G318" s="63">
        <v>0.60499999999999998</v>
      </c>
      <c r="H318" s="63">
        <f t="shared" ref="H318:H326" si="5">(D318/1000)*B318*G318</f>
        <v>-1.694E-2</v>
      </c>
    </row>
    <row r="319" spans="1:8" x14ac:dyDescent="0.25">
      <c r="A319" s="60">
        <v>6925</v>
      </c>
      <c r="B319" s="61">
        <f>2*E315</f>
        <v>2</v>
      </c>
      <c r="C319" s="61" t="s">
        <v>337</v>
      </c>
      <c r="D319" s="61">
        <f>C315</f>
        <v>0</v>
      </c>
      <c r="E319" s="61" t="s">
        <v>340</v>
      </c>
      <c r="F319" s="110" t="s">
        <v>461</v>
      </c>
      <c r="G319" s="63">
        <v>0.52100000000000002</v>
      </c>
      <c r="H319" s="63">
        <f t="shared" si="5"/>
        <v>0</v>
      </c>
    </row>
    <row r="320" spans="1:8" x14ac:dyDescent="0.25">
      <c r="A320" s="60">
        <v>6923</v>
      </c>
      <c r="B320" s="61">
        <f>4*E315</f>
        <v>4</v>
      </c>
      <c r="C320" s="61" t="s">
        <v>462</v>
      </c>
      <c r="D320" s="61">
        <f>A315/4-6</f>
        <v>-6</v>
      </c>
      <c r="E320" s="61" t="s">
        <v>340</v>
      </c>
      <c r="F320" s="110" t="s">
        <v>441</v>
      </c>
      <c r="G320" s="63">
        <v>0.23300000000000001</v>
      </c>
      <c r="H320" s="63">
        <f t="shared" si="5"/>
        <v>-5.5920000000000006E-3</v>
      </c>
    </row>
    <row r="321" spans="1:8" x14ac:dyDescent="0.25">
      <c r="A321" s="60">
        <v>6906</v>
      </c>
      <c r="B321" s="61">
        <f>2*E315</f>
        <v>2</v>
      </c>
      <c r="C321" s="61" t="s">
        <v>442</v>
      </c>
      <c r="D321" s="105">
        <f>C315-48</f>
        <v>-48</v>
      </c>
      <c r="E321" s="61" t="s">
        <v>340</v>
      </c>
      <c r="F321" s="104" t="s">
        <v>463</v>
      </c>
      <c r="G321" s="63">
        <v>0.48</v>
      </c>
      <c r="H321" s="63">
        <f t="shared" si="5"/>
        <v>-4.6079999999999996E-2</v>
      </c>
    </row>
    <row r="322" spans="1:8" x14ac:dyDescent="0.25">
      <c r="A322" s="60">
        <v>6926</v>
      </c>
      <c r="B322" s="61">
        <f>2*E315</f>
        <v>2</v>
      </c>
      <c r="C322" s="61" t="s">
        <v>444</v>
      </c>
      <c r="D322" s="61">
        <f>C315-20</f>
        <v>-20</v>
      </c>
      <c r="E322" s="61" t="s">
        <v>340</v>
      </c>
      <c r="F322" s="104" t="s">
        <v>445</v>
      </c>
      <c r="G322" s="63">
        <v>0.52900000000000003</v>
      </c>
      <c r="H322" s="63">
        <f t="shared" si="5"/>
        <v>-2.1160000000000002E-2</v>
      </c>
    </row>
    <row r="323" spans="1:8" x14ac:dyDescent="0.25">
      <c r="A323" s="60">
        <v>6907</v>
      </c>
      <c r="B323" s="61">
        <f>2*E315</f>
        <v>2</v>
      </c>
      <c r="C323" s="61" t="s">
        <v>464</v>
      </c>
      <c r="D323" s="61">
        <f>A315/4-3</f>
        <v>-3</v>
      </c>
      <c r="E323" s="61" t="s">
        <v>340</v>
      </c>
      <c r="F323" s="104" t="s">
        <v>324</v>
      </c>
      <c r="G323" s="63">
        <v>0.437</v>
      </c>
      <c r="H323" s="63">
        <f t="shared" si="5"/>
        <v>-2.6220000000000002E-3</v>
      </c>
    </row>
    <row r="324" spans="1:8" x14ac:dyDescent="0.25">
      <c r="A324" s="60">
        <v>6908</v>
      </c>
      <c r="B324" s="61">
        <f>2*E315</f>
        <v>2</v>
      </c>
      <c r="C324" s="61" t="s">
        <v>464</v>
      </c>
      <c r="D324" s="61">
        <f>A315/4-3</f>
        <v>-3</v>
      </c>
      <c r="E324" s="61" t="s">
        <v>340</v>
      </c>
      <c r="F324" s="104" t="s">
        <v>341</v>
      </c>
      <c r="G324" s="63">
        <v>0.54300000000000004</v>
      </c>
      <c r="H324" s="63">
        <f t="shared" si="5"/>
        <v>-3.2580000000000005E-3</v>
      </c>
    </row>
    <row r="325" spans="1:8" x14ac:dyDescent="0.25">
      <c r="A325" s="60">
        <v>6905</v>
      </c>
      <c r="B325" s="61">
        <f>2*E315</f>
        <v>2</v>
      </c>
      <c r="C325" s="61" t="s">
        <v>442</v>
      </c>
      <c r="D325" s="61">
        <f>C315-48</f>
        <v>-48</v>
      </c>
      <c r="E325" s="61" t="s">
        <v>340</v>
      </c>
      <c r="F325" s="104" t="s">
        <v>391</v>
      </c>
      <c r="G325" s="63">
        <v>0.54300000000000004</v>
      </c>
      <c r="H325" s="63">
        <f t="shared" si="5"/>
        <v>-5.2128000000000008E-2</v>
      </c>
    </row>
    <row r="326" spans="1:8" x14ac:dyDescent="0.25">
      <c r="A326" s="60">
        <v>6919</v>
      </c>
      <c r="B326" s="61">
        <f>1*E315</f>
        <v>1</v>
      </c>
      <c r="C326" s="61" t="s">
        <v>442</v>
      </c>
      <c r="D326" s="61">
        <f>C315-48</f>
        <v>-48</v>
      </c>
      <c r="E326" s="61" t="s">
        <v>340</v>
      </c>
      <c r="F326" s="110" t="s">
        <v>431</v>
      </c>
      <c r="G326" s="63">
        <v>0.27600000000000002</v>
      </c>
      <c r="H326" s="63">
        <f t="shared" si="5"/>
        <v>-1.3248000000000001E-2</v>
      </c>
    </row>
    <row r="327" spans="1:8" x14ac:dyDescent="0.25">
      <c r="A327" s="64"/>
      <c r="B327" s="65"/>
      <c r="C327" s="65"/>
      <c r="D327" s="65"/>
      <c r="E327" s="65"/>
      <c r="F327" s="65"/>
      <c r="G327" s="63" t="s">
        <v>392</v>
      </c>
      <c r="H327" s="63">
        <f>SUM(H318:H326)</f>
        <v>-0.161028</v>
      </c>
    </row>
    <row r="328" spans="1:8" x14ac:dyDescent="0.25">
      <c r="A328" s="64"/>
      <c r="B328" s="65"/>
      <c r="C328" s="65"/>
      <c r="D328" s="65"/>
      <c r="E328" s="65"/>
      <c r="F328" s="65"/>
      <c r="G328" s="66"/>
      <c r="H328" s="67"/>
    </row>
    <row r="329" spans="1:8" x14ac:dyDescent="0.25">
      <c r="A329" s="64"/>
      <c r="B329" s="65"/>
      <c r="C329" s="65"/>
      <c r="D329" s="65"/>
      <c r="E329" s="65"/>
      <c r="F329" s="65"/>
      <c r="G329" s="68"/>
      <c r="H329" s="67"/>
    </row>
    <row r="330" spans="1:8" x14ac:dyDescent="0.25">
      <c r="A330" s="69" t="s">
        <v>393</v>
      </c>
      <c r="B330" s="70"/>
      <c r="C330" s="70"/>
      <c r="D330" s="71"/>
      <c r="E330" s="59" t="s">
        <v>36</v>
      </c>
      <c r="F330" s="59" t="s">
        <v>266</v>
      </c>
      <c r="G330" s="52"/>
      <c r="H330" s="72"/>
    </row>
    <row r="331" spans="1:8" x14ac:dyDescent="0.25">
      <c r="A331" s="73" t="s">
        <v>446</v>
      </c>
      <c r="B331" s="74"/>
      <c r="C331" s="70"/>
      <c r="D331" s="71"/>
      <c r="E331" s="106">
        <f>F331*E315</f>
        <v>2</v>
      </c>
      <c r="F331" s="61">
        <v>2</v>
      </c>
      <c r="G331" s="76"/>
      <c r="H331" s="77"/>
    </row>
    <row r="332" spans="1:8" x14ac:dyDescent="0.25">
      <c r="A332" s="73" t="s">
        <v>447</v>
      </c>
      <c r="B332" s="74"/>
      <c r="C332" s="70"/>
      <c r="D332" s="71"/>
      <c r="E332" s="107">
        <f>F332*E315</f>
        <v>2</v>
      </c>
      <c r="F332" s="61">
        <v>2</v>
      </c>
      <c r="G332" s="76"/>
      <c r="H332" s="77"/>
    </row>
    <row r="333" spans="1:8" x14ac:dyDescent="0.25">
      <c r="A333" s="73" t="s">
        <v>397</v>
      </c>
      <c r="B333" s="74"/>
      <c r="C333" s="70"/>
      <c r="D333" s="71"/>
      <c r="E333" s="107">
        <f>2*(A315/1000)+2*(C315/1000)*E315</f>
        <v>0</v>
      </c>
      <c r="F333" s="61" t="s">
        <v>448</v>
      </c>
      <c r="G333" s="79"/>
      <c r="H333" s="77"/>
    </row>
    <row r="334" spans="1:8" x14ac:dyDescent="0.25">
      <c r="A334" s="73" t="s">
        <v>399</v>
      </c>
      <c r="B334" s="74"/>
      <c r="C334" s="70"/>
      <c r="D334" s="71"/>
      <c r="E334" s="107">
        <f>4*(C315/1000)*E315</f>
        <v>0</v>
      </c>
      <c r="F334" s="61" t="s">
        <v>423</v>
      </c>
      <c r="G334" s="79"/>
      <c r="H334" s="77"/>
    </row>
    <row r="335" spans="1:8" x14ac:dyDescent="0.25">
      <c r="A335" s="73" t="s">
        <v>401</v>
      </c>
      <c r="B335" s="74"/>
      <c r="C335" s="70"/>
      <c r="D335" s="71"/>
      <c r="E335" s="107">
        <f>2*(A315/1000)+8*(C315/1000)*E315</f>
        <v>0</v>
      </c>
      <c r="F335" s="61" t="s">
        <v>432</v>
      </c>
      <c r="G335" s="79"/>
      <c r="H335" s="77"/>
    </row>
    <row r="336" spans="1:8" x14ac:dyDescent="0.25">
      <c r="A336" s="73" t="s">
        <v>403</v>
      </c>
      <c r="B336" s="74"/>
      <c r="C336" s="70"/>
      <c r="D336" s="71"/>
      <c r="E336" s="107">
        <f>F336*E315</f>
        <v>4</v>
      </c>
      <c r="F336" s="61">
        <v>4</v>
      </c>
      <c r="G336" s="93"/>
      <c r="H336" s="77"/>
    </row>
    <row r="337" spans="1:8" x14ac:dyDescent="0.25">
      <c r="A337" s="73" t="s">
        <v>404</v>
      </c>
      <c r="B337" s="74"/>
      <c r="C337" s="70"/>
      <c r="D337" s="71"/>
      <c r="E337" s="107">
        <f>F337*E315</f>
        <v>4</v>
      </c>
      <c r="F337" s="61">
        <v>4</v>
      </c>
      <c r="G337" s="76"/>
      <c r="H337" s="77"/>
    </row>
    <row r="338" spans="1:8" x14ac:dyDescent="0.25">
      <c r="A338" s="73" t="s">
        <v>405</v>
      </c>
      <c r="B338" s="74"/>
      <c r="C338" s="70"/>
      <c r="D338" s="71"/>
      <c r="E338" s="107">
        <f>F338*E315</f>
        <v>4</v>
      </c>
      <c r="F338" s="61">
        <v>4</v>
      </c>
      <c r="G338" s="76"/>
      <c r="H338" s="77"/>
    </row>
    <row r="339" spans="1:8" x14ac:dyDescent="0.25">
      <c r="A339" s="73" t="s">
        <v>406</v>
      </c>
      <c r="B339" s="74"/>
      <c r="C339" s="70"/>
      <c r="D339" s="71"/>
      <c r="E339" s="107">
        <f>F339*E315</f>
        <v>1</v>
      </c>
      <c r="F339" s="61">
        <v>1</v>
      </c>
      <c r="G339" s="53"/>
      <c r="H339" s="80"/>
    </row>
    <row r="340" spans="1:8" x14ac:dyDescent="0.25">
      <c r="A340" s="73" t="s">
        <v>407</v>
      </c>
      <c r="B340" s="74"/>
      <c r="C340" s="70"/>
      <c r="D340" s="71"/>
      <c r="E340" s="107">
        <f>F340*E315</f>
        <v>1</v>
      </c>
      <c r="F340" s="61">
        <v>1</v>
      </c>
      <c r="G340" s="53"/>
      <c r="H340" s="80"/>
    </row>
    <row r="341" spans="1:8" x14ac:dyDescent="0.25">
      <c r="A341" s="73" t="s">
        <v>408</v>
      </c>
      <c r="B341" s="74"/>
      <c r="C341" s="70"/>
      <c r="D341" s="71"/>
      <c r="E341" s="107">
        <f>F341*E315</f>
        <v>1</v>
      </c>
      <c r="F341" s="61">
        <v>1</v>
      </c>
      <c r="G341" s="53"/>
      <c r="H341" s="80"/>
    </row>
    <row r="342" spans="1:8" x14ac:dyDescent="0.25">
      <c r="A342" s="73" t="s">
        <v>450</v>
      </c>
      <c r="B342" s="74"/>
      <c r="C342" s="70"/>
      <c r="D342" s="71"/>
      <c r="E342" s="107">
        <f>F342*E315</f>
        <v>4</v>
      </c>
      <c r="F342" s="61">
        <v>4</v>
      </c>
      <c r="G342" s="53"/>
      <c r="H342" s="80"/>
    </row>
    <row r="343" spans="1:8" x14ac:dyDescent="0.25">
      <c r="A343" s="73" t="s">
        <v>433</v>
      </c>
      <c r="B343" s="74"/>
      <c r="C343" s="70"/>
      <c r="D343" s="71"/>
      <c r="E343" s="107">
        <f>F343*E315</f>
        <v>4</v>
      </c>
      <c r="F343" s="61">
        <v>4</v>
      </c>
      <c r="G343" s="53"/>
      <c r="H343" s="80"/>
    </row>
    <row r="344" spans="1:8" x14ac:dyDescent="0.25">
      <c r="A344" s="73" t="s">
        <v>412</v>
      </c>
      <c r="B344" s="74"/>
      <c r="C344" s="70"/>
      <c r="D344" s="71"/>
      <c r="E344" s="107">
        <f>F344*E315</f>
        <v>24</v>
      </c>
      <c r="F344" s="61">
        <v>24</v>
      </c>
      <c r="G344" s="82"/>
      <c r="H344" s="51"/>
    </row>
    <row r="345" spans="1:8" x14ac:dyDescent="0.25">
      <c r="A345" s="52"/>
      <c r="B345" s="53"/>
      <c r="C345" s="53"/>
      <c r="D345" s="53"/>
      <c r="E345" s="53"/>
      <c r="F345" s="65"/>
      <c r="G345" s="53"/>
      <c r="H345" s="83"/>
    </row>
    <row r="346" spans="1:8" x14ac:dyDescent="0.25">
      <c r="A346" s="52"/>
      <c r="B346" s="53"/>
      <c r="C346" s="53"/>
      <c r="D346" s="53"/>
      <c r="E346" s="53"/>
      <c r="F346" s="65"/>
      <c r="G346" s="53"/>
      <c r="H346" s="83"/>
    </row>
    <row r="347" spans="1:8" x14ac:dyDescent="0.25">
      <c r="A347" s="59" t="s">
        <v>413</v>
      </c>
      <c r="B347" s="84" t="s">
        <v>266</v>
      </c>
      <c r="C347" s="84" t="s">
        <v>383</v>
      </c>
      <c r="D347" s="405" t="s">
        <v>414</v>
      </c>
      <c r="E347" s="406"/>
      <c r="F347" s="85" t="s">
        <v>415</v>
      </c>
      <c r="G347" s="59" t="s">
        <v>416</v>
      </c>
      <c r="H347" s="86"/>
    </row>
    <row r="348" spans="1:8" x14ac:dyDescent="0.25">
      <c r="A348" s="61"/>
      <c r="B348" s="89">
        <f>2*E315</f>
        <v>2</v>
      </c>
      <c r="C348" s="108" t="s">
        <v>465</v>
      </c>
      <c r="D348" s="407">
        <f>A315/4-45</f>
        <v>-45</v>
      </c>
      <c r="E348" s="408"/>
      <c r="F348" s="90">
        <f>C315-125</f>
        <v>-125</v>
      </c>
      <c r="G348" s="91">
        <f>+(D348/1000)*(F348/1000)*B348</f>
        <v>1.125E-2</v>
      </c>
      <c r="H348" s="83"/>
    </row>
    <row r="349" spans="1:8" x14ac:dyDescent="0.25">
      <c r="A349" s="87"/>
      <c r="B349" s="61">
        <f>2*E315</f>
        <v>2</v>
      </c>
      <c r="C349" s="88" t="s">
        <v>466</v>
      </c>
      <c r="D349" s="407">
        <f>A315/4-14</f>
        <v>-14</v>
      </c>
      <c r="E349" s="408"/>
      <c r="F349" s="61">
        <f>C315-44</f>
        <v>-44</v>
      </c>
      <c r="G349" s="91">
        <f>+(D349/1000)*(F349/1000)*B349</f>
        <v>1.232E-3</v>
      </c>
      <c r="H349" s="92"/>
    </row>
    <row r="350" spans="1:8" x14ac:dyDescent="0.25">
      <c r="A350" s="52"/>
      <c r="B350" s="93"/>
      <c r="C350" s="53"/>
      <c r="D350" s="53"/>
      <c r="E350" s="53"/>
      <c r="F350" s="94" t="s">
        <v>418</v>
      </c>
      <c r="G350" s="95">
        <f>SUM(G348:G349)</f>
        <v>1.2482E-2</v>
      </c>
      <c r="H350" s="51"/>
    </row>
    <row r="351" spans="1:8" x14ac:dyDescent="0.25">
      <c r="A351" s="52"/>
      <c r="B351" s="93"/>
      <c r="C351" s="53"/>
      <c r="D351" s="53"/>
      <c r="E351" s="53"/>
      <c r="F351" s="94"/>
      <c r="G351" s="96"/>
      <c r="H351" s="51"/>
    </row>
    <row r="352" spans="1:8" x14ac:dyDescent="0.25">
      <c r="A352" s="52"/>
      <c r="B352" s="93"/>
      <c r="C352" s="53"/>
      <c r="D352" s="53"/>
      <c r="E352" s="53"/>
      <c r="F352" s="94"/>
      <c r="G352" s="96"/>
      <c r="H352" s="51"/>
    </row>
    <row r="353" spans="1:8" x14ac:dyDescent="0.25">
      <c r="A353" s="52"/>
      <c r="B353" s="93"/>
      <c r="C353" s="53"/>
      <c r="D353" s="53"/>
      <c r="E353" s="53"/>
      <c r="F353" s="94"/>
      <c r="G353" s="96"/>
      <c r="H353" s="51"/>
    </row>
    <row r="354" spans="1:8" x14ac:dyDescent="0.25">
      <c r="A354" s="52"/>
      <c r="B354" s="93"/>
      <c r="C354" s="53"/>
      <c r="D354" s="53"/>
      <c r="E354" s="53"/>
      <c r="F354" s="94"/>
      <c r="G354" s="96"/>
      <c r="H354" s="51"/>
    </row>
    <row r="355" spans="1:8" x14ac:dyDescent="0.25">
      <c r="A355" s="52"/>
      <c r="B355" s="93"/>
      <c r="C355" s="53"/>
      <c r="D355" s="53"/>
      <c r="E355" s="53"/>
      <c r="F355" s="94"/>
      <c r="G355" s="96"/>
      <c r="H355" s="51"/>
    </row>
    <row r="356" spans="1:8" x14ac:dyDescent="0.25">
      <c r="A356" s="52"/>
      <c r="B356" s="93"/>
      <c r="C356" s="53"/>
      <c r="D356" s="53"/>
      <c r="E356" s="53"/>
      <c r="F356" s="94"/>
      <c r="G356" s="96"/>
      <c r="H356" s="51"/>
    </row>
    <row r="357" spans="1:8" x14ac:dyDescent="0.25">
      <c r="A357" s="52"/>
      <c r="B357" s="93"/>
      <c r="C357" s="53"/>
      <c r="D357" s="53"/>
      <c r="E357" s="53"/>
      <c r="F357" s="94"/>
      <c r="G357" s="96"/>
      <c r="H357" s="51"/>
    </row>
    <row r="358" spans="1:8" x14ac:dyDescent="0.25">
      <c r="A358" s="52"/>
      <c r="B358" s="93"/>
      <c r="C358" s="53"/>
      <c r="D358" s="53"/>
      <c r="E358" s="53"/>
      <c r="F358" s="94"/>
      <c r="G358" s="96"/>
      <c r="H358" s="51"/>
    </row>
    <row r="359" spans="1:8" x14ac:dyDescent="0.25">
      <c r="A359" s="52"/>
      <c r="B359" s="93"/>
      <c r="C359" s="53"/>
      <c r="D359" s="53"/>
      <c r="E359" s="53"/>
      <c r="F359" s="94"/>
      <c r="G359" s="96"/>
      <c r="H359" s="51"/>
    </row>
    <row r="360" spans="1:8" x14ac:dyDescent="0.25">
      <c r="A360" s="52"/>
      <c r="B360" s="93"/>
      <c r="C360" s="53"/>
      <c r="D360" s="53"/>
      <c r="E360" s="53"/>
      <c r="F360" s="94"/>
      <c r="G360" s="96"/>
      <c r="H360" s="51"/>
    </row>
    <row r="361" spans="1:8" x14ac:dyDescent="0.25">
      <c r="A361" s="52"/>
      <c r="B361" s="93"/>
      <c r="C361" s="53"/>
      <c r="D361" s="53"/>
      <c r="E361" s="53"/>
      <c r="F361" s="94"/>
      <c r="G361" s="96"/>
      <c r="H361" s="51"/>
    </row>
    <row r="362" spans="1:8" x14ac:dyDescent="0.25">
      <c r="A362" s="52"/>
      <c r="B362" s="93"/>
      <c r="C362" s="53"/>
      <c r="D362" s="53"/>
      <c r="E362" s="53"/>
      <c r="F362" s="94"/>
      <c r="G362" s="96"/>
      <c r="H362" s="51"/>
    </row>
    <row r="363" spans="1:8" x14ac:dyDescent="0.25">
      <c r="A363" s="52"/>
      <c r="B363" s="93"/>
      <c r="C363" s="53"/>
      <c r="D363" s="53"/>
      <c r="E363" s="53"/>
      <c r="F363" s="94"/>
      <c r="G363" s="96"/>
      <c r="H363" s="51"/>
    </row>
    <row r="364" spans="1:8" x14ac:dyDescent="0.25">
      <c r="A364" s="52"/>
      <c r="B364" s="93"/>
      <c r="C364" s="53"/>
      <c r="D364" s="53"/>
      <c r="E364" s="53"/>
      <c r="F364" s="94"/>
      <c r="G364" s="96"/>
      <c r="H364" s="51"/>
    </row>
    <row r="365" spans="1:8" x14ac:dyDescent="0.25">
      <c r="A365" s="52"/>
      <c r="B365" s="93"/>
      <c r="C365" s="53"/>
      <c r="D365" s="53"/>
      <c r="E365" s="53"/>
      <c r="F365" s="94"/>
      <c r="G365" s="96"/>
      <c r="H365" s="51"/>
    </row>
    <row r="366" spans="1:8" x14ac:dyDescent="0.25">
      <c r="A366" s="52"/>
      <c r="B366" s="93"/>
      <c r="C366" s="53"/>
      <c r="D366" s="53"/>
      <c r="E366" s="53"/>
      <c r="F366" s="94"/>
      <c r="G366" s="96"/>
      <c r="H366" s="51"/>
    </row>
    <row r="367" spans="1:8" x14ac:dyDescent="0.25">
      <c r="A367" s="52"/>
      <c r="B367" s="93"/>
      <c r="C367" s="53"/>
      <c r="D367" s="53"/>
      <c r="E367" s="53"/>
      <c r="F367" s="94"/>
      <c r="G367" s="96"/>
      <c r="H367" s="51"/>
    </row>
    <row r="368" spans="1:8" x14ac:dyDescent="0.25">
      <c r="A368" s="52"/>
      <c r="B368" s="93"/>
      <c r="C368" s="53"/>
      <c r="D368" s="53"/>
      <c r="E368" s="53"/>
      <c r="F368" s="94"/>
      <c r="G368" s="96"/>
      <c r="H368" s="51"/>
    </row>
    <row r="369" spans="1:8" x14ac:dyDescent="0.25">
      <c r="A369" s="52"/>
      <c r="B369" s="93"/>
      <c r="C369" s="53"/>
      <c r="D369" s="53"/>
      <c r="E369" s="53"/>
      <c r="F369" s="94"/>
      <c r="G369" s="96"/>
      <c r="H369" s="51"/>
    </row>
    <row r="370" spans="1:8" x14ac:dyDescent="0.25">
      <c r="A370" s="52"/>
      <c r="B370" s="93"/>
      <c r="C370" s="93"/>
      <c r="D370" s="53"/>
      <c r="E370" s="53"/>
      <c r="F370" s="65"/>
      <c r="G370" s="53"/>
      <c r="H370" s="51"/>
    </row>
    <row r="371" spans="1:8" x14ac:dyDescent="0.25">
      <c r="A371" s="45"/>
      <c r="B371" s="97"/>
      <c r="C371" s="97"/>
      <c r="D371" s="45"/>
      <c r="E371" s="45"/>
      <c r="F371" s="102"/>
      <c r="G371" s="45"/>
      <c r="H371" s="45"/>
    </row>
    <row r="372" spans="1:8" x14ac:dyDescent="0.25">
      <c r="A372" s="100"/>
      <c r="B372" s="100"/>
      <c r="C372" s="100"/>
      <c r="D372" s="100"/>
      <c r="E372" s="100"/>
      <c r="F372" s="101"/>
      <c r="G372" s="100"/>
      <c r="H372" s="100"/>
    </row>
    <row r="373" spans="1:8" x14ac:dyDescent="0.25">
      <c r="A373" s="44"/>
      <c r="B373" s="45"/>
      <c r="C373" s="45"/>
      <c r="D373" s="45"/>
      <c r="E373" s="45"/>
      <c r="F373" s="102"/>
      <c r="G373" s="45"/>
      <c r="H373" s="46"/>
    </row>
    <row r="374" spans="1:8" x14ac:dyDescent="0.25">
      <c r="A374" s="52"/>
      <c r="B374" s="53"/>
      <c r="C374" s="53"/>
      <c r="D374" s="53"/>
      <c r="E374" s="53"/>
      <c r="F374" s="65"/>
      <c r="G374" s="53"/>
      <c r="H374" s="51"/>
    </row>
    <row r="375" spans="1:8" x14ac:dyDescent="0.25">
      <c r="A375" s="47" t="s">
        <v>467</v>
      </c>
      <c r="B375" s="49"/>
      <c r="C375" s="49"/>
      <c r="D375" s="49"/>
      <c r="E375" s="49"/>
      <c r="F375" s="50"/>
      <c r="G375" s="50"/>
      <c r="H375" s="103"/>
    </row>
    <row r="376" spans="1:8" ht="16.5" thickBot="1" x14ac:dyDescent="0.3">
      <c r="A376" s="52"/>
      <c r="B376" s="53"/>
      <c r="C376" s="53"/>
      <c r="D376" s="53"/>
      <c r="E376" s="53"/>
      <c r="F376" s="65"/>
      <c r="G376" s="54" t="s">
        <v>468</v>
      </c>
      <c r="H376" s="51"/>
    </row>
    <row r="377" spans="1:8" ht="16.5" thickBot="1" x14ac:dyDescent="0.3">
      <c r="A377" s="400" t="s">
        <v>381</v>
      </c>
      <c r="B377" s="401"/>
      <c r="C377" s="402" t="s">
        <v>382</v>
      </c>
      <c r="D377" s="401"/>
      <c r="E377" s="55" t="s">
        <v>266</v>
      </c>
      <c r="F377" s="65"/>
      <c r="G377" s="53"/>
      <c r="H377" s="51"/>
    </row>
    <row r="378" spans="1:8" ht="16.5" thickBot="1" x14ac:dyDescent="0.3">
      <c r="A378" s="403">
        <v>1450</v>
      </c>
      <c r="B378" s="404"/>
      <c r="C378" s="403">
        <v>800</v>
      </c>
      <c r="D378" s="404"/>
      <c r="E378" s="56">
        <v>1</v>
      </c>
      <c r="F378" s="65"/>
      <c r="G378" s="53"/>
      <c r="H378" s="51"/>
    </row>
    <row r="379" spans="1:8" x14ac:dyDescent="0.25">
      <c r="A379" s="52"/>
      <c r="B379" s="58"/>
      <c r="C379" s="58"/>
      <c r="D379" s="58"/>
      <c r="E379" s="58"/>
      <c r="F379" s="58"/>
      <c r="G379" s="53"/>
      <c r="H379" s="83"/>
    </row>
    <row r="380" spans="1:8" x14ac:dyDescent="0.25">
      <c r="A380" s="59" t="s">
        <v>323</v>
      </c>
      <c r="B380" s="59" t="s">
        <v>266</v>
      </c>
      <c r="C380" s="59" t="s">
        <v>383</v>
      </c>
      <c r="D380" s="59" t="s">
        <v>384</v>
      </c>
      <c r="E380" s="59" t="s">
        <v>332</v>
      </c>
      <c r="F380" s="59" t="s">
        <v>385</v>
      </c>
      <c r="G380" s="59" t="s">
        <v>386</v>
      </c>
      <c r="H380" s="59" t="s">
        <v>387</v>
      </c>
    </row>
    <row r="381" spans="1:8" x14ac:dyDescent="0.25">
      <c r="A381" s="60">
        <v>6901</v>
      </c>
      <c r="B381" s="61">
        <f>1*E378</f>
        <v>1</v>
      </c>
      <c r="C381" s="61" t="s">
        <v>367</v>
      </c>
      <c r="D381" s="61">
        <f>A378-14</f>
        <v>1436</v>
      </c>
      <c r="E381" s="61" t="s">
        <v>340</v>
      </c>
      <c r="F381" s="104" t="s">
        <v>388</v>
      </c>
      <c r="G381" s="63">
        <v>0.69199999999999995</v>
      </c>
      <c r="H381" s="63">
        <f t="shared" ref="H381:H386" si="6">(D381/1000)*B381*G381</f>
        <v>0.99371199999999993</v>
      </c>
    </row>
    <row r="382" spans="1:8" x14ac:dyDescent="0.25">
      <c r="A382" s="60">
        <v>6902</v>
      </c>
      <c r="B382" s="61">
        <f>1*E378</f>
        <v>1</v>
      </c>
      <c r="C382" s="61" t="s">
        <v>367</v>
      </c>
      <c r="D382" s="61">
        <f>A378-14</f>
        <v>1436</v>
      </c>
      <c r="E382" s="61" t="s">
        <v>340</v>
      </c>
      <c r="F382" s="104" t="s">
        <v>82</v>
      </c>
      <c r="G382" s="63">
        <v>0.67700000000000005</v>
      </c>
      <c r="H382" s="63">
        <f t="shared" si="6"/>
        <v>0.97217200000000004</v>
      </c>
    </row>
    <row r="383" spans="1:8" x14ac:dyDescent="0.25">
      <c r="A383" s="60">
        <v>6903</v>
      </c>
      <c r="B383" s="61">
        <f>2*E378</f>
        <v>2</v>
      </c>
      <c r="C383" s="61" t="s">
        <v>337</v>
      </c>
      <c r="D383" s="61">
        <f>C378</f>
        <v>800</v>
      </c>
      <c r="E383" s="61" t="s">
        <v>340</v>
      </c>
      <c r="F383" s="104" t="s">
        <v>83</v>
      </c>
      <c r="G383" s="63">
        <v>0.55000000000000004</v>
      </c>
      <c r="H383" s="63">
        <f t="shared" si="6"/>
        <v>0.88000000000000012</v>
      </c>
    </row>
    <row r="384" spans="1:8" x14ac:dyDescent="0.25">
      <c r="A384" s="60">
        <v>6915</v>
      </c>
      <c r="B384" s="61">
        <f>4*E378</f>
        <v>4</v>
      </c>
      <c r="C384" s="61" t="s">
        <v>389</v>
      </c>
      <c r="D384" s="105">
        <f>A378/2-13</f>
        <v>712</v>
      </c>
      <c r="E384" s="61" t="s">
        <v>340</v>
      </c>
      <c r="F384" s="110" t="s">
        <v>469</v>
      </c>
      <c r="G384" s="63">
        <v>0.56899999999999995</v>
      </c>
      <c r="H384" s="63">
        <f t="shared" si="6"/>
        <v>1.6205119999999997</v>
      </c>
    </row>
    <row r="385" spans="1:8" x14ac:dyDescent="0.25">
      <c r="A385" s="60">
        <v>6913</v>
      </c>
      <c r="B385" s="61">
        <f>2*E378</f>
        <v>2</v>
      </c>
      <c r="C385" s="61" t="s">
        <v>470</v>
      </c>
      <c r="D385" s="61">
        <f>C378-38</f>
        <v>762</v>
      </c>
      <c r="E385" s="61" t="s">
        <v>340</v>
      </c>
      <c r="F385" s="110" t="s">
        <v>471</v>
      </c>
      <c r="G385" s="63">
        <v>0.65500000000000003</v>
      </c>
      <c r="H385" s="63">
        <f t="shared" si="6"/>
        <v>0.99822000000000011</v>
      </c>
    </row>
    <row r="386" spans="1:8" x14ac:dyDescent="0.25">
      <c r="A386" s="60">
        <v>6914</v>
      </c>
      <c r="B386" s="61">
        <f>2*E378</f>
        <v>2</v>
      </c>
      <c r="C386" s="61" t="s">
        <v>470</v>
      </c>
      <c r="D386" s="61">
        <f>C378-38</f>
        <v>762</v>
      </c>
      <c r="E386" s="61" t="s">
        <v>340</v>
      </c>
      <c r="F386" s="104" t="s">
        <v>87</v>
      </c>
      <c r="G386" s="63">
        <v>0.57299999999999995</v>
      </c>
      <c r="H386" s="63">
        <f t="shared" si="6"/>
        <v>0.87325199999999992</v>
      </c>
    </row>
    <row r="387" spans="1:8" x14ac:dyDescent="0.25">
      <c r="A387" s="64"/>
      <c r="B387" s="65"/>
      <c r="C387" s="65"/>
      <c r="D387" s="65"/>
      <c r="E387" s="65"/>
      <c r="F387" s="65"/>
      <c r="G387" s="63" t="s">
        <v>392</v>
      </c>
      <c r="H387" s="63">
        <f>SUM(H381:H386)</f>
        <v>6.3378679999999994</v>
      </c>
    </row>
    <row r="388" spans="1:8" x14ac:dyDescent="0.25">
      <c r="A388" s="64"/>
      <c r="B388" s="65"/>
      <c r="C388" s="65"/>
      <c r="D388" s="65"/>
      <c r="E388" s="65"/>
      <c r="F388" s="65"/>
      <c r="G388" s="66"/>
      <c r="H388" s="67"/>
    </row>
    <row r="389" spans="1:8" x14ac:dyDescent="0.25">
      <c r="A389" s="64"/>
      <c r="B389" s="65"/>
      <c r="C389" s="65"/>
      <c r="D389" s="65"/>
      <c r="E389" s="65"/>
      <c r="F389" s="65"/>
      <c r="G389" s="68"/>
      <c r="H389" s="67"/>
    </row>
    <row r="390" spans="1:8" x14ac:dyDescent="0.25">
      <c r="A390" s="69" t="s">
        <v>393</v>
      </c>
      <c r="B390" s="70"/>
      <c r="C390" s="70"/>
      <c r="D390" s="71"/>
      <c r="E390" s="59" t="s">
        <v>36</v>
      </c>
      <c r="F390" s="59" t="s">
        <v>266</v>
      </c>
      <c r="G390" s="52"/>
      <c r="H390" s="72"/>
    </row>
    <row r="391" spans="1:8" x14ac:dyDescent="0.25">
      <c r="A391" s="73" t="s">
        <v>394</v>
      </c>
      <c r="B391" s="74"/>
      <c r="C391" s="70"/>
      <c r="D391" s="71"/>
      <c r="E391" s="121">
        <f>F391*E378</f>
        <v>2</v>
      </c>
      <c r="F391" s="61">
        <v>2</v>
      </c>
      <c r="G391" s="76"/>
      <c r="H391" s="77"/>
    </row>
    <row r="392" spans="1:8" x14ac:dyDescent="0.25">
      <c r="A392" s="73" t="s">
        <v>395</v>
      </c>
      <c r="B392" s="74"/>
      <c r="C392" s="70"/>
      <c r="D392" s="71"/>
      <c r="E392" s="121">
        <f>F392*E378</f>
        <v>1</v>
      </c>
      <c r="F392" s="61">
        <v>1</v>
      </c>
      <c r="G392" s="65"/>
      <c r="H392" s="77"/>
    </row>
    <row r="393" spans="1:8" x14ac:dyDescent="0.25">
      <c r="A393" s="73" t="s">
        <v>396</v>
      </c>
      <c r="B393" s="74"/>
      <c r="C393" s="70"/>
      <c r="D393" s="71"/>
      <c r="E393" s="121">
        <f>F393*E378</f>
        <v>1</v>
      </c>
      <c r="F393" s="61">
        <v>1</v>
      </c>
      <c r="G393" s="65"/>
      <c r="H393" s="77"/>
    </row>
    <row r="394" spans="1:8" x14ac:dyDescent="0.25">
      <c r="A394" s="73" t="s">
        <v>399</v>
      </c>
      <c r="B394" s="74"/>
      <c r="C394" s="70"/>
      <c r="D394" s="71"/>
      <c r="E394" s="121">
        <f>4*(A378/1000)+6*(C378/1000)*E378</f>
        <v>10.600000000000001</v>
      </c>
      <c r="F394" s="61" t="s">
        <v>472</v>
      </c>
      <c r="G394" s="79"/>
      <c r="H394" s="77"/>
    </row>
    <row r="395" spans="1:8" x14ac:dyDescent="0.25">
      <c r="A395" s="73" t="s">
        <v>401</v>
      </c>
      <c r="B395" s="74"/>
      <c r="C395" s="70"/>
      <c r="D395" s="71"/>
      <c r="E395" s="121">
        <f>2*(A378/1000)+4*(C378/1000)*E378</f>
        <v>6.1</v>
      </c>
      <c r="F395" s="61" t="s">
        <v>402</v>
      </c>
      <c r="G395" s="79"/>
      <c r="H395" s="77"/>
    </row>
    <row r="396" spans="1:8" x14ac:dyDescent="0.25">
      <c r="A396" s="73" t="s">
        <v>473</v>
      </c>
      <c r="B396" s="74"/>
      <c r="C396" s="70"/>
      <c r="D396" s="71"/>
      <c r="E396" s="121">
        <f>F396*E378</f>
        <v>4</v>
      </c>
      <c r="F396" s="61">
        <v>4</v>
      </c>
      <c r="G396" s="76"/>
      <c r="H396" s="77"/>
    </row>
    <row r="397" spans="1:8" x14ac:dyDescent="0.25">
      <c r="A397" s="73" t="s">
        <v>404</v>
      </c>
      <c r="B397" s="74"/>
      <c r="C397" s="70"/>
      <c r="D397" s="71"/>
      <c r="E397" s="121">
        <f>F397*E378</f>
        <v>4</v>
      </c>
      <c r="F397" s="61">
        <v>4</v>
      </c>
      <c r="G397" s="76"/>
      <c r="H397" s="77"/>
    </row>
    <row r="398" spans="1:8" x14ac:dyDescent="0.25">
      <c r="A398" s="73" t="s">
        <v>405</v>
      </c>
      <c r="B398" s="74"/>
      <c r="C398" s="70"/>
      <c r="D398" s="71"/>
      <c r="E398" s="121">
        <f>F398*E378</f>
        <v>8</v>
      </c>
      <c r="F398" s="61">
        <v>8</v>
      </c>
      <c r="G398" s="53"/>
      <c r="H398" s="80"/>
    </row>
    <row r="399" spans="1:8" x14ac:dyDescent="0.25">
      <c r="A399" s="73" t="s">
        <v>406</v>
      </c>
      <c r="B399" s="74"/>
      <c r="C399" s="70"/>
      <c r="D399" s="71"/>
      <c r="E399" s="121">
        <f>F399*E378</f>
        <v>2</v>
      </c>
      <c r="F399" s="61">
        <v>2</v>
      </c>
      <c r="G399" s="53"/>
      <c r="H399" s="80"/>
    </row>
    <row r="400" spans="1:8" x14ac:dyDescent="0.25">
      <c r="A400" s="73" t="s">
        <v>407</v>
      </c>
      <c r="B400" s="74"/>
      <c r="C400" s="70"/>
      <c r="D400" s="71"/>
      <c r="E400" s="121">
        <f>F400*E378</f>
        <v>2</v>
      </c>
      <c r="F400" s="61">
        <v>2</v>
      </c>
      <c r="G400" s="53"/>
      <c r="H400" s="80"/>
    </row>
    <row r="401" spans="1:8" x14ac:dyDescent="0.25">
      <c r="A401" s="73" t="s">
        <v>408</v>
      </c>
      <c r="B401" s="74"/>
      <c r="C401" s="70"/>
      <c r="D401" s="71"/>
      <c r="E401" s="121">
        <f>F401*E378</f>
        <v>2</v>
      </c>
      <c r="F401" s="61">
        <v>2</v>
      </c>
      <c r="G401" s="53"/>
      <c r="H401" s="80"/>
    </row>
    <row r="402" spans="1:8" x14ac:dyDescent="0.25">
      <c r="A402" s="81" t="s">
        <v>474</v>
      </c>
      <c r="B402" s="74"/>
      <c r="C402" s="70"/>
      <c r="D402" s="71"/>
      <c r="E402" s="121">
        <f>F402*E378</f>
        <v>4</v>
      </c>
      <c r="F402" s="61">
        <v>4</v>
      </c>
      <c r="G402" s="53"/>
      <c r="H402" s="80"/>
    </row>
    <row r="403" spans="1:8" x14ac:dyDescent="0.25">
      <c r="A403" s="73" t="s">
        <v>410</v>
      </c>
      <c r="B403" s="74"/>
      <c r="C403" s="70"/>
      <c r="D403" s="71"/>
      <c r="E403" s="121">
        <f>F403*E378</f>
        <v>1</v>
      </c>
      <c r="F403" s="61">
        <v>1</v>
      </c>
      <c r="G403" s="53"/>
      <c r="H403" s="80"/>
    </row>
    <row r="404" spans="1:8" x14ac:dyDescent="0.25">
      <c r="A404" s="73" t="s">
        <v>411</v>
      </c>
      <c r="B404" s="74"/>
      <c r="C404" s="70"/>
      <c r="D404" s="71"/>
      <c r="E404" s="121">
        <f>F404*E378</f>
        <v>1</v>
      </c>
      <c r="F404" s="61">
        <v>1</v>
      </c>
      <c r="G404" s="53"/>
      <c r="H404" s="80"/>
    </row>
    <row r="405" spans="1:8" x14ac:dyDescent="0.25">
      <c r="A405" s="73" t="s">
        <v>412</v>
      </c>
      <c r="B405" s="74"/>
      <c r="C405" s="70"/>
      <c r="D405" s="71"/>
      <c r="E405" s="121">
        <f>F405*E378</f>
        <v>16</v>
      </c>
      <c r="F405" s="61">
        <v>16</v>
      </c>
      <c r="G405" s="82"/>
      <c r="H405" s="51"/>
    </row>
    <row r="406" spans="1:8" x14ac:dyDescent="0.25">
      <c r="A406" s="52"/>
      <c r="B406" s="53"/>
      <c r="C406" s="53"/>
      <c r="D406" s="53"/>
      <c r="E406" s="53"/>
      <c r="F406" s="65"/>
      <c r="G406" s="53"/>
      <c r="H406" s="83"/>
    </row>
    <row r="407" spans="1:8" x14ac:dyDescent="0.25">
      <c r="A407" s="52"/>
      <c r="B407" s="53"/>
      <c r="C407" s="53"/>
      <c r="D407" s="53"/>
      <c r="E407" s="53"/>
      <c r="F407" s="65"/>
      <c r="G407" s="53"/>
      <c r="H407" s="83"/>
    </row>
    <row r="408" spans="1:8" x14ac:dyDescent="0.25">
      <c r="A408" s="59" t="s">
        <v>413</v>
      </c>
      <c r="B408" s="84" t="s">
        <v>266</v>
      </c>
      <c r="C408" s="84" t="s">
        <v>383</v>
      </c>
      <c r="D408" s="405" t="s">
        <v>414</v>
      </c>
      <c r="E408" s="406"/>
      <c r="F408" s="85" t="s">
        <v>415</v>
      </c>
      <c r="G408" s="59" t="s">
        <v>416</v>
      </c>
      <c r="H408" s="86"/>
    </row>
    <row r="409" spans="1:8" x14ac:dyDescent="0.25">
      <c r="A409" s="61"/>
      <c r="B409" s="89">
        <f>2*E378</f>
        <v>2</v>
      </c>
      <c r="C409" s="89" t="s">
        <v>475</v>
      </c>
      <c r="D409" s="407">
        <f>A378/2-68</f>
        <v>657</v>
      </c>
      <c r="E409" s="408"/>
      <c r="F409" s="90">
        <f>C378-124</f>
        <v>676</v>
      </c>
      <c r="G409" s="91">
        <f>+(D409/1000)*(F409/1000)*B409</f>
        <v>0.88826400000000005</v>
      </c>
      <c r="H409" s="83"/>
    </row>
    <row r="410" spans="1:8" x14ac:dyDescent="0.25">
      <c r="A410" s="52"/>
      <c r="B410" s="93"/>
      <c r="C410" s="53"/>
      <c r="D410" s="53"/>
      <c r="E410" s="53"/>
      <c r="F410" s="94" t="s">
        <v>418</v>
      </c>
      <c r="G410" s="95">
        <f>SUM(G409:G409)</f>
        <v>0.88826400000000005</v>
      </c>
      <c r="H410" s="51"/>
    </row>
    <row r="411" spans="1:8" x14ac:dyDescent="0.25">
      <c r="A411" s="52"/>
      <c r="B411" s="93"/>
      <c r="C411" s="53"/>
      <c r="D411" s="53"/>
      <c r="E411" s="53"/>
      <c r="F411" s="94"/>
      <c r="G411" s="96"/>
      <c r="H411" s="51"/>
    </row>
    <row r="412" spans="1:8" x14ac:dyDescent="0.25">
      <c r="A412" s="52"/>
      <c r="B412" s="93"/>
      <c r="C412" s="53"/>
      <c r="D412" s="53"/>
      <c r="E412" s="53"/>
      <c r="F412" s="94"/>
      <c r="G412" s="96"/>
      <c r="H412" s="51"/>
    </row>
    <row r="413" spans="1:8" x14ac:dyDescent="0.25">
      <c r="A413" s="52"/>
      <c r="B413" s="93"/>
      <c r="C413" s="53"/>
      <c r="D413" s="53"/>
      <c r="E413" s="53"/>
      <c r="F413" s="94"/>
      <c r="G413" s="96"/>
      <c r="H413" s="51"/>
    </row>
    <row r="414" spans="1:8" x14ac:dyDescent="0.25">
      <c r="A414" s="52"/>
      <c r="B414" s="93"/>
      <c r="C414" s="53"/>
      <c r="D414" s="53"/>
      <c r="E414" s="53"/>
      <c r="F414" s="94"/>
      <c r="G414" s="96"/>
      <c r="H414" s="51"/>
    </row>
    <row r="415" spans="1:8" x14ac:dyDescent="0.25">
      <c r="A415" s="52"/>
      <c r="B415" s="93"/>
      <c r="C415" s="53"/>
      <c r="D415" s="53"/>
      <c r="E415" s="53"/>
      <c r="F415" s="94"/>
      <c r="G415" s="96"/>
      <c r="H415" s="51"/>
    </row>
    <row r="416" spans="1:8" x14ac:dyDescent="0.25">
      <c r="A416" s="52"/>
      <c r="B416" s="93"/>
      <c r="C416" s="53"/>
      <c r="D416" s="53"/>
      <c r="E416" s="53"/>
      <c r="F416" s="94"/>
      <c r="G416" s="96"/>
      <c r="H416" s="51"/>
    </row>
    <row r="417" spans="1:8" x14ac:dyDescent="0.25">
      <c r="A417" s="52"/>
      <c r="B417" s="93"/>
      <c r="C417" s="53"/>
      <c r="D417" s="53"/>
      <c r="E417" s="53"/>
      <c r="F417" s="94"/>
      <c r="G417" s="96"/>
      <c r="H417" s="51"/>
    </row>
    <row r="418" spans="1:8" x14ac:dyDescent="0.25">
      <c r="A418" s="52"/>
      <c r="B418" s="93"/>
      <c r="C418" s="53"/>
      <c r="D418" s="53"/>
      <c r="E418" s="53"/>
      <c r="F418" s="94"/>
      <c r="G418" s="96"/>
      <c r="H418" s="51"/>
    </row>
    <row r="419" spans="1:8" x14ac:dyDescent="0.25">
      <c r="A419" s="52"/>
      <c r="B419" s="93"/>
      <c r="C419" s="53"/>
      <c r="D419" s="53"/>
      <c r="E419" s="53"/>
      <c r="F419" s="94"/>
      <c r="G419" s="96"/>
      <c r="H419" s="51"/>
    </row>
    <row r="420" spans="1:8" x14ac:dyDescent="0.25">
      <c r="A420" s="52"/>
      <c r="B420" s="93"/>
      <c r="C420" s="53"/>
      <c r="D420" s="53"/>
      <c r="E420" s="53"/>
      <c r="F420" s="94"/>
      <c r="G420" s="96"/>
      <c r="H420" s="51"/>
    </row>
    <row r="421" spans="1:8" x14ac:dyDescent="0.25">
      <c r="A421" s="52"/>
      <c r="B421" s="93"/>
      <c r="C421" s="53"/>
      <c r="D421" s="53"/>
      <c r="E421" s="53"/>
      <c r="F421" s="94"/>
      <c r="G421" s="96"/>
      <c r="H421" s="51"/>
    </row>
    <row r="422" spans="1:8" x14ac:dyDescent="0.25">
      <c r="A422" s="52"/>
      <c r="B422" s="93"/>
      <c r="C422" s="53"/>
      <c r="D422" s="53"/>
      <c r="E422" s="53"/>
      <c r="F422" s="94"/>
      <c r="G422" s="96"/>
      <c r="H422" s="51"/>
    </row>
    <row r="423" spans="1:8" x14ac:dyDescent="0.25">
      <c r="A423" s="52"/>
      <c r="B423" s="93"/>
      <c r="C423" s="53"/>
      <c r="D423" s="53"/>
      <c r="E423" s="53"/>
      <c r="F423" s="94"/>
      <c r="G423" s="96"/>
      <c r="H423" s="51"/>
    </row>
    <row r="424" spans="1:8" x14ac:dyDescent="0.25">
      <c r="A424" s="52"/>
      <c r="B424" s="93"/>
      <c r="C424" s="53"/>
      <c r="D424" s="53"/>
      <c r="E424" s="53"/>
      <c r="F424" s="94"/>
      <c r="G424" s="96"/>
      <c r="H424" s="51"/>
    </row>
    <row r="425" spans="1:8" x14ac:dyDescent="0.25">
      <c r="A425" s="52"/>
      <c r="B425" s="93"/>
      <c r="C425" s="53"/>
      <c r="D425" s="53"/>
      <c r="E425" s="53"/>
      <c r="F425" s="94"/>
      <c r="G425" s="96"/>
      <c r="H425" s="51"/>
    </row>
    <row r="426" spans="1:8" x14ac:dyDescent="0.25">
      <c r="A426" s="52"/>
      <c r="B426" s="93"/>
      <c r="C426" s="53"/>
      <c r="D426" s="53"/>
      <c r="E426" s="53"/>
      <c r="F426" s="94"/>
      <c r="G426" s="96"/>
      <c r="H426" s="51"/>
    </row>
    <row r="427" spans="1:8" x14ac:dyDescent="0.25">
      <c r="A427" s="52"/>
      <c r="B427" s="93"/>
      <c r="C427" s="53"/>
      <c r="D427" s="53"/>
      <c r="E427" s="53"/>
      <c r="F427" s="94"/>
      <c r="G427" s="96"/>
      <c r="H427" s="51"/>
    </row>
    <row r="428" spans="1:8" x14ac:dyDescent="0.25">
      <c r="A428" s="52"/>
      <c r="B428" s="93"/>
      <c r="C428" s="53"/>
      <c r="D428" s="53"/>
      <c r="E428" s="53"/>
      <c r="F428" s="94"/>
      <c r="G428" s="96"/>
      <c r="H428" s="51"/>
    </row>
    <row r="429" spans="1:8" x14ac:dyDescent="0.25">
      <c r="A429" s="52"/>
      <c r="B429" s="93"/>
      <c r="C429" s="53"/>
      <c r="D429" s="53"/>
      <c r="E429" s="53"/>
      <c r="F429" s="94"/>
      <c r="G429" s="96"/>
      <c r="H429" s="51"/>
    </row>
    <row r="430" spans="1:8" x14ac:dyDescent="0.25">
      <c r="A430" s="52"/>
      <c r="B430" s="93"/>
      <c r="C430" s="53"/>
      <c r="D430" s="53"/>
      <c r="E430" s="53"/>
      <c r="F430" s="94"/>
      <c r="G430" s="96"/>
      <c r="H430" s="51"/>
    </row>
    <row r="431" spans="1:8" x14ac:dyDescent="0.25">
      <c r="A431" s="52"/>
      <c r="B431" s="93"/>
      <c r="C431" s="93"/>
      <c r="D431" s="53"/>
      <c r="E431" s="53"/>
      <c r="F431" s="65"/>
      <c r="G431" s="53"/>
      <c r="H431" s="51"/>
    </row>
    <row r="432" spans="1:8" x14ac:dyDescent="0.25">
      <c r="A432" s="52"/>
      <c r="B432" s="93"/>
      <c r="C432" s="93"/>
      <c r="D432" s="53"/>
      <c r="E432" s="53"/>
      <c r="F432" s="65"/>
      <c r="G432" s="53"/>
      <c r="H432" s="51"/>
    </row>
    <row r="433" spans="1:8" x14ac:dyDescent="0.25">
      <c r="A433" s="45"/>
      <c r="B433" s="45"/>
      <c r="C433" s="45"/>
      <c r="D433" s="45"/>
      <c r="E433" s="45"/>
      <c r="F433" s="102"/>
      <c r="G433" s="45"/>
      <c r="H433" s="45"/>
    </row>
    <row r="434" spans="1:8" x14ac:dyDescent="0.25">
      <c r="A434" s="100"/>
      <c r="B434" s="100"/>
      <c r="C434" s="100"/>
      <c r="D434" s="100"/>
      <c r="E434" s="100"/>
      <c r="F434" s="101"/>
      <c r="G434" s="100"/>
      <c r="H434" s="100"/>
    </row>
    <row r="435" spans="1:8" x14ac:dyDescent="0.25">
      <c r="A435" s="44"/>
      <c r="B435" s="45"/>
      <c r="C435" s="45"/>
      <c r="D435" s="45"/>
      <c r="E435" s="45"/>
      <c r="F435" s="102"/>
      <c r="G435" s="45"/>
      <c r="H435" s="46"/>
    </row>
    <row r="436" spans="1:8" x14ac:dyDescent="0.25">
      <c r="A436" s="52"/>
      <c r="B436" s="53"/>
      <c r="C436" s="53"/>
      <c r="D436" s="53"/>
      <c r="E436" s="53"/>
      <c r="F436" s="65"/>
      <c r="G436" s="53"/>
      <c r="H436" s="51"/>
    </row>
    <row r="437" spans="1:8" x14ac:dyDescent="0.25">
      <c r="A437" s="47" t="s">
        <v>476</v>
      </c>
      <c r="B437" s="49"/>
      <c r="C437" s="49"/>
      <c r="D437" s="122"/>
      <c r="E437" s="49"/>
      <c r="F437" s="50"/>
      <c r="G437" s="50"/>
      <c r="H437" s="103"/>
    </row>
    <row r="438" spans="1:8" ht="16.5" thickBot="1" x14ac:dyDescent="0.3">
      <c r="A438" s="52"/>
      <c r="B438" s="53"/>
      <c r="C438" s="53"/>
      <c r="D438" s="53"/>
      <c r="E438" s="53"/>
      <c r="F438" s="65"/>
      <c r="G438" s="54" t="s">
        <v>477</v>
      </c>
      <c r="H438" s="51"/>
    </row>
    <row r="439" spans="1:8" ht="16.5" thickBot="1" x14ac:dyDescent="0.3">
      <c r="A439" s="400" t="s">
        <v>381</v>
      </c>
      <c r="B439" s="401"/>
      <c r="C439" s="402" t="s">
        <v>382</v>
      </c>
      <c r="D439" s="401"/>
      <c r="E439" s="55" t="s">
        <v>266</v>
      </c>
      <c r="F439" s="65"/>
      <c r="G439" s="53"/>
      <c r="H439" s="51"/>
    </row>
    <row r="440" spans="1:8" ht="16.5" thickBot="1" x14ac:dyDescent="0.3">
      <c r="A440" s="403">
        <v>3600</v>
      </c>
      <c r="B440" s="404"/>
      <c r="C440" s="403">
        <v>2000</v>
      </c>
      <c r="D440" s="404"/>
      <c r="E440" s="56">
        <v>1</v>
      </c>
      <c r="F440" s="65"/>
      <c r="G440" s="53"/>
      <c r="H440" s="51"/>
    </row>
    <row r="441" spans="1:8" x14ac:dyDescent="0.25">
      <c r="A441" s="52"/>
      <c r="B441" s="58"/>
      <c r="C441" s="58"/>
      <c r="D441" s="58"/>
      <c r="E441" s="58"/>
      <c r="F441" s="58"/>
      <c r="G441" s="53"/>
      <c r="H441" s="83"/>
    </row>
    <row r="442" spans="1:8" x14ac:dyDescent="0.25">
      <c r="A442" s="59" t="s">
        <v>323</v>
      </c>
      <c r="B442" s="59" t="s">
        <v>266</v>
      </c>
      <c r="C442" s="59" t="s">
        <v>383</v>
      </c>
      <c r="D442" s="59" t="s">
        <v>384</v>
      </c>
      <c r="E442" s="59" t="s">
        <v>332</v>
      </c>
      <c r="F442" s="59" t="s">
        <v>385</v>
      </c>
      <c r="G442" s="59" t="s">
        <v>386</v>
      </c>
      <c r="H442" s="59" t="s">
        <v>387</v>
      </c>
    </row>
    <row r="443" spans="1:8" x14ac:dyDescent="0.25">
      <c r="A443" s="60">
        <v>6901</v>
      </c>
      <c r="B443" s="61">
        <f>1*E440</f>
        <v>1</v>
      </c>
      <c r="C443" s="61" t="s">
        <v>367</v>
      </c>
      <c r="D443" s="61">
        <f>A440-14</f>
        <v>3586</v>
      </c>
      <c r="E443" s="61" t="s">
        <v>340</v>
      </c>
      <c r="F443" s="104" t="s">
        <v>388</v>
      </c>
      <c r="G443" s="63">
        <v>0.69199999999999995</v>
      </c>
      <c r="H443" s="63">
        <f t="shared" ref="H443:H449" si="7">(D443/1000)*B443*G443</f>
        <v>2.4815119999999995</v>
      </c>
    </row>
    <row r="444" spans="1:8" x14ac:dyDescent="0.25">
      <c r="A444" s="60">
        <v>6902</v>
      </c>
      <c r="B444" s="61">
        <f>1*E440</f>
        <v>1</v>
      </c>
      <c r="C444" s="61" t="s">
        <v>367</v>
      </c>
      <c r="D444" s="61">
        <f>A440-14</f>
        <v>3586</v>
      </c>
      <c r="E444" s="61" t="s">
        <v>340</v>
      </c>
      <c r="F444" s="104" t="s">
        <v>82</v>
      </c>
      <c r="G444" s="63">
        <v>0.67700000000000005</v>
      </c>
      <c r="H444" s="63">
        <f t="shared" si="7"/>
        <v>2.4277220000000002</v>
      </c>
    </row>
    <row r="445" spans="1:8" x14ac:dyDescent="0.25">
      <c r="A445" s="60">
        <v>6903</v>
      </c>
      <c r="B445" s="61">
        <f>2*E440</f>
        <v>2</v>
      </c>
      <c r="C445" s="61" t="s">
        <v>337</v>
      </c>
      <c r="D445" s="61">
        <f>C440</f>
        <v>2000</v>
      </c>
      <c r="E445" s="61" t="s">
        <v>340</v>
      </c>
      <c r="F445" s="104" t="s">
        <v>83</v>
      </c>
      <c r="G445" s="63">
        <v>0.55000000000000004</v>
      </c>
      <c r="H445" s="63">
        <f t="shared" si="7"/>
        <v>2.2000000000000002</v>
      </c>
    </row>
    <row r="446" spans="1:8" x14ac:dyDescent="0.25">
      <c r="A446" s="60">
        <v>6915</v>
      </c>
      <c r="B446" s="61">
        <f>4*E440</f>
        <v>4</v>
      </c>
      <c r="C446" s="61" t="s">
        <v>421</v>
      </c>
      <c r="D446" s="105">
        <f>A440/3-13</f>
        <v>1187</v>
      </c>
      <c r="E446" s="61" t="s">
        <v>340</v>
      </c>
      <c r="F446" s="110" t="s">
        <v>469</v>
      </c>
      <c r="G446" s="63">
        <v>0.56899999999999995</v>
      </c>
      <c r="H446" s="63">
        <f t="shared" si="7"/>
        <v>2.7016119999999999</v>
      </c>
    </row>
    <row r="447" spans="1:8" x14ac:dyDescent="0.25">
      <c r="A447" s="60">
        <v>6915</v>
      </c>
      <c r="B447" s="61">
        <f>2*E440</f>
        <v>2</v>
      </c>
      <c r="C447" s="61" t="s">
        <v>478</v>
      </c>
      <c r="D447" s="105">
        <f>A440/3+36</f>
        <v>1236</v>
      </c>
      <c r="E447" s="61" t="s">
        <v>340</v>
      </c>
      <c r="F447" s="110" t="s">
        <v>479</v>
      </c>
      <c r="G447" s="63">
        <v>0.56899999999999995</v>
      </c>
      <c r="H447" s="63">
        <f t="shared" si="7"/>
        <v>1.4065679999999998</v>
      </c>
    </row>
    <row r="448" spans="1:8" x14ac:dyDescent="0.25">
      <c r="A448" s="60">
        <v>6913</v>
      </c>
      <c r="B448" s="61">
        <f>2*E440</f>
        <v>2</v>
      </c>
      <c r="C448" s="61" t="s">
        <v>470</v>
      </c>
      <c r="D448" s="61">
        <f>C440-38</f>
        <v>1962</v>
      </c>
      <c r="E448" s="61" t="s">
        <v>340</v>
      </c>
      <c r="F448" s="110" t="s">
        <v>480</v>
      </c>
      <c r="G448" s="63">
        <v>0.65500000000000003</v>
      </c>
      <c r="H448" s="63">
        <f t="shared" si="7"/>
        <v>2.5702199999999999</v>
      </c>
    </row>
    <row r="449" spans="1:8" x14ac:dyDescent="0.25">
      <c r="A449" s="60">
        <v>6914</v>
      </c>
      <c r="B449" s="61">
        <f>4*E440</f>
        <v>4</v>
      </c>
      <c r="C449" s="61" t="s">
        <v>470</v>
      </c>
      <c r="D449" s="61">
        <f>C440-38</f>
        <v>1962</v>
      </c>
      <c r="E449" s="61" t="s">
        <v>340</v>
      </c>
      <c r="F449" s="104" t="s">
        <v>87</v>
      </c>
      <c r="G449" s="63">
        <v>0.57299999999999995</v>
      </c>
      <c r="H449" s="63">
        <f t="shared" si="7"/>
        <v>4.4969039999999998</v>
      </c>
    </row>
    <row r="450" spans="1:8" x14ac:dyDescent="0.25">
      <c r="A450" s="64"/>
      <c r="B450" s="65"/>
      <c r="C450" s="65"/>
      <c r="D450" s="65"/>
      <c r="E450" s="65"/>
      <c r="F450" s="65"/>
      <c r="G450" s="63" t="s">
        <v>392</v>
      </c>
      <c r="H450" s="63">
        <f>SUM(H443:H449)</f>
        <v>18.284538000000001</v>
      </c>
    </row>
    <row r="451" spans="1:8" x14ac:dyDescent="0.25">
      <c r="A451" s="64"/>
      <c r="B451" s="65"/>
      <c r="C451" s="65"/>
      <c r="D451" s="65"/>
      <c r="E451" s="65"/>
      <c r="F451" s="65"/>
      <c r="G451" s="66"/>
      <c r="H451" s="67"/>
    </row>
    <row r="452" spans="1:8" x14ac:dyDescent="0.25">
      <c r="A452" s="64"/>
      <c r="B452" s="65"/>
      <c r="C452" s="65"/>
      <c r="D452" s="65"/>
      <c r="E452" s="65"/>
      <c r="F452" s="65"/>
      <c r="G452" s="68"/>
      <c r="H452" s="67"/>
    </row>
    <row r="453" spans="1:8" x14ac:dyDescent="0.25">
      <c r="A453" s="69" t="s">
        <v>393</v>
      </c>
      <c r="B453" s="70"/>
      <c r="C453" s="70"/>
      <c r="D453" s="71"/>
      <c r="E453" s="59" t="s">
        <v>36</v>
      </c>
      <c r="F453" s="59" t="s">
        <v>266</v>
      </c>
      <c r="G453" s="52"/>
      <c r="H453" s="72"/>
    </row>
    <row r="454" spans="1:8" x14ac:dyDescent="0.25">
      <c r="A454" s="73" t="s">
        <v>394</v>
      </c>
      <c r="B454" s="74"/>
      <c r="C454" s="70"/>
      <c r="D454" s="71"/>
      <c r="E454" s="114">
        <f>F454*E440</f>
        <v>2</v>
      </c>
      <c r="F454" s="61">
        <v>2</v>
      </c>
      <c r="G454" s="76"/>
      <c r="H454" s="77"/>
    </row>
    <row r="455" spans="1:8" x14ac:dyDescent="0.25">
      <c r="A455" s="73" t="s">
        <v>395</v>
      </c>
      <c r="B455" s="74"/>
      <c r="C455" s="70"/>
      <c r="D455" s="71"/>
      <c r="E455" s="115">
        <f>F455*E440</f>
        <v>1</v>
      </c>
      <c r="F455" s="61">
        <v>1</v>
      </c>
      <c r="G455" s="76"/>
      <c r="H455" s="77"/>
    </row>
    <row r="456" spans="1:8" x14ac:dyDescent="0.25">
      <c r="A456" s="73" t="s">
        <v>396</v>
      </c>
      <c r="B456" s="74"/>
      <c r="C456" s="70"/>
      <c r="D456" s="71"/>
      <c r="E456" s="115">
        <f>F456*E440</f>
        <v>1</v>
      </c>
      <c r="F456" s="61">
        <v>1</v>
      </c>
      <c r="G456" s="65"/>
      <c r="H456" s="77"/>
    </row>
    <row r="457" spans="1:8" x14ac:dyDescent="0.25">
      <c r="A457" s="73" t="s">
        <v>399</v>
      </c>
      <c r="B457" s="74"/>
      <c r="C457" s="70"/>
      <c r="D457" s="71"/>
      <c r="E457" s="115">
        <f>4*(A440/1000)+8*(C440/1000)*E440</f>
        <v>30.4</v>
      </c>
      <c r="F457" s="61" t="s">
        <v>481</v>
      </c>
      <c r="G457" s="79"/>
      <c r="H457" s="77"/>
    </row>
    <row r="458" spans="1:8" x14ac:dyDescent="0.25">
      <c r="A458" s="73" t="s">
        <v>401</v>
      </c>
      <c r="B458" s="74"/>
      <c r="C458" s="70"/>
      <c r="D458" s="71"/>
      <c r="E458" s="115">
        <f>2*(A440/1000)+6*(C440/1000)*E440</f>
        <v>19.2</v>
      </c>
      <c r="F458" s="61" t="s">
        <v>424</v>
      </c>
      <c r="G458" s="79"/>
      <c r="H458" s="77"/>
    </row>
    <row r="459" spans="1:8" x14ac:dyDescent="0.25">
      <c r="A459" s="73" t="s">
        <v>473</v>
      </c>
      <c r="B459" s="74"/>
      <c r="C459" s="70"/>
      <c r="D459" s="71"/>
      <c r="E459" s="115">
        <f>F459*E440</f>
        <v>6</v>
      </c>
      <c r="F459" s="61">
        <v>6</v>
      </c>
      <c r="G459" s="93"/>
      <c r="H459" s="77"/>
    </row>
    <row r="460" spans="1:8" x14ac:dyDescent="0.25">
      <c r="A460" s="73" t="s">
        <v>404</v>
      </c>
      <c r="B460" s="74"/>
      <c r="C460" s="70"/>
      <c r="D460" s="71"/>
      <c r="E460" s="115">
        <f>F460*E440</f>
        <v>8</v>
      </c>
      <c r="F460" s="61">
        <v>8</v>
      </c>
      <c r="G460" s="76"/>
      <c r="H460" s="77"/>
    </row>
    <row r="461" spans="1:8" x14ac:dyDescent="0.25">
      <c r="A461" s="73" t="s">
        <v>405</v>
      </c>
      <c r="B461" s="74"/>
      <c r="C461" s="70"/>
      <c r="D461" s="71"/>
      <c r="E461" s="115">
        <f>F461*E440</f>
        <v>12</v>
      </c>
      <c r="F461" s="61">
        <v>12</v>
      </c>
      <c r="G461" s="76"/>
      <c r="H461" s="77"/>
    </row>
    <row r="462" spans="1:8" x14ac:dyDescent="0.25">
      <c r="A462" s="73" t="s">
        <v>406</v>
      </c>
      <c r="B462" s="74"/>
      <c r="C462" s="70"/>
      <c r="D462" s="71"/>
      <c r="E462" s="115">
        <f>F462*E440</f>
        <v>2</v>
      </c>
      <c r="F462" s="61">
        <v>2</v>
      </c>
      <c r="G462" s="53"/>
      <c r="H462" s="80"/>
    </row>
    <row r="463" spans="1:8" x14ac:dyDescent="0.25">
      <c r="A463" s="73" t="s">
        <v>407</v>
      </c>
      <c r="B463" s="74"/>
      <c r="C463" s="70"/>
      <c r="D463" s="71"/>
      <c r="E463" s="115">
        <f>F463*E440</f>
        <v>2</v>
      </c>
      <c r="F463" s="61">
        <v>2</v>
      </c>
      <c r="G463" s="53"/>
      <c r="H463" s="80"/>
    </row>
    <row r="464" spans="1:8" x14ac:dyDescent="0.25">
      <c r="A464" s="73" t="s">
        <v>408</v>
      </c>
      <c r="B464" s="74"/>
      <c r="C464" s="70"/>
      <c r="D464" s="71"/>
      <c r="E464" s="115">
        <f>F464*E440</f>
        <v>3</v>
      </c>
      <c r="F464" s="61">
        <v>3</v>
      </c>
      <c r="G464" s="53"/>
      <c r="H464" s="80"/>
    </row>
    <row r="465" spans="1:8" x14ac:dyDescent="0.25">
      <c r="A465" s="81" t="s">
        <v>474</v>
      </c>
      <c r="B465" s="74"/>
      <c r="C465" s="70"/>
      <c r="D465" s="71"/>
      <c r="E465" s="115">
        <f>F465*E440</f>
        <v>4</v>
      </c>
      <c r="F465" s="61">
        <v>4</v>
      </c>
      <c r="G465" s="53"/>
      <c r="H465" s="80"/>
    </row>
    <row r="466" spans="1:8" x14ac:dyDescent="0.25">
      <c r="A466" s="73" t="s">
        <v>410</v>
      </c>
      <c r="B466" s="74"/>
      <c r="C466" s="70"/>
      <c r="D466" s="71"/>
      <c r="E466" s="115">
        <f>F466*E440</f>
        <v>2</v>
      </c>
      <c r="F466" s="61">
        <v>2</v>
      </c>
      <c r="G466" s="53"/>
      <c r="H466" s="80"/>
    </row>
    <row r="467" spans="1:8" x14ac:dyDescent="0.25">
      <c r="A467" s="73" t="s">
        <v>411</v>
      </c>
      <c r="B467" s="74"/>
      <c r="C467" s="70"/>
      <c r="D467" s="71"/>
      <c r="E467" s="115">
        <f>F467*E440</f>
        <v>2</v>
      </c>
      <c r="F467" s="61">
        <v>2</v>
      </c>
      <c r="G467" s="53"/>
      <c r="H467" s="80"/>
    </row>
    <row r="468" spans="1:8" x14ac:dyDescent="0.25">
      <c r="A468" s="73" t="s">
        <v>412</v>
      </c>
      <c r="B468" s="74"/>
      <c r="C468" s="70"/>
      <c r="D468" s="71"/>
      <c r="E468" s="115">
        <f>F468*E440</f>
        <v>20</v>
      </c>
      <c r="F468" s="61">
        <v>20</v>
      </c>
      <c r="G468" s="82"/>
      <c r="H468" s="51"/>
    </row>
    <row r="469" spans="1:8" x14ac:dyDescent="0.25">
      <c r="A469" s="52"/>
      <c r="B469" s="53"/>
      <c r="C469" s="53"/>
      <c r="D469" s="53"/>
      <c r="E469" s="53"/>
      <c r="F469" s="65"/>
      <c r="G469" s="53"/>
      <c r="H469" s="83"/>
    </row>
    <row r="470" spans="1:8" x14ac:dyDescent="0.25">
      <c r="A470" s="52"/>
      <c r="B470" s="53"/>
      <c r="C470" s="53"/>
      <c r="D470" s="53"/>
      <c r="E470" s="53"/>
      <c r="F470" s="65"/>
      <c r="G470" s="53"/>
      <c r="H470" s="83"/>
    </row>
    <row r="471" spans="1:8" x14ac:dyDescent="0.25">
      <c r="A471" s="59" t="s">
        <v>413</v>
      </c>
      <c r="B471" s="84" t="s">
        <v>266</v>
      </c>
      <c r="C471" s="84" t="s">
        <v>383</v>
      </c>
      <c r="D471" s="405" t="s">
        <v>414</v>
      </c>
      <c r="E471" s="406"/>
      <c r="F471" s="85" t="s">
        <v>415</v>
      </c>
      <c r="G471" s="59" t="s">
        <v>416</v>
      </c>
      <c r="H471" s="86"/>
    </row>
    <row r="472" spans="1:8" x14ac:dyDescent="0.25">
      <c r="A472" s="61"/>
      <c r="B472" s="89">
        <f>2*E440</f>
        <v>2</v>
      </c>
      <c r="C472" s="108" t="s">
        <v>482</v>
      </c>
      <c r="D472" s="409">
        <f>A440/3-68</f>
        <v>1132</v>
      </c>
      <c r="E472" s="410"/>
      <c r="F472" s="90">
        <f>C440-124</f>
        <v>1876</v>
      </c>
      <c r="G472" s="91">
        <f>+(D472/1000)*(F472/1000)*B472</f>
        <v>4.2472639999999995</v>
      </c>
      <c r="H472" s="83"/>
    </row>
    <row r="473" spans="1:8" x14ac:dyDescent="0.25">
      <c r="A473" s="87"/>
      <c r="B473" s="61">
        <f>1*E440</f>
        <v>1</v>
      </c>
      <c r="C473" s="88" t="s">
        <v>483</v>
      </c>
      <c r="D473" s="409">
        <f>A440/3-20</f>
        <v>1180</v>
      </c>
      <c r="E473" s="410"/>
      <c r="F473" s="61">
        <f>C440-124</f>
        <v>1876</v>
      </c>
      <c r="G473" s="91">
        <f>+(D473/1000)*(F473/1000)*B473</f>
        <v>2.2136799999999996</v>
      </c>
      <c r="H473" s="92"/>
    </row>
    <row r="474" spans="1:8" x14ac:dyDescent="0.25">
      <c r="A474" s="52"/>
      <c r="B474" s="93"/>
      <c r="C474" s="53"/>
      <c r="D474" s="53"/>
      <c r="E474" s="53"/>
      <c r="F474" s="94" t="s">
        <v>418</v>
      </c>
      <c r="G474" s="95">
        <f>SUM(G472:G473)</f>
        <v>6.4609439999999996</v>
      </c>
      <c r="H474" s="51"/>
    </row>
    <row r="475" spans="1:8" x14ac:dyDescent="0.25">
      <c r="A475" s="52"/>
      <c r="B475" s="93"/>
      <c r="C475" s="93"/>
      <c r="D475" s="93"/>
      <c r="E475" s="53"/>
      <c r="F475" s="65"/>
      <c r="G475" s="53"/>
      <c r="H475" s="51"/>
    </row>
    <row r="476" spans="1:8" x14ac:dyDescent="0.25">
      <c r="A476" s="52"/>
      <c r="B476" s="93"/>
      <c r="C476" s="93"/>
      <c r="D476" s="93"/>
      <c r="E476" s="53"/>
      <c r="F476" s="65"/>
      <c r="G476" s="53"/>
      <c r="H476" s="51"/>
    </row>
    <row r="477" spans="1:8" x14ac:dyDescent="0.25">
      <c r="A477" s="52"/>
      <c r="B477" s="93"/>
      <c r="C477" s="93"/>
      <c r="D477" s="93"/>
      <c r="E477" s="53"/>
      <c r="F477" s="65"/>
      <c r="G477" s="53"/>
      <c r="H477" s="51"/>
    </row>
    <row r="478" spans="1:8" x14ac:dyDescent="0.25">
      <c r="A478" s="52"/>
      <c r="B478" s="93"/>
      <c r="C478" s="93"/>
      <c r="D478" s="93"/>
      <c r="E478" s="53"/>
      <c r="F478" s="65"/>
      <c r="G478" s="53"/>
      <c r="H478" s="51"/>
    </row>
    <row r="479" spans="1:8" x14ac:dyDescent="0.25">
      <c r="A479" s="52"/>
      <c r="B479" s="93"/>
      <c r="C479" s="93"/>
      <c r="D479" s="93"/>
      <c r="E479" s="53"/>
      <c r="F479" s="65"/>
      <c r="G479" s="53"/>
      <c r="H479" s="51"/>
    </row>
    <row r="480" spans="1:8" x14ac:dyDescent="0.25">
      <c r="A480" s="52"/>
      <c r="B480" s="93"/>
      <c r="C480" s="93"/>
      <c r="D480" s="93"/>
      <c r="E480" s="53"/>
      <c r="F480" s="65"/>
      <c r="G480" s="53"/>
      <c r="H480" s="51"/>
    </row>
    <row r="481" spans="1:8" x14ac:dyDescent="0.25">
      <c r="A481" s="52"/>
      <c r="B481" s="93"/>
      <c r="C481" s="93"/>
      <c r="D481" s="93"/>
      <c r="E481" s="53"/>
      <c r="F481" s="65"/>
      <c r="G481" s="53"/>
      <c r="H481" s="51"/>
    </row>
    <row r="482" spans="1:8" x14ac:dyDescent="0.25">
      <c r="A482" s="52"/>
      <c r="B482" s="93"/>
      <c r="C482" s="93"/>
      <c r="D482" s="93"/>
      <c r="E482" s="53"/>
      <c r="F482" s="65"/>
      <c r="G482" s="53"/>
      <c r="H482" s="51"/>
    </row>
    <row r="483" spans="1:8" x14ac:dyDescent="0.25">
      <c r="A483" s="52"/>
      <c r="B483" s="93"/>
      <c r="C483" s="93"/>
      <c r="D483" s="93"/>
      <c r="E483" s="53"/>
      <c r="F483" s="65"/>
      <c r="G483" s="53"/>
      <c r="H483" s="51"/>
    </row>
    <row r="484" spans="1:8" x14ac:dyDescent="0.25">
      <c r="A484" s="52"/>
      <c r="B484" s="93"/>
      <c r="C484" s="93"/>
      <c r="D484" s="93"/>
      <c r="E484" s="53"/>
      <c r="F484" s="65"/>
      <c r="G484" s="53"/>
      <c r="H484" s="51"/>
    </row>
    <row r="485" spans="1:8" x14ac:dyDescent="0.25">
      <c r="A485" s="52"/>
      <c r="B485" s="93"/>
      <c r="C485" s="93"/>
      <c r="D485" s="93"/>
      <c r="E485" s="53"/>
      <c r="F485" s="65"/>
      <c r="G485" s="53"/>
      <c r="H485" s="51"/>
    </row>
    <row r="486" spans="1:8" x14ac:dyDescent="0.25">
      <c r="A486" s="52"/>
      <c r="B486" s="93"/>
      <c r="C486" s="93"/>
      <c r="D486" s="93"/>
      <c r="E486" s="53"/>
      <c r="F486" s="65"/>
      <c r="G486" s="53"/>
      <c r="H486" s="51"/>
    </row>
    <row r="487" spans="1:8" x14ac:dyDescent="0.25">
      <c r="A487" s="52"/>
      <c r="B487" s="93"/>
      <c r="C487" s="93"/>
      <c r="D487" s="93"/>
      <c r="E487" s="53"/>
      <c r="F487" s="65"/>
      <c r="G487" s="53"/>
      <c r="H487" s="51"/>
    </row>
    <row r="488" spans="1:8" x14ac:dyDescent="0.25">
      <c r="A488" s="52"/>
      <c r="B488" s="93"/>
      <c r="C488" s="93"/>
      <c r="D488" s="93"/>
      <c r="E488" s="53"/>
      <c r="F488" s="65"/>
      <c r="G488" s="53"/>
      <c r="H488" s="51"/>
    </row>
    <row r="489" spans="1:8" x14ac:dyDescent="0.25">
      <c r="A489" s="52"/>
      <c r="B489" s="93"/>
      <c r="C489" s="93"/>
      <c r="D489" s="93"/>
      <c r="E489" s="53"/>
      <c r="F489" s="65"/>
      <c r="G489" s="53"/>
      <c r="H489" s="51"/>
    </row>
    <row r="490" spans="1:8" x14ac:dyDescent="0.25">
      <c r="A490" s="52"/>
      <c r="B490" s="93"/>
      <c r="C490" s="93"/>
      <c r="D490" s="93"/>
      <c r="E490" s="53"/>
      <c r="F490" s="65"/>
      <c r="G490" s="53"/>
      <c r="H490" s="51"/>
    </row>
    <row r="491" spans="1:8" x14ac:dyDescent="0.25">
      <c r="A491" s="52"/>
      <c r="B491" s="93"/>
      <c r="C491" s="93"/>
      <c r="D491" s="93"/>
      <c r="E491" s="53"/>
      <c r="F491" s="65"/>
      <c r="G491" s="53"/>
      <c r="H491" s="51"/>
    </row>
    <row r="492" spans="1:8" x14ac:dyDescent="0.25">
      <c r="A492" s="52"/>
      <c r="B492" s="93"/>
      <c r="C492" s="93"/>
      <c r="D492" s="93"/>
      <c r="E492" s="53"/>
      <c r="F492" s="65"/>
      <c r="G492" s="53"/>
      <c r="H492" s="51"/>
    </row>
    <row r="493" spans="1:8" x14ac:dyDescent="0.25">
      <c r="A493" s="52"/>
      <c r="B493" s="93"/>
      <c r="C493" s="93"/>
      <c r="D493" s="93"/>
      <c r="E493" s="53"/>
      <c r="F493" s="65"/>
      <c r="G493" s="53"/>
      <c r="H493" s="51"/>
    </row>
    <row r="494" spans="1:8" x14ac:dyDescent="0.25">
      <c r="A494" s="52"/>
      <c r="B494" s="93"/>
      <c r="C494" s="93"/>
      <c r="D494" s="93"/>
      <c r="E494" s="53"/>
      <c r="F494" s="65"/>
      <c r="G494" s="53"/>
      <c r="H494" s="51"/>
    </row>
    <row r="495" spans="1:8" x14ac:dyDescent="0.25">
      <c r="A495" s="45"/>
      <c r="B495" s="97"/>
      <c r="C495" s="97"/>
      <c r="D495" s="97"/>
      <c r="E495" s="45"/>
      <c r="F495" s="102"/>
      <c r="G495" s="45"/>
      <c r="H495" s="45"/>
    </row>
    <row r="496" spans="1:8" x14ac:dyDescent="0.25">
      <c r="A496" s="100"/>
      <c r="B496" s="100"/>
      <c r="C496" s="100"/>
      <c r="D496" s="100"/>
      <c r="E496" s="100"/>
      <c r="F496" s="101"/>
      <c r="G496" s="100"/>
      <c r="H496" s="100"/>
    </row>
    <row r="497" spans="1:8" x14ac:dyDescent="0.25">
      <c r="A497" s="44"/>
      <c r="B497" s="45"/>
      <c r="C497" s="45"/>
      <c r="D497" s="45"/>
      <c r="E497" s="45"/>
      <c r="F497" s="102"/>
      <c r="G497" s="45"/>
      <c r="H497" s="46"/>
    </row>
    <row r="498" spans="1:8" x14ac:dyDescent="0.25">
      <c r="A498" s="52"/>
      <c r="B498" s="53"/>
      <c r="C498" s="53"/>
      <c r="D498" s="53"/>
      <c r="E498" s="53"/>
      <c r="F498" s="65"/>
      <c r="G498" s="53"/>
      <c r="H498" s="51"/>
    </row>
    <row r="499" spans="1:8" x14ac:dyDescent="0.25">
      <c r="A499" s="47" t="s">
        <v>484</v>
      </c>
      <c r="B499" s="49"/>
      <c r="C499" s="49"/>
      <c r="D499" s="122"/>
      <c r="E499" s="49"/>
      <c r="F499" s="50"/>
      <c r="G499" s="50"/>
      <c r="H499" s="103"/>
    </row>
    <row r="500" spans="1:8" ht="16.5" thickBot="1" x14ac:dyDescent="0.3">
      <c r="A500" s="52"/>
      <c r="B500" s="53"/>
      <c r="C500" s="53"/>
      <c r="D500" s="53"/>
      <c r="E500" s="53"/>
      <c r="F500" s="65"/>
      <c r="G500" s="54" t="s">
        <v>485</v>
      </c>
      <c r="H500" s="51"/>
    </row>
    <row r="501" spans="1:8" ht="16.5" thickBot="1" x14ac:dyDescent="0.3">
      <c r="A501" s="400" t="s">
        <v>381</v>
      </c>
      <c r="B501" s="401"/>
      <c r="C501" s="402" t="s">
        <v>382</v>
      </c>
      <c r="D501" s="401"/>
      <c r="E501" s="55" t="s">
        <v>266</v>
      </c>
      <c r="F501" s="65"/>
      <c r="G501" s="53"/>
      <c r="H501" s="51"/>
    </row>
    <row r="502" spans="1:8" ht="16.5" thickBot="1" x14ac:dyDescent="0.3">
      <c r="A502" s="403">
        <v>5440</v>
      </c>
      <c r="B502" s="404"/>
      <c r="C502" s="403">
        <v>1600</v>
      </c>
      <c r="D502" s="404"/>
      <c r="E502" s="56">
        <v>1</v>
      </c>
      <c r="F502" s="65"/>
      <c r="G502" s="53"/>
      <c r="H502" s="51"/>
    </row>
    <row r="503" spans="1:8" x14ac:dyDescent="0.25">
      <c r="A503" s="52"/>
      <c r="B503" s="58"/>
      <c r="C503" s="58"/>
      <c r="D503" s="58"/>
      <c r="E503" s="58"/>
      <c r="F503" s="58"/>
      <c r="G503" s="53"/>
      <c r="H503" s="83"/>
    </row>
    <row r="504" spans="1:8" x14ac:dyDescent="0.25">
      <c r="A504" s="59" t="s">
        <v>323</v>
      </c>
      <c r="B504" s="59" t="s">
        <v>266</v>
      </c>
      <c r="C504" s="59" t="s">
        <v>383</v>
      </c>
      <c r="D504" s="59" t="s">
        <v>384</v>
      </c>
      <c r="E504" s="59" t="s">
        <v>332</v>
      </c>
      <c r="F504" s="59" t="s">
        <v>385</v>
      </c>
      <c r="G504" s="59" t="s">
        <v>386</v>
      </c>
      <c r="H504" s="59" t="s">
        <v>387</v>
      </c>
    </row>
    <row r="505" spans="1:8" x14ac:dyDescent="0.25">
      <c r="A505" s="60">
        <v>6901</v>
      </c>
      <c r="B505" s="61">
        <f>1*E502</f>
        <v>1</v>
      </c>
      <c r="C505" s="61" t="s">
        <v>367</v>
      </c>
      <c r="D505" s="61">
        <f>A502-14</f>
        <v>5426</v>
      </c>
      <c r="E505" s="61" t="s">
        <v>340</v>
      </c>
      <c r="F505" s="104" t="s">
        <v>388</v>
      </c>
      <c r="G505" s="63">
        <v>0.69199999999999995</v>
      </c>
      <c r="H505" s="63">
        <f t="shared" ref="H505:H512" si="8">(D505/1000)*B505*G505</f>
        <v>3.7547919999999997</v>
      </c>
    </row>
    <row r="506" spans="1:8" x14ac:dyDescent="0.25">
      <c r="A506" s="60">
        <v>6902</v>
      </c>
      <c r="B506" s="61">
        <f>1*E502</f>
        <v>1</v>
      </c>
      <c r="C506" s="61" t="s">
        <v>367</v>
      </c>
      <c r="D506" s="61">
        <f>A502-14</f>
        <v>5426</v>
      </c>
      <c r="E506" s="61" t="s">
        <v>340</v>
      </c>
      <c r="F506" s="104" t="s">
        <v>82</v>
      </c>
      <c r="G506" s="63">
        <v>0.67700000000000005</v>
      </c>
      <c r="H506" s="63">
        <f t="shared" si="8"/>
        <v>3.6734020000000003</v>
      </c>
    </row>
    <row r="507" spans="1:8" x14ac:dyDescent="0.25">
      <c r="A507" s="60">
        <v>6903</v>
      </c>
      <c r="B507" s="61">
        <f>2*E502</f>
        <v>2</v>
      </c>
      <c r="C507" s="61" t="s">
        <v>337</v>
      </c>
      <c r="D507" s="61">
        <f>C502</f>
        <v>1600</v>
      </c>
      <c r="E507" s="61" t="s">
        <v>340</v>
      </c>
      <c r="F507" s="104" t="s">
        <v>83</v>
      </c>
      <c r="G507" s="63">
        <v>0.55000000000000004</v>
      </c>
      <c r="H507" s="63">
        <f t="shared" si="8"/>
        <v>1.7600000000000002</v>
      </c>
    </row>
    <row r="508" spans="1:8" x14ac:dyDescent="0.25">
      <c r="A508" s="60">
        <v>6915</v>
      </c>
      <c r="B508" s="61">
        <f>4*E502</f>
        <v>4</v>
      </c>
      <c r="C508" s="61" t="s">
        <v>462</v>
      </c>
      <c r="D508" s="105">
        <f>A502/4-6</f>
        <v>1354</v>
      </c>
      <c r="E508" s="61" t="s">
        <v>340</v>
      </c>
      <c r="F508" s="110" t="s">
        <v>479</v>
      </c>
      <c r="G508" s="63">
        <v>0.56899999999999995</v>
      </c>
      <c r="H508" s="63">
        <f t="shared" si="8"/>
        <v>3.0817039999999998</v>
      </c>
    </row>
    <row r="509" spans="1:8" x14ac:dyDescent="0.25">
      <c r="A509" s="60">
        <v>6915</v>
      </c>
      <c r="B509" s="61">
        <f>4*E502</f>
        <v>4</v>
      </c>
      <c r="C509" s="61" t="s">
        <v>429</v>
      </c>
      <c r="D509" s="61">
        <f>A502/4-13</f>
        <v>1347</v>
      </c>
      <c r="E509" s="61" t="s">
        <v>340</v>
      </c>
      <c r="F509" s="110" t="s">
        <v>479</v>
      </c>
      <c r="G509" s="63">
        <v>0.56899999999999995</v>
      </c>
      <c r="H509" s="63">
        <f t="shared" si="8"/>
        <v>3.0657719999999995</v>
      </c>
    </row>
    <row r="510" spans="1:8" x14ac:dyDescent="0.25">
      <c r="A510" s="60">
        <v>6913</v>
      </c>
      <c r="B510" s="61">
        <f>4*E502</f>
        <v>4</v>
      </c>
      <c r="C510" s="61" t="s">
        <v>470</v>
      </c>
      <c r="D510" s="61">
        <f>C502-38</f>
        <v>1562</v>
      </c>
      <c r="E510" s="61" t="s">
        <v>340</v>
      </c>
      <c r="F510" s="110" t="s">
        <v>480</v>
      </c>
      <c r="G510" s="63">
        <v>0.65500000000000003</v>
      </c>
      <c r="H510" s="63">
        <f t="shared" si="8"/>
        <v>4.0924400000000007</v>
      </c>
    </row>
    <row r="511" spans="1:8" x14ac:dyDescent="0.25">
      <c r="A511" s="60">
        <v>6914</v>
      </c>
      <c r="B511" s="61">
        <f>4*E502</f>
        <v>4</v>
      </c>
      <c r="C511" s="61" t="s">
        <v>470</v>
      </c>
      <c r="D511" s="61">
        <f>C502-38</f>
        <v>1562</v>
      </c>
      <c r="E511" s="61" t="s">
        <v>340</v>
      </c>
      <c r="F511" s="110" t="s">
        <v>87</v>
      </c>
      <c r="G511" s="63">
        <v>0.57299999999999995</v>
      </c>
      <c r="H511" s="63">
        <f t="shared" si="8"/>
        <v>3.580104</v>
      </c>
    </row>
    <row r="512" spans="1:8" x14ac:dyDescent="0.25">
      <c r="A512" s="60">
        <v>6919</v>
      </c>
      <c r="B512" s="61">
        <f>1*E502</f>
        <v>1</v>
      </c>
      <c r="C512" s="61" t="s">
        <v>470</v>
      </c>
      <c r="D512" s="61">
        <f>C502-38</f>
        <v>1562</v>
      </c>
      <c r="E512" s="61" t="s">
        <v>340</v>
      </c>
      <c r="F512" s="110" t="s">
        <v>431</v>
      </c>
      <c r="G512" s="63">
        <v>0.27600000000000002</v>
      </c>
      <c r="H512" s="63">
        <f t="shared" si="8"/>
        <v>0.43111200000000005</v>
      </c>
    </row>
    <row r="513" spans="1:8" x14ac:dyDescent="0.25">
      <c r="A513" s="64"/>
      <c r="B513" s="65"/>
      <c r="C513" s="65"/>
      <c r="D513" s="65"/>
      <c r="E513" s="65"/>
      <c r="F513" s="65"/>
      <c r="G513" s="63" t="s">
        <v>392</v>
      </c>
      <c r="H513" s="63">
        <f>SUM(H505:H512)</f>
        <v>23.439325999999998</v>
      </c>
    </row>
    <row r="514" spans="1:8" x14ac:dyDescent="0.25">
      <c r="A514" s="64"/>
      <c r="B514" s="65"/>
      <c r="C514" s="65"/>
      <c r="D514" s="65"/>
      <c r="E514" s="65"/>
      <c r="F514" s="65"/>
      <c r="G514" s="66"/>
      <c r="H514" s="67"/>
    </row>
    <row r="515" spans="1:8" x14ac:dyDescent="0.25">
      <c r="A515" s="64"/>
      <c r="B515" s="65"/>
      <c r="C515" s="65"/>
      <c r="D515" s="65"/>
      <c r="E515" s="65"/>
      <c r="F515" s="65"/>
      <c r="G515" s="68"/>
      <c r="H515" s="67"/>
    </row>
    <row r="516" spans="1:8" x14ac:dyDescent="0.25">
      <c r="A516" s="69" t="s">
        <v>393</v>
      </c>
      <c r="B516" s="70"/>
      <c r="C516" s="70"/>
      <c r="D516" s="71"/>
      <c r="E516" s="59" t="s">
        <v>36</v>
      </c>
      <c r="F516" s="59" t="s">
        <v>266</v>
      </c>
      <c r="G516" s="52"/>
      <c r="H516" s="72"/>
    </row>
    <row r="517" spans="1:8" x14ac:dyDescent="0.25">
      <c r="A517" s="73" t="s">
        <v>486</v>
      </c>
      <c r="B517" s="74"/>
      <c r="C517" s="70"/>
      <c r="D517" s="71"/>
      <c r="E517" s="114">
        <f>F517*E502</f>
        <v>2</v>
      </c>
      <c r="F517" s="61">
        <v>2</v>
      </c>
      <c r="G517" s="76"/>
      <c r="H517" s="77"/>
    </row>
    <row r="518" spans="1:8" x14ac:dyDescent="0.25">
      <c r="A518" s="73" t="s">
        <v>395</v>
      </c>
      <c r="B518" s="74"/>
      <c r="C518" s="70"/>
      <c r="D518" s="71"/>
      <c r="E518" s="115">
        <f>F518*E502</f>
        <v>1</v>
      </c>
      <c r="F518" s="61">
        <v>1</v>
      </c>
      <c r="G518" s="76"/>
      <c r="H518" s="77"/>
    </row>
    <row r="519" spans="1:8" x14ac:dyDescent="0.25">
      <c r="A519" s="73" t="s">
        <v>396</v>
      </c>
      <c r="B519" s="74"/>
      <c r="C519" s="70"/>
      <c r="D519" s="71"/>
      <c r="E519" s="115">
        <f>F519*E502</f>
        <v>1</v>
      </c>
      <c r="F519" s="61">
        <v>1</v>
      </c>
      <c r="G519" s="65"/>
      <c r="H519" s="77"/>
    </row>
    <row r="520" spans="1:8" x14ac:dyDescent="0.25">
      <c r="A520" s="73" t="s">
        <v>399</v>
      </c>
      <c r="B520" s="74"/>
      <c r="C520" s="70"/>
      <c r="D520" s="71"/>
      <c r="E520" s="115">
        <f>4*(A502/1000)+10*(C502/1000)*E502</f>
        <v>37.760000000000005</v>
      </c>
      <c r="F520" s="61" t="s">
        <v>487</v>
      </c>
      <c r="G520" s="64"/>
      <c r="H520" s="77"/>
    </row>
    <row r="521" spans="1:8" x14ac:dyDescent="0.25">
      <c r="A521" s="73" t="s">
        <v>401</v>
      </c>
      <c r="B521" s="74"/>
      <c r="C521" s="70"/>
      <c r="D521" s="71"/>
      <c r="E521" s="115">
        <f>2*(A502/1000)+8*(C502/1000)*E502</f>
        <v>23.68</v>
      </c>
      <c r="F521" s="61" t="s">
        <v>432</v>
      </c>
      <c r="G521" s="64"/>
      <c r="H521" s="77"/>
    </row>
    <row r="522" spans="1:8" x14ac:dyDescent="0.25">
      <c r="A522" s="73" t="s">
        <v>473</v>
      </c>
      <c r="B522" s="74"/>
      <c r="C522" s="70"/>
      <c r="D522" s="71"/>
      <c r="E522" s="115">
        <f>F522*E502</f>
        <v>8</v>
      </c>
      <c r="F522" s="61">
        <v>8</v>
      </c>
      <c r="G522" s="93"/>
      <c r="H522" s="77"/>
    </row>
    <row r="523" spans="1:8" x14ac:dyDescent="0.25">
      <c r="A523" s="73" t="s">
        <v>404</v>
      </c>
      <c r="B523" s="74"/>
      <c r="C523" s="70"/>
      <c r="D523" s="71"/>
      <c r="E523" s="115">
        <f>F523*E502</f>
        <v>8</v>
      </c>
      <c r="F523" s="61">
        <v>8</v>
      </c>
      <c r="G523" s="76"/>
      <c r="H523" s="77"/>
    </row>
    <row r="524" spans="1:8" x14ac:dyDescent="0.25">
      <c r="A524" s="73" t="s">
        <v>405</v>
      </c>
      <c r="B524" s="74"/>
      <c r="C524" s="70"/>
      <c r="D524" s="71"/>
      <c r="E524" s="115">
        <f>F524*E502</f>
        <v>16</v>
      </c>
      <c r="F524" s="61">
        <v>16</v>
      </c>
      <c r="G524" s="76"/>
      <c r="H524" s="77"/>
    </row>
    <row r="525" spans="1:8" x14ac:dyDescent="0.25">
      <c r="A525" s="73" t="s">
        <v>406</v>
      </c>
      <c r="B525" s="74"/>
      <c r="C525" s="70"/>
      <c r="D525" s="71"/>
      <c r="E525" s="115">
        <f>F525*E502</f>
        <v>3</v>
      </c>
      <c r="F525" s="61">
        <v>3</v>
      </c>
      <c r="G525" s="53"/>
      <c r="H525" s="80"/>
    </row>
    <row r="526" spans="1:8" x14ac:dyDescent="0.25">
      <c r="A526" s="73" t="s">
        <v>407</v>
      </c>
      <c r="B526" s="74"/>
      <c r="C526" s="70"/>
      <c r="D526" s="71"/>
      <c r="E526" s="115">
        <f>F526*E502</f>
        <v>3</v>
      </c>
      <c r="F526" s="61">
        <v>3</v>
      </c>
      <c r="G526" s="53"/>
      <c r="H526" s="80"/>
    </row>
    <row r="527" spans="1:8" x14ac:dyDescent="0.25">
      <c r="A527" s="73" t="s">
        <v>408</v>
      </c>
      <c r="B527" s="74"/>
      <c r="C527" s="70"/>
      <c r="D527" s="71"/>
      <c r="E527" s="115">
        <f>F527*E502</f>
        <v>3</v>
      </c>
      <c r="F527" s="61">
        <v>3</v>
      </c>
      <c r="G527" s="53"/>
      <c r="H527" s="80"/>
    </row>
    <row r="528" spans="1:8" x14ac:dyDescent="0.25">
      <c r="A528" s="73" t="s">
        <v>410</v>
      </c>
      <c r="B528" s="74"/>
      <c r="C528" s="70"/>
      <c r="D528" s="71"/>
      <c r="E528" s="115">
        <f>F528*E502</f>
        <v>2</v>
      </c>
      <c r="F528" s="61">
        <v>2</v>
      </c>
      <c r="G528" s="53"/>
      <c r="H528" s="80"/>
    </row>
    <row r="529" spans="1:8" x14ac:dyDescent="0.25">
      <c r="A529" s="73" t="s">
        <v>411</v>
      </c>
      <c r="B529" s="74"/>
      <c r="C529" s="70"/>
      <c r="D529" s="71"/>
      <c r="E529" s="115">
        <f>F529*E502</f>
        <v>2</v>
      </c>
      <c r="F529" s="61">
        <v>2</v>
      </c>
      <c r="G529" s="53"/>
      <c r="H529" s="80"/>
    </row>
    <row r="530" spans="1:8" x14ac:dyDescent="0.25">
      <c r="A530" s="73" t="s">
        <v>433</v>
      </c>
      <c r="B530" s="74"/>
      <c r="C530" s="70"/>
      <c r="D530" s="71"/>
      <c r="E530" s="115">
        <f>F530*E502</f>
        <v>6</v>
      </c>
      <c r="F530" s="61">
        <v>6</v>
      </c>
      <c r="G530" s="53"/>
      <c r="H530" s="80"/>
    </row>
    <row r="531" spans="1:8" x14ac:dyDescent="0.25">
      <c r="A531" s="73" t="s">
        <v>412</v>
      </c>
      <c r="B531" s="74"/>
      <c r="C531" s="70"/>
      <c r="D531" s="71"/>
      <c r="E531" s="115">
        <f>F531*E502</f>
        <v>24</v>
      </c>
      <c r="F531" s="61">
        <v>24</v>
      </c>
      <c r="G531" s="53"/>
      <c r="H531" s="80"/>
    </row>
    <row r="532" spans="1:8" x14ac:dyDescent="0.25">
      <c r="A532" s="52"/>
      <c r="B532" s="53"/>
      <c r="C532" s="53"/>
      <c r="D532" s="53"/>
      <c r="E532" s="53"/>
      <c r="F532" s="65"/>
      <c r="G532" s="53"/>
      <c r="H532" s="83"/>
    </row>
    <row r="533" spans="1:8" x14ac:dyDescent="0.25">
      <c r="A533" s="52"/>
      <c r="B533" s="53"/>
      <c r="C533" s="53"/>
      <c r="D533" s="53"/>
      <c r="E533" s="53"/>
      <c r="F533" s="65"/>
      <c r="G533" s="53"/>
      <c r="H533" s="83"/>
    </row>
    <row r="534" spans="1:8" x14ac:dyDescent="0.25">
      <c r="A534" s="59" t="s">
        <v>413</v>
      </c>
      <c r="B534" s="84" t="s">
        <v>266</v>
      </c>
      <c r="C534" s="84" t="s">
        <v>383</v>
      </c>
      <c r="D534" s="405" t="s">
        <v>414</v>
      </c>
      <c r="E534" s="406"/>
      <c r="F534" s="85" t="s">
        <v>415</v>
      </c>
      <c r="G534" s="59" t="s">
        <v>416</v>
      </c>
      <c r="H534" s="86"/>
    </row>
    <row r="535" spans="1:8" x14ac:dyDescent="0.25">
      <c r="A535" s="61"/>
      <c r="B535" s="89">
        <f>2*E502</f>
        <v>2</v>
      </c>
      <c r="C535" s="123" t="s">
        <v>488</v>
      </c>
      <c r="D535" s="407">
        <f>A502/4-60</f>
        <v>1300</v>
      </c>
      <c r="E535" s="408"/>
      <c r="F535" s="90">
        <f>C502-124</f>
        <v>1476</v>
      </c>
      <c r="G535" s="91">
        <f>+(D535/1000)*(F535/1000)*B535</f>
        <v>3.8376000000000001</v>
      </c>
      <c r="H535" s="83"/>
    </row>
    <row r="536" spans="1:8" x14ac:dyDescent="0.25">
      <c r="A536" s="87"/>
      <c r="B536" s="61">
        <f>2*E502</f>
        <v>2</v>
      </c>
      <c r="C536" s="124" t="s">
        <v>489</v>
      </c>
      <c r="D536" s="407">
        <f>A502/4-66</f>
        <v>1294</v>
      </c>
      <c r="E536" s="408"/>
      <c r="F536" s="61">
        <f>C502-124</f>
        <v>1476</v>
      </c>
      <c r="G536" s="91">
        <f>+(D536/1000)*(F536/1000)*B536</f>
        <v>3.8198880000000002</v>
      </c>
      <c r="H536" s="92"/>
    </row>
    <row r="537" spans="1:8" x14ac:dyDescent="0.25">
      <c r="A537" s="52"/>
      <c r="B537" s="93"/>
      <c r="C537" s="53"/>
      <c r="D537" s="53"/>
      <c r="E537" s="53"/>
      <c r="F537" s="94" t="s">
        <v>418</v>
      </c>
      <c r="G537" s="95">
        <f>SUM(G535:G536)</f>
        <v>7.6574880000000007</v>
      </c>
      <c r="H537" s="51"/>
    </row>
    <row r="538" spans="1:8" x14ac:dyDescent="0.25">
      <c r="A538" s="52"/>
      <c r="B538" s="93"/>
      <c r="C538" s="53"/>
      <c r="D538" s="53"/>
      <c r="E538" s="53"/>
      <c r="F538" s="94"/>
      <c r="G538" s="96"/>
      <c r="H538" s="51"/>
    </row>
    <row r="539" spans="1:8" x14ac:dyDescent="0.25">
      <c r="A539" s="52"/>
      <c r="B539" s="93"/>
      <c r="C539" s="53"/>
      <c r="D539" s="53"/>
      <c r="E539" s="53"/>
      <c r="F539" s="94"/>
      <c r="G539" s="96"/>
      <c r="H539" s="51"/>
    </row>
    <row r="540" spans="1:8" x14ac:dyDescent="0.25">
      <c r="A540" s="52"/>
      <c r="B540" s="93"/>
      <c r="C540" s="53"/>
      <c r="D540" s="53"/>
      <c r="E540" s="53"/>
      <c r="F540" s="94"/>
      <c r="G540" s="96"/>
      <c r="H540" s="51"/>
    </row>
    <row r="541" spans="1:8" x14ac:dyDescent="0.25">
      <c r="A541" s="52"/>
      <c r="B541" s="93"/>
      <c r="C541" s="53"/>
      <c r="D541" s="53"/>
      <c r="E541" s="53"/>
      <c r="F541" s="94"/>
      <c r="G541" s="96"/>
      <c r="H541" s="51"/>
    </row>
    <row r="542" spans="1:8" x14ac:dyDescent="0.25">
      <c r="A542" s="52"/>
      <c r="B542" s="93"/>
      <c r="C542" s="53"/>
      <c r="D542" s="53"/>
      <c r="E542" s="53"/>
      <c r="F542" s="94"/>
      <c r="G542" s="96"/>
      <c r="H542" s="51"/>
    </row>
    <row r="543" spans="1:8" x14ac:dyDescent="0.25">
      <c r="A543" s="52"/>
      <c r="B543" s="93"/>
      <c r="C543" s="53"/>
      <c r="D543" s="53"/>
      <c r="E543" s="53"/>
      <c r="F543" s="94"/>
      <c r="G543" s="96"/>
      <c r="H543" s="51"/>
    </row>
    <row r="544" spans="1:8" x14ac:dyDescent="0.25">
      <c r="A544" s="52"/>
      <c r="B544" s="93"/>
      <c r="C544" s="53"/>
      <c r="D544" s="53"/>
      <c r="E544" s="53"/>
      <c r="F544" s="94"/>
      <c r="G544" s="96"/>
      <c r="H544" s="51"/>
    </row>
    <row r="545" spans="1:8" x14ac:dyDescent="0.25">
      <c r="A545" s="52"/>
      <c r="B545" s="93"/>
      <c r="C545" s="53"/>
      <c r="D545" s="53"/>
      <c r="E545" s="53"/>
      <c r="F545" s="94"/>
      <c r="G545" s="96"/>
      <c r="H545" s="51"/>
    </row>
    <row r="546" spans="1:8" x14ac:dyDescent="0.25">
      <c r="A546" s="52"/>
      <c r="B546" s="93"/>
      <c r="C546" s="53"/>
      <c r="D546" s="53"/>
      <c r="E546" s="53"/>
      <c r="F546" s="94"/>
      <c r="G546" s="96"/>
      <c r="H546" s="51"/>
    </row>
    <row r="547" spans="1:8" x14ac:dyDescent="0.25">
      <c r="A547" s="52"/>
      <c r="B547" s="93"/>
      <c r="C547" s="53"/>
      <c r="D547" s="53"/>
      <c r="E547" s="53"/>
      <c r="F547" s="94"/>
      <c r="G547" s="96"/>
      <c r="H547" s="51"/>
    </row>
    <row r="548" spans="1:8" x14ac:dyDescent="0.25">
      <c r="A548" s="52"/>
      <c r="B548" s="93"/>
      <c r="C548" s="53"/>
      <c r="D548" s="53"/>
      <c r="E548" s="53"/>
      <c r="F548" s="94"/>
      <c r="G548" s="96"/>
      <c r="H548" s="51"/>
    </row>
    <row r="549" spans="1:8" x14ac:dyDescent="0.25">
      <c r="A549" s="52"/>
      <c r="B549" s="93"/>
      <c r="C549" s="53"/>
      <c r="D549" s="53"/>
      <c r="E549" s="53"/>
      <c r="F549" s="94"/>
      <c r="G549" s="96"/>
      <c r="H549" s="51"/>
    </row>
    <row r="550" spans="1:8" x14ac:dyDescent="0.25">
      <c r="A550" s="52"/>
      <c r="B550" s="93"/>
      <c r="C550" s="53"/>
      <c r="D550" s="53"/>
      <c r="E550" s="53"/>
      <c r="F550" s="94"/>
      <c r="G550" s="96"/>
      <c r="H550" s="51"/>
    </row>
    <row r="551" spans="1:8" x14ac:dyDescent="0.25">
      <c r="A551" s="52"/>
      <c r="B551" s="93"/>
      <c r="C551" s="53"/>
      <c r="D551" s="53"/>
      <c r="E551" s="53"/>
      <c r="F551" s="94"/>
      <c r="G551" s="96"/>
      <c r="H551" s="51"/>
    </row>
    <row r="552" spans="1:8" x14ac:dyDescent="0.25">
      <c r="A552" s="52"/>
      <c r="B552" s="93"/>
      <c r="C552" s="53"/>
      <c r="D552" s="53"/>
      <c r="E552" s="53"/>
      <c r="F552" s="94"/>
      <c r="G552" s="96"/>
      <c r="H552" s="51"/>
    </row>
    <row r="553" spans="1:8" x14ac:dyDescent="0.25">
      <c r="A553" s="52"/>
      <c r="B553" s="93"/>
      <c r="C553" s="53"/>
      <c r="D553" s="53"/>
      <c r="E553" s="53"/>
      <c r="F553" s="94"/>
      <c r="G553" s="96"/>
      <c r="H553" s="51"/>
    </row>
    <row r="554" spans="1:8" x14ac:dyDescent="0.25">
      <c r="A554" s="52"/>
      <c r="B554" s="93"/>
      <c r="C554" s="53"/>
      <c r="D554" s="53"/>
      <c r="E554" s="53"/>
      <c r="F554" s="94"/>
      <c r="G554" s="96"/>
      <c r="H554" s="51"/>
    </row>
    <row r="555" spans="1:8" x14ac:dyDescent="0.25">
      <c r="A555" s="52"/>
      <c r="B555" s="93"/>
      <c r="C555" s="53"/>
      <c r="D555" s="53"/>
      <c r="E555" s="53"/>
      <c r="F555" s="94"/>
      <c r="G555" s="96"/>
      <c r="H555" s="51"/>
    </row>
    <row r="556" spans="1:8" x14ac:dyDescent="0.25">
      <c r="A556" s="52"/>
      <c r="B556" s="93"/>
      <c r="C556" s="53"/>
      <c r="D556" s="53"/>
      <c r="E556" s="53"/>
      <c r="F556" s="94"/>
      <c r="G556" s="96"/>
      <c r="H556" s="51"/>
    </row>
    <row r="557" spans="1:8" x14ac:dyDescent="0.25">
      <c r="A557" s="52"/>
      <c r="B557" s="93"/>
      <c r="C557" s="93"/>
      <c r="D557" s="93"/>
      <c r="E557" s="93"/>
      <c r="F557" s="65"/>
      <c r="G557" s="53"/>
      <c r="H557" s="51"/>
    </row>
    <row r="558" spans="1:8" x14ac:dyDescent="0.25">
      <c r="A558" s="45"/>
      <c r="B558" s="97"/>
      <c r="C558" s="97"/>
      <c r="D558" s="97"/>
      <c r="E558" s="97"/>
      <c r="F558" s="102"/>
      <c r="G558" s="97"/>
      <c r="H558" s="45"/>
    </row>
    <row r="559" spans="1:8" x14ac:dyDescent="0.25">
      <c r="A559" s="100"/>
      <c r="B559" s="100"/>
      <c r="C559" s="100"/>
      <c r="D559" s="100"/>
      <c r="E559" s="100"/>
      <c r="F559" s="101"/>
      <c r="G559" s="109"/>
      <c r="H559" s="100"/>
    </row>
    <row r="560" spans="1:8" x14ac:dyDescent="0.25">
      <c r="A560" s="44"/>
      <c r="B560" s="45"/>
      <c r="C560" s="45"/>
      <c r="D560" s="45"/>
      <c r="E560" s="45"/>
      <c r="F560" s="102"/>
      <c r="G560" s="45"/>
      <c r="H560" s="46"/>
    </row>
    <row r="561" spans="1:8" x14ac:dyDescent="0.25">
      <c r="A561" s="52"/>
      <c r="B561" s="53"/>
      <c r="C561" s="53"/>
      <c r="D561" s="53"/>
      <c r="E561" s="53"/>
      <c r="F561" s="65"/>
      <c r="G561" s="53"/>
      <c r="H561" s="51"/>
    </row>
    <row r="562" spans="1:8" x14ac:dyDescent="0.25">
      <c r="A562" s="47" t="s">
        <v>490</v>
      </c>
      <c r="B562" s="49"/>
      <c r="C562" s="49"/>
      <c r="D562" s="122"/>
      <c r="E562" s="49"/>
      <c r="F562" s="50"/>
      <c r="G562" s="54" t="s">
        <v>491</v>
      </c>
      <c r="H562" s="103"/>
    </row>
    <row r="563" spans="1:8" ht="16.5" thickBot="1" x14ac:dyDescent="0.3">
      <c r="A563" s="52"/>
      <c r="B563" s="53"/>
      <c r="C563" s="53"/>
      <c r="D563" s="53"/>
      <c r="E563" s="53"/>
      <c r="F563" s="65"/>
      <c r="G563" s="53"/>
      <c r="H563" s="51"/>
    </row>
    <row r="564" spans="1:8" ht="16.5" thickBot="1" x14ac:dyDescent="0.3">
      <c r="A564" s="400" t="s">
        <v>381</v>
      </c>
      <c r="B564" s="401"/>
      <c r="C564" s="402" t="s">
        <v>382</v>
      </c>
      <c r="D564" s="401"/>
      <c r="E564" s="55" t="s">
        <v>266</v>
      </c>
      <c r="F564" s="65"/>
      <c r="G564" s="53"/>
      <c r="H564" s="51"/>
    </row>
    <row r="565" spans="1:8" ht="16.5" thickBot="1" x14ac:dyDescent="0.3">
      <c r="A565" s="403">
        <v>1650</v>
      </c>
      <c r="B565" s="404"/>
      <c r="C565" s="403">
        <v>2200</v>
      </c>
      <c r="D565" s="404"/>
      <c r="E565" s="56">
        <v>1</v>
      </c>
      <c r="F565" s="65"/>
      <c r="G565" s="53"/>
      <c r="H565" s="51"/>
    </row>
    <row r="566" spans="1:8" x14ac:dyDescent="0.25">
      <c r="A566" s="52"/>
      <c r="B566" s="58"/>
      <c r="C566" s="58"/>
      <c r="D566" s="58"/>
      <c r="E566" s="58"/>
      <c r="F566" s="58"/>
      <c r="G566" s="53"/>
      <c r="H566" s="83"/>
    </row>
    <row r="567" spans="1:8" x14ac:dyDescent="0.25">
      <c r="A567" s="59" t="s">
        <v>323</v>
      </c>
      <c r="B567" s="59" t="s">
        <v>266</v>
      </c>
      <c r="C567" s="59" t="s">
        <v>383</v>
      </c>
      <c r="D567" s="59" t="s">
        <v>384</v>
      </c>
      <c r="E567" s="59" t="s">
        <v>332</v>
      </c>
      <c r="F567" s="59" t="s">
        <v>385</v>
      </c>
      <c r="G567" s="59" t="s">
        <v>386</v>
      </c>
      <c r="H567" s="59" t="s">
        <v>387</v>
      </c>
    </row>
    <row r="568" spans="1:8" x14ac:dyDescent="0.25">
      <c r="A568" s="60">
        <v>6901</v>
      </c>
      <c r="B568" s="61">
        <f>1*E565</f>
        <v>1</v>
      </c>
      <c r="C568" s="61" t="s">
        <v>367</v>
      </c>
      <c r="D568" s="61">
        <f>A565-14</f>
        <v>1636</v>
      </c>
      <c r="E568" s="61" t="s">
        <v>340</v>
      </c>
      <c r="F568" s="104" t="s">
        <v>388</v>
      </c>
      <c r="G568" s="63">
        <v>0.69199999999999995</v>
      </c>
      <c r="H568" s="63">
        <f t="shared" ref="H568:H574" si="9">(D568/1000)*B568*G568</f>
        <v>1.1321119999999998</v>
      </c>
    </row>
    <row r="569" spans="1:8" x14ac:dyDescent="0.25">
      <c r="A569" s="60">
        <v>6902</v>
      </c>
      <c r="B569" s="61">
        <f>1*E565</f>
        <v>1</v>
      </c>
      <c r="C569" s="61" t="s">
        <v>367</v>
      </c>
      <c r="D569" s="61">
        <f>A565-14</f>
        <v>1636</v>
      </c>
      <c r="E569" s="61" t="s">
        <v>340</v>
      </c>
      <c r="F569" s="104" t="s">
        <v>82</v>
      </c>
      <c r="G569" s="63">
        <v>0.67700000000000005</v>
      </c>
      <c r="H569" s="63">
        <f t="shared" si="9"/>
        <v>1.107572</v>
      </c>
    </row>
    <row r="570" spans="1:8" x14ac:dyDescent="0.25">
      <c r="A570" s="60">
        <v>6903</v>
      </c>
      <c r="B570" s="61">
        <f>2*E565</f>
        <v>2</v>
      </c>
      <c r="C570" s="61" t="s">
        <v>337</v>
      </c>
      <c r="D570" s="61">
        <f>C565</f>
        <v>2200</v>
      </c>
      <c r="E570" s="61" t="s">
        <v>340</v>
      </c>
      <c r="F570" s="104" t="s">
        <v>83</v>
      </c>
      <c r="G570" s="63">
        <v>0.55000000000000004</v>
      </c>
      <c r="H570" s="63">
        <f t="shared" si="9"/>
        <v>2.4200000000000004</v>
      </c>
    </row>
    <row r="571" spans="1:8" x14ac:dyDescent="0.25">
      <c r="A571" s="60">
        <v>6909</v>
      </c>
      <c r="B571" s="61">
        <f>2*E565</f>
        <v>2</v>
      </c>
      <c r="C571" s="61" t="s">
        <v>389</v>
      </c>
      <c r="D571" s="105">
        <f>A565/2-13</f>
        <v>812</v>
      </c>
      <c r="E571" s="61" t="s">
        <v>340</v>
      </c>
      <c r="F571" s="110" t="s">
        <v>492</v>
      </c>
      <c r="G571" s="63">
        <v>0.52</v>
      </c>
      <c r="H571" s="63">
        <f t="shared" si="9"/>
        <v>0.84448000000000012</v>
      </c>
    </row>
    <row r="572" spans="1:8" x14ac:dyDescent="0.25">
      <c r="A572" s="60">
        <v>6910</v>
      </c>
      <c r="B572" s="61">
        <f>2*E565</f>
        <v>2</v>
      </c>
      <c r="C572" s="61" t="s">
        <v>389</v>
      </c>
      <c r="D572" s="61">
        <f>A565/2-13</f>
        <v>812</v>
      </c>
      <c r="E572" s="61" t="s">
        <v>340</v>
      </c>
      <c r="F572" s="110" t="s">
        <v>493</v>
      </c>
      <c r="G572" s="63">
        <v>0.56899999999999995</v>
      </c>
      <c r="H572" s="63">
        <f t="shared" si="9"/>
        <v>0.92405599999999999</v>
      </c>
    </row>
    <row r="573" spans="1:8" x14ac:dyDescent="0.25">
      <c r="A573" s="60">
        <v>6911</v>
      </c>
      <c r="B573" s="61">
        <f>2*E565</f>
        <v>2</v>
      </c>
      <c r="C573" s="61" t="s">
        <v>470</v>
      </c>
      <c r="D573" s="61">
        <f>C565-38</f>
        <v>2162</v>
      </c>
      <c r="E573" s="61" t="s">
        <v>340</v>
      </c>
      <c r="F573" s="110" t="s">
        <v>494</v>
      </c>
      <c r="G573" s="63">
        <v>0.86399999999999999</v>
      </c>
      <c r="H573" s="63">
        <f t="shared" si="9"/>
        <v>3.7359359999999997</v>
      </c>
    </row>
    <row r="574" spans="1:8" x14ac:dyDescent="0.25">
      <c r="A574" s="60">
        <v>6912</v>
      </c>
      <c r="B574" s="61">
        <f>2*E565</f>
        <v>2</v>
      </c>
      <c r="C574" s="61" t="s">
        <v>470</v>
      </c>
      <c r="D574" s="61">
        <f>C565-38</f>
        <v>2162</v>
      </c>
      <c r="E574" s="61" t="s">
        <v>340</v>
      </c>
      <c r="F574" s="110" t="s">
        <v>495</v>
      </c>
      <c r="G574" s="63">
        <v>0.78900000000000003</v>
      </c>
      <c r="H574" s="63">
        <f t="shared" si="9"/>
        <v>3.4116360000000001</v>
      </c>
    </row>
    <row r="575" spans="1:8" x14ac:dyDescent="0.25">
      <c r="A575" s="64"/>
      <c r="B575" s="65"/>
      <c r="C575" s="65"/>
      <c r="D575" s="65"/>
      <c r="E575" s="65"/>
      <c r="F575" s="65"/>
      <c r="G575" s="63" t="s">
        <v>392</v>
      </c>
      <c r="H575" s="63">
        <f>SUM(H568:H574)</f>
        <v>13.575792</v>
      </c>
    </row>
    <row r="576" spans="1:8" x14ac:dyDescent="0.25">
      <c r="A576" s="64"/>
      <c r="B576" s="65"/>
      <c r="C576" s="65"/>
      <c r="D576" s="65"/>
      <c r="E576" s="65"/>
      <c r="F576" s="65"/>
      <c r="G576" s="66"/>
      <c r="H576" s="67"/>
    </row>
    <row r="577" spans="1:8" x14ac:dyDescent="0.25">
      <c r="A577" s="64"/>
      <c r="B577" s="65"/>
      <c r="C577" s="65"/>
      <c r="D577" s="65"/>
      <c r="E577" s="65"/>
      <c r="F577" s="65"/>
      <c r="G577" s="68"/>
      <c r="H577" s="67"/>
    </row>
    <row r="578" spans="1:8" x14ac:dyDescent="0.25">
      <c r="A578" s="69" t="s">
        <v>393</v>
      </c>
      <c r="B578" s="70"/>
      <c r="C578" s="70"/>
      <c r="D578" s="71"/>
      <c r="E578" s="59" t="s">
        <v>36</v>
      </c>
      <c r="F578" s="59" t="s">
        <v>266</v>
      </c>
      <c r="G578" s="52"/>
      <c r="H578" s="72"/>
    </row>
    <row r="579" spans="1:8" x14ac:dyDescent="0.25">
      <c r="A579" s="73" t="s">
        <v>496</v>
      </c>
      <c r="B579" s="74"/>
      <c r="C579" s="70"/>
      <c r="D579" s="71"/>
      <c r="E579" s="114">
        <f>F579*E565</f>
        <v>2</v>
      </c>
      <c r="F579" s="61">
        <v>2</v>
      </c>
      <c r="G579" s="76"/>
      <c r="H579" s="77"/>
    </row>
    <row r="580" spans="1:8" x14ac:dyDescent="0.25">
      <c r="A580" s="73" t="s">
        <v>395</v>
      </c>
      <c r="B580" s="74"/>
      <c r="C580" s="70"/>
      <c r="D580" s="71"/>
      <c r="E580" s="115">
        <f>F580*E565</f>
        <v>1</v>
      </c>
      <c r="F580" s="61">
        <v>1</v>
      </c>
      <c r="G580" s="76"/>
      <c r="H580" s="77"/>
    </row>
    <row r="581" spans="1:8" x14ac:dyDescent="0.25">
      <c r="A581" s="73" t="s">
        <v>396</v>
      </c>
      <c r="B581" s="74"/>
      <c r="C581" s="70"/>
      <c r="D581" s="71"/>
      <c r="E581" s="115">
        <f>F581*E565</f>
        <v>1</v>
      </c>
      <c r="F581" s="61">
        <v>1</v>
      </c>
      <c r="G581" s="65"/>
      <c r="H581" s="77"/>
    </row>
    <row r="582" spans="1:8" x14ac:dyDescent="0.25">
      <c r="A582" s="73" t="s">
        <v>497</v>
      </c>
      <c r="B582" s="74"/>
      <c r="C582" s="70"/>
      <c r="D582" s="71"/>
      <c r="E582" s="115">
        <f>F582*E565</f>
        <v>1</v>
      </c>
      <c r="F582" s="61">
        <v>1</v>
      </c>
      <c r="G582" s="65"/>
      <c r="H582" s="77"/>
    </row>
    <row r="583" spans="1:8" x14ac:dyDescent="0.25">
      <c r="A583" s="73" t="s">
        <v>498</v>
      </c>
      <c r="B583" s="74"/>
      <c r="C583" s="70"/>
      <c r="D583" s="71"/>
      <c r="E583" s="115">
        <f>F583*E565</f>
        <v>1</v>
      </c>
      <c r="F583" s="61">
        <v>1</v>
      </c>
      <c r="G583" s="65"/>
      <c r="H583" s="77"/>
    </row>
    <row r="584" spans="1:8" x14ac:dyDescent="0.25">
      <c r="A584" s="73" t="s">
        <v>399</v>
      </c>
      <c r="B584" s="74"/>
      <c r="C584" s="70"/>
      <c r="D584" s="71"/>
      <c r="E584" s="115">
        <f>4*(A565/1000)+6*(C565/1000)*E565</f>
        <v>19.8</v>
      </c>
      <c r="F584" s="61" t="s">
        <v>499</v>
      </c>
      <c r="G584" s="64"/>
      <c r="H584" s="77"/>
    </row>
    <row r="585" spans="1:8" x14ac:dyDescent="0.25">
      <c r="A585" s="73" t="s">
        <v>401</v>
      </c>
      <c r="B585" s="74"/>
      <c r="C585" s="70"/>
      <c r="D585" s="71"/>
      <c r="E585" s="115">
        <f>2*(A565/1000)+4*(C565/1000)*E565</f>
        <v>12.100000000000001</v>
      </c>
      <c r="F585" s="61" t="s">
        <v>402</v>
      </c>
      <c r="G585" s="64"/>
      <c r="H585" s="77"/>
    </row>
    <row r="586" spans="1:8" x14ac:dyDescent="0.25">
      <c r="A586" s="73" t="s">
        <v>473</v>
      </c>
      <c r="B586" s="74"/>
      <c r="C586" s="70"/>
      <c r="D586" s="71"/>
      <c r="E586" s="115">
        <f>F586*E565</f>
        <v>4</v>
      </c>
      <c r="F586" s="61">
        <v>4</v>
      </c>
      <c r="G586" s="76"/>
      <c r="H586" s="77"/>
    </row>
    <row r="587" spans="1:8" x14ac:dyDescent="0.25">
      <c r="A587" s="73" t="s">
        <v>404</v>
      </c>
      <c r="B587" s="74"/>
      <c r="C587" s="70"/>
      <c r="D587" s="71"/>
      <c r="E587" s="115">
        <f>F587*E565</f>
        <v>4</v>
      </c>
      <c r="F587" s="61">
        <v>4</v>
      </c>
      <c r="G587" s="53"/>
      <c r="H587" s="80"/>
    </row>
    <row r="588" spans="1:8" x14ac:dyDescent="0.25">
      <c r="A588" s="73" t="s">
        <v>405</v>
      </c>
      <c r="B588" s="74"/>
      <c r="C588" s="70"/>
      <c r="D588" s="71"/>
      <c r="E588" s="115">
        <f>F588*E565</f>
        <v>8</v>
      </c>
      <c r="F588" s="61">
        <v>8</v>
      </c>
      <c r="G588" s="53"/>
      <c r="H588" s="80"/>
    </row>
    <row r="589" spans="1:8" x14ac:dyDescent="0.25">
      <c r="A589" s="73" t="s">
        <v>406</v>
      </c>
      <c r="B589" s="74"/>
      <c r="C589" s="70"/>
      <c r="D589" s="71"/>
      <c r="E589" s="115">
        <f>F589*E565</f>
        <v>1</v>
      </c>
      <c r="F589" s="61">
        <v>1</v>
      </c>
      <c r="G589" s="53"/>
      <c r="H589" s="80"/>
    </row>
    <row r="590" spans="1:8" x14ac:dyDescent="0.25">
      <c r="A590" s="73" t="s">
        <v>407</v>
      </c>
      <c r="B590" s="74"/>
      <c r="C590" s="70"/>
      <c r="D590" s="71"/>
      <c r="E590" s="115">
        <f>F590*E565</f>
        <v>1</v>
      </c>
      <c r="F590" s="61">
        <v>1</v>
      </c>
      <c r="G590" s="53"/>
      <c r="H590" s="80"/>
    </row>
    <row r="591" spans="1:8" x14ac:dyDescent="0.25">
      <c r="A591" s="73" t="s">
        <v>408</v>
      </c>
      <c r="B591" s="74"/>
      <c r="C591" s="70"/>
      <c r="D591" s="71"/>
      <c r="E591" s="115">
        <f>F591*E565</f>
        <v>1</v>
      </c>
      <c r="F591" s="61">
        <v>1</v>
      </c>
      <c r="G591" s="53"/>
      <c r="H591" s="80"/>
    </row>
    <row r="592" spans="1:8" x14ac:dyDescent="0.25">
      <c r="A592" s="73" t="s">
        <v>500</v>
      </c>
      <c r="B592" s="74"/>
      <c r="C592" s="70"/>
      <c r="D592" s="71"/>
      <c r="E592" s="115">
        <f>F592*E565</f>
        <v>1</v>
      </c>
      <c r="F592" s="61">
        <v>1</v>
      </c>
      <c r="G592" s="53"/>
      <c r="H592" s="80"/>
    </row>
    <row r="593" spans="1:8" x14ac:dyDescent="0.25">
      <c r="A593" s="73" t="s">
        <v>501</v>
      </c>
      <c r="B593" s="74"/>
      <c r="C593" s="70"/>
      <c r="D593" s="71"/>
      <c r="E593" s="115">
        <f>F593*E565</f>
        <v>1</v>
      </c>
      <c r="F593" s="61">
        <v>1</v>
      </c>
      <c r="G593" s="53"/>
      <c r="H593" s="80"/>
    </row>
    <row r="594" spans="1:8" x14ac:dyDescent="0.25">
      <c r="A594" s="73" t="s">
        <v>502</v>
      </c>
      <c r="B594" s="74"/>
      <c r="C594" s="70"/>
      <c r="D594" s="71"/>
      <c r="E594" s="115">
        <f>F594*E565</f>
        <v>1</v>
      </c>
      <c r="F594" s="61">
        <v>1</v>
      </c>
      <c r="G594" s="53"/>
      <c r="H594" s="80"/>
    </row>
    <row r="595" spans="1:8" x14ac:dyDescent="0.25">
      <c r="A595" s="73" t="s">
        <v>503</v>
      </c>
      <c r="B595" s="74"/>
      <c r="C595" s="70"/>
      <c r="D595" s="71"/>
      <c r="E595" s="115">
        <f>F595*E565</f>
        <v>1</v>
      </c>
      <c r="F595" s="61">
        <v>1</v>
      </c>
      <c r="G595" s="53"/>
      <c r="H595" s="80"/>
    </row>
    <row r="596" spans="1:8" x14ac:dyDescent="0.25">
      <c r="A596" s="73" t="s">
        <v>504</v>
      </c>
      <c r="B596" s="74"/>
      <c r="C596" s="70"/>
      <c r="D596" s="71"/>
      <c r="E596" s="115">
        <f>F596*E565</f>
        <v>1</v>
      </c>
      <c r="F596" s="61">
        <v>1</v>
      </c>
      <c r="G596" s="53"/>
      <c r="H596" s="80"/>
    </row>
    <row r="597" spans="1:8" x14ac:dyDescent="0.25">
      <c r="A597" s="73" t="s">
        <v>505</v>
      </c>
      <c r="B597" s="74"/>
      <c r="C597" s="70"/>
      <c r="D597" s="71"/>
      <c r="E597" s="115">
        <f>F597*E565</f>
        <v>4</v>
      </c>
      <c r="F597" s="61">
        <v>4</v>
      </c>
      <c r="G597" s="53"/>
      <c r="H597" s="80"/>
    </row>
    <row r="598" spans="1:8" x14ac:dyDescent="0.25">
      <c r="A598" s="73" t="s">
        <v>506</v>
      </c>
      <c r="B598" s="74"/>
      <c r="C598" s="70"/>
      <c r="D598" s="71"/>
      <c r="E598" s="115">
        <f>F598*E565</f>
        <v>4</v>
      </c>
      <c r="F598" s="61">
        <v>4</v>
      </c>
      <c r="G598" s="53"/>
      <c r="H598" s="80"/>
    </row>
    <row r="599" spans="1:8" x14ac:dyDescent="0.25">
      <c r="A599" s="73" t="s">
        <v>507</v>
      </c>
      <c r="B599" s="74"/>
      <c r="C599" s="70"/>
      <c r="D599" s="71"/>
      <c r="E599" s="115">
        <f>F599*E565</f>
        <v>4</v>
      </c>
      <c r="F599" s="61">
        <v>4</v>
      </c>
      <c r="G599" s="53"/>
      <c r="H599" s="80"/>
    </row>
    <row r="600" spans="1:8" x14ac:dyDescent="0.25">
      <c r="A600" s="73" t="s">
        <v>412</v>
      </c>
      <c r="B600" s="74"/>
      <c r="C600" s="70"/>
      <c r="D600" s="71"/>
      <c r="E600" s="115">
        <f>F600*E565</f>
        <v>16</v>
      </c>
      <c r="F600" s="61">
        <v>16</v>
      </c>
      <c r="G600" s="53"/>
      <c r="H600" s="80"/>
    </row>
    <row r="601" spans="1:8" x14ac:dyDescent="0.25">
      <c r="A601" s="52"/>
      <c r="B601" s="53"/>
      <c r="C601" s="53"/>
      <c r="D601" s="53"/>
      <c r="E601" s="53"/>
      <c r="F601" s="65"/>
      <c r="G601" s="53"/>
      <c r="H601" s="83"/>
    </row>
    <row r="602" spans="1:8" x14ac:dyDescent="0.25">
      <c r="A602" s="52"/>
      <c r="B602" s="53"/>
      <c r="C602" s="53"/>
      <c r="D602" s="53"/>
      <c r="E602" s="53"/>
      <c r="F602" s="65"/>
      <c r="G602" s="53"/>
      <c r="H602" s="83"/>
    </row>
    <row r="603" spans="1:8" x14ac:dyDescent="0.25">
      <c r="A603" s="59" t="s">
        <v>413</v>
      </c>
      <c r="B603" s="84" t="s">
        <v>266</v>
      </c>
      <c r="C603" s="84" t="s">
        <v>383</v>
      </c>
      <c r="D603" s="405" t="s">
        <v>414</v>
      </c>
      <c r="E603" s="406"/>
      <c r="F603" s="85" t="s">
        <v>415</v>
      </c>
      <c r="G603" s="59" t="s">
        <v>416</v>
      </c>
      <c r="H603" s="86"/>
    </row>
    <row r="604" spans="1:8" x14ac:dyDescent="0.25">
      <c r="A604" s="61"/>
      <c r="B604" s="89">
        <f>2*E565</f>
        <v>2</v>
      </c>
      <c r="C604" s="89" t="s">
        <v>508</v>
      </c>
      <c r="D604" s="407">
        <f>A565/2-68</f>
        <v>757</v>
      </c>
      <c r="E604" s="408"/>
      <c r="F604" s="90">
        <f>C565-124</f>
        <v>2076</v>
      </c>
      <c r="G604" s="91">
        <f>+(D604/1000)*(F604/1000)*B604</f>
        <v>3.1430640000000003</v>
      </c>
      <c r="H604" s="83"/>
    </row>
    <row r="605" spans="1:8" x14ac:dyDescent="0.25">
      <c r="A605" s="52"/>
      <c r="B605" s="93"/>
      <c r="C605" s="93"/>
      <c r="D605" s="53"/>
      <c r="E605" s="53"/>
      <c r="F605" s="94" t="s">
        <v>418</v>
      </c>
      <c r="G605" s="95">
        <f>SUM(G604:G604)</f>
        <v>3.1430640000000003</v>
      </c>
      <c r="H605" s="51"/>
    </row>
    <row r="606" spans="1:8" x14ac:dyDescent="0.25">
      <c r="A606" s="52"/>
      <c r="B606" s="93"/>
      <c r="C606" s="93"/>
      <c r="D606" s="53"/>
      <c r="E606" s="53"/>
      <c r="F606" s="94"/>
      <c r="G606" s="96"/>
      <c r="H606" s="51"/>
    </row>
    <row r="607" spans="1:8" x14ac:dyDescent="0.25">
      <c r="A607" s="52"/>
      <c r="B607" s="93"/>
      <c r="C607" s="93"/>
      <c r="D607" s="53"/>
      <c r="E607" s="53"/>
      <c r="F607" s="94"/>
      <c r="G607" s="96"/>
      <c r="H607" s="51"/>
    </row>
    <row r="608" spans="1:8" x14ac:dyDescent="0.25">
      <c r="A608" s="52"/>
      <c r="B608" s="93"/>
      <c r="C608" s="93"/>
      <c r="D608" s="53"/>
      <c r="E608" s="53"/>
      <c r="F608" s="94"/>
      <c r="G608" s="96"/>
      <c r="H608" s="51"/>
    </row>
    <row r="609" spans="1:8" x14ac:dyDescent="0.25">
      <c r="A609" s="52"/>
      <c r="B609" s="93"/>
      <c r="C609" s="93"/>
      <c r="D609" s="53"/>
      <c r="E609" s="53"/>
      <c r="F609" s="94"/>
      <c r="G609" s="96"/>
      <c r="H609" s="51"/>
    </row>
    <row r="610" spans="1:8" x14ac:dyDescent="0.25">
      <c r="A610" s="52"/>
      <c r="B610" s="93"/>
      <c r="C610" s="93"/>
      <c r="D610" s="53"/>
      <c r="E610" s="53"/>
      <c r="F610" s="94"/>
      <c r="G610" s="96"/>
      <c r="H610" s="51"/>
    </row>
    <row r="611" spans="1:8" x14ac:dyDescent="0.25">
      <c r="A611" s="52"/>
      <c r="B611" s="93"/>
      <c r="C611" s="93"/>
      <c r="D611" s="53"/>
      <c r="E611" s="53"/>
      <c r="F611" s="94"/>
      <c r="G611" s="96"/>
      <c r="H611" s="51"/>
    </row>
    <row r="612" spans="1:8" x14ac:dyDescent="0.25">
      <c r="A612" s="52"/>
      <c r="B612" s="93"/>
      <c r="C612" s="93"/>
      <c r="D612" s="53"/>
      <c r="E612" s="53"/>
      <c r="F612" s="94"/>
      <c r="G612" s="96"/>
      <c r="H612" s="51"/>
    </row>
    <row r="613" spans="1:8" x14ac:dyDescent="0.25">
      <c r="A613" s="52"/>
      <c r="B613" s="93"/>
      <c r="C613" s="93"/>
      <c r="D613" s="53"/>
      <c r="E613" s="53"/>
      <c r="F613" s="94"/>
      <c r="G613" s="96"/>
      <c r="H613" s="51"/>
    </row>
    <row r="614" spans="1:8" x14ac:dyDescent="0.25">
      <c r="A614" s="52"/>
      <c r="B614" s="93"/>
      <c r="C614" s="93"/>
      <c r="D614" s="53"/>
      <c r="E614" s="53"/>
      <c r="F614" s="94"/>
      <c r="G614" s="96"/>
      <c r="H614" s="51"/>
    </row>
    <row r="615" spans="1:8" x14ac:dyDescent="0.25">
      <c r="A615" s="52"/>
      <c r="B615" s="93"/>
      <c r="C615" s="93"/>
      <c r="D615" s="53"/>
      <c r="E615" s="53"/>
      <c r="F615" s="94"/>
      <c r="G615" s="96"/>
      <c r="H615" s="51"/>
    </row>
    <row r="616" spans="1:8" x14ac:dyDescent="0.25">
      <c r="A616" s="52"/>
      <c r="B616" s="93"/>
      <c r="C616" s="93"/>
      <c r="D616" s="53"/>
      <c r="E616" s="53"/>
      <c r="F616" s="94"/>
      <c r="G616" s="96"/>
      <c r="H616" s="51"/>
    </row>
    <row r="617" spans="1:8" x14ac:dyDescent="0.25">
      <c r="A617" s="52"/>
      <c r="B617" s="93"/>
      <c r="C617" s="93"/>
      <c r="D617" s="53"/>
      <c r="E617" s="53"/>
      <c r="F617" s="94"/>
      <c r="G617" s="96"/>
      <c r="H617" s="51"/>
    </row>
    <row r="618" spans="1:8" x14ac:dyDescent="0.25">
      <c r="A618" s="52"/>
      <c r="B618" s="93"/>
      <c r="C618" s="93"/>
      <c r="D618" s="53"/>
      <c r="E618" s="53"/>
      <c r="F618" s="94"/>
      <c r="G618" s="96"/>
      <c r="H618" s="51"/>
    </row>
    <row r="619" spans="1:8" x14ac:dyDescent="0.25">
      <c r="A619" s="52"/>
      <c r="B619" s="93"/>
      <c r="C619" s="93"/>
      <c r="D619" s="53"/>
      <c r="E619" s="53"/>
      <c r="F619" s="94"/>
      <c r="G619" s="96"/>
      <c r="H619" s="51"/>
    </row>
    <row r="620" spans="1:8" x14ac:dyDescent="0.25">
      <c r="A620" s="45"/>
      <c r="B620" s="45"/>
      <c r="C620" s="45"/>
      <c r="D620" s="45"/>
      <c r="E620" s="45"/>
      <c r="F620" s="102"/>
      <c r="G620" s="45"/>
      <c r="H620" s="45"/>
    </row>
    <row r="621" spans="1:8" x14ac:dyDescent="0.25">
      <c r="A621" s="100"/>
      <c r="B621" s="100"/>
      <c r="C621" s="100"/>
      <c r="D621" s="100"/>
      <c r="E621" s="100"/>
      <c r="F621" s="101"/>
      <c r="G621" s="100"/>
      <c r="H621" s="100"/>
    </row>
    <row r="622" spans="1:8" x14ac:dyDescent="0.25">
      <c r="A622" s="44"/>
      <c r="B622" s="45"/>
      <c r="C622" s="45"/>
      <c r="D622" s="45"/>
      <c r="E622" s="45"/>
      <c r="F622" s="102"/>
      <c r="G622" s="45"/>
      <c r="H622" s="46"/>
    </row>
    <row r="623" spans="1:8" x14ac:dyDescent="0.25">
      <c r="A623" s="52"/>
      <c r="B623" s="53"/>
      <c r="C623" s="53"/>
      <c r="D623" s="53"/>
      <c r="E623" s="53"/>
      <c r="F623" s="65"/>
      <c r="G623" s="53"/>
      <c r="H623" s="51"/>
    </row>
    <row r="624" spans="1:8" x14ac:dyDescent="0.25">
      <c r="A624" s="52"/>
      <c r="B624" s="53"/>
      <c r="C624" s="53"/>
      <c r="D624" s="53"/>
      <c r="E624" s="53"/>
      <c r="F624" s="65"/>
      <c r="G624" s="53"/>
      <c r="H624" s="51"/>
    </row>
    <row r="625" spans="1:8" x14ac:dyDescent="0.25">
      <c r="A625" s="47" t="s">
        <v>509</v>
      </c>
      <c r="B625" s="49"/>
      <c r="C625" s="49"/>
      <c r="D625" s="122"/>
      <c r="E625" s="49"/>
      <c r="F625" s="50"/>
      <c r="G625" s="54" t="s">
        <v>510</v>
      </c>
      <c r="H625" s="103"/>
    </row>
    <row r="626" spans="1:8" ht="16.5" thickBot="1" x14ac:dyDescent="0.3">
      <c r="A626" s="52"/>
      <c r="B626" s="53"/>
      <c r="C626" s="53"/>
      <c r="D626" s="53"/>
      <c r="E626" s="53"/>
      <c r="F626" s="65"/>
      <c r="G626" s="53"/>
      <c r="H626" s="51"/>
    </row>
    <row r="627" spans="1:8" ht="16.5" thickBot="1" x14ac:dyDescent="0.3">
      <c r="A627" s="400" t="s">
        <v>381</v>
      </c>
      <c r="B627" s="401"/>
      <c r="C627" s="402" t="s">
        <v>382</v>
      </c>
      <c r="D627" s="401"/>
      <c r="E627" s="55" t="s">
        <v>266</v>
      </c>
      <c r="F627" s="65"/>
      <c r="G627" s="53"/>
      <c r="H627" s="51"/>
    </row>
    <row r="628" spans="1:8" ht="16.5" thickBot="1" x14ac:dyDescent="0.3">
      <c r="A628" s="403">
        <v>0</v>
      </c>
      <c r="B628" s="404"/>
      <c r="C628" s="403">
        <v>0</v>
      </c>
      <c r="D628" s="404"/>
      <c r="E628" s="56">
        <v>1</v>
      </c>
      <c r="F628" s="65"/>
      <c r="G628" s="53"/>
      <c r="H628" s="51"/>
    </row>
    <row r="629" spans="1:8" x14ac:dyDescent="0.25">
      <c r="A629" s="52"/>
      <c r="B629" s="58"/>
      <c r="C629" s="58"/>
      <c r="D629" s="58"/>
      <c r="E629" s="58"/>
      <c r="F629" s="58"/>
      <c r="G629" s="53"/>
      <c r="H629" s="83"/>
    </row>
    <row r="630" spans="1:8" x14ac:dyDescent="0.25">
      <c r="A630" s="59" t="s">
        <v>323</v>
      </c>
      <c r="B630" s="59" t="s">
        <v>266</v>
      </c>
      <c r="C630" s="59" t="s">
        <v>383</v>
      </c>
      <c r="D630" s="59" t="s">
        <v>384</v>
      </c>
      <c r="E630" s="59" t="s">
        <v>332</v>
      </c>
      <c r="F630" s="59" t="s">
        <v>385</v>
      </c>
      <c r="G630" s="59" t="s">
        <v>386</v>
      </c>
      <c r="H630" s="59" t="s">
        <v>387</v>
      </c>
    </row>
    <row r="631" spans="1:8" x14ac:dyDescent="0.25">
      <c r="A631" s="60">
        <v>6901</v>
      </c>
      <c r="B631" s="61">
        <f>1*E628</f>
        <v>1</v>
      </c>
      <c r="C631" s="61" t="s">
        <v>367</v>
      </c>
      <c r="D631" s="61">
        <f>A628-14</f>
        <v>-14</v>
      </c>
      <c r="E631" s="61" t="s">
        <v>340</v>
      </c>
      <c r="F631" s="104" t="s">
        <v>388</v>
      </c>
      <c r="G631" s="63">
        <v>0.69199999999999995</v>
      </c>
      <c r="H631" s="63">
        <f t="shared" ref="H631:H639" si="10">(D631/1000)*B631*G631</f>
        <v>-9.6879999999999987E-3</v>
      </c>
    </row>
    <row r="632" spans="1:8" x14ac:dyDescent="0.25">
      <c r="A632" s="60">
        <v>6902</v>
      </c>
      <c r="B632" s="61">
        <f>1*E628</f>
        <v>1</v>
      </c>
      <c r="C632" s="61" t="s">
        <v>367</v>
      </c>
      <c r="D632" s="61">
        <f>A628-14</f>
        <v>-14</v>
      </c>
      <c r="E632" s="61" t="s">
        <v>340</v>
      </c>
      <c r="F632" s="125" t="s">
        <v>82</v>
      </c>
      <c r="G632" s="63">
        <v>0.67700000000000005</v>
      </c>
      <c r="H632" s="63">
        <f t="shared" si="10"/>
        <v>-9.4780000000000003E-3</v>
      </c>
    </row>
    <row r="633" spans="1:8" x14ac:dyDescent="0.25">
      <c r="A633" s="60">
        <v>6903</v>
      </c>
      <c r="B633" s="61">
        <f>2*E628</f>
        <v>2</v>
      </c>
      <c r="C633" s="61" t="s">
        <v>337</v>
      </c>
      <c r="D633" s="61">
        <f>C628</f>
        <v>0</v>
      </c>
      <c r="E633" s="61" t="s">
        <v>340</v>
      </c>
      <c r="F633" s="125" t="s">
        <v>83</v>
      </c>
      <c r="G633" s="63">
        <v>0.55000000000000004</v>
      </c>
      <c r="H633" s="63">
        <f t="shared" si="10"/>
        <v>0</v>
      </c>
    </row>
    <row r="634" spans="1:8" x14ac:dyDescent="0.25">
      <c r="A634" s="60">
        <v>6909</v>
      </c>
      <c r="B634" s="61">
        <f>2*E628</f>
        <v>2</v>
      </c>
      <c r="C634" s="61" t="s">
        <v>421</v>
      </c>
      <c r="D634" s="105">
        <f>A628/3-13</f>
        <v>-13</v>
      </c>
      <c r="E634" s="61" t="s">
        <v>340</v>
      </c>
      <c r="F634" s="104" t="s">
        <v>492</v>
      </c>
      <c r="G634" s="63">
        <v>0.52</v>
      </c>
      <c r="H634" s="63">
        <f t="shared" si="10"/>
        <v>-1.3519999999999999E-2</v>
      </c>
    </row>
    <row r="635" spans="1:8" x14ac:dyDescent="0.25">
      <c r="A635" s="60">
        <v>6910</v>
      </c>
      <c r="B635" s="61">
        <f>2*E628</f>
        <v>2</v>
      </c>
      <c r="C635" s="61" t="s">
        <v>421</v>
      </c>
      <c r="D635" s="105">
        <f>A628/3-13</f>
        <v>-13</v>
      </c>
      <c r="E635" s="61" t="s">
        <v>340</v>
      </c>
      <c r="F635" s="104" t="s">
        <v>493</v>
      </c>
      <c r="G635" s="63">
        <v>0.56899999999999995</v>
      </c>
      <c r="H635" s="63">
        <f t="shared" si="10"/>
        <v>-1.4793999999999998E-2</v>
      </c>
    </row>
    <row r="636" spans="1:8" x14ac:dyDescent="0.25">
      <c r="A636" s="60">
        <v>6909</v>
      </c>
      <c r="B636" s="61">
        <v>1</v>
      </c>
      <c r="C636" s="61" t="s">
        <v>478</v>
      </c>
      <c r="D636" s="105">
        <f>A628/3+36</f>
        <v>36</v>
      </c>
      <c r="E636" s="61" t="s">
        <v>340</v>
      </c>
      <c r="F636" s="104" t="s">
        <v>492</v>
      </c>
      <c r="G636" s="63">
        <v>0.52</v>
      </c>
      <c r="H636" s="63">
        <f t="shared" si="10"/>
        <v>1.8720000000000001E-2</v>
      </c>
    </row>
    <row r="637" spans="1:8" x14ac:dyDescent="0.25">
      <c r="A637" s="60">
        <v>6910</v>
      </c>
      <c r="B637" s="61">
        <v>1</v>
      </c>
      <c r="C637" s="61" t="s">
        <v>478</v>
      </c>
      <c r="D637" s="105">
        <f>A628/3+36</f>
        <v>36</v>
      </c>
      <c r="E637" s="61" t="s">
        <v>340</v>
      </c>
      <c r="F637" s="104" t="s">
        <v>493</v>
      </c>
      <c r="G637" s="63">
        <v>0.56899999999999995</v>
      </c>
      <c r="H637" s="63">
        <f t="shared" si="10"/>
        <v>2.0483999999999995E-2</v>
      </c>
    </row>
    <row r="638" spans="1:8" x14ac:dyDescent="0.25">
      <c r="A638" s="60">
        <v>6911</v>
      </c>
      <c r="B638" s="61">
        <f>2*E628</f>
        <v>2</v>
      </c>
      <c r="C638" s="61" t="s">
        <v>470</v>
      </c>
      <c r="D638" s="61">
        <f>C628-38</f>
        <v>-38</v>
      </c>
      <c r="E638" s="61" t="s">
        <v>340</v>
      </c>
      <c r="F638" s="104" t="s">
        <v>494</v>
      </c>
      <c r="G638" s="63">
        <v>0.86399999999999999</v>
      </c>
      <c r="H638" s="63">
        <f t="shared" si="10"/>
        <v>-6.5664E-2</v>
      </c>
    </row>
    <row r="639" spans="1:8" x14ac:dyDescent="0.25">
      <c r="A639" s="60">
        <v>6912</v>
      </c>
      <c r="B639" s="61">
        <f>4*E628</f>
        <v>4</v>
      </c>
      <c r="C639" s="61" t="s">
        <v>470</v>
      </c>
      <c r="D639" s="61">
        <f>C628-38</f>
        <v>-38</v>
      </c>
      <c r="E639" s="61" t="s">
        <v>340</v>
      </c>
      <c r="F639" s="110" t="s">
        <v>495</v>
      </c>
      <c r="G639" s="63">
        <v>0.78900000000000003</v>
      </c>
      <c r="H639" s="63">
        <f t="shared" si="10"/>
        <v>-0.11992800000000001</v>
      </c>
    </row>
    <row r="640" spans="1:8" x14ac:dyDescent="0.25">
      <c r="A640" s="64"/>
      <c r="B640" s="65"/>
      <c r="C640" s="65"/>
      <c r="D640" s="65"/>
      <c r="E640" s="65"/>
      <c r="F640" s="65"/>
      <c r="G640" s="63" t="s">
        <v>392</v>
      </c>
      <c r="H640" s="63">
        <f>SUM(H631:H639)</f>
        <v>-0.19386800000000001</v>
      </c>
    </row>
    <row r="641" spans="1:8" x14ac:dyDescent="0.25">
      <c r="A641" s="64"/>
      <c r="B641" s="65"/>
      <c r="C641" s="65"/>
      <c r="D641" s="65"/>
      <c r="E641" s="65"/>
      <c r="F641" s="65"/>
      <c r="G641" s="66"/>
      <c r="H641" s="67"/>
    </row>
    <row r="642" spans="1:8" x14ac:dyDescent="0.25">
      <c r="A642" s="64"/>
      <c r="B642" s="65"/>
      <c r="C642" s="65"/>
      <c r="D642" s="65"/>
      <c r="E642" s="65"/>
      <c r="F642" s="65"/>
      <c r="G642" s="68"/>
      <c r="H642" s="67"/>
    </row>
    <row r="643" spans="1:8" x14ac:dyDescent="0.25">
      <c r="A643" s="126" t="s">
        <v>393</v>
      </c>
      <c r="B643" s="45"/>
      <c r="C643" s="70"/>
      <c r="D643" s="71"/>
      <c r="E643" s="59" t="s">
        <v>36</v>
      </c>
      <c r="F643" s="59" t="s">
        <v>266</v>
      </c>
      <c r="G643" s="52"/>
      <c r="H643" s="72"/>
    </row>
    <row r="644" spans="1:8" x14ac:dyDescent="0.25">
      <c r="A644" s="73" t="s">
        <v>496</v>
      </c>
      <c r="B644" s="74"/>
      <c r="C644" s="70"/>
      <c r="D644" s="71"/>
      <c r="E644" s="114">
        <f>F644*E628</f>
        <v>2</v>
      </c>
      <c r="F644" s="61">
        <v>2</v>
      </c>
      <c r="G644" s="76"/>
      <c r="H644" s="77"/>
    </row>
    <row r="645" spans="1:8" x14ac:dyDescent="0.25">
      <c r="A645" s="73" t="s">
        <v>395</v>
      </c>
      <c r="B645" s="74"/>
      <c r="C645" s="70"/>
      <c r="D645" s="71"/>
      <c r="E645" s="115">
        <f>F645*E628</f>
        <v>1</v>
      </c>
      <c r="F645" s="61">
        <v>1</v>
      </c>
      <c r="G645" s="76"/>
      <c r="H645" s="77"/>
    </row>
    <row r="646" spans="1:8" x14ac:dyDescent="0.25">
      <c r="A646" s="73" t="s">
        <v>396</v>
      </c>
      <c r="B646" s="74"/>
      <c r="C646" s="70"/>
      <c r="D646" s="71"/>
      <c r="E646" s="115">
        <f>F646*E628</f>
        <v>1</v>
      </c>
      <c r="F646" s="61">
        <v>1</v>
      </c>
      <c r="G646" s="65"/>
      <c r="H646" s="77"/>
    </row>
    <row r="647" spans="1:8" x14ac:dyDescent="0.25">
      <c r="A647" s="73" t="s">
        <v>497</v>
      </c>
      <c r="B647" s="74"/>
      <c r="C647" s="70"/>
      <c r="D647" s="71"/>
      <c r="E647" s="115">
        <f>F647*E628</f>
        <v>2</v>
      </c>
      <c r="F647" s="61">
        <v>2</v>
      </c>
      <c r="G647" s="65"/>
      <c r="H647" s="77"/>
    </row>
    <row r="648" spans="1:8" x14ac:dyDescent="0.25">
      <c r="A648" s="73" t="s">
        <v>498</v>
      </c>
      <c r="B648" s="74"/>
      <c r="C648" s="70"/>
      <c r="D648" s="71"/>
      <c r="E648" s="115">
        <f>F648*E628</f>
        <v>2</v>
      </c>
      <c r="F648" s="61">
        <v>2</v>
      </c>
      <c r="G648" s="65"/>
      <c r="H648" s="77"/>
    </row>
    <row r="649" spans="1:8" x14ac:dyDescent="0.25">
      <c r="A649" s="73" t="s">
        <v>399</v>
      </c>
      <c r="B649" s="74"/>
      <c r="C649" s="70"/>
      <c r="D649" s="71"/>
      <c r="E649" s="115">
        <f>4*(A628/1000)+8*(C628/1000)*E628</f>
        <v>0</v>
      </c>
      <c r="F649" s="61" t="s">
        <v>481</v>
      </c>
      <c r="G649" s="64"/>
      <c r="H649" s="77"/>
    </row>
    <row r="650" spans="1:8" x14ac:dyDescent="0.25">
      <c r="A650" s="73" t="s">
        <v>401</v>
      </c>
      <c r="B650" s="74"/>
      <c r="C650" s="70"/>
      <c r="D650" s="71"/>
      <c r="E650" s="115">
        <f>2*(A628/1000)+6*(C628/1000)*E628</f>
        <v>0</v>
      </c>
      <c r="F650" s="61" t="s">
        <v>424</v>
      </c>
      <c r="G650" s="64"/>
      <c r="H650" s="77"/>
    </row>
    <row r="651" spans="1:8" x14ac:dyDescent="0.25">
      <c r="A651" s="73" t="s">
        <v>473</v>
      </c>
      <c r="B651" s="74"/>
      <c r="C651" s="70"/>
      <c r="D651" s="71"/>
      <c r="E651" s="115">
        <f>F651*E628</f>
        <v>6</v>
      </c>
      <c r="F651" s="61">
        <v>6</v>
      </c>
      <c r="G651" s="76"/>
      <c r="H651" s="77"/>
    </row>
    <row r="652" spans="1:8" x14ac:dyDescent="0.25">
      <c r="A652" s="73" t="s">
        <v>404</v>
      </c>
      <c r="B652" s="74"/>
      <c r="C652" s="70"/>
      <c r="D652" s="71"/>
      <c r="E652" s="115">
        <f>F652*E628</f>
        <v>8</v>
      </c>
      <c r="F652" s="61">
        <v>8</v>
      </c>
      <c r="G652" s="53"/>
      <c r="H652" s="80"/>
    </row>
    <row r="653" spans="1:8" x14ac:dyDescent="0.25">
      <c r="A653" s="73" t="s">
        <v>405</v>
      </c>
      <c r="B653" s="74"/>
      <c r="C653" s="70"/>
      <c r="D653" s="71"/>
      <c r="E653" s="115">
        <f>F653*E628</f>
        <v>12</v>
      </c>
      <c r="F653" s="61">
        <v>12</v>
      </c>
      <c r="G653" s="53"/>
      <c r="H653" s="80"/>
    </row>
    <row r="654" spans="1:8" x14ac:dyDescent="0.25">
      <c r="A654" s="73" t="s">
        <v>500</v>
      </c>
      <c r="B654" s="74"/>
      <c r="C654" s="70"/>
      <c r="D654" s="71"/>
      <c r="E654" s="115">
        <f>F654*E628</f>
        <v>2</v>
      </c>
      <c r="F654" s="61">
        <v>2</v>
      </c>
      <c r="G654" s="53"/>
      <c r="H654" s="80"/>
    </row>
    <row r="655" spans="1:8" x14ac:dyDescent="0.25">
      <c r="A655" s="73" t="s">
        <v>501</v>
      </c>
      <c r="B655" s="74"/>
      <c r="C655" s="70"/>
      <c r="D655" s="71"/>
      <c r="E655" s="115">
        <f>F655*E628</f>
        <v>2</v>
      </c>
      <c r="F655" s="61">
        <v>2</v>
      </c>
      <c r="G655" s="53"/>
      <c r="H655" s="80"/>
    </row>
    <row r="656" spans="1:8" x14ac:dyDescent="0.25">
      <c r="A656" s="73" t="s">
        <v>502</v>
      </c>
      <c r="B656" s="74"/>
      <c r="C656" s="70"/>
      <c r="D656" s="71"/>
      <c r="E656" s="115">
        <f>F656*E628</f>
        <v>2</v>
      </c>
      <c r="F656" s="61">
        <v>2</v>
      </c>
      <c r="G656" s="53"/>
      <c r="H656" s="80"/>
    </row>
    <row r="657" spans="1:8" x14ac:dyDescent="0.25">
      <c r="A657" s="73" t="s">
        <v>503</v>
      </c>
      <c r="B657" s="74"/>
      <c r="C657" s="70"/>
      <c r="D657" s="71"/>
      <c r="E657" s="115">
        <f>F657*E628</f>
        <v>2</v>
      </c>
      <c r="F657" s="61">
        <v>2</v>
      </c>
      <c r="G657" s="53"/>
      <c r="H657" s="80"/>
    </row>
    <row r="658" spans="1:8" x14ac:dyDescent="0.25">
      <c r="A658" s="73" t="s">
        <v>504</v>
      </c>
      <c r="B658" s="74"/>
      <c r="C658" s="70"/>
      <c r="D658" s="71"/>
      <c r="E658" s="115">
        <f>F658*E628</f>
        <v>2</v>
      </c>
      <c r="F658" s="61">
        <v>2</v>
      </c>
      <c r="G658" s="53"/>
      <c r="H658" s="80"/>
    </row>
    <row r="659" spans="1:8" x14ac:dyDescent="0.25">
      <c r="A659" s="73" t="s">
        <v>505</v>
      </c>
      <c r="B659" s="74"/>
      <c r="C659" s="70"/>
      <c r="D659" s="71"/>
      <c r="E659" s="115">
        <f>F659*E628</f>
        <v>6</v>
      </c>
      <c r="F659" s="61">
        <v>6</v>
      </c>
      <c r="G659" s="53"/>
      <c r="H659" s="80"/>
    </row>
    <row r="660" spans="1:8" x14ac:dyDescent="0.25">
      <c r="A660" s="73" t="s">
        <v>506</v>
      </c>
      <c r="B660" s="74"/>
      <c r="C660" s="70"/>
      <c r="D660" s="71"/>
      <c r="E660" s="115">
        <f>F660*E628</f>
        <v>6</v>
      </c>
      <c r="F660" s="61">
        <v>6</v>
      </c>
      <c r="G660" s="53"/>
      <c r="H660" s="80"/>
    </row>
    <row r="661" spans="1:8" x14ac:dyDescent="0.25">
      <c r="A661" s="73" t="s">
        <v>507</v>
      </c>
      <c r="B661" s="74"/>
      <c r="C661" s="70"/>
      <c r="D661" s="71"/>
      <c r="E661" s="115">
        <f>F661*E628</f>
        <v>4</v>
      </c>
      <c r="F661" s="61">
        <v>4</v>
      </c>
      <c r="G661" s="53"/>
      <c r="H661" s="80"/>
    </row>
    <row r="662" spans="1:8" x14ac:dyDescent="0.25">
      <c r="A662" s="73" t="s">
        <v>412</v>
      </c>
      <c r="B662" s="74"/>
      <c r="C662" s="70"/>
      <c r="D662" s="71"/>
      <c r="E662" s="115">
        <f>F662*E628</f>
        <v>20</v>
      </c>
      <c r="F662" s="61">
        <v>20</v>
      </c>
      <c r="G662" s="53"/>
      <c r="H662" s="80"/>
    </row>
    <row r="663" spans="1:8" x14ac:dyDescent="0.25">
      <c r="A663" s="52"/>
      <c r="B663" s="53"/>
      <c r="C663" s="53"/>
      <c r="D663" s="53"/>
      <c r="E663" s="53"/>
      <c r="F663" s="65"/>
      <c r="G663" s="53"/>
      <c r="H663" s="83"/>
    </row>
    <row r="664" spans="1:8" x14ac:dyDescent="0.25">
      <c r="A664" s="52"/>
      <c r="B664" s="53"/>
      <c r="C664" s="53"/>
      <c r="D664" s="53"/>
      <c r="E664" s="53"/>
      <c r="F664" s="65"/>
      <c r="G664" s="53"/>
      <c r="H664" s="83"/>
    </row>
    <row r="665" spans="1:8" x14ac:dyDescent="0.25">
      <c r="A665" s="59" t="s">
        <v>413</v>
      </c>
      <c r="B665" s="84" t="s">
        <v>266</v>
      </c>
      <c r="C665" s="84" t="s">
        <v>383</v>
      </c>
      <c r="D665" s="405" t="s">
        <v>414</v>
      </c>
      <c r="E665" s="406"/>
      <c r="F665" s="85" t="s">
        <v>415</v>
      </c>
      <c r="G665" s="59" t="s">
        <v>416</v>
      </c>
      <c r="H665" s="86"/>
    </row>
    <row r="666" spans="1:8" x14ac:dyDescent="0.25">
      <c r="A666" s="61"/>
      <c r="B666" s="89">
        <f>2*E628</f>
        <v>2</v>
      </c>
      <c r="C666" s="88" t="s">
        <v>511</v>
      </c>
      <c r="D666" s="409">
        <f>A628/3-68</f>
        <v>-68</v>
      </c>
      <c r="E666" s="410"/>
      <c r="F666" s="90">
        <f>C628-124</f>
        <v>-124</v>
      </c>
      <c r="G666" s="91">
        <f>+(D666/1000)*(F666/1000)*B666</f>
        <v>1.6864000000000001E-2</v>
      </c>
      <c r="H666" s="83"/>
    </row>
    <row r="667" spans="1:8" x14ac:dyDescent="0.25">
      <c r="A667" s="87"/>
      <c r="B667" s="89">
        <f>1*E628</f>
        <v>1</v>
      </c>
      <c r="C667" s="88" t="s">
        <v>512</v>
      </c>
      <c r="D667" s="409">
        <f>A628/3-20</f>
        <v>-20</v>
      </c>
      <c r="E667" s="410"/>
      <c r="F667" s="61">
        <f>C628-124</f>
        <v>-124</v>
      </c>
      <c r="G667" s="91">
        <f>+(D667/1000)*(F667/1000)*B667</f>
        <v>2.48E-3</v>
      </c>
      <c r="H667" s="92"/>
    </row>
    <row r="668" spans="1:8" x14ac:dyDescent="0.25">
      <c r="A668" s="52"/>
      <c r="B668" s="93"/>
      <c r="C668" s="53"/>
      <c r="D668" s="53"/>
      <c r="E668" s="53"/>
      <c r="F668" s="94" t="s">
        <v>418</v>
      </c>
      <c r="G668" s="95">
        <f>SUM(G666:G667)</f>
        <v>1.9344E-2</v>
      </c>
      <c r="H668" s="51"/>
    </row>
    <row r="669" spans="1:8" x14ac:dyDescent="0.25">
      <c r="A669" s="52"/>
      <c r="B669" s="93"/>
      <c r="C669" s="53"/>
      <c r="D669" s="53"/>
      <c r="E669" s="53"/>
      <c r="F669" s="94"/>
      <c r="G669" s="96"/>
      <c r="H669" s="51"/>
    </row>
    <row r="670" spans="1:8" x14ac:dyDescent="0.25">
      <c r="A670" s="52"/>
      <c r="B670" s="93"/>
      <c r="C670" s="53"/>
      <c r="D670" s="53"/>
      <c r="E670" s="53"/>
      <c r="F670" s="94"/>
      <c r="G670" s="96"/>
      <c r="H670" s="51"/>
    </row>
    <row r="671" spans="1:8" x14ac:dyDescent="0.25">
      <c r="A671" s="52"/>
      <c r="B671" s="93"/>
      <c r="C671" s="53"/>
      <c r="D671" s="53"/>
      <c r="E671" s="53"/>
      <c r="F671" s="94"/>
      <c r="G671" s="96"/>
      <c r="H671" s="51"/>
    </row>
    <row r="672" spans="1:8" x14ac:dyDescent="0.25">
      <c r="A672" s="52"/>
      <c r="B672" s="93"/>
      <c r="C672" s="53"/>
      <c r="D672" s="53"/>
      <c r="E672" s="53"/>
      <c r="F672" s="94"/>
      <c r="G672" s="96"/>
      <c r="H672" s="51"/>
    </row>
    <row r="673" spans="1:8" x14ac:dyDescent="0.25">
      <c r="A673" s="52"/>
      <c r="B673" s="93"/>
      <c r="C673" s="53"/>
      <c r="D673" s="53"/>
      <c r="E673" s="53"/>
      <c r="F673" s="94"/>
      <c r="G673" s="96"/>
      <c r="H673" s="51"/>
    </row>
    <row r="674" spans="1:8" x14ac:dyDescent="0.25">
      <c r="A674" s="52"/>
      <c r="B674" s="93"/>
      <c r="C674" s="53"/>
      <c r="D674" s="53"/>
      <c r="E674" s="53"/>
      <c r="F674" s="94"/>
      <c r="G674" s="96"/>
      <c r="H674" s="51"/>
    </row>
    <row r="675" spans="1:8" x14ac:dyDescent="0.25">
      <c r="A675" s="52"/>
      <c r="B675" s="93"/>
      <c r="C675" s="53"/>
      <c r="D675" s="53"/>
      <c r="E675" s="53"/>
      <c r="F675" s="94"/>
      <c r="G675" s="96"/>
      <c r="H675" s="51"/>
    </row>
    <row r="676" spans="1:8" x14ac:dyDescent="0.25">
      <c r="A676" s="52"/>
      <c r="B676" s="93"/>
      <c r="C676" s="53"/>
      <c r="D676" s="53"/>
      <c r="E676" s="53"/>
      <c r="F676" s="94"/>
      <c r="G676" s="96"/>
      <c r="H676" s="51"/>
    </row>
    <row r="677" spans="1:8" x14ac:dyDescent="0.25">
      <c r="A677" s="52"/>
      <c r="B677" s="93"/>
      <c r="C677" s="53"/>
      <c r="D677" s="53"/>
      <c r="E677" s="53"/>
      <c r="F677" s="94"/>
      <c r="G677" s="96"/>
      <c r="H677" s="51"/>
    </row>
    <row r="678" spans="1:8" x14ac:dyDescent="0.25">
      <c r="A678" s="52"/>
      <c r="B678" s="93"/>
      <c r="C678" s="53"/>
      <c r="D678" s="53"/>
      <c r="E678" s="53"/>
      <c r="F678" s="94"/>
      <c r="G678" s="96"/>
      <c r="H678" s="51"/>
    </row>
    <row r="679" spans="1:8" x14ac:dyDescent="0.25">
      <c r="A679" s="52"/>
      <c r="B679" s="93"/>
      <c r="C679" s="53"/>
      <c r="D679" s="53"/>
      <c r="E679" s="53"/>
      <c r="F679" s="94"/>
      <c r="G679" s="96"/>
      <c r="H679" s="51"/>
    </row>
    <row r="680" spans="1:8" x14ac:dyDescent="0.25">
      <c r="A680" s="52"/>
      <c r="B680" s="93"/>
      <c r="C680" s="53"/>
      <c r="D680" s="53"/>
      <c r="E680" s="53"/>
      <c r="F680" s="94"/>
      <c r="G680" s="96"/>
      <c r="H680" s="51"/>
    </row>
    <row r="681" spans="1:8" x14ac:dyDescent="0.25">
      <c r="A681" s="52"/>
      <c r="B681" s="53"/>
      <c r="C681" s="53"/>
      <c r="D681" s="93"/>
      <c r="E681" s="53"/>
      <c r="F681" s="65"/>
      <c r="G681" s="53"/>
      <c r="H681" s="51"/>
    </row>
    <row r="682" spans="1:8" x14ac:dyDescent="0.25">
      <c r="A682" s="45"/>
      <c r="B682" s="45"/>
      <c r="C682" s="45"/>
      <c r="D682" s="97"/>
      <c r="E682" s="45"/>
      <c r="F682" s="102"/>
      <c r="G682" s="45"/>
      <c r="H682" s="45"/>
    </row>
    <row r="683" spans="1:8" x14ac:dyDescent="0.25">
      <c r="A683" s="100"/>
      <c r="B683" s="100"/>
      <c r="C683" s="100"/>
      <c r="D683" s="100"/>
      <c r="E683" s="100"/>
      <c r="F683" s="101"/>
      <c r="G683" s="100"/>
      <c r="H683" s="100"/>
    </row>
    <row r="684" spans="1:8" x14ac:dyDescent="0.25">
      <c r="A684" s="44"/>
      <c r="B684" s="45"/>
      <c r="C684" s="45"/>
      <c r="D684" s="45"/>
      <c r="E684" s="45"/>
      <c r="F684" s="102"/>
      <c r="G684" s="45"/>
      <c r="H684" s="46"/>
    </row>
    <row r="685" spans="1:8" x14ac:dyDescent="0.25">
      <c r="A685" s="52"/>
      <c r="B685" s="53"/>
      <c r="C685" s="53"/>
      <c r="D685" s="53"/>
      <c r="E685" s="53"/>
      <c r="F685" s="65"/>
      <c r="G685" s="53"/>
      <c r="H685" s="51"/>
    </row>
    <row r="686" spans="1:8" x14ac:dyDescent="0.25">
      <c r="A686" s="47" t="s">
        <v>513</v>
      </c>
      <c r="B686" s="48"/>
      <c r="C686" s="49"/>
      <c r="D686" s="122"/>
      <c r="E686" s="49"/>
      <c r="F686" s="50"/>
      <c r="G686" s="54" t="s">
        <v>514</v>
      </c>
      <c r="H686" s="103"/>
    </row>
    <row r="687" spans="1:8" ht="16.5" thickBot="1" x14ac:dyDescent="0.3">
      <c r="A687" s="52"/>
      <c r="B687" s="53"/>
      <c r="C687" s="53"/>
      <c r="D687" s="53"/>
      <c r="E687" s="53"/>
      <c r="F687" s="65"/>
      <c r="G687" s="53"/>
      <c r="H687" s="51"/>
    </row>
    <row r="688" spans="1:8" ht="16.5" thickBot="1" x14ac:dyDescent="0.3">
      <c r="A688" s="400" t="s">
        <v>381</v>
      </c>
      <c r="B688" s="401"/>
      <c r="C688" s="402" t="s">
        <v>382</v>
      </c>
      <c r="D688" s="401"/>
      <c r="E688" s="55" t="s">
        <v>266</v>
      </c>
      <c r="F688" s="65"/>
      <c r="G688" s="53"/>
      <c r="H688" s="51"/>
    </row>
    <row r="689" spans="1:8" ht="16.5" thickBot="1" x14ac:dyDescent="0.3">
      <c r="A689" s="403">
        <v>0</v>
      </c>
      <c r="B689" s="404"/>
      <c r="C689" s="403">
        <v>0</v>
      </c>
      <c r="D689" s="404"/>
      <c r="E689" s="56">
        <v>1</v>
      </c>
      <c r="F689" s="65"/>
      <c r="G689" s="53"/>
      <c r="H689" s="51"/>
    </row>
    <row r="690" spans="1:8" x14ac:dyDescent="0.25">
      <c r="A690" s="52"/>
      <c r="B690" s="58"/>
      <c r="C690" s="58"/>
      <c r="D690" s="58"/>
      <c r="E690" s="58"/>
      <c r="F690" s="58"/>
      <c r="G690" s="53"/>
      <c r="H690" s="83"/>
    </row>
    <row r="691" spans="1:8" x14ac:dyDescent="0.25">
      <c r="A691" s="59" t="s">
        <v>323</v>
      </c>
      <c r="B691" s="59" t="s">
        <v>266</v>
      </c>
      <c r="C691" s="59" t="s">
        <v>383</v>
      </c>
      <c r="D691" s="59" t="s">
        <v>384</v>
      </c>
      <c r="E691" s="59" t="s">
        <v>332</v>
      </c>
      <c r="F691" s="59" t="s">
        <v>385</v>
      </c>
      <c r="G691" s="59" t="s">
        <v>386</v>
      </c>
      <c r="H691" s="59" t="s">
        <v>387</v>
      </c>
    </row>
    <row r="692" spans="1:8" x14ac:dyDescent="0.25">
      <c r="A692" s="60">
        <v>6901</v>
      </c>
      <c r="B692" s="61">
        <f>1*E689</f>
        <v>1</v>
      </c>
      <c r="C692" s="61" t="s">
        <v>367</v>
      </c>
      <c r="D692" s="61">
        <f>A689-14</f>
        <v>-14</v>
      </c>
      <c r="E692" s="61" t="s">
        <v>340</v>
      </c>
      <c r="F692" s="104" t="s">
        <v>388</v>
      </c>
      <c r="G692" s="63">
        <v>0.69199999999999995</v>
      </c>
      <c r="H692" s="63">
        <f t="shared" ref="H692:H701" si="11">(D692/1000)*B692*G692</f>
        <v>-9.6879999999999987E-3</v>
      </c>
    </row>
    <row r="693" spans="1:8" x14ac:dyDescent="0.25">
      <c r="A693" s="60">
        <v>6902</v>
      </c>
      <c r="B693" s="61">
        <f>1*E689</f>
        <v>1</v>
      </c>
      <c r="C693" s="61" t="s">
        <v>367</v>
      </c>
      <c r="D693" s="61">
        <f>A689-14</f>
        <v>-14</v>
      </c>
      <c r="E693" s="61" t="s">
        <v>340</v>
      </c>
      <c r="F693" s="104" t="s">
        <v>82</v>
      </c>
      <c r="G693" s="63">
        <v>0.67700000000000005</v>
      </c>
      <c r="H693" s="63">
        <f t="shared" si="11"/>
        <v>-9.4780000000000003E-3</v>
      </c>
    </row>
    <row r="694" spans="1:8" x14ac:dyDescent="0.25">
      <c r="A694" s="60">
        <v>6903</v>
      </c>
      <c r="B694" s="61">
        <f>2*E689</f>
        <v>2</v>
      </c>
      <c r="C694" s="61" t="s">
        <v>337</v>
      </c>
      <c r="D694" s="61">
        <f>C689</f>
        <v>0</v>
      </c>
      <c r="E694" s="61" t="s">
        <v>340</v>
      </c>
      <c r="F694" s="104" t="s">
        <v>83</v>
      </c>
      <c r="G694" s="63">
        <v>0.55000000000000004</v>
      </c>
      <c r="H694" s="63">
        <f t="shared" si="11"/>
        <v>0</v>
      </c>
    </row>
    <row r="695" spans="1:8" x14ac:dyDescent="0.25">
      <c r="A695" s="60">
        <v>6909</v>
      </c>
      <c r="B695" s="61">
        <f>2*E689</f>
        <v>2</v>
      </c>
      <c r="C695" s="61" t="s">
        <v>462</v>
      </c>
      <c r="D695" s="105">
        <f>A689/4-6</f>
        <v>-6</v>
      </c>
      <c r="E695" s="61" t="s">
        <v>340</v>
      </c>
      <c r="F695" s="104" t="s">
        <v>492</v>
      </c>
      <c r="G695" s="63">
        <v>0.52</v>
      </c>
      <c r="H695" s="63">
        <f t="shared" si="11"/>
        <v>-6.2400000000000008E-3</v>
      </c>
    </row>
    <row r="696" spans="1:8" x14ac:dyDescent="0.25">
      <c r="A696" s="60">
        <v>6910</v>
      </c>
      <c r="B696" s="61">
        <f>2*E689</f>
        <v>2</v>
      </c>
      <c r="C696" s="61" t="s">
        <v>440</v>
      </c>
      <c r="D696" s="61">
        <f>A689/2-6</f>
        <v>-6</v>
      </c>
      <c r="E696" s="61" t="s">
        <v>340</v>
      </c>
      <c r="F696" s="104" t="s">
        <v>493</v>
      </c>
      <c r="G696" s="63">
        <v>0.56899999999999995</v>
      </c>
      <c r="H696" s="63">
        <f t="shared" si="11"/>
        <v>-6.8279999999999999E-3</v>
      </c>
    </row>
    <row r="697" spans="1:8" x14ac:dyDescent="0.25">
      <c r="A697" s="60">
        <v>6909</v>
      </c>
      <c r="B697" s="61">
        <f>2*E689</f>
        <v>2</v>
      </c>
      <c r="C697" s="61" t="s">
        <v>429</v>
      </c>
      <c r="D697" s="61">
        <f>A689/4-13</f>
        <v>-13</v>
      </c>
      <c r="E697" s="61" t="s">
        <v>340</v>
      </c>
      <c r="F697" s="104" t="s">
        <v>492</v>
      </c>
      <c r="G697" s="63">
        <v>0.52</v>
      </c>
      <c r="H697" s="63">
        <f t="shared" si="11"/>
        <v>-1.3519999999999999E-2</v>
      </c>
    </row>
    <row r="698" spans="1:8" x14ac:dyDescent="0.25">
      <c r="A698" s="60">
        <v>6910</v>
      </c>
      <c r="B698" s="61">
        <f>2*E689</f>
        <v>2</v>
      </c>
      <c r="C698" s="61" t="s">
        <v>389</v>
      </c>
      <c r="D698" s="61">
        <f>A689/2-13</f>
        <v>-13</v>
      </c>
      <c r="E698" s="61" t="s">
        <v>340</v>
      </c>
      <c r="F698" s="104" t="s">
        <v>493</v>
      </c>
      <c r="G698" s="63">
        <v>0.56899999999999995</v>
      </c>
      <c r="H698" s="63">
        <f t="shared" si="11"/>
        <v>-1.4793999999999998E-2</v>
      </c>
    </row>
    <row r="699" spans="1:8" x14ac:dyDescent="0.25">
      <c r="A699" s="60">
        <v>6911</v>
      </c>
      <c r="B699" s="61">
        <f>4*E689</f>
        <v>4</v>
      </c>
      <c r="C699" s="61" t="s">
        <v>470</v>
      </c>
      <c r="D699" s="61">
        <f>C689-38</f>
        <v>-38</v>
      </c>
      <c r="E699" s="61" t="s">
        <v>340</v>
      </c>
      <c r="F699" s="104" t="s">
        <v>494</v>
      </c>
      <c r="G699" s="63">
        <v>0.86399999999999999</v>
      </c>
      <c r="H699" s="63">
        <f t="shared" si="11"/>
        <v>-0.131328</v>
      </c>
    </row>
    <row r="700" spans="1:8" x14ac:dyDescent="0.25">
      <c r="A700" s="60">
        <v>6912</v>
      </c>
      <c r="B700" s="61">
        <f>4*E689</f>
        <v>4</v>
      </c>
      <c r="C700" s="61" t="s">
        <v>470</v>
      </c>
      <c r="D700" s="61">
        <f>C689-38</f>
        <v>-38</v>
      </c>
      <c r="E700" s="61" t="s">
        <v>340</v>
      </c>
      <c r="F700" s="110" t="s">
        <v>495</v>
      </c>
      <c r="G700" s="63">
        <v>0.78900000000000003</v>
      </c>
      <c r="H700" s="63">
        <f t="shared" si="11"/>
        <v>-0.11992800000000001</v>
      </c>
    </row>
    <row r="701" spans="1:8" x14ac:dyDescent="0.25">
      <c r="A701" s="60">
        <v>6919</v>
      </c>
      <c r="B701" s="61">
        <f>1*E689</f>
        <v>1</v>
      </c>
      <c r="C701" s="61" t="s">
        <v>470</v>
      </c>
      <c r="D701" s="61">
        <f>C689-38</f>
        <v>-38</v>
      </c>
      <c r="E701" s="61" t="s">
        <v>340</v>
      </c>
      <c r="F701" s="110" t="s">
        <v>431</v>
      </c>
      <c r="G701" s="63">
        <v>0.27600000000000002</v>
      </c>
      <c r="H701" s="63">
        <f t="shared" si="11"/>
        <v>-1.0488000000000001E-2</v>
      </c>
    </row>
    <row r="702" spans="1:8" x14ac:dyDescent="0.25">
      <c r="A702" s="64"/>
      <c r="B702" s="65"/>
      <c r="C702" s="65"/>
      <c r="D702" s="65"/>
      <c r="E702" s="65"/>
      <c r="F702" s="65"/>
      <c r="G702" s="63" t="s">
        <v>392</v>
      </c>
      <c r="H702" s="63">
        <f>SUM(H692:H701)</f>
        <v>-0.32229199999999997</v>
      </c>
    </row>
    <row r="703" spans="1:8" x14ac:dyDescent="0.25">
      <c r="A703" s="64"/>
      <c r="B703" s="65"/>
      <c r="C703" s="65"/>
      <c r="D703" s="65"/>
      <c r="E703" s="65"/>
      <c r="F703" s="65"/>
      <c r="G703" s="66"/>
      <c r="H703" s="67"/>
    </row>
    <row r="704" spans="1:8" x14ac:dyDescent="0.25">
      <c r="A704" s="64"/>
      <c r="B704" s="65"/>
      <c r="C704" s="65"/>
      <c r="D704" s="65"/>
      <c r="E704" s="65"/>
      <c r="F704" s="65"/>
      <c r="G704" s="68"/>
      <c r="H704" s="67"/>
    </row>
    <row r="705" spans="1:8" x14ac:dyDescent="0.25">
      <c r="A705" s="69" t="s">
        <v>393</v>
      </c>
      <c r="B705" s="70"/>
      <c r="C705" s="70"/>
      <c r="D705" s="71"/>
      <c r="E705" s="59" t="s">
        <v>36</v>
      </c>
      <c r="F705" s="59" t="s">
        <v>266</v>
      </c>
      <c r="G705" s="52"/>
      <c r="H705" s="72"/>
    </row>
    <row r="706" spans="1:8" x14ac:dyDescent="0.25">
      <c r="A706" s="73" t="s">
        <v>496</v>
      </c>
      <c r="B706" s="74"/>
      <c r="C706" s="70"/>
      <c r="D706" s="71"/>
      <c r="E706" s="127">
        <f>F706*E689</f>
        <v>2</v>
      </c>
      <c r="F706" s="61">
        <v>2</v>
      </c>
      <c r="G706" s="76"/>
      <c r="H706" s="77"/>
    </row>
    <row r="707" spans="1:8" x14ac:dyDescent="0.25">
      <c r="A707" s="73" t="s">
        <v>395</v>
      </c>
      <c r="B707" s="74"/>
      <c r="C707" s="70"/>
      <c r="D707" s="71"/>
      <c r="E707" s="128">
        <f>F707*E689</f>
        <v>1</v>
      </c>
      <c r="F707" s="61">
        <v>1</v>
      </c>
      <c r="G707" s="76"/>
      <c r="H707" s="77"/>
    </row>
    <row r="708" spans="1:8" x14ac:dyDescent="0.25">
      <c r="A708" s="73" t="s">
        <v>396</v>
      </c>
      <c r="B708" s="74"/>
      <c r="C708" s="70"/>
      <c r="D708" s="71"/>
      <c r="E708" s="128">
        <f>F708*E689</f>
        <v>1</v>
      </c>
      <c r="F708" s="61">
        <v>1</v>
      </c>
      <c r="G708" s="65"/>
      <c r="H708" s="77"/>
    </row>
    <row r="709" spans="1:8" x14ac:dyDescent="0.25">
      <c r="A709" s="73" t="s">
        <v>497</v>
      </c>
      <c r="B709" s="74"/>
      <c r="C709" s="70"/>
      <c r="D709" s="71"/>
      <c r="E709" s="128">
        <f>F709*E689</f>
        <v>2</v>
      </c>
      <c r="F709" s="61">
        <v>2</v>
      </c>
      <c r="G709" s="65"/>
      <c r="H709" s="77"/>
    </row>
    <row r="710" spans="1:8" x14ac:dyDescent="0.25">
      <c r="A710" s="73" t="s">
        <v>498</v>
      </c>
      <c r="B710" s="74"/>
      <c r="C710" s="70"/>
      <c r="D710" s="71"/>
      <c r="E710" s="128">
        <f>F710*E689</f>
        <v>2</v>
      </c>
      <c r="F710" s="61">
        <v>2</v>
      </c>
      <c r="G710" s="65"/>
      <c r="H710" s="77"/>
    </row>
    <row r="711" spans="1:8" x14ac:dyDescent="0.25">
      <c r="A711" s="73" t="s">
        <v>399</v>
      </c>
      <c r="B711" s="74"/>
      <c r="C711" s="70"/>
      <c r="D711" s="71"/>
      <c r="E711" s="128">
        <f>4*(A689/1000)+10*(C689/1000)*E689</f>
        <v>0</v>
      </c>
      <c r="F711" s="61" t="s">
        <v>487</v>
      </c>
      <c r="G711" s="64"/>
      <c r="H711" s="77"/>
    </row>
    <row r="712" spans="1:8" x14ac:dyDescent="0.25">
      <c r="A712" s="73" t="s">
        <v>401</v>
      </c>
      <c r="B712" s="74"/>
      <c r="C712" s="70"/>
      <c r="D712" s="71"/>
      <c r="E712" s="128">
        <f>2*(A689/1000)+8*(C689/1000)*E689</f>
        <v>0</v>
      </c>
      <c r="F712" s="61" t="s">
        <v>432</v>
      </c>
      <c r="G712" s="64"/>
      <c r="H712" s="77"/>
    </row>
    <row r="713" spans="1:8" x14ac:dyDescent="0.25">
      <c r="A713" s="73" t="s">
        <v>473</v>
      </c>
      <c r="B713" s="74"/>
      <c r="C713" s="70"/>
      <c r="D713" s="71"/>
      <c r="E713" s="128">
        <f>F713*E689</f>
        <v>8</v>
      </c>
      <c r="F713" s="61">
        <v>8</v>
      </c>
      <c r="G713" s="76"/>
      <c r="H713" s="77"/>
    </row>
    <row r="714" spans="1:8" x14ac:dyDescent="0.25">
      <c r="A714" s="73" t="s">
        <v>404</v>
      </c>
      <c r="B714" s="74"/>
      <c r="C714" s="70"/>
      <c r="D714" s="71"/>
      <c r="E714" s="128">
        <f>F714*E689</f>
        <v>8</v>
      </c>
      <c r="F714" s="61">
        <v>8</v>
      </c>
      <c r="G714" s="53"/>
      <c r="H714" s="80"/>
    </row>
    <row r="715" spans="1:8" x14ac:dyDescent="0.25">
      <c r="A715" s="73" t="s">
        <v>405</v>
      </c>
      <c r="B715" s="74"/>
      <c r="C715" s="70"/>
      <c r="D715" s="71"/>
      <c r="E715" s="128">
        <f>F715*E689</f>
        <v>16</v>
      </c>
      <c r="F715" s="61">
        <v>16</v>
      </c>
      <c r="G715" s="53"/>
      <c r="H715" s="80"/>
    </row>
    <row r="716" spans="1:8" x14ac:dyDescent="0.25">
      <c r="A716" s="73" t="s">
        <v>500</v>
      </c>
      <c r="B716" s="74"/>
      <c r="C716" s="70"/>
      <c r="D716" s="71"/>
      <c r="E716" s="128">
        <f>F716*E689</f>
        <v>1</v>
      </c>
      <c r="F716" s="61">
        <v>1</v>
      </c>
      <c r="G716" s="53"/>
      <c r="H716" s="80"/>
    </row>
    <row r="717" spans="1:8" x14ac:dyDescent="0.25">
      <c r="A717" s="73" t="s">
        <v>501</v>
      </c>
      <c r="B717" s="74"/>
      <c r="C717" s="70"/>
      <c r="D717" s="71"/>
      <c r="E717" s="128">
        <f>F717*E689</f>
        <v>1</v>
      </c>
      <c r="F717" s="61">
        <v>1</v>
      </c>
      <c r="G717" s="53"/>
      <c r="H717" s="80"/>
    </row>
    <row r="718" spans="1:8" x14ac:dyDescent="0.25">
      <c r="A718" s="73" t="s">
        <v>502</v>
      </c>
      <c r="B718" s="74"/>
      <c r="C718" s="70"/>
      <c r="D718" s="71"/>
      <c r="E718" s="128">
        <f>F718*E689</f>
        <v>1</v>
      </c>
      <c r="F718" s="61">
        <v>1</v>
      </c>
      <c r="G718" s="53"/>
      <c r="H718" s="80"/>
    </row>
    <row r="719" spans="1:8" x14ac:dyDescent="0.25">
      <c r="A719" s="73" t="s">
        <v>503</v>
      </c>
      <c r="B719" s="74"/>
      <c r="C719" s="70"/>
      <c r="D719" s="71"/>
      <c r="E719" s="128">
        <f>F719*E689</f>
        <v>1</v>
      </c>
      <c r="F719" s="61">
        <v>1</v>
      </c>
      <c r="G719" s="53"/>
      <c r="H719" s="80"/>
    </row>
    <row r="720" spans="1:8" x14ac:dyDescent="0.25">
      <c r="A720" s="73" t="s">
        <v>504</v>
      </c>
      <c r="B720" s="74"/>
      <c r="C720" s="70"/>
      <c r="D720" s="71"/>
      <c r="E720" s="128">
        <f>F720*E689</f>
        <v>1</v>
      </c>
      <c r="F720" s="61">
        <v>1</v>
      </c>
      <c r="G720" s="53"/>
      <c r="H720" s="80"/>
    </row>
    <row r="721" spans="1:8" x14ac:dyDescent="0.25">
      <c r="A721" s="73" t="s">
        <v>505</v>
      </c>
      <c r="B721" s="74"/>
      <c r="C721" s="70"/>
      <c r="D721" s="71"/>
      <c r="E721" s="128">
        <f>F721*E689</f>
        <v>8</v>
      </c>
      <c r="F721" s="61">
        <v>8</v>
      </c>
      <c r="G721" s="53"/>
      <c r="H721" s="80"/>
    </row>
    <row r="722" spans="1:8" x14ac:dyDescent="0.25">
      <c r="A722" s="73" t="s">
        <v>506</v>
      </c>
      <c r="B722" s="74"/>
      <c r="C722" s="70"/>
      <c r="D722" s="71"/>
      <c r="E722" s="128">
        <f>F722*E689</f>
        <v>8</v>
      </c>
      <c r="F722" s="61">
        <v>8</v>
      </c>
      <c r="G722" s="82"/>
      <c r="H722" s="51"/>
    </row>
    <row r="723" spans="1:8" x14ac:dyDescent="0.25">
      <c r="A723" s="73" t="s">
        <v>507</v>
      </c>
      <c r="B723" s="74"/>
      <c r="C723" s="70"/>
      <c r="D723" s="71"/>
      <c r="E723" s="128">
        <f>F723*E689</f>
        <v>2</v>
      </c>
      <c r="F723" s="61">
        <v>2</v>
      </c>
      <c r="G723" s="82"/>
      <c r="H723" s="51"/>
    </row>
    <row r="724" spans="1:8" x14ac:dyDescent="0.25">
      <c r="A724" s="73" t="s">
        <v>406</v>
      </c>
      <c r="B724" s="74"/>
      <c r="C724" s="70"/>
      <c r="D724" s="71"/>
      <c r="E724" s="128">
        <f>F724*E689</f>
        <v>2</v>
      </c>
      <c r="F724" s="61">
        <v>2</v>
      </c>
      <c r="G724" s="82"/>
      <c r="H724" s="51"/>
    </row>
    <row r="725" spans="1:8" x14ac:dyDescent="0.25">
      <c r="A725" s="73" t="s">
        <v>408</v>
      </c>
      <c r="B725" s="74"/>
      <c r="C725" s="70"/>
      <c r="D725" s="71"/>
      <c r="E725" s="128">
        <f>F725*E689</f>
        <v>2</v>
      </c>
      <c r="F725" s="61">
        <v>2</v>
      </c>
      <c r="G725" s="82"/>
      <c r="H725" s="51"/>
    </row>
    <row r="726" spans="1:8" x14ac:dyDescent="0.25">
      <c r="A726" s="73" t="s">
        <v>515</v>
      </c>
      <c r="B726" s="74"/>
      <c r="C726" s="70"/>
      <c r="D726" s="71"/>
      <c r="E726" s="128">
        <f>F726*E689</f>
        <v>2</v>
      </c>
      <c r="F726" s="61">
        <v>2</v>
      </c>
      <c r="G726" s="82"/>
      <c r="H726" s="51"/>
    </row>
    <row r="727" spans="1:8" x14ac:dyDescent="0.25">
      <c r="A727" s="73" t="s">
        <v>412</v>
      </c>
      <c r="B727" s="70"/>
      <c r="C727" s="70"/>
      <c r="D727" s="70"/>
      <c r="E727" s="107">
        <f>F727*E689</f>
        <v>24</v>
      </c>
      <c r="F727" s="61">
        <v>24</v>
      </c>
      <c r="G727" s="53"/>
      <c r="H727" s="83"/>
    </row>
    <row r="728" spans="1:8" x14ac:dyDescent="0.25">
      <c r="A728" s="79"/>
      <c r="B728" s="53"/>
      <c r="C728" s="53"/>
      <c r="D728" s="53"/>
      <c r="E728" s="129"/>
      <c r="F728" s="65"/>
      <c r="G728" s="53"/>
      <c r="H728" s="83"/>
    </row>
    <row r="729" spans="1:8" x14ac:dyDescent="0.25">
      <c r="A729" s="52"/>
      <c r="B729" s="53"/>
      <c r="C729" s="53"/>
      <c r="D729" s="53"/>
      <c r="E729" s="53"/>
      <c r="F729" s="65"/>
      <c r="G729" s="53"/>
      <c r="H729" s="83"/>
    </row>
    <row r="730" spans="1:8" x14ac:dyDescent="0.25">
      <c r="A730" s="59" t="s">
        <v>413</v>
      </c>
      <c r="B730" s="84" t="s">
        <v>266</v>
      </c>
      <c r="C730" s="84" t="s">
        <v>383</v>
      </c>
      <c r="D730" s="405" t="s">
        <v>414</v>
      </c>
      <c r="E730" s="406"/>
      <c r="F730" s="85" t="s">
        <v>415</v>
      </c>
      <c r="G730" s="59" t="s">
        <v>416</v>
      </c>
      <c r="H730" s="86"/>
    </row>
    <row r="731" spans="1:8" x14ac:dyDescent="0.25">
      <c r="A731" s="61"/>
      <c r="B731" s="89">
        <f>2*E689</f>
        <v>2</v>
      </c>
      <c r="C731" s="124" t="s">
        <v>516</v>
      </c>
      <c r="D731" s="407">
        <f>A689/4-60</f>
        <v>-60</v>
      </c>
      <c r="E731" s="408"/>
      <c r="F731" s="90">
        <f>C689-124</f>
        <v>-124</v>
      </c>
      <c r="G731" s="91">
        <f>+(D731/1000)*(F731/1000)*B731</f>
        <v>1.4879999999999999E-2</v>
      </c>
      <c r="H731" s="83"/>
    </row>
    <row r="732" spans="1:8" x14ac:dyDescent="0.25">
      <c r="A732" s="87"/>
      <c r="B732" s="89">
        <f>2*E689</f>
        <v>2</v>
      </c>
      <c r="C732" s="124" t="s">
        <v>517</v>
      </c>
      <c r="D732" s="407">
        <f>A689/4-68</f>
        <v>-68</v>
      </c>
      <c r="E732" s="408"/>
      <c r="F732" s="61">
        <f>C689-124</f>
        <v>-124</v>
      </c>
      <c r="G732" s="91">
        <f>+(D732/1000)*(F732/1000)*B732</f>
        <v>1.6864000000000001E-2</v>
      </c>
      <c r="H732" s="92"/>
    </row>
    <row r="733" spans="1:8" x14ac:dyDescent="0.25">
      <c r="A733" s="52"/>
      <c r="B733" s="93"/>
      <c r="C733" s="53"/>
      <c r="D733" s="53"/>
      <c r="E733" s="53"/>
      <c r="F733" s="94" t="s">
        <v>418</v>
      </c>
      <c r="G733" s="95">
        <f>SUM(G731:G732)</f>
        <v>3.1744000000000001E-2</v>
      </c>
      <c r="H733" s="51"/>
    </row>
    <row r="734" spans="1:8" x14ac:dyDescent="0.25">
      <c r="A734" s="52"/>
      <c r="B734" s="53"/>
      <c r="C734" s="53"/>
      <c r="D734" s="53"/>
      <c r="E734" s="53"/>
      <c r="F734" s="65"/>
      <c r="G734" s="53"/>
      <c r="H734" s="51"/>
    </row>
    <row r="735" spans="1:8" x14ac:dyDescent="0.25">
      <c r="A735" s="52"/>
      <c r="B735" s="53"/>
      <c r="C735" s="53"/>
      <c r="D735" s="53"/>
      <c r="E735" s="53"/>
      <c r="F735" s="65"/>
      <c r="G735" s="53"/>
      <c r="H735" s="51"/>
    </row>
    <row r="736" spans="1:8" x14ac:dyDescent="0.25">
      <c r="A736" s="52"/>
      <c r="B736" s="53"/>
      <c r="C736" s="53"/>
      <c r="D736" s="53"/>
      <c r="E736" s="53"/>
      <c r="F736" s="65"/>
      <c r="G736" s="53"/>
      <c r="H736" s="51"/>
    </row>
    <row r="737" spans="1:8" x14ac:dyDescent="0.25">
      <c r="A737" s="52"/>
      <c r="B737" s="53"/>
      <c r="C737" s="53"/>
      <c r="D737" s="53"/>
      <c r="E737" s="53"/>
      <c r="F737" s="65"/>
      <c r="G737" s="53"/>
      <c r="H737" s="51"/>
    </row>
    <row r="738" spans="1:8" x14ac:dyDescent="0.25">
      <c r="A738" s="52"/>
      <c r="B738" s="53"/>
      <c r="C738" s="53"/>
      <c r="D738" s="53"/>
      <c r="E738" s="53"/>
      <c r="F738" s="65"/>
      <c r="G738" s="53"/>
      <c r="H738" s="51"/>
    </row>
    <row r="739" spans="1:8" x14ac:dyDescent="0.25">
      <c r="A739" s="52"/>
      <c r="B739" s="53"/>
      <c r="C739" s="53"/>
      <c r="D739" s="53"/>
      <c r="E739" s="53"/>
      <c r="F739" s="65"/>
      <c r="G739" s="53"/>
      <c r="H739" s="51"/>
    </row>
    <row r="740" spans="1:8" x14ac:dyDescent="0.25">
      <c r="A740" s="52"/>
      <c r="B740" s="53"/>
      <c r="C740" s="53"/>
      <c r="D740" s="53"/>
      <c r="E740" s="53"/>
      <c r="F740" s="65"/>
      <c r="G740" s="53"/>
      <c r="H740" s="51"/>
    </row>
    <row r="741" spans="1:8" x14ac:dyDescent="0.25">
      <c r="A741" s="52"/>
      <c r="B741" s="53"/>
      <c r="C741" s="53"/>
      <c r="D741" s="53"/>
      <c r="E741" s="53"/>
      <c r="F741" s="65"/>
      <c r="G741" s="53"/>
      <c r="H741" s="51"/>
    </row>
    <row r="742" spans="1:8" x14ac:dyDescent="0.25">
      <c r="A742" s="52"/>
      <c r="B742" s="53"/>
      <c r="C742" s="53"/>
      <c r="D742" s="53"/>
      <c r="E742" s="53"/>
      <c r="F742" s="65"/>
      <c r="G742" s="53"/>
      <c r="H742" s="51"/>
    </row>
    <row r="743" spans="1:8" x14ac:dyDescent="0.25">
      <c r="A743" s="52"/>
      <c r="B743" s="53"/>
      <c r="C743" s="53"/>
      <c r="D743" s="53"/>
      <c r="E743" s="53"/>
      <c r="F743" s="65"/>
      <c r="G743" s="53"/>
      <c r="H743" s="51"/>
    </row>
    <row r="744" spans="1:8" x14ac:dyDescent="0.25">
      <c r="A744" s="52"/>
      <c r="B744" s="53"/>
      <c r="C744" s="53"/>
      <c r="D744" s="53"/>
      <c r="E744" s="53"/>
      <c r="F744" s="65"/>
      <c r="G744" s="53"/>
      <c r="H744" s="51"/>
    </row>
    <row r="745" spans="1:8" x14ac:dyDescent="0.25">
      <c r="A745" s="52"/>
      <c r="B745" s="53"/>
      <c r="C745" s="53"/>
      <c r="D745" s="53"/>
      <c r="E745" s="53"/>
      <c r="F745" s="65"/>
      <c r="G745" s="53"/>
      <c r="H745" s="51"/>
    </row>
    <row r="746" spans="1:8" x14ac:dyDescent="0.25">
      <c r="A746" s="52"/>
      <c r="B746" s="53"/>
      <c r="C746" s="53"/>
      <c r="D746" s="53"/>
      <c r="E746" s="53"/>
      <c r="F746" s="65"/>
      <c r="G746" s="53"/>
      <c r="H746" s="51"/>
    </row>
    <row r="747" spans="1:8" x14ac:dyDescent="0.25">
      <c r="A747" s="45"/>
      <c r="B747" s="45"/>
      <c r="C747" s="45"/>
      <c r="D747" s="45"/>
      <c r="E747" s="45"/>
      <c r="F747" s="102"/>
      <c r="G747" s="45"/>
      <c r="H747" s="45"/>
    </row>
    <row r="748" spans="1:8" x14ac:dyDescent="0.25">
      <c r="A748" s="100"/>
      <c r="B748" s="100"/>
      <c r="C748" s="100"/>
      <c r="D748" s="100"/>
      <c r="E748" s="100"/>
      <c r="F748" s="101"/>
      <c r="G748" s="100"/>
      <c r="H748" s="100"/>
    </row>
    <row r="749" spans="1:8" x14ac:dyDescent="0.25">
      <c r="A749" s="44"/>
      <c r="B749" s="45"/>
      <c r="C749" s="45"/>
      <c r="D749" s="45"/>
      <c r="E749" s="45"/>
      <c r="F749" s="102"/>
      <c r="G749" s="45"/>
      <c r="H749" s="46"/>
    </row>
    <row r="750" spans="1:8" x14ac:dyDescent="0.25">
      <c r="A750" s="52"/>
      <c r="B750" s="53"/>
      <c r="C750" s="53"/>
      <c r="D750" s="53"/>
      <c r="E750" s="53"/>
      <c r="F750" s="65"/>
      <c r="G750" s="53"/>
      <c r="H750" s="51"/>
    </row>
    <row r="751" spans="1:8" x14ac:dyDescent="0.25">
      <c r="A751" s="47" t="s">
        <v>518</v>
      </c>
      <c r="B751" s="48"/>
      <c r="C751" s="49"/>
      <c r="D751" s="122"/>
      <c r="E751" s="49"/>
      <c r="F751" s="50"/>
      <c r="G751" s="50"/>
      <c r="H751" s="103"/>
    </row>
    <row r="752" spans="1:8" ht="16.5" thickBot="1" x14ac:dyDescent="0.3">
      <c r="A752" s="52"/>
      <c r="B752" s="53"/>
      <c r="C752" s="53"/>
      <c r="D752" s="53"/>
      <c r="E752" s="53"/>
      <c r="F752" s="65"/>
      <c r="G752" s="54" t="s">
        <v>519</v>
      </c>
      <c r="H752" s="51"/>
    </row>
    <row r="753" spans="1:8" ht="16.5" thickBot="1" x14ac:dyDescent="0.3">
      <c r="A753" s="400" t="s">
        <v>381</v>
      </c>
      <c r="B753" s="401"/>
      <c r="C753" s="402" t="s">
        <v>382</v>
      </c>
      <c r="D753" s="401"/>
      <c r="E753" s="55" t="s">
        <v>266</v>
      </c>
      <c r="F753" s="65"/>
      <c r="G753" s="53"/>
      <c r="H753" s="51"/>
    </row>
    <row r="754" spans="1:8" ht="16.5" thickBot="1" x14ac:dyDescent="0.3">
      <c r="A754" s="403">
        <v>0</v>
      </c>
      <c r="B754" s="404"/>
      <c r="C754" s="403">
        <v>0</v>
      </c>
      <c r="D754" s="404"/>
      <c r="E754" s="56">
        <v>1</v>
      </c>
      <c r="F754" s="65"/>
      <c r="G754" s="53"/>
      <c r="H754" s="51"/>
    </row>
    <row r="755" spans="1:8" x14ac:dyDescent="0.25">
      <c r="A755" s="52"/>
      <c r="B755" s="58"/>
      <c r="C755" s="58"/>
      <c r="D755" s="58"/>
      <c r="E755" s="58"/>
      <c r="F755" s="58"/>
      <c r="G755" s="53"/>
      <c r="H755" s="83"/>
    </row>
    <row r="756" spans="1:8" x14ac:dyDescent="0.25">
      <c r="A756" s="59" t="s">
        <v>323</v>
      </c>
      <c r="B756" s="59" t="s">
        <v>266</v>
      </c>
      <c r="C756" s="59" t="s">
        <v>383</v>
      </c>
      <c r="D756" s="59" t="s">
        <v>384</v>
      </c>
      <c r="E756" s="59" t="s">
        <v>332</v>
      </c>
      <c r="F756" s="59" t="s">
        <v>385</v>
      </c>
      <c r="G756" s="59" t="s">
        <v>386</v>
      </c>
      <c r="H756" s="59" t="s">
        <v>387</v>
      </c>
    </row>
    <row r="757" spans="1:8" x14ac:dyDescent="0.25">
      <c r="A757" s="60">
        <v>6921</v>
      </c>
      <c r="B757" s="61">
        <f>2*E754</f>
        <v>2</v>
      </c>
      <c r="C757" s="61" t="s">
        <v>367</v>
      </c>
      <c r="D757" s="61">
        <f>A754-14</f>
        <v>-14</v>
      </c>
      <c r="E757" s="61" t="s">
        <v>340</v>
      </c>
      <c r="F757" s="104" t="s">
        <v>438</v>
      </c>
      <c r="G757" s="63">
        <v>0.60499999999999998</v>
      </c>
      <c r="H757" s="63">
        <f t="shared" ref="H757:H765" si="12">(D757/1000)*B757*G757</f>
        <v>-1.694E-2</v>
      </c>
    </row>
    <row r="758" spans="1:8" x14ac:dyDescent="0.25">
      <c r="A758" s="60">
        <v>6903</v>
      </c>
      <c r="B758" s="61">
        <f>2*E754</f>
        <v>2</v>
      </c>
      <c r="C758" s="61" t="s">
        <v>337</v>
      </c>
      <c r="D758" s="61">
        <f>C754</f>
        <v>0</v>
      </c>
      <c r="E758" s="61" t="s">
        <v>340</v>
      </c>
      <c r="F758" s="104" t="s">
        <v>83</v>
      </c>
      <c r="G758" s="63">
        <v>0.55000000000000004</v>
      </c>
      <c r="H758" s="63">
        <f t="shared" si="12"/>
        <v>0</v>
      </c>
    </row>
    <row r="759" spans="1:8" x14ac:dyDescent="0.25">
      <c r="A759" s="60">
        <v>6909</v>
      </c>
      <c r="B759" s="61">
        <f>2*E754</f>
        <v>2</v>
      </c>
      <c r="C759" s="61" t="s">
        <v>421</v>
      </c>
      <c r="D759" s="105">
        <f>A754/3-13</f>
        <v>-13</v>
      </c>
      <c r="E759" s="61" t="s">
        <v>340</v>
      </c>
      <c r="F759" s="110" t="s">
        <v>520</v>
      </c>
      <c r="G759" s="63">
        <v>0.52</v>
      </c>
      <c r="H759" s="63">
        <f t="shared" si="12"/>
        <v>-1.3519999999999999E-2</v>
      </c>
    </row>
    <row r="760" spans="1:8" x14ac:dyDescent="0.25">
      <c r="A760" s="60">
        <v>6910</v>
      </c>
      <c r="B760" s="61">
        <f>2*E754</f>
        <v>2</v>
      </c>
      <c r="C760" s="61" t="s">
        <v>421</v>
      </c>
      <c r="D760" s="105">
        <f>A754/3-13</f>
        <v>-13</v>
      </c>
      <c r="E760" s="61" t="s">
        <v>340</v>
      </c>
      <c r="F760" s="110" t="s">
        <v>493</v>
      </c>
      <c r="G760" s="63">
        <v>0.56899999999999995</v>
      </c>
      <c r="H760" s="63">
        <f t="shared" si="12"/>
        <v>-1.4793999999999998E-2</v>
      </c>
    </row>
    <row r="761" spans="1:8" x14ac:dyDescent="0.25">
      <c r="A761" s="60">
        <v>6922</v>
      </c>
      <c r="B761" s="61">
        <f>2*E754</f>
        <v>2</v>
      </c>
      <c r="C761" s="61" t="s">
        <v>521</v>
      </c>
      <c r="D761" s="105">
        <f>A754/3-36</f>
        <v>-36</v>
      </c>
      <c r="E761" s="61" t="s">
        <v>340</v>
      </c>
      <c r="F761" s="110" t="s">
        <v>522</v>
      </c>
      <c r="G761" s="63">
        <v>0.28199999999999997</v>
      </c>
      <c r="H761" s="63">
        <f t="shared" si="12"/>
        <v>-2.0303999999999996E-2</v>
      </c>
    </row>
    <row r="762" spans="1:8" x14ac:dyDescent="0.25">
      <c r="A762" s="60">
        <v>6911</v>
      </c>
      <c r="B762" s="61">
        <f>2*E754</f>
        <v>2</v>
      </c>
      <c r="C762" s="61" t="s">
        <v>523</v>
      </c>
      <c r="D762" s="61">
        <f>C754-46</f>
        <v>-46</v>
      </c>
      <c r="E762" s="61" t="s">
        <v>340</v>
      </c>
      <c r="F762" s="110" t="s">
        <v>494</v>
      </c>
      <c r="G762" s="63">
        <v>0.86399999999999999</v>
      </c>
      <c r="H762" s="63">
        <f t="shared" si="12"/>
        <v>-7.9488000000000003E-2</v>
      </c>
    </row>
    <row r="763" spans="1:8" x14ac:dyDescent="0.25">
      <c r="A763" s="60">
        <v>6912</v>
      </c>
      <c r="B763" s="61">
        <f>2*E754</f>
        <v>2</v>
      </c>
      <c r="C763" s="61" t="s">
        <v>523</v>
      </c>
      <c r="D763" s="61">
        <f>C754-46</f>
        <v>-46</v>
      </c>
      <c r="E763" s="61" t="s">
        <v>340</v>
      </c>
      <c r="F763" s="110" t="s">
        <v>495</v>
      </c>
      <c r="G763" s="63">
        <v>0.78900000000000003</v>
      </c>
      <c r="H763" s="63">
        <f t="shared" si="12"/>
        <v>-7.2588E-2</v>
      </c>
    </row>
    <row r="764" spans="1:8" x14ac:dyDescent="0.25">
      <c r="A764" s="60">
        <v>6927</v>
      </c>
      <c r="B764" s="61">
        <f>2*E754</f>
        <v>2</v>
      </c>
      <c r="C764" s="61" t="s">
        <v>444</v>
      </c>
      <c r="D764" s="61">
        <f>C754-20</f>
        <v>-20</v>
      </c>
      <c r="E764" s="61" t="s">
        <v>340</v>
      </c>
      <c r="F764" s="110" t="s">
        <v>524</v>
      </c>
      <c r="G764" s="63">
        <v>0.56100000000000005</v>
      </c>
      <c r="H764" s="63">
        <f t="shared" si="12"/>
        <v>-2.2440000000000002E-2</v>
      </c>
    </row>
    <row r="765" spans="1:8" x14ac:dyDescent="0.25">
      <c r="A765" s="60">
        <v>6928</v>
      </c>
      <c r="B765" s="61">
        <f>2*E754</f>
        <v>2</v>
      </c>
      <c r="C765" s="61" t="s">
        <v>444</v>
      </c>
      <c r="D765" s="61">
        <f>C754-20</f>
        <v>-20</v>
      </c>
      <c r="E765" s="61" t="s">
        <v>340</v>
      </c>
      <c r="F765" s="110" t="s">
        <v>525</v>
      </c>
      <c r="G765" s="63">
        <v>0.192</v>
      </c>
      <c r="H765" s="63">
        <f t="shared" si="12"/>
        <v>-7.6800000000000002E-3</v>
      </c>
    </row>
    <row r="766" spans="1:8" x14ac:dyDescent="0.25">
      <c r="A766" s="64"/>
      <c r="B766" s="65"/>
      <c r="C766" s="65"/>
      <c r="D766" s="65"/>
      <c r="E766" s="65"/>
      <c r="F766" s="65"/>
      <c r="G766" s="63" t="s">
        <v>392</v>
      </c>
      <c r="H766" s="63">
        <f>SUM(H757:H765)</f>
        <v>-0.247754</v>
      </c>
    </row>
    <row r="767" spans="1:8" x14ac:dyDescent="0.25">
      <c r="A767" s="64"/>
      <c r="B767" s="65"/>
      <c r="C767" s="65"/>
      <c r="D767" s="65"/>
      <c r="E767" s="65"/>
      <c r="F767" s="65"/>
      <c r="G767" s="66"/>
      <c r="H767" s="67"/>
    </row>
    <row r="768" spans="1:8" x14ac:dyDescent="0.25">
      <c r="A768" s="64"/>
      <c r="B768" s="65"/>
      <c r="C768" s="65"/>
      <c r="D768" s="65"/>
      <c r="E768" s="65"/>
      <c r="F768" s="65"/>
      <c r="G768" s="68"/>
      <c r="H768" s="67"/>
    </row>
    <row r="769" spans="1:8" x14ac:dyDescent="0.25">
      <c r="A769" s="69" t="s">
        <v>393</v>
      </c>
      <c r="B769" s="70"/>
      <c r="C769" s="70"/>
      <c r="D769" s="71"/>
      <c r="E769" s="59" t="s">
        <v>36</v>
      </c>
      <c r="F769" s="59" t="s">
        <v>266</v>
      </c>
      <c r="G769" s="52"/>
      <c r="H769" s="72"/>
    </row>
    <row r="770" spans="1:8" x14ac:dyDescent="0.25">
      <c r="A770" s="73" t="s">
        <v>446</v>
      </c>
      <c r="B770" s="74"/>
      <c r="C770" s="70"/>
      <c r="D770" s="71"/>
      <c r="E770" s="114">
        <f>F770*E754</f>
        <v>2</v>
      </c>
      <c r="F770" s="61">
        <v>2</v>
      </c>
      <c r="G770" s="76"/>
      <c r="H770" s="77"/>
    </row>
    <row r="771" spans="1:8" x14ac:dyDescent="0.25">
      <c r="A771" s="73" t="s">
        <v>447</v>
      </c>
      <c r="B771" s="74"/>
      <c r="C771" s="70"/>
      <c r="D771" s="71"/>
      <c r="E771" s="115">
        <f>F771*E754</f>
        <v>2</v>
      </c>
      <c r="F771" s="61">
        <v>2</v>
      </c>
      <c r="G771" s="76"/>
      <c r="H771" s="77"/>
    </row>
    <row r="772" spans="1:8" x14ac:dyDescent="0.25">
      <c r="A772" s="73" t="s">
        <v>450</v>
      </c>
      <c r="B772" s="74"/>
      <c r="C772" s="70"/>
      <c r="D772" s="71"/>
      <c r="E772" s="115">
        <f>F772*E754</f>
        <v>4</v>
      </c>
      <c r="F772" s="61">
        <v>4</v>
      </c>
      <c r="G772" s="65"/>
      <c r="H772" s="77"/>
    </row>
    <row r="773" spans="1:8" x14ac:dyDescent="0.25">
      <c r="A773" s="73" t="s">
        <v>399</v>
      </c>
      <c r="B773" s="74"/>
      <c r="C773" s="70"/>
      <c r="D773" s="71"/>
      <c r="E773" s="115">
        <f>3*(A754/1000)+8*(C754/1000)*E754</f>
        <v>0</v>
      </c>
      <c r="F773" s="61" t="s">
        <v>526</v>
      </c>
      <c r="G773" s="64"/>
      <c r="H773" s="77"/>
    </row>
    <row r="774" spans="1:8" x14ac:dyDescent="0.25">
      <c r="A774" s="73" t="s">
        <v>527</v>
      </c>
      <c r="B774" s="74"/>
      <c r="C774" s="70"/>
      <c r="D774" s="71"/>
      <c r="E774" s="115">
        <f>3*(A754/1000)+4*(C754/1000)*E754</f>
        <v>0</v>
      </c>
      <c r="F774" s="61" t="s">
        <v>456</v>
      </c>
      <c r="G774" s="64"/>
      <c r="H774" s="77"/>
    </row>
    <row r="775" spans="1:8" x14ac:dyDescent="0.25">
      <c r="A775" s="73" t="s">
        <v>528</v>
      </c>
      <c r="B775" s="74"/>
      <c r="C775" s="70"/>
      <c r="D775" s="71"/>
      <c r="E775" s="115">
        <f>(A754/1000)+2*(C754/1000)*E754</f>
        <v>0</v>
      </c>
      <c r="F775" s="61" t="s">
        <v>529</v>
      </c>
      <c r="G775" s="64"/>
      <c r="H775" s="77"/>
    </row>
    <row r="776" spans="1:8" x14ac:dyDescent="0.25">
      <c r="A776" s="73" t="s">
        <v>530</v>
      </c>
      <c r="B776" s="74"/>
      <c r="C776" s="70"/>
      <c r="D776" s="71"/>
      <c r="E776" s="115">
        <f>(A754/1000)+2*(C754/1000)*E754</f>
        <v>0</v>
      </c>
      <c r="F776" s="61" t="s">
        <v>529</v>
      </c>
      <c r="G776" s="64"/>
      <c r="H776" s="77"/>
    </row>
    <row r="777" spans="1:8" x14ac:dyDescent="0.25">
      <c r="A777" s="73" t="s">
        <v>531</v>
      </c>
      <c r="B777" s="74"/>
      <c r="C777" s="70"/>
      <c r="D777" s="71"/>
      <c r="E777" s="115">
        <f>F777*E754</f>
        <v>4</v>
      </c>
      <c r="F777" s="61">
        <v>4</v>
      </c>
      <c r="G777" s="76"/>
      <c r="H777" s="77"/>
    </row>
    <row r="778" spans="1:8" x14ac:dyDescent="0.25">
      <c r="A778" s="73" t="s">
        <v>404</v>
      </c>
      <c r="B778" s="74"/>
      <c r="C778" s="70"/>
      <c r="D778" s="71"/>
      <c r="E778" s="115">
        <f>F778*E754</f>
        <v>4</v>
      </c>
      <c r="F778" s="61">
        <v>4</v>
      </c>
      <c r="G778" s="53"/>
      <c r="H778" s="80"/>
    </row>
    <row r="779" spans="1:8" x14ac:dyDescent="0.25">
      <c r="A779" s="73" t="s">
        <v>405</v>
      </c>
      <c r="B779" s="74"/>
      <c r="C779" s="70"/>
      <c r="D779" s="71"/>
      <c r="E779" s="115">
        <f>F779*E754</f>
        <v>8</v>
      </c>
      <c r="F779" s="61">
        <v>8</v>
      </c>
      <c r="G779" s="53"/>
      <c r="H779" s="80"/>
    </row>
    <row r="780" spans="1:8" x14ac:dyDescent="0.25">
      <c r="A780" s="73" t="s">
        <v>500</v>
      </c>
      <c r="B780" s="74"/>
      <c r="C780" s="70"/>
      <c r="D780" s="71"/>
      <c r="E780" s="115">
        <f>F780*E754</f>
        <v>2</v>
      </c>
      <c r="F780" s="61">
        <v>2</v>
      </c>
      <c r="G780" s="53"/>
      <c r="H780" s="80"/>
    </row>
    <row r="781" spans="1:8" x14ac:dyDescent="0.25">
      <c r="A781" s="73" t="s">
        <v>532</v>
      </c>
      <c r="B781" s="74"/>
      <c r="C781" s="70"/>
      <c r="D781" s="71"/>
      <c r="E781" s="115">
        <f>F781*E754</f>
        <v>2</v>
      </c>
      <c r="F781" s="61">
        <v>2</v>
      </c>
      <c r="G781" s="53"/>
      <c r="H781" s="80"/>
    </row>
    <row r="782" spans="1:8" x14ac:dyDescent="0.25">
      <c r="A782" s="73" t="s">
        <v>502</v>
      </c>
      <c r="B782" s="74"/>
      <c r="C782" s="70"/>
      <c r="D782" s="71"/>
      <c r="E782" s="115">
        <f>F782*E754</f>
        <v>2</v>
      </c>
      <c r="F782" s="61">
        <v>2</v>
      </c>
      <c r="G782" s="53"/>
      <c r="H782" s="80"/>
    </row>
    <row r="783" spans="1:8" x14ac:dyDescent="0.25">
      <c r="A783" s="73" t="s">
        <v>503</v>
      </c>
      <c r="B783" s="74"/>
      <c r="C783" s="70"/>
      <c r="D783" s="71"/>
      <c r="E783" s="115">
        <f>F783*E754</f>
        <v>2</v>
      </c>
      <c r="F783" s="61">
        <v>2</v>
      </c>
      <c r="G783" s="53"/>
      <c r="H783" s="80"/>
    </row>
    <row r="784" spans="1:8" x14ac:dyDescent="0.25">
      <c r="A784" s="73" t="s">
        <v>504</v>
      </c>
      <c r="B784" s="74"/>
      <c r="C784" s="70"/>
      <c r="D784" s="71"/>
      <c r="E784" s="115">
        <f>F784*E754</f>
        <v>2</v>
      </c>
      <c r="F784" s="61">
        <v>2</v>
      </c>
      <c r="G784" s="53"/>
      <c r="H784" s="80"/>
    </row>
    <row r="785" spans="1:8" x14ac:dyDescent="0.25">
      <c r="A785" s="73" t="s">
        <v>533</v>
      </c>
      <c r="B785" s="74"/>
      <c r="C785" s="70"/>
      <c r="D785" s="71"/>
      <c r="E785" s="115">
        <f>F785*E754</f>
        <v>4</v>
      </c>
      <c r="F785" s="61">
        <v>4</v>
      </c>
      <c r="G785" s="53"/>
      <c r="H785" s="80"/>
    </row>
    <row r="786" spans="1:8" x14ac:dyDescent="0.25">
      <c r="A786" s="73" t="s">
        <v>506</v>
      </c>
      <c r="B786" s="74"/>
      <c r="C786" s="70"/>
      <c r="D786" s="71"/>
      <c r="E786" s="115">
        <f>F786*E754</f>
        <v>4</v>
      </c>
      <c r="F786" s="61">
        <v>4</v>
      </c>
      <c r="G786" s="53"/>
      <c r="H786" s="80"/>
    </row>
    <row r="787" spans="1:8" x14ac:dyDescent="0.25">
      <c r="A787" s="81" t="s">
        <v>474</v>
      </c>
      <c r="B787" s="74"/>
      <c r="C787" s="70"/>
      <c r="D787" s="71"/>
      <c r="E787" s="115">
        <f>F787*E754</f>
        <v>4</v>
      </c>
      <c r="F787" s="61">
        <v>4</v>
      </c>
      <c r="G787" s="53"/>
      <c r="H787" s="80"/>
    </row>
    <row r="788" spans="1:8" x14ac:dyDescent="0.25">
      <c r="A788" s="73" t="s">
        <v>534</v>
      </c>
      <c r="B788" s="74"/>
      <c r="C788" s="70"/>
      <c r="D788" s="71"/>
      <c r="E788" s="115">
        <f>F788*E754</f>
        <v>2</v>
      </c>
      <c r="F788" s="61">
        <v>2</v>
      </c>
      <c r="G788" s="82"/>
      <c r="H788" s="51"/>
    </row>
    <row r="789" spans="1:8" x14ac:dyDescent="0.25">
      <c r="A789" s="73" t="s">
        <v>535</v>
      </c>
      <c r="B789" s="74"/>
      <c r="C789" s="70"/>
      <c r="D789" s="71"/>
      <c r="E789" s="115">
        <f>F789*E754</f>
        <v>24</v>
      </c>
      <c r="F789" s="61">
        <v>24</v>
      </c>
      <c r="G789" s="82"/>
      <c r="H789" s="51"/>
    </row>
    <row r="790" spans="1:8" x14ac:dyDescent="0.25">
      <c r="A790" s="130"/>
      <c r="B790" s="53"/>
      <c r="C790" s="53"/>
      <c r="D790" s="53"/>
      <c r="E790" s="53"/>
      <c r="F790" s="65"/>
      <c r="G790" s="53"/>
      <c r="H790" s="83"/>
    </row>
    <row r="791" spans="1:8" x14ac:dyDescent="0.25">
      <c r="A791" s="52"/>
      <c r="B791" s="53"/>
      <c r="C791" s="53"/>
      <c r="D791" s="53"/>
      <c r="E791" s="53"/>
      <c r="F791" s="65"/>
      <c r="G791" s="53"/>
      <c r="H791" s="83"/>
    </row>
    <row r="792" spans="1:8" x14ac:dyDescent="0.25">
      <c r="A792" s="59" t="s">
        <v>413</v>
      </c>
      <c r="B792" s="84" t="s">
        <v>266</v>
      </c>
      <c r="C792" s="84" t="s">
        <v>383</v>
      </c>
      <c r="D792" s="405" t="s">
        <v>414</v>
      </c>
      <c r="E792" s="406"/>
      <c r="F792" s="85" t="s">
        <v>415</v>
      </c>
      <c r="G792" s="59" t="s">
        <v>416</v>
      </c>
      <c r="H792" s="86"/>
    </row>
    <row r="793" spans="1:8" x14ac:dyDescent="0.25">
      <c r="A793" s="61"/>
      <c r="B793" s="89">
        <f>2*E754</f>
        <v>2</v>
      </c>
      <c r="C793" s="124" t="s">
        <v>482</v>
      </c>
      <c r="D793" s="409">
        <f>A754/3-68</f>
        <v>-68</v>
      </c>
      <c r="E793" s="410"/>
      <c r="F793" s="90">
        <f>C754-124</f>
        <v>-124</v>
      </c>
      <c r="G793" s="91">
        <f>+(D793/1000)*(F793/1000)*B793</f>
        <v>1.6864000000000001E-2</v>
      </c>
      <c r="H793" s="83"/>
    </row>
    <row r="794" spans="1:8" x14ac:dyDescent="0.25">
      <c r="A794" s="87"/>
      <c r="B794" s="89">
        <f>1*E754</f>
        <v>1</v>
      </c>
      <c r="C794" s="124" t="s">
        <v>536</v>
      </c>
      <c r="D794" s="409">
        <f>A754/3-20</f>
        <v>-20</v>
      </c>
      <c r="E794" s="410"/>
      <c r="F794" s="61">
        <f>C754-50</f>
        <v>-50</v>
      </c>
      <c r="G794" s="91">
        <f>+(D794/1000)*(F794/1000)*B794</f>
        <v>1E-3</v>
      </c>
      <c r="H794" s="92"/>
    </row>
    <row r="795" spans="1:8" x14ac:dyDescent="0.25">
      <c r="A795" s="52"/>
      <c r="B795" s="93"/>
      <c r="C795" s="53"/>
      <c r="D795" s="53"/>
      <c r="E795" s="53"/>
      <c r="F795" s="94" t="s">
        <v>418</v>
      </c>
      <c r="G795" s="95">
        <f>SUM(G793:G794)</f>
        <v>1.7864000000000001E-2</v>
      </c>
      <c r="H795" s="51"/>
    </row>
    <row r="796" spans="1:8" x14ac:dyDescent="0.25">
      <c r="A796" s="52"/>
      <c r="B796" s="93"/>
      <c r="C796" s="53"/>
      <c r="D796" s="53"/>
      <c r="E796" s="53"/>
      <c r="F796" s="94"/>
      <c r="G796" s="96"/>
      <c r="H796" s="51"/>
    </row>
    <row r="797" spans="1:8" x14ac:dyDescent="0.25">
      <c r="A797" s="52"/>
      <c r="B797" s="93"/>
      <c r="C797" s="53"/>
      <c r="D797" s="53"/>
      <c r="E797" s="53"/>
      <c r="F797" s="94"/>
      <c r="G797" s="96"/>
      <c r="H797" s="51"/>
    </row>
    <row r="798" spans="1:8" x14ac:dyDescent="0.25">
      <c r="A798" s="52"/>
      <c r="B798" s="93"/>
      <c r="C798" s="53"/>
      <c r="D798" s="53"/>
      <c r="E798" s="53"/>
      <c r="F798" s="94"/>
      <c r="G798" s="96"/>
      <c r="H798" s="51"/>
    </row>
    <row r="799" spans="1:8" x14ac:dyDescent="0.25">
      <c r="A799" s="52"/>
      <c r="B799" s="93"/>
      <c r="C799" s="53"/>
      <c r="D799" s="53"/>
      <c r="E799" s="53"/>
      <c r="F799" s="94"/>
      <c r="G799" s="96"/>
      <c r="H799" s="51"/>
    </row>
    <row r="800" spans="1:8" x14ac:dyDescent="0.25">
      <c r="A800" s="52"/>
      <c r="B800" s="93"/>
      <c r="C800" s="53"/>
      <c r="D800" s="53"/>
      <c r="E800" s="53"/>
      <c r="F800" s="94"/>
      <c r="G800" s="96"/>
      <c r="H800" s="51"/>
    </row>
    <row r="801" spans="1:8" x14ac:dyDescent="0.25">
      <c r="A801" s="52"/>
      <c r="B801" s="93"/>
      <c r="C801" s="53"/>
      <c r="D801" s="53"/>
      <c r="E801" s="53"/>
      <c r="F801" s="94"/>
      <c r="G801" s="96"/>
      <c r="H801" s="51"/>
    </row>
    <row r="802" spans="1:8" x14ac:dyDescent="0.25">
      <c r="A802" s="52"/>
      <c r="B802" s="93"/>
      <c r="C802" s="53"/>
      <c r="D802" s="53"/>
      <c r="E802" s="53"/>
      <c r="F802" s="94"/>
      <c r="G802" s="96"/>
      <c r="H802" s="51"/>
    </row>
    <row r="803" spans="1:8" x14ac:dyDescent="0.25">
      <c r="A803" s="52"/>
      <c r="B803" s="93"/>
      <c r="C803" s="53"/>
      <c r="D803" s="53"/>
      <c r="E803" s="53"/>
      <c r="F803" s="94"/>
      <c r="G803" s="96"/>
      <c r="H803" s="51"/>
    </row>
    <row r="804" spans="1:8" x14ac:dyDescent="0.25">
      <c r="A804" s="52"/>
      <c r="B804" s="93"/>
      <c r="C804" s="53"/>
      <c r="D804" s="53"/>
      <c r="E804" s="53"/>
      <c r="F804" s="94"/>
      <c r="G804" s="96"/>
      <c r="H804" s="51"/>
    </row>
    <row r="805" spans="1:8" x14ac:dyDescent="0.25">
      <c r="A805" s="52"/>
      <c r="B805" s="93"/>
      <c r="C805" s="53"/>
      <c r="D805" s="53"/>
      <c r="E805" s="53"/>
      <c r="F805" s="94"/>
      <c r="G805" s="96"/>
      <c r="H805" s="51"/>
    </row>
    <row r="806" spans="1:8" x14ac:dyDescent="0.25">
      <c r="A806" s="52"/>
      <c r="B806" s="93"/>
      <c r="C806" s="53"/>
      <c r="D806" s="53"/>
      <c r="E806" s="53"/>
      <c r="F806" s="94"/>
      <c r="G806" s="96"/>
      <c r="H806" s="51"/>
    </row>
    <row r="807" spans="1:8" x14ac:dyDescent="0.25">
      <c r="A807" s="52"/>
      <c r="B807" s="93"/>
      <c r="C807" s="53"/>
      <c r="D807" s="53"/>
      <c r="E807" s="53"/>
      <c r="F807" s="94"/>
      <c r="G807" s="96"/>
      <c r="H807" s="51"/>
    </row>
    <row r="808" spans="1:8" x14ac:dyDescent="0.25">
      <c r="A808" s="52"/>
      <c r="B808" s="53"/>
      <c r="C808" s="53"/>
      <c r="D808" s="53"/>
      <c r="E808" s="53"/>
      <c r="F808" s="65"/>
      <c r="G808" s="53"/>
      <c r="H808" s="51"/>
    </row>
    <row r="809" spans="1:8" x14ac:dyDescent="0.25">
      <c r="A809" s="45"/>
      <c r="B809" s="45"/>
      <c r="C809" s="45"/>
      <c r="D809" s="45"/>
      <c r="E809" s="45"/>
      <c r="F809" s="102"/>
      <c r="G809" s="45"/>
      <c r="H809" s="45"/>
    </row>
    <row r="810" spans="1:8" x14ac:dyDescent="0.25">
      <c r="A810" s="100"/>
      <c r="B810" s="100"/>
      <c r="C810" s="100"/>
      <c r="D810" s="100"/>
      <c r="E810" s="100"/>
      <c r="F810" s="101"/>
      <c r="G810" s="100"/>
      <c r="H810" s="100"/>
    </row>
    <row r="811" spans="1:8" x14ac:dyDescent="0.25">
      <c r="A811" s="44"/>
      <c r="B811" s="45"/>
      <c r="C811" s="45"/>
      <c r="D811" s="45"/>
      <c r="E811" s="45"/>
      <c r="F811" s="102"/>
      <c r="G811" s="45"/>
      <c r="H811" s="46"/>
    </row>
    <row r="812" spans="1:8" x14ac:dyDescent="0.25">
      <c r="A812" s="52"/>
      <c r="B812" s="53"/>
      <c r="C812" s="53"/>
      <c r="D812" s="53"/>
      <c r="E812" s="53"/>
      <c r="F812" s="65"/>
      <c r="G812" s="53"/>
      <c r="H812" s="51"/>
    </row>
    <row r="813" spans="1:8" x14ac:dyDescent="0.25">
      <c r="A813" s="47" t="s">
        <v>537</v>
      </c>
      <c r="B813" s="49"/>
      <c r="C813" s="49"/>
      <c r="D813" s="122"/>
      <c r="E813" s="49"/>
      <c r="F813" s="50"/>
      <c r="G813" s="50"/>
      <c r="H813" s="103"/>
    </row>
    <row r="814" spans="1:8" ht="16.5" thickBot="1" x14ac:dyDescent="0.3">
      <c r="A814" s="52"/>
      <c r="B814" s="53"/>
      <c r="C814" s="53"/>
      <c r="D814" s="53"/>
      <c r="E814" s="53"/>
      <c r="F814" s="65"/>
      <c r="G814" s="54" t="s">
        <v>538</v>
      </c>
      <c r="H814" s="51"/>
    </row>
    <row r="815" spans="1:8" ht="16.5" thickBot="1" x14ac:dyDescent="0.3">
      <c r="A815" s="400" t="s">
        <v>381</v>
      </c>
      <c r="B815" s="401"/>
      <c r="C815" s="402" t="s">
        <v>382</v>
      </c>
      <c r="D815" s="401"/>
      <c r="E815" s="55" t="s">
        <v>266</v>
      </c>
      <c r="F815" s="65"/>
      <c r="G815" s="53"/>
      <c r="H815" s="51"/>
    </row>
    <row r="816" spans="1:8" ht="16.5" thickBot="1" x14ac:dyDescent="0.3">
      <c r="A816" s="403">
        <v>0</v>
      </c>
      <c r="B816" s="404"/>
      <c r="C816" s="403">
        <v>0</v>
      </c>
      <c r="D816" s="404"/>
      <c r="E816" s="56">
        <v>1</v>
      </c>
      <c r="F816" s="65"/>
      <c r="G816" s="53"/>
      <c r="H816" s="51"/>
    </row>
    <row r="817" spans="1:8" x14ac:dyDescent="0.25">
      <c r="A817" s="52"/>
      <c r="B817" s="58"/>
      <c r="C817" s="58"/>
      <c r="D817" s="58"/>
      <c r="E817" s="58"/>
      <c r="F817" s="58"/>
      <c r="G817" s="53"/>
      <c r="H817" s="83"/>
    </row>
    <row r="818" spans="1:8" x14ac:dyDescent="0.25">
      <c r="A818" s="59" t="s">
        <v>323</v>
      </c>
      <c r="B818" s="59" t="s">
        <v>266</v>
      </c>
      <c r="C818" s="59" t="s">
        <v>383</v>
      </c>
      <c r="D818" s="59" t="s">
        <v>384</v>
      </c>
      <c r="E818" s="59" t="s">
        <v>332</v>
      </c>
      <c r="F818" s="59" t="s">
        <v>385</v>
      </c>
      <c r="G818" s="59" t="s">
        <v>386</v>
      </c>
      <c r="H818" s="59" t="s">
        <v>387</v>
      </c>
    </row>
    <row r="819" spans="1:8" x14ac:dyDescent="0.25">
      <c r="A819" s="116">
        <v>6921</v>
      </c>
      <c r="B819" s="117">
        <f>2*E816</f>
        <v>2</v>
      </c>
      <c r="C819" s="117" t="s">
        <v>367</v>
      </c>
      <c r="D819" s="61">
        <f>A816-14</f>
        <v>-14</v>
      </c>
      <c r="E819" s="61" t="s">
        <v>340</v>
      </c>
      <c r="F819" s="104" t="s">
        <v>438</v>
      </c>
      <c r="G819" s="63">
        <v>0.60499999999999998</v>
      </c>
      <c r="H819" s="63">
        <f t="shared" ref="H819:H828" si="13">(D819/1000)*B819*G819</f>
        <v>-1.694E-2</v>
      </c>
    </row>
    <row r="820" spans="1:8" x14ac:dyDescent="0.25">
      <c r="A820" s="116">
        <v>6924</v>
      </c>
      <c r="B820" s="117">
        <f>2*E816</f>
        <v>2</v>
      </c>
      <c r="C820" s="117" t="s">
        <v>337</v>
      </c>
      <c r="D820" s="61">
        <f>C816</f>
        <v>0</v>
      </c>
      <c r="E820" s="61" t="s">
        <v>340</v>
      </c>
      <c r="F820" s="110" t="s">
        <v>539</v>
      </c>
      <c r="G820" s="63">
        <v>0.56100000000000005</v>
      </c>
      <c r="H820" s="63">
        <f t="shared" si="13"/>
        <v>0</v>
      </c>
    </row>
    <row r="821" spans="1:8" x14ac:dyDescent="0.25">
      <c r="A821" s="116">
        <v>6909</v>
      </c>
      <c r="B821" s="117">
        <f>2*E816</f>
        <v>2</v>
      </c>
      <c r="C821" s="117" t="s">
        <v>462</v>
      </c>
      <c r="D821" s="61">
        <f>A816/4-6</f>
        <v>-6</v>
      </c>
      <c r="E821" s="61" t="s">
        <v>340</v>
      </c>
      <c r="F821" s="110" t="s">
        <v>520</v>
      </c>
      <c r="G821" s="63">
        <v>0.52</v>
      </c>
      <c r="H821" s="63">
        <f t="shared" si="13"/>
        <v>-6.2400000000000008E-3</v>
      </c>
    </row>
    <row r="822" spans="1:8" x14ac:dyDescent="0.25">
      <c r="A822" s="116">
        <v>6910</v>
      </c>
      <c r="B822" s="117">
        <f>2*E816</f>
        <v>2</v>
      </c>
      <c r="C822" s="117" t="s">
        <v>462</v>
      </c>
      <c r="D822" s="105">
        <f>A816/4-6</f>
        <v>-6</v>
      </c>
      <c r="E822" s="61" t="s">
        <v>340</v>
      </c>
      <c r="F822" s="110" t="s">
        <v>493</v>
      </c>
      <c r="G822" s="63">
        <v>0.56899999999999995</v>
      </c>
      <c r="H822" s="63">
        <f t="shared" si="13"/>
        <v>-6.8279999999999999E-3</v>
      </c>
    </row>
    <row r="823" spans="1:8" x14ac:dyDescent="0.25">
      <c r="A823" s="116">
        <v>6922</v>
      </c>
      <c r="B823" s="117">
        <f>4*E816</f>
        <v>4</v>
      </c>
      <c r="C823" s="117" t="s">
        <v>540</v>
      </c>
      <c r="D823" s="61">
        <f>A816/4-42</f>
        <v>-42</v>
      </c>
      <c r="E823" s="61" t="s">
        <v>340</v>
      </c>
      <c r="F823" s="110" t="s">
        <v>541</v>
      </c>
      <c r="G823" s="63">
        <v>0.28199999999999997</v>
      </c>
      <c r="H823" s="63">
        <f t="shared" si="13"/>
        <v>-4.7376000000000001E-2</v>
      </c>
    </row>
    <row r="824" spans="1:8" x14ac:dyDescent="0.25">
      <c r="A824" s="116">
        <v>6911</v>
      </c>
      <c r="B824" s="117">
        <f>2*E816</f>
        <v>2</v>
      </c>
      <c r="C824" s="117" t="s">
        <v>523</v>
      </c>
      <c r="D824" s="61">
        <f>C816-46</f>
        <v>-46</v>
      </c>
      <c r="E824" s="61" t="s">
        <v>340</v>
      </c>
      <c r="F824" s="110" t="s">
        <v>494</v>
      </c>
      <c r="G824" s="63">
        <v>0.86399999999999999</v>
      </c>
      <c r="H824" s="63">
        <f t="shared" si="13"/>
        <v>-7.9488000000000003E-2</v>
      </c>
    </row>
    <row r="825" spans="1:8" x14ac:dyDescent="0.25">
      <c r="A825" s="116">
        <v>6912</v>
      </c>
      <c r="B825" s="117">
        <f>2*E816</f>
        <v>2</v>
      </c>
      <c r="C825" s="117" t="s">
        <v>523</v>
      </c>
      <c r="D825" s="61">
        <f>C816-46</f>
        <v>-46</v>
      </c>
      <c r="E825" s="61" t="s">
        <v>340</v>
      </c>
      <c r="F825" s="110" t="s">
        <v>495</v>
      </c>
      <c r="G825" s="63">
        <v>0.78900000000000003</v>
      </c>
      <c r="H825" s="63">
        <f t="shared" si="13"/>
        <v>-7.2588E-2</v>
      </c>
    </row>
    <row r="826" spans="1:8" x14ac:dyDescent="0.25">
      <c r="A826" s="116">
        <v>6927</v>
      </c>
      <c r="B826" s="117">
        <f>2*E816</f>
        <v>2</v>
      </c>
      <c r="C826" s="117" t="s">
        <v>444</v>
      </c>
      <c r="D826" s="61">
        <f>C816-20</f>
        <v>-20</v>
      </c>
      <c r="E826" s="61" t="s">
        <v>340</v>
      </c>
      <c r="F826" s="110" t="s">
        <v>542</v>
      </c>
      <c r="G826" s="63">
        <v>0.56100000000000005</v>
      </c>
      <c r="H826" s="63">
        <f t="shared" si="13"/>
        <v>-2.2440000000000002E-2</v>
      </c>
    </row>
    <row r="827" spans="1:8" x14ac:dyDescent="0.25">
      <c r="A827" s="116">
        <v>6928</v>
      </c>
      <c r="B827" s="117">
        <f>2*E816</f>
        <v>2</v>
      </c>
      <c r="C827" s="117" t="s">
        <v>444</v>
      </c>
      <c r="D827" s="61">
        <f>C816-20</f>
        <v>-20</v>
      </c>
      <c r="E827" s="61" t="s">
        <v>340</v>
      </c>
      <c r="F827" s="110" t="s">
        <v>525</v>
      </c>
      <c r="G827" s="63">
        <v>0.19600000000000001</v>
      </c>
      <c r="H827" s="63">
        <f t="shared" si="13"/>
        <v>-7.8399999999999997E-3</v>
      </c>
    </row>
    <row r="828" spans="1:8" x14ac:dyDescent="0.25">
      <c r="A828" s="116">
        <v>6919</v>
      </c>
      <c r="B828" s="117">
        <f>1*E816</f>
        <v>1</v>
      </c>
      <c r="C828" s="117" t="s">
        <v>523</v>
      </c>
      <c r="D828" s="61">
        <f>C816-46</f>
        <v>-46</v>
      </c>
      <c r="E828" s="61" t="s">
        <v>340</v>
      </c>
      <c r="F828" s="110" t="s">
        <v>431</v>
      </c>
      <c r="G828" s="63">
        <v>0.27600000000000002</v>
      </c>
      <c r="H828" s="63">
        <f t="shared" si="13"/>
        <v>-1.2696000000000001E-2</v>
      </c>
    </row>
    <row r="829" spans="1:8" x14ac:dyDescent="0.25">
      <c r="A829" s="64"/>
      <c r="B829" s="65"/>
      <c r="C829" s="65"/>
      <c r="D829" s="65"/>
      <c r="E829" s="65"/>
      <c r="F829" s="65"/>
      <c r="G829" s="63" t="s">
        <v>392</v>
      </c>
      <c r="H829" s="63">
        <f>SUM(H819:H828)</f>
        <v>-0.27243600000000001</v>
      </c>
    </row>
    <row r="830" spans="1:8" x14ac:dyDescent="0.25">
      <c r="A830" s="64"/>
      <c r="B830" s="65"/>
      <c r="C830" s="65"/>
      <c r="D830" s="65"/>
      <c r="E830" s="65"/>
      <c r="F830" s="65"/>
      <c r="G830" s="66"/>
      <c r="H830" s="67"/>
    </row>
    <row r="831" spans="1:8" x14ac:dyDescent="0.25">
      <c r="A831" s="64"/>
      <c r="B831" s="65"/>
      <c r="C831" s="65"/>
      <c r="D831" s="65"/>
      <c r="E831" s="65"/>
      <c r="F831" s="65"/>
      <c r="G831" s="68"/>
      <c r="H831" s="67"/>
    </row>
    <row r="832" spans="1:8" x14ac:dyDescent="0.25">
      <c r="A832" s="69" t="s">
        <v>393</v>
      </c>
      <c r="B832" s="70"/>
      <c r="C832" s="70"/>
      <c r="D832" s="71"/>
      <c r="E832" s="59" t="s">
        <v>36</v>
      </c>
      <c r="F832" s="59" t="s">
        <v>266</v>
      </c>
      <c r="G832" s="52"/>
      <c r="H832" s="72"/>
    </row>
    <row r="833" spans="1:8" x14ac:dyDescent="0.25">
      <c r="A833" s="73" t="s">
        <v>446</v>
      </c>
      <c r="B833" s="74"/>
      <c r="C833" s="70"/>
      <c r="D833" s="71"/>
      <c r="E833" s="114">
        <f>F833*E816</f>
        <v>2</v>
      </c>
      <c r="F833" s="61">
        <v>2</v>
      </c>
      <c r="G833" s="76"/>
      <c r="H833" s="77"/>
    </row>
    <row r="834" spans="1:8" x14ac:dyDescent="0.25">
      <c r="A834" s="73" t="s">
        <v>447</v>
      </c>
      <c r="B834" s="74"/>
      <c r="C834" s="70"/>
      <c r="D834" s="71"/>
      <c r="E834" s="115">
        <f>F834*E816</f>
        <v>2</v>
      </c>
      <c r="F834" s="61">
        <v>2</v>
      </c>
      <c r="G834" s="76"/>
      <c r="H834" s="77"/>
    </row>
    <row r="835" spans="1:8" x14ac:dyDescent="0.25">
      <c r="A835" s="73" t="s">
        <v>450</v>
      </c>
      <c r="B835" s="74"/>
      <c r="C835" s="70"/>
      <c r="D835" s="71"/>
      <c r="E835" s="115">
        <f>F835*E816</f>
        <v>4</v>
      </c>
      <c r="F835" s="61">
        <v>4</v>
      </c>
      <c r="G835" s="65"/>
      <c r="H835" s="77"/>
    </row>
    <row r="836" spans="1:8" x14ac:dyDescent="0.25">
      <c r="A836" s="73" t="s">
        <v>399</v>
      </c>
      <c r="B836" s="74"/>
      <c r="C836" s="70"/>
      <c r="D836" s="71"/>
      <c r="E836" s="115">
        <f>2*(A816/1000)+6*(C816/1000)*E816</f>
        <v>0</v>
      </c>
      <c r="F836" s="61" t="s">
        <v>424</v>
      </c>
      <c r="G836" s="64"/>
      <c r="H836" s="77"/>
    </row>
    <row r="837" spans="1:8" x14ac:dyDescent="0.25">
      <c r="A837" s="73" t="s">
        <v>527</v>
      </c>
      <c r="B837" s="74"/>
      <c r="C837" s="70"/>
      <c r="D837" s="71"/>
      <c r="E837" s="115">
        <f>(A816/1000)+4*(C816/1000)*E816</f>
        <v>0</v>
      </c>
      <c r="F837" s="61" t="s">
        <v>449</v>
      </c>
      <c r="G837" s="64"/>
      <c r="H837" s="77"/>
    </row>
    <row r="838" spans="1:8" x14ac:dyDescent="0.25">
      <c r="A838" s="73" t="s">
        <v>528</v>
      </c>
      <c r="B838" s="74"/>
      <c r="C838" s="70"/>
      <c r="D838" s="71"/>
      <c r="E838" s="115">
        <f>(A816/1000)+4*(C816/1000)*E816</f>
        <v>0</v>
      </c>
      <c r="F838" s="61" t="s">
        <v>449</v>
      </c>
      <c r="G838" s="64"/>
      <c r="H838" s="77"/>
    </row>
    <row r="839" spans="1:8" x14ac:dyDescent="0.25">
      <c r="A839" s="73" t="s">
        <v>530</v>
      </c>
      <c r="B839" s="74"/>
      <c r="C839" s="70"/>
      <c r="D839" s="71"/>
      <c r="E839" s="115">
        <f>(A816/1000)+4*(C816/1000)*E816</f>
        <v>0</v>
      </c>
      <c r="F839" s="61" t="s">
        <v>449</v>
      </c>
      <c r="G839" s="64"/>
      <c r="H839" s="77"/>
    </row>
    <row r="840" spans="1:8" x14ac:dyDescent="0.25">
      <c r="A840" s="73" t="s">
        <v>531</v>
      </c>
      <c r="B840" s="74"/>
      <c r="C840" s="70"/>
      <c r="D840" s="71"/>
      <c r="E840" s="115">
        <f>F840*E816</f>
        <v>4</v>
      </c>
      <c r="F840" s="61">
        <v>4</v>
      </c>
      <c r="G840" s="76"/>
      <c r="H840" s="77"/>
    </row>
    <row r="841" spans="1:8" x14ac:dyDescent="0.25">
      <c r="A841" s="73" t="s">
        <v>404</v>
      </c>
      <c r="B841" s="74"/>
      <c r="C841" s="70"/>
      <c r="D841" s="71"/>
      <c r="E841" s="115">
        <f>F841*E816</f>
        <v>4</v>
      </c>
      <c r="F841" s="61">
        <v>4</v>
      </c>
      <c r="G841" s="53"/>
      <c r="H841" s="80"/>
    </row>
    <row r="842" spans="1:8" x14ac:dyDescent="0.25">
      <c r="A842" s="73" t="s">
        <v>405</v>
      </c>
      <c r="B842" s="74"/>
      <c r="C842" s="70"/>
      <c r="D842" s="71"/>
      <c r="E842" s="115">
        <f>F842*E816</f>
        <v>6</v>
      </c>
      <c r="F842" s="61">
        <v>6</v>
      </c>
      <c r="G842" s="53"/>
      <c r="H842" s="80"/>
    </row>
    <row r="843" spans="1:8" x14ac:dyDescent="0.25">
      <c r="A843" s="73" t="s">
        <v>500</v>
      </c>
      <c r="B843" s="74"/>
      <c r="C843" s="70"/>
      <c r="D843" s="71"/>
      <c r="E843" s="115">
        <f>F843*E816</f>
        <v>1</v>
      </c>
      <c r="F843" s="61">
        <v>1</v>
      </c>
      <c r="G843" s="53"/>
      <c r="H843" s="80"/>
    </row>
    <row r="844" spans="1:8" x14ac:dyDescent="0.25">
      <c r="A844" s="73" t="s">
        <v>532</v>
      </c>
      <c r="B844" s="74"/>
      <c r="C844" s="70"/>
      <c r="D844" s="71"/>
      <c r="E844" s="115">
        <f>F844*E816</f>
        <v>1</v>
      </c>
      <c r="F844" s="61">
        <v>1</v>
      </c>
      <c r="G844" s="53"/>
      <c r="H844" s="80"/>
    </row>
    <row r="845" spans="1:8" x14ac:dyDescent="0.25">
      <c r="A845" s="73" t="s">
        <v>502</v>
      </c>
      <c r="B845" s="74"/>
      <c r="C845" s="70"/>
      <c r="D845" s="71"/>
      <c r="E845" s="115">
        <f>F845*E816</f>
        <v>1</v>
      </c>
      <c r="F845" s="61">
        <v>1</v>
      </c>
      <c r="G845" s="53"/>
      <c r="H845" s="80"/>
    </row>
    <row r="846" spans="1:8" x14ac:dyDescent="0.25">
      <c r="A846" s="73" t="s">
        <v>503</v>
      </c>
      <c r="B846" s="74"/>
      <c r="C846" s="70"/>
      <c r="D846" s="71"/>
      <c r="E846" s="115">
        <f>F846*E816</f>
        <v>1</v>
      </c>
      <c r="F846" s="61">
        <v>1</v>
      </c>
      <c r="G846" s="53"/>
      <c r="H846" s="80"/>
    </row>
    <row r="847" spans="1:8" x14ac:dyDescent="0.25">
      <c r="A847" s="73" t="s">
        <v>504</v>
      </c>
      <c r="B847" s="74"/>
      <c r="C847" s="70"/>
      <c r="D847" s="71"/>
      <c r="E847" s="115">
        <f>F847*E816</f>
        <v>1</v>
      </c>
      <c r="F847" s="61">
        <v>1</v>
      </c>
      <c r="G847" s="53"/>
      <c r="H847" s="80"/>
    </row>
    <row r="848" spans="1:8" x14ac:dyDescent="0.25">
      <c r="A848" s="73" t="s">
        <v>533</v>
      </c>
      <c r="B848" s="74"/>
      <c r="C848" s="70"/>
      <c r="D848" s="71"/>
      <c r="E848" s="115">
        <f>F848*E816</f>
        <v>4</v>
      </c>
      <c r="F848" s="61">
        <v>4</v>
      </c>
      <c r="G848" s="53"/>
      <c r="H848" s="80"/>
    </row>
    <row r="849" spans="1:8" x14ac:dyDescent="0.25">
      <c r="A849" s="73" t="s">
        <v>506</v>
      </c>
      <c r="B849" s="74"/>
      <c r="C849" s="70"/>
      <c r="D849" s="71"/>
      <c r="E849" s="115">
        <f>F849*E816</f>
        <v>4</v>
      </c>
      <c r="F849" s="61">
        <v>4</v>
      </c>
      <c r="G849" s="53"/>
      <c r="H849" s="80"/>
    </row>
    <row r="850" spans="1:8" x14ac:dyDescent="0.25">
      <c r="A850" s="81" t="s">
        <v>474</v>
      </c>
      <c r="B850" s="74"/>
      <c r="C850" s="70"/>
      <c r="D850" s="71"/>
      <c r="E850" s="115">
        <f>F850*E816</f>
        <v>2</v>
      </c>
      <c r="F850" s="61">
        <v>2</v>
      </c>
      <c r="G850" s="53"/>
      <c r="H850" s="80"/>
    </row>
    <row r="851" spans="1:8" x14ac:dyDescent="0.25">
      <c r="A851" s="73" t="s">
        <v>534</v>
      </c>
      <c r="B851" s="74"/>
      <c r="C851" s="70"/>
      <c r="D851" s="71"/>
      <c r="E851" s="115">
        <f>F851*E816</f>
        <v>4</v>
      </c>
      <c r="F851" s="61">
        <v>4</v>
      </c>
      <c r="G851" s="53"/>
      <c r="H851" s="80"/>
    </row>
    <row r="852" spans="1:8" x14ac:dyDescent="0.25">
      <c r="A852" s="73" t="s">
        <v>535</v>
      </c>
      <c r="B852" s="74"/>
      <c r="C852" s="70"/>
      <c r="D852" s="71"/>
      <c r="E852" s="115">
        <f>F852*E816</f>
        <v>24</v>
      </c>
      <c r="F852" s="61">
        <v>24</v>
      </c>
      <c r="G852" s="53"/>
      <c r="H852" s="80"/>
    </row>
    <row r="853" spans="1:8" x14ac:dyDescent="0.25">
      <c r="A853" s="52"/>
      <c r="B853" s="53"/>
      <c r="C853" s="53"/>
      <c r="D853" s="53"/>
      <c r="E853" s="53"/>
      <c r="F853" s="65"/>
      <c r="G853" s="53"/>
      <c r="H853" s="83"/>
    </row>
    <row r="854" spans="1:8" x14ac:dyDescent="0.25">
      <c r="A854" s="52"/>
      <c r="B854" s="53"/>
      <c r="C854" s="53"/>
      <c r="D854" s="53"/>
      <c r="E854" s="53"/>
      <c r="F854" s="65"/>
      <c r="G854" s="53"/>
      <c r="H854" s="83"/>
    </row>
    <row r="855" spans="1:8" x14ac:dyDescent="0.25">
      <c r="A855" s="59" t="s">
        <v>413</v>
      </c>
      <c r="B855" s="84" t="s">
        <v>266</v>
      </c>
      <c r="C855" s="84" t="s">
        <v>383</v>
      </c>
      <c r="D855" s="405" t="s">
        <v>414</v>
      </c>
      <c r="E855" s="406"/>
      <c r="F855" s="85" t="s">
        <v>415</v>
      </c>
      <c r="G855" s="59" t="s">
        <v>416</v>
      </c>
      <c r="H855" s="86"/>
    </row>
    <row r="856" spans="1:8" x14ac:dyDescent="0.25">
      <c r="A856" s="61"/>
      <c r="B856" s="89">
        <f>2*E816</f>
        <v>2</v>
      </c>
      <c r="C856" s="124" t="s">
        <v>543</v>
      </c>
      <c r="D856" s="407">
        <f>A816/4-60</f>
        <v>-60</v>
      </c>
      <c r="E856" s="408"/>
      <c r="F856" s="90">
        <f>C816-124</f>
        <v>-124</v>
      </c>
      <c r="G856" s="91">
        <f>+(D856/1000)*(F856/1000)*B856</f>
        <v>1.4879999999999999E-2</v>
      </c>
      <c r="H856" s="83"/>
    </row>
    <row r="857" spans="1:8" x14ac:dyDescent="0.25">
      <c r="A857" s="87"/>
      <c r="B857" s="89">
        <f>2*E816</f>
        <v>2</v>
      </c>
      <c r="C857" s="124" t="s">
        <v>544</v>
      </c>
      <c r="D857" s="407">
        <f>A816/4-26</f>
        <v>-26</v>
      </c>
      <c r="E857" s="408"/>
      <c r="F857" s="61">
        <f>C816-50</f>
        <v>-50</v>
      </c>
      <c r="G857" s="91">
        <f>+(D857/1000)*(F857/1000)*B857</f>
        <v>2.5999999999999999E-3</v>
      </c>
      <c r="H857" s="92"/>
    </row>
    <row r="858" spans="1:8" x14ac:dyDescent="0.25">
      <c r="A858" s="52"/>
      <c r="B858" s="93"/>
      <c r="C858" s="53"/>
      <c r="D858" s="53"/>
      <c r="E858" s="53"/>
      <c r="F858" s="94" t="s">
        <v>418</v>
      </c>
      <c r="G858" s="95">
        <f>SUM(G856:G857)</f>
        <v>1.7479999999999999E-2</v>
      </c>
      <c r="H858" s="51"/>
    </row>
    <row r="859" spans="1:8" x14ac:dyDescent="0.25">
      <c r="A859" s="52"/>
      <c r="B859" s="93"/>
      <c r="C859" s="53"/>
      <c r="D859" s="53"/>
      <c r="E859" s="53"/>
      <c r="F859" s="94"/>
      <c r="G859" s="96"/>
      <c r="H859" s="51"/>
    </row>
    <row r="860" spans="1:8" x14ac:dyDescent="0.25">
      <c r="A860" s="52"/>
      <c r="B860" s="93"/>
      <c r="C860" s="53"/>
      <c r="D860" s="53"/>
      <c r="E860" s="53"/>
      <c r="F860" s="94"/>
      <c r="G860" s="96"/>
      <c r="H860" s="51"/>
    </row>
    <row r="861" spans="1:8" x14ac:dyDescent="0.25">
      <c r="A861" s="52"/>
      <c r="B861" s="93"/>
      <c r="C861" s="53"/>
      <c r="D861" s="53"/>
      <c r="E861" s="53"/>
      <c r="F861" s="94"/>
      <c r="G861" s="96"/>
      <c r="H861" s="51"/>
    </row>
    <row r="862" spans="1:8" x14ac:dyDescent="0.25">
      <c r="A862" s="52"/>
      <c r="B862" s="93"/>
      <c r="C862" s="53"/>
      <c r="D862" s="53"/>
      <c r="E862" s="53"/>
      <c r="F862" s="94"/>
      <c r="G862" s="96"/>
      <c r="H862" s="51"/>
    </row>
    <row r="863" spans="1:8" x14ac:dyDescent="0.25">
      <c r="A863" s="52"/>
      <c r="B863" s="93"/>
      <c r="C863" s="53"/>
      <c r="D863" s="53"/>
      <c r="E863" s="53"/>
      <c r="F863" s="94"/>
      <c r="G863" s="96"/>
      <c r="H863" s="51"/>
    </row>
    <row r="864" spans="1:8" x14ac:dyDescent="0.25">
      <c r="A864" s="52"/>
      <c r="B864" s="93"/>
      <c r="C864" s="53"/>
      <c r="D864" s="53"/>
      <c r="E864" s="53"/>
      <c r="F864" s="94"/>
      <c r="G864" s="96"/>
      <c r="H864" s="51"/>
    </row>
    <row r="865" spans="1:8" x14ac:dyDescent="0.25">
      <c r="A865" s="52"/>
      <c r="B865" s="53"/>
      <c r="C865" s="53"/>
      <c r="D865" s="53"/>
      <c r="E865" s="53"/>
      <c r="F865" s="65"/>
      <c r="G865" s="53"/>
      <c r="H865" s="51"/>
    </row>
    <row r="866" spans="1:8" x14ac:dyDescent="0.25">
      <c r="A866" s="52"/>
      <c r="B866" s="53"/>
      <c r="C866" s="53"/>
      <c r="D866" s="53"/>
      <c r="E866" s="53"/>
      <c r="F866" s="65"/>
      <c r="G866" s="53"/>
      <c r="H866" s="51"/>
    </row>
    <row r="867" spans="1:8" x14ac:dyDescent="0.25">
      <c r="A867" s="52"/>
      <c r="B867" s="53"/>
      <c r="C867" s="53"/>
      <c r="D867" s="53"/>
      <c r="E867" s="53"/>
      <c r="F867" s="65"/>
      <c r="G867" s="53"/>
      <c r="H867" s="51"/>
    </row>
    <row r="868" spans="1:8" x14ac:dyDescent="0.25">
      <c r="A868" s="52"/>
      <c r="B868" s="53"/>
      <c r="C868" s="53"/>
      <c r="D868" s="53"/>
      <c r="E868" s="53"/>
      <c r="F868" s="65"/>
      <c r="G868" s="53"/>
      <c r="H868" s="51"/>
    </row>
    <row r="869" spans="1:8" x14ac:dyDescent="0.25">
      <c r="A869" s="52"/>
      <c r="B869" s="53"/>
      <c r="C869" s="53"/>
      <c r="D869" s="53"/>
      <c r="E869" s="53"/>
      <c r="F869" s="65"/>
      <c r="G869" s="53"/>
      <c r="H869" s="51"/>
    </row>
    <row r="870" spans="1:8" x14ac:dyDescent="0.25">
      <c r="A870" s="52"/>
      <c r="B870" s="53"/>
      <c r="C870" s="53"/>
      <c r="D870" s="53"/>
      <c r="E870" s="53"/>
      <c r="F870" s="65"/>
      <c r="G870" s="53"/>
      <c r="H870" s="51"/>
    </row>
    <row r="871" spans="1:8" x14ac:dyDescent="0.25">
      <c r="A871" s="45"/>
      <c r="B871" s="45"/>
      <c r="C871" s="45"/>
      <c r="D871" s="45"/>
      <c r="E871" s="45"/>
      <c r="F871" s="102"/>
      <c r="G871" s="45"/>
      <c r="H871" s="45"/>
    </row>
    <row r="872" spans="1:8" x14ac:dyDescent="0.25">
      <c r="A872" s="100"/>
      <c r="B872" s="100"/>
      <c r="C872" s="100"/>
      <c r="D872" s="100"/>
      <c r="E872" s="100"/>
      <c r="F872" s="101"/>
      <c r="G872" s="100"/>
      <c r="H872" s="100"/>
    </row>
    <row r="873" spans="1:8" x14ac:dyDescent="0.25">
      <c r="A873" s="44"/>
      <c r="B873" s="45"/>
      <c r="C873" s="45"/>
      <c r="D873" s="45"/>
      <c r="E873" s="45"/>
      <c r="F873" s="102"/>
      <c r="G873" s="45"/>
      <c r="H873" s="46"/>
    </row>
    <row r="874" spans="1:8" x14ac:dyDescent="0.25">
      <c r="A874" s="52"/>
      <c r="B874" s="53"/>
      <c r="C874" s="53"/>
      <c r="D874" s="53"/>
      <c r="E874" s="53"/>
      <c r="F874" s="65"/>
      <c r="G874" s="53"/>
      <c r="H874" s="51"/>
    </row>
    <row r="875" spans="1:8" x14ac:dyDescent="0.25">
      <c r="A875" s="47" t="s">
        <v>545</v>
      </c>
      <c r="B875" s="49"/>
      <c r="C875" s="49"/>
      <c r="D875" s="122"/>
      <c r="E875" s="49"/>
      <c r="F875" s="50"/>
      <c r="G875" s="54" t="s">
        <v>546</v>
      </c>
      <c r="H875" s="103"/>
    </row>
    <row r="876" spans="1:8" ht="16.5" thickBot="1" x14ac:dyDescent="0.3">
      <c r="A876" s="52"/>
      <c r="B876" s="53"/>
      <c r="C876" s="53"/>
      <c r="D876" s="53"/>
      <c r="E876" s="53"/>
      <c r="F876" s="65"/>
      <c r="G876" s="53"/>
      <c r="H876" s="51"/>
    </row>
    <row r="877" spans="1:8" ht="16.5" thickBot="1" x14ac:dyDescent="0.3">
      <c r="A877" s="400" t="s">
        <v>381</v>
      </c>
      <c r="B877" s="401"/>
      <c r="C877" s="402" t="s">
        <v>382</v>
      </c>
      <c r="D877" s="401"/>
      <c r="E877" s="55" t="s">
        <v>266</v>
      </c>
      <c r="F877" s="65"/>
      <c r="G877" s="53"/>
      <c r="H877" s="51"/>
    </row>
    <row r="878" spans="1:8" ht="16.5" thickBot="1" x14ac:dyDescent="0.3">
      <c r="A878" s="403">
        <v>0</v>
      </c>
      <c r="B878" s="404"/>
      <c r="C878" s="403">
        <v>0</v>
      </c>
      <c r="D878" s="404"/>
      <c r="E878" s="56">
        <v>1</v>
      </c>
      <c r="F878" s="65"/>
      <c r="G878" s="53"/>
      <c r="H878" s="51"/>
    </row>
    <row r="879" spans="1:8" x14ac:dyDescent="0.25">
      <c r="A879" s="52"/>
      <c r="B879" s="58"/>
      <c r="C879" s="58"/>
      <c r="D879" s="58"/>
      <c r="E879" s="58"/>
      <c r="F879" s="58"/>
      <c r="G879" s="53"/>
      <c r="H879" s="83"/>
    </row>
    <row r="880" spans="1:8" x14ac:dyDescent="0.25">
      <c r="A880" s="59" t="s">
        <v>323</v>
      </c>
      <c r="B880" s="59" t="s">
        <v>266</v>
      </c>
      <c r="C880" s="59" t="s">
        <v>383</v>
      </c>
      <c r="D880" s="59" t="s">
        <v>384</v>
      </c>
      <c r="E880" s="59" t="s">
        <v>332</v>
      </c>
      <c r="F880" s="59" t="s">
        <v>385</v>
      </c>
      <c r="G880" s="59" t="s">
        <v>386</v>
      </c>
      <c r="H880" s="59" t="s">
        <v>387</v>
      </c>
    </row>
    <row r="881" spans="1:8" x14ac:dyDescent="0.25">
      <c r="A881" s="60">
        <v>6901</v>
      </c>
      <c r="B881" s="61">
        <f>1*E878</f>
        <v>1</v>
      </c>
      <c r="C881" s="61" t="s">
        <v>367</v>
      </c>
      <c r="D881" s="61">
        <f>A878-14</f>
        <v>-14</v>
      </c>
      <c r="E881" s="61" t="s">
        <v>340</v>
      </c>
      <c r="F881" s="104" t="s">
        <v>388</v>
      </c>
      <c r="G881" s="63">
        <v>0.69199999999999995</v>
      </c>
      <c r="H881" s="63">
        <f t="shared" ref="H881:H886" si="14">(D881/1000)*B881*G881</f>
        <v>-9.6879999999999987E-3</v>
      </c>
    </row>
    <row r="882" spans="1:8" x14ac:dyDescent="0.25">
      <c r="A882" s="60">
        <v>6902</v>
      </c>
      <c r="B882" s="61">
        <f>1*E878</f>
        <v>1</v>
      </c>
      <c r="C882" s="61" t="s">
        <v>367</v>
      </c>
      <c r="D882" s="61">
        <f>A878-14</f>
        <v>-14</v>
      </c>
      <c r="E882" s="61" t="s">
        <v>340</v>
      </c>
      <c r="F882" s="104" t="s">
        <v>82</v>
      </c>
      <c r="G882" s="63">
        <v>0.67700000000000005</v>
      </c>
      <c r="H882" s="63">
        <f t="shared" si="14"/>
        <v>-9.4780000000000003E-3</v>
      </c>
    </row>
    <row r="883" spans="1:8" x14ac:dyDescent="0.25">
      <c r="A883" s="60">
        <v>6903</v>
      </c>
      <c r="B883" s="61">
        <f>2*E878</f>
        <v>2</v>
      </c>
      <c r="C883" s="61" t="s">
        <v>337</v>
      </c>
      <c r="D883" s="61">
        <f>C878</f>
        <v>0</v>
      </c>
      <c r="E883" s="61" t="s">
        <v>340</v>
      </c>
      <c r="F883" s="104" t="s">
        <v>83</v>
      </c>
      <c r="G883" s="63">
        <v>0.55000000000000004</v>
      </c>
      <c r="H883" s="63">
        <f t="shared" si="14"/>
        <v>0</v>
      </c>
    </row>
    <row r="884" spans="1:8" x14ac:dyDescent="0.25">
      <c r="A884" s="60">
        <v>6915</v>
      </c>
      <c r="B884" s="61">
        <f>4*E878</f>
        <v>4</v>
      </c>
      <c r="C884" s="61" t="s">
        <v>389</v>
      </c>
      <c r="D884" s="105">
        <f>A878/2-13</f>
        <v>-13</v>
      </c>
      <c r="E884" s="61" t="s">
        <v>340</v>
      </c>
      <c r="F884" s="110" t="s">
        <v>547</v>
      </c>
      <c r="G884" s="63">
        <v>0.56899999999999995</v>
      </c>
      <c r="H884" s="63">
        <f t="shared" si="14"/>
        <v>-2.9587999999999996E-2</v>
      </c>
    </row>
    <row r="885" spans="1:8" x14ac:dyDescent="0.25">
      <c r="A885" s="60">
        <v>6916</v>
      </c>
      <c r="B885" s="61">
        <f>2*E878</f>
        <v>2</v>
      </c>
      <c r="C885" s="61" t="s">
        <v>470</v>
      </c>
      <c r="D885" s="61">
        <f>C878-38</f>
        <v>-38</v>
      </c>
      <c r="E885" s="61" t="s">
        <v>340</v>
      </c>
      <c r="F885" s="110" t="s">
        <v>548</v>
      </c>
      <c r="G885" s="63">
        <v>0.82499999999999996</v>
      </c>
      <c r="H885" s="63">
        <f t="shared" si="14"/>
        <v>-6.2699999999999992E-2</v>
      </c>
    </row>
    <row r="886" spans="1:8" x14ac:dyDescent="0.25">
      <c r="A886" s="60">
        <v>6917</v>
      </c>
      <c r="B886" s="61">
        <f>2*E878</f>
        <v>2</v>
      </c>
      <c r="C886" s="61" t="s">
        <v>470</v>
      </c>
      <c r="D886" s="61">
        <f>C878-38</f>
        <v>-38</v>
      </c>
      <c r="E886" s="61" t="s">
        <v>340</v>
      </c>
      <c r="F886" s="110" t="s">
        <v>549</v>
      </c>
      <c r="G886" s="63">
        <v>0.751</v>
      </c>
      <c r="H886" s="63">
        <f t="shared" si="14"/>
        <v>-5.7076000000000002E-2</v>
      </c>
    </row>
    <row r="887" spans="1:8" x14ac:dyDescent="0.25">
      <c r="A887" s="64"/>
      <c r="B887" s="65"/>
      <c r="C887" s="65"/>
      <c r="D887" s="65"/>
      <c r="E887" s="65"/>
      <c r="F887" s="65"/>
      <c r="G887" s="63" t="s">
        <v>392</v>
      </c>
      <c r="H887" s="63">
        <f>SUM(H881:H886)</f>
        <v>-0.16852999999999999</v>
      </c>
    </row>
    <row r="888" spans="1:8" x14ac:dyDescent="0.25">
      <c r="A888" s="64"/>
      <c r="B888" s="65"/>
      <c r="C888" s="65"/>
      <c r="D888" s="65"/>
      <c r="E888" s="65"/>
      <c r="F888" s="65"/>
      <c r="G888" s="66"/>
      <c r="H888" s="67"/>
    </row>
    <row r="889" spans="1:8" x14ac:dyDescent="0.25">
      <c r="A889" s="64"/>
      <c r="B889" s="65"/>
      <c r="C889" s="65"/>
      <c r="D889" s="65"/>
      <c r="E889" s="65"/>
      <c r="F889" s="65"/>
      <c r="G889" s="68"/>
      <c r="H889" s="67"/>
    </row>
    <row r="890" spans="1:8" x14ac:dyDescent="0.25">
      <c r="A890" s="69" t="s">
        <v>393</v>
      </c>
      <c r="B890" s="70"/>
      <c r="C890" s="70"/>
      <c r="D890" s="71"/>
      <c r="E890" s="59" t="s">
        <v>36</v>
      </c>
      <c r="F890" s="59" t="s">
        <v>266</v>
      </c>
      <c r="G890" s="52"/>
      <c r="H890" s="72"/>
    </row>
    <row r="891" spans="1:8" x14ac:dyDescent="0.25">
      <c r="A891" s="73" t="s">
        <v>496</v>
      </c>
      <c r="B891" s="74"/>
      <c r="C891" s="70"/>
      <c r="D891" s="71"/>
      <c r="E891" s="114">
        <f>F891*E878</f>
        <v>2</v>
      </c>
      <c r="F891" s="61">
        <v>2</v>
      </c>
      <c r="G891" s="76"/>
      <c r="H891" s="77"/>
    </row>
    <row r="892" spans="1:8" x14ac:dyDescent="0.25">
      <c r="A892" s="73" t="s">
        <v>395</v>
      </c>
      <c r="B892" s="74"/>
      <c r="C892" s="70"/>
      <c r="D892" s="71"/>
      <c r="E892" s="115">
        <f>F892*E878</f>
        <v>1</v>
      </c>
      <c r="F892" s="61">
        <v>1</v>
      </c>
      <c r="G892" s="76"/>
      <c r="H892" s="77"/>
    </row>
    <row r="893" spans="1:8" x14ac:dyDescent="0.25">
      <c r="A893" s="73" t="s">
        <v>396</v>
      </c>
      <c r="B893" s="74"/>
      <c r="C893" s="70"/>
      <c r="D893" s="71"/>
      <c r="E893" s="115">
        <f>F893*E878</f>
        <v>1</v>
      </c>
      <c r="F893" s="61">
        <v>1</v>
      </c>
      <c r="G893" s="65"/>
      <c r="H893" s="77"/>
    </row>
    <row r="894" spans="1:8" x14ac:dyDescent="0.25">
      <c r="A894" s="73" t="s">
        <v>497</v>
      </c>
      <c r="B894" s="74"/>
      <c r="C894" s="70"/>
      <c r="D894" s="71"/>
      <c r="E894" s="115">
        <f>F894*E878</f>
        <v>1</v>
      </c>
      <c r="F894" s="61">
        <v>1</v>
      </c>
      <c r="G894" s="65"/>
      <c r="H894" s="77"/>
    </row>
    <row r="895" spans="1:8" x14ac:dyDescent="0.25">
      <c r="A895" s="73" t="s">
        <v>498</v>
      </c>
      <c r="B895" s="74"/>
      <c r="C895" s="70"/>
      <c r="D895" s="71"/>
      <c r="E895" s="115">
        <f>F895*E878</f>
        <v>1</v>
      </c>
      <c r="F895" s="61">
        <v>1</v>
      </c>
      <c r="G895" s="65"/>
      <c r="H895" s="77"/>
    </row>
    <row r="896" spans="1:8" x14ac:dyDescent="0.25">
      <c r="A896" s="73" t="s">
        <v>399</v>
      </c>
      <c r="B896" s="74"/>
      <c r="C896" s="70"/>
      <c r="D896" s="71"/>
      <c r="E896" s="115">
        <f>4*(A878/1000)+6*(C878/1000)*E878</f>
        <v>0</v>
      </c>
      <c r="F896" s="61" t="s">
        <v>472</v>
      </c>
      <c r="G896" s="64"/>
      <c r="H896" s="77"/>
    </row>
    <row r="897" spans="1:8" x14ac:dyDescent="0.25">
      <c r="A897" s="73" t="s">
        <v>550</v>
      </c>
      <c r="B897" s="74"/>
      <c r="C897" s="70"/>
      <c r="D897" s="71"/>
      <c r="E897" s="115">
        <f>2*(A878/1000)+4*(C878/1000)*E878</f>
        <v>0</v>
      </c>
      <c r="F897" s="61" t="s">
        <v>402</v>
      </c>
      <c r="G897" s="64"/>
      <c r="H897" s="77"/>
    </row>
    <row r="898" spans="1:8" x14ac:dyDescent="0.25">
      <c r="A898" s="73" t="s">
        <v>473</v>
      </c>
      <c r="B898" s="74"/>
      <c r="C898" s="70"/>
      <c r="D898" s="71"/>
      <c r="E898" s="115">
        <f>F898*E878</f>
        <v>4</v>
      </c>
      <c r="F898" s="61">
        <v>4</v>
      </c>
      <c r="G898" s="76"/>
      <c r="H898" s="77"/>
    </row>
    <row r="899" spans="1:8" x14ac:dyDescent="0.25">
      <c r="A899" s="73" t="s">
        <v>404</v>
      </c>
      <c r="B899" s="74"/>
      <c r="C899" s="70"/>
      <c r="D899" s="71"/>
      <c r="E899" s="115">
        <f>F899*E878</f>
        <v>4</v>
      </c>
      <c r="F899" s="61">
        <v>4</v>
      </c>
      <c r="G899" s="53"/>
      <c r="H899" s="80"/>
    </row>
    <row r="900" spans="1:8" x14ac:dyDescent="0.25">
      <c r="A900" s="73" t="s">
        <v>405</v>
      </c>
      <c r="B900" s="74"/>
      <c r="C900" s="70"/>
      <c r="D900" s="71"/>
      <c r="E900" s="115">
        <f>F900*E878</f>
        <v>8</v>
      </c>
      <c r="F900" s="61">
        <v>8</v>
      </c>
      <c r="G900" s="53"/>
      <c r="H900" s="80"/>
    </row>
    <row r="901" spans="1:8" x14ac:dyDescent="0.25">
      <c r="A901" s="73" t="s">
        <v>406</v>
      </c>
      <c r="B901" s="74"/>
      <c r="C901" s="70"/>
      <c r="D901" s="71"/>
      <c r="E901" s="115">
        <f>F901*E878</f>
        <v>1</v>
      </c>
      <c r="F901" s="61">
        <v>1</v>
      </c>
      <c r="G901" s="53"/>
      <c r="H901" s="80"/>
    </row>
    <row r="902" spans="1:8" x14ac:dyDescent="0.25">
      <c r="A902" s="73" t="s">
        <v>504</v>
      </c>
      <c r="B902" s="74"/>
      <c r="C902" s="70"/>
      <c r="D902" s="71"/>
      <c r="E902" s="115">
        <f>F902*E878</f>
        <v>1</v>
      </c>
      <c r="F902" s="61">
        <v>1</v>
      </c>
      <c r="G902" s="53"/>
      <c r="H902" s="80"/>
    </row>
    <row r="903" spans="1:8" x14ac:dyDescent="0.25">
      <c r="A903" s="73" t="s">
        <v>408</v>
      </c>
      <c r="B903" s="74"/>
      <c r="C903" s="70"/>
      <c r="D903" s="71"/>
      <c r="E903" s="115">
        <f>F903*E878</f>
        <v>1</v>
      </c>
      <c r="F903" s="61">
        <v>1</v>
      </c>
      <c r="G903" s="53"/>
      <c r="H903" s="80"/>
    </row>
    <row r="904" spans="1:8" x14ac:dyDescent="0.25">
      <c r="A904" s="73" t="s">
        <v>500</v>
      </c>
      <c r="B904" s="74"/>
      <c r="C904" s="70"/>
      <c r="D904" s="71"/>
      <c r="E904" s="115">
        <f>F904*E878</f>
        <v>1</v>
      </c>
      <c r="F904" s="61">
        <v>1</v>
      </c>
      <c r="G904" s="53"/>
      <c r="H904" s="80"/>
    </row>
    <row r="905" spans="1:8" x14ac:dyDescent="0.25">
      <c r="A905" s="73" t="s">
        <v>501</v>
      </c>
      <c r="B905" s="74"/>
      <c r="C905" s="70"/>
      <c r="D905" s="71"/>
      <c r="E905" s="115">
        <f>F905*E878</f>
        <v>1</v>
      </c>
      <c r="F905" s="61">
        <v>1</v>
      </c>
      <c r="G905" s="53"/>
      <c r="H905" s="80"/>
    </row>
    <row r="906" spans="1:8" x14ac:dyDescent="0.25">
      <c r="A906" s="73" t="s">
        <v>502</v>
      </c>
      <c r="B906" s="74"/>
      <c r="C906" s="70"/>
      <c r="D906" s="71"/>
      <c r="E906" s="115">
        <f>F906*E878</f>
        <v>1</v>
      </c>
      <c r="F906" s="61">
        <v>1</v>
      </c>
      <c r="G906" s="53"/>
      <c r="H906" s="80"/>
    </row>
    <row r="907" spans="1:8" x14ac:dyDescent="0.25">
      <c r="A907" s="73" t="s">
        <v>503</v>
      </c>
      <c r="B907" s="74"/>
      <c r="C907" s="70"/>
      <c r="D907" s="71"/>
      <c r="E907" s="115">
        <f>F907*E878</f>
        <v>1</v>
      </c>
      <c r="F907" s="61">
        <v>1</v>
      </c>
      <c r="G907" s="53"/>
      <c r="H907" s="80"/>
    </row>
    <row r="908" spans="1:8" x14ac:dyDescent="0.25">
      <c r="A908" s="73" t="s">
        <v>505</v>
      </c>
      <c r="B908" s="74"/>
      <c r="C908" s="70"/>
      <c r="D908" s="71"/>
      <c r="E908" s="115">
        <f>F908*E878</f>
        <v>4</v>
      </c>
      <c r="F908" s="61">
        <v>4</v>
      </c>
      <c r="G908" s="53"/>
      <c r="H908" s="80"/>
    </row>
    <row r="909" spans="1:8" x14ac:dyDescent="0.25">
      <c r="A909" s="73" t="s">
        <v>506</v>
      </c>
      <c r="B909" s="74"/>
      <c r="C909" s="70"/>
      <c r="D909" s="71"/>
      <c r="E909" s="115">
        <f>F909*E878</f>
        <v>4</v>
      </c>
      <c r="F909" s="61">
        <v>4</v>
      </c>
      <c r="G909" s="53"/>
      <c r="H909" s="80"/>
    </row>
    <row r="910" spans="1:8" x14ac:dyDescent="0.25">
      <c r="A910" s="73" t="s">
        <v>507</v>
      </c>
      <c r="B910" s="74"/>
      <c r="C910" s="70"/>
      <c r="D910" s="71"/>
      <c r="E910" s="115">
        <f>F910*E878</f>
        <v>4</v>
      </c>
      <c r="F910" s="61">
        <v>4</v>
      </c>
      <c r="G910" s="82"/>
      <c r="H910" s="51"/>
    </row>
    <row r="911" spans="1:8" x14ac:dyDescent="0.25">
      <c r="A911" s="73" t="s">
        <v>412</v>
      </c>
      <c r="B911" s="74"/>
      <c r="C911" s="70"/>
      <c r="D911" s="71"/>
      <c r="E911" s="115">
        <f>F911*E878</f>
        <v>16</v>
      </c>
      <c r="F911" s="61">
        <v>16</v>
      </c>
      <c r="G911" s="82"/>
      <c r="H911" s="51"/>
    </row>
    <row r="912" spans="1:8" x14ac:dyDescent="0.25">
      <c r="A912" s="52"/>
      <c r="B912" s="53"/>
      <c r="C912" s="53"/>
      <c r="D912" s="53"/>
      <c r="E912" s="53"/>
      <c r="F912" s="65"/>
      <c r="G912" s="53"/>
      <c r="H912" s="83"/>
    </row>
    <row r="913" spans="1:8" x14ac:dyDescent="0.25">
      <c r="A913" s="52"/>
      <c r="B913" s="53"/>
      <c r="C913" s="53"/>
      <c r="D913" s="53"/>
      <c r="E913" s="53"/>
      <c r="F913" s="65"/>
      <c r="G913" s="53"/>
      <c r="H913" s="83"/>
    </row>
    <row r="914" spans="1:8" x14ac:dyDescent="0.25">
      <c r="A914" s="59" t="s">
        <v>413</v>
      </c>
      <c r="B914" s="84" t="s">
        <v>266</v>
      </c>
      <c r="C914" s="84" t="s">
        <v>383</v>
      </c>
      <c r="D914" s="405" t="s">
        <v>414</v>
      </c>
      <c r="E914" s="406"/>
      <c r="F914" s="85" t="s">
        <v>415</v>
      </c>
      <c r="G914" s="59" t="s">
        <v>416</v>
      </c>
      <c r="H914" s="86"/>
    </row>
    <row r="915" spans="1:8" x14ac:dyDescent="0.25">
      <c r="A915" s="61"/>
      <c r="B915" s="89">
        <f>2*E878</f>
        <v>2</v>
      </c>
      <c r="C915" s="131" t="s">
        <v>551</v>
      </c>
      <c r="D915" s="407">
        <f>A878/2-68</f>
        <v>-68</v>
      </c>
      <c r="E915" s="408"/>
      <c r="F915" s="90">
        <f>C878-124</f>
        <v>-124</v>
      </c>
      <c r="G915" s="91">
        <f>+(D915/1000)*(F915/1000)*B915</f>
        <v>1.6864000000000001E-2</v>
      </c>
      <c r="H915" s="83"/>
    </row>
    <row r="916" spans="1:8" x14ac:dyDescent="0.25">
      <c r="A916" s="52"/>
      <c r="B916" s="93"/>
      <c r="C916" s="53"/>
      <c r="D916" s="53"/>
      <c r="E916" s="53"/>
      <c r="F916" s="94" t="s">
        <v>418</v>
      </c>
      <c r="G916" s="95">
        <f>SUM(G915:G915)</f>
        <v>1.6864000000000001E-2</v>
      </c>
      <c r="H916" s="51"/>
    </row>
    <row r="917" spans="1:8" x14ac:dyDescent="0.25">
      <c r="A917" s="52"/>
      <c r="B917" s="93"/>
      <c r="C917" s="53"/>
      <c r="D917" s="53"/>
      <c r="E917" s="53"/>
      <c r="F917" s="94"/>
      <c r="G917" s="96"/>
      <c r="H917" s="51"/>
    </row>
    <row r="918" spans="1:8" x14ac:dyDescent="0.25">
      <c r="A918" s="52"/>
      <c r="B918" s="93"/>
      <c r="C918" s="53"/>
      <c r="D918" s="53"/>
      <c r="E918" s="53"/>
      <c r="F918" s="94"/>
      <c r="G918" s="96"/>
      <c r="H918" s="51"/>
    </row>
    <row r="919" spans="1:8" x14ac:dyDescent="0.25">
      <c r="A919" s="52"/>
      <c r="B919" s="93"/>
      <c r="C919" s="53"/>
      <c r="D919" s="53"/>
      <c r="E919" s="53"/>
      <c r="F919" s="94"/>
      <c r="G919" s="96"/>
      <c r="H919" s="51"/>
    </row>
    <row r="920" spans="1:8" x14ac:dyDescent="0.25">
      <c r="A920" s="52"/>
      <c r="B920" s="93"/>
      <c r="C920" s="53"/>
      <c r="D920" s="53"/>
      <c r="E920" s="53"/>
      <c r="F920" s="94"/>
      <c r="G920" s="96"/>
      <c r="H920" s="51"/>
    </row>
    <row r="921" spans="1:8" x14ac:dyDescent="0.25">
      <c r="A921" s="52"/>
      <c r="B921" s="93"/>
      <c r="C921" s="53"/>
      <c r="D921" s="53"/>
      <c r="E921" s="53"/>
      <c r="F921" s="94"/>
      <c r="G921" s="96"/>
      <c r="H921" s="51"/>
    </row>
    <row r="922" spans="1:8" x14ac:dyDescent="0.25">
      <c r="A922" s="52"/>
      <c r="B922" s="93"/>
      <c r="C922" s="53"/>
      <c r="D922" s="53"/>
      <c r="E922" s="53"/>
      <c r="F922" s="94"/>
      <c r="G922" s="96"/>
      <c r="H922" s="51"/>
    </row>
    <row r="923" spans="1:8" x14ac:dyDescent="0.25">
      <c r="A923" s="52"/>
      <c r="B923" s="93"/>
      <c r="C923" s="53"/>
      <c r="D923" s="53"/>
      <c r="E923" s="53"/>
      <c r="F923" s="94"/>
      <c r="G923" s="96"/>
      <c r="H923" s="51"/>
    </row>
    <row r="924" spans="1:8" x14ac:dyDescent="0.25">
      <c r="A924" s="52"/>
      <c r="B924" s="93"/>
      <c r="C924" s="53"/>
      <c r="D924" s="53"/>
      <c r="E924" s="53"/>
      <c r="F924" s="94"/>
      <c r="G924" s="96"/>
      <c r="H924" s="51"/>
    </row>
    <row r="925" spans="1:8" x14ac:dyDescent="0.25">
      <c r="A925" s="52"/>
      <c r="B925" s="93"/>
      <c r="C925" s="53"/>
      <c r="D925" s="53"/>
      <c r="E925" s="53"/>
      <c r="F925" s="94"/>
      <c r="G925" s="96"/>
      <c r="H925" s="51"/>
    </row>
    <row r="926" spans="1:8" x14ac:dyDescent="0.25">
      <c r="A926" s="52"/>
      <c r="B926" s="93"/>
      <c r="C926" s="53"/>
      <c r="D926" s="53"/>
      <c r="E926" s="53"/>
      <c r="F926" s="94"/>
      <c r="G926" s="96"/>
      <c r="H926" s="51"/>
    </row>
    <row r="927" spans="1:8" x14ac:dyDescent="0.25">
      <c r="A927" s="52"/>
      <c r="B927" s="93"/>
      <c r="C927" s="53"/>
      <c r="D927" s="53"/>
      <c r="E927" s="53"/>
      <c r="F927" s="94"/>
      <c r="G927" s="96"/>
      <c r="H927" s="51"/>
    </row>
    <row r="928" spans="1:8" x14ac:dyDescent="0.25">
      <c r="A928" s="52"/>
      <c r="B928" s="93"/>
      <c r="C928" s="53"/>
      <c r="D928" s="53"/>
      <c r="E928" s="53"/>
      <c r="F928" s="94"/>
      <c r="G928" s="96"/>
      <c r="H928" s="51"/>
    </row>
    <row r="929" spans="1:8" x14ac:dyDescent="0.25">
      <c r="A929" s="52"/>
      <c r="B929" s="93"/>
      <c r="C929" s="53"/>
      <c r="D929" s="53"/>
      <c r="E929" s="53"/>
      <c r="F929" s="94"/>
      <c r="G929" s="96"/>
      <c r="H929" s="51"/>
    </row>
    <row r="930" spans="1:8" x14ac:dyDescent="0.25">
      <c r="A930" s="52"/>
      <c r="B930" s="93"/>
      <c r="C930" s="53"/>
      <c r="D930" s="53"/>
      <c r="E930" s="53"/>
      <c r="F930" s="94"/>
      <c r="G930" s="96"/>
      <c r="H930" s="51"/>
    </row>
    <row r="931" spans="1:8" x14ac:dyDescent="0.25">
      <c r="A931" s="52"/>
      <c r="B931" s="53"/>
      <c r="C931" s="53"/>
      <c r="D931" s="53"/>
      <c r="E931" s="53"/>
      <c r="F931" s="65"/>
      <c r="G931" s="53"/>
      <c r="H931" s="51"/>
    </row>
    <row r="932" spans="1:8" x14ac:dyDescent="0.25">
      <c r="A932" s="52"/>
      <c r="B932" s="53"/>
      <c r="C932" s="53"/>
      <c r="D932" s="53"/>
      <c r="E932" s="53"/>
      <c r="F932" s="65"/>
      <c r="G932" s="53"/>
      <c r="H932" s="51"/>
    </row>
    <row r="933" spans="1:8" x14ac:dyDescent="0.25">
      <c r="A933" s="45"/>
      <c r="B933" s="45"/>
      <c r="C933" s="45"/>
      <c r="D933" s="45"/>
      <c r="E933" s="45"/>
      <c r="F933" s="102"/>
      <c r="G933" s="45"/>
      <c r="H933" s="45"/>
    </row>
    <row r="934" spans="1:8" x14ac:dyDescent="0.25">
      <c r="A934" s="100"/>
      <c r="B934" s="100"/>
      <c r="C934" s="100"/>
      <c r="D934" s="100"/>
      <c r="E934" s="100"/>
      <c r="F934" s="101"/>
      <c r="G934" s="100"/>
      <c r="H934" s="100"/>
    </row>
    <row r="935" spans="1:8" x14ac:dyDescent="0.25">
      <c r="A935" s="44"/>
      <c r="B935" s="45"/>
      <c r="C935" s="45"/>
      <c r="D935" s="45"/>
      <c r="E935" s="45"/>
      <c r="F935" s="102"/>
      <c r="G935" s="45"/>
      <c r="H935" s="46"/>
    </row>
    <row r="936" spans="1:8" x14ac:dyDescent="0.25">
      <c r="A936" s="52"/>
      <c r="B936" s="53"/>
      <c r="C936" s="53"/>
      <c r="D936" s="53"/>
      <c r="E936" s="53"/>
      <c r="F936" s="65"/>
      <c r="G936" s="53"/>
      <c r="H936" s="51"/>
    </row>
    <row r="937" spans="1:8" x14ac:dyDescent="0.25">
      <c r="A937" s="47" t="s">
        <v>552</v>
      </c>
      <c r="B937" s="49"/>
      <c r="C937" s="49"/>
      <c r="D937" s="122"/>
      <c r="E937" s="49"/>
      <c r="F937" s="50"/>
      <c r="G937" s="54" t="s">
        <v>553</v>
      </c>
      <c r="H937" s="103"/>
    </row>
    <row r="938" spans="1:8" ht="16.5" thickBot="1" x14ac:dyDescent="0.3">
      <c r="A938" s="52"/>
      <c r="B938" s="53"/>
      <c r="C938" s="53"/>
      <c r="D938" s="53"/>
      <c r="E938" s="53"/>
      <c r="F938" s="65"/>
      <c r="G938" s="53"/>
      <c r="H938" s="51"/>
    </row>
    <row r="939" spans="1:8" ht="16.5" thickBot="1" x14ac:dyDescent="0.3">
      <c r="A939" s="400" t="s">
        <v>381</v>
      </c>
      <c r="B939" s="401"/>
      <c r="C939" s="402" t="s">
        <v>382</v>
      </c>
      <c r="D939" s="401"/>
      <c r="E939" s="55" t="s">
        <v>266</v>
      </c>
      <c r="F939" s="65"/>
      <c r="G939" s="53"/>
      <c r="H939" s="51"/>
    </row>
    <row r="940" spans="1:8" ht="16.5" thickBot="1" x14ac:dyDescent="0.3">
      <c r="A940" s="403">
        <v>0</v>
      </c>
      <c r="B940" s="404"/>
      <c r="C940" s="403">
        <v>0</v>
      </c>
      <c r="D940" s="404"/>
      <c r="E940" s="56">
        <v>1</v>
      </c>
      <c r="F940" s="65"/>
      <c r="G940" s="53"/>
      <c r="H940" s="51"/>
    </row>
    <row r="941" spans="1:8" x14ac:dyDescent="0.25">
      <c r="A941" s="52"/>
      <c r="B941" s="58"/>
      <c r="C941" s="58"/>
      <c r="D941" s="58"/>
      <c r="E941" s="58"/>
      <c r="F941" s="58"/>
      <c r="G941" s="53"/>
      <c r="H941" s="83"/>
    </row>
    <row r="942" spans="1:8" x14ac:dyDescent="0.25">
      <c r="A942" s="59" t="s">
        <v>323</v>
      </c>
      <c r="B942" s="59" t="s">
        <v>266</v>
      </c>
      <c r="C942" s="59" t="s">
        <v>383</v>
      </c>
      <c r="D942" s="59" t="s">
        <v>384</v>
      </c>
      <c r="E942" s="59" t="s">
        <v>332</v>
      </c>
      <c r="F942" s="59" t="s">
        <v>385</v>
      </c>
      <c r="G942" s="59" t="s">
        <v>386</v>
      </c>
      <c r="H942" s="59" t="s">
        <v>387</v>
      </c>
    </row>
    <row r="943" spans="1:8" x14ac:dyDescent="0.25">
      <c r="A943" s="60">
        <v>6901</v>
      </c>
      <c r="B943" s="61">
        <f>1*E940</f>
        <v>1</v>
      </c>
      <c r="C943" s="61" t="s">
        <v>367</v>
      </c>
      <c r="D943" s="61">
        <f>A940-14</f>
        <v>-14</v>
      </c>
      <c r="E943" s="61" t="s">
        <v>340</v>
      </c>
      <c r="F943" s="104" t="s">
        <v>388</v>
      </c>
      <c r="G943" s="63">
        <v>0.69199999999999995</v>
      </c>
      <c r="H943" s="63">
        <f t="shared" ref="H943:H949" si="15">(D943/1000)*B943*G943</f>
        <v>-9.6879999999999987E-3</v>
      </c>
    </row>
    <row r="944" spans="1:8" x14ac:dyDescent="0.25">
      <c r="A944" s="60">
        <v>6902</v>
      </c>
      <c r="B944" s="61">
        <f>1*E940</f>
        <v>1</v>
      </c>
      <c r="C944" s="61" t="s">
        <v>367</v>
      </c>
      <c r="D944" s="61">
        <f>A940-14</f>
        <v>-14</v>
      </c>
      <c r="E944" s="61" t="s">
        <v>340</v>
      </c>
      <c r="F944" s="104" t="s">
        <v>82</v>
      </c>
      <c r="G944" s="63">
        <v>0.67700000000000005</v>
      </c>
      <c r="H944" s="63">
        <f t="shared" si="15"/>
        <v>-9.4780000000000003E-3</v>
      </c>
    </row>
    <row r="945" spans="1:8" x14ac:dyDescent="0.25">
      <c r="A945" s="60">
        <v>6903</v>
      </c>
      <c r="B945" s="61">
        <f>2*E940</f>
        <v>2</v>
      </c>
      <c r="C945" s="61" t="s">
        <v>337</v>
      </c>
      <c r="D945" s="61">
        <f>C940</f>
        <v>0</v>
      </c>
      <c r="E945" s="61" t="s">
        <v>340</v>
      </c>
      <c r="F945" s="104" t="s">
        <v>83</v>
      </c>
      <c r="G945" s="63">
        <v>0.55000000000000004</v>
      </c>
      <c r="H945" s="63">
        <f t="shared" si="15"/>
        <v>0</v>
      </c>
    </row>
    <row r="946" spans="1:8" x14ac:dyDescent="0.25">
      <c r="A946" s="60">
        <v>6915</v>
      </c>
      <c r="B946" s="61">
        <f>4*E940</f>
        <v>4</v>
      </c>
      <c r="C946" s="61" t="s">
        <v>421</v>
      </c>
      <c r="D946" s="105">
        <f>A940/3-13</f>
        <v>-13</v>
      </c>
      <c r="E946" s="61" t="s">
        <v>340</v>
      </c>
      <c r="F946" s="110" t="s">
        <v>554</v>
      </c>
      <c r="G946" s="63">
        <v>0.56899999999999995</v>
      </c>
      <c r="H946" s="63">
        <f t="shared" si="15"/>
        <v>-2.9587999999999996E-2</v>
      </c>
    </row>
    <row r="947" spans="1:8" x14ac:dyDescent="0.25">
      <c r="A947" s="60">
        <v>6915</v>
      </c>
      <c r="B947" s="61">
        <f>2*E940</f>
        <v>2</v>
      </c>
      <c r="C947" s="61" t="s">
        <v>478</v>
      </c>
      <c r="D947" s="105">
        <f>A940/3+36</f>
        <v>36</v>
      </c>
      <c r="E947" s="61" t="s">
        <v>340</v>
      </c>
      <c r="F947" s="110" t="s">
        <v>554</v>
      </c>
      <c r="G947" s="63">
        <v>0.56899999999999995</v>
      </c>
      <c r="H947" s="63">
        <f t="shared" si="15"/>
        <v>4.0967999999999991E-2</v>
      </c>
    </row>
    <row r="948" spans="1:8" x14ac:dyDescent="0.25">
      <c r="A948" s="60">
        <v>6916</v>
      </c>
      <c r="B948" s="61">
        <f>2*E940</f>
        <v>2</v>
      </c>
      <c r="C948" s="61" t="s">
        <v>470</v>
      </c>
      <c r="D948" s="61">
        <f>C940-38</f>
        <v>-38</v>
      </c>
      <c r="E948" s="61" t="s">
        <v>340</v>
      </c>
      <c r="F948" s="110" t="s">
        <v>555</v>
      </c>
      <c r="G948" s="63">
        <v>0.82499999999999996</v>
      </c>
      <c r="H948" s="63">
        <f t="shared" si="15"/>
        <v>-6.2699999999999992E-2</v>
      </c>
    </row>
    <row r="949" spans="1:8" x14ac:dyDescent="0.25">
      <c r="A949" s="60">
        <v>6917</v>
      </c>
      <c r="B949" s="61">
        <f>4*E940</f>
        <v>4</v>
      </c>
      <c r="C949" s="61" t="s">
        <v>470</v>
      </c>
      <c r="D949" s="61">
        <f>C940-38</f>
        <v>-38</v>
      </c>
      <c r="E949" s="61" t="s">
        <v>340</v>
      </c>
      <c r="F949" s="110" t="s">
        <v>556</v>
      </c>
      <c r="G949" s="63">
        <v>0.751</v>
      </c>
      <c r="H949" s="63">
        <f t="shared" si="15"/>
        <v>-0.114152</v>
      </c>
    </row>
    <row r="950" spans="1:8" x14ac:dyDescent="0.25">
      <c r="A950" s="64"/>
      <c r="B950" s="65"/>
      <c r="C950" s="65"/>
      <c r="D950" s="65"/>
      <c r="E950" s="65"/>
      <c r="F950" s="65"/>
      <c r="G950" s="63" t="s">
        <v>392</v>
      </c>
      <c r="H950" s="63">
        <f>SUM(H943:H949)</f>
        <v>-0.184638</v>
      </c>
    </row>
    <row r="951" spans="1:8" x14ac:dyDescent="0.25">
      <c r="A951" s="64"/>
      <c r="B951" s="65"/>
      <c r="C951" s="65"/>
      <c r="D951" s="65"/>
      <c r="E951" s="65"/>
      <c r="F951" s="65"/>
      <c r="G951" s="66"/>
      <c r="H951" s="67"/>
    </row>
    <row r="952" spans="1:8" x14ac:dyDescent="0.25">
      <c r="A952" s="64"/>
      <c r="B952" s="65"/>
      <c r="C952" s="65"/>
      <c r="D952" s="65"/>
      <c r="E952" s="65"/>
      <c r="F952" s="65"/>
      <c r="G952" s="68"/>
      <c r="H952" s="67"/>
    </row>
    <row r="953" spans="1:8" x14ac:dyDescent="0.25">
      <c r="A953" s="69" t="s">
        <v>393</v>
      </c>
      <c r="B953" s="70"/>
      <c r="C953" s="70"/>
      <c r="D953" s="71"/>
      <c r="E953" s="59" t="s">
        <v>36</v>
      </c>
      <c r="F953" s="59" t="s">
        <v>266</v>
      </c>
      <c r="G953" s="52"/>
      <c r="H953" s="72"/>
    </row>
    <row r="954" spans="1:8" x14ac:dyDescent="0.25">
      <c r="A954" s="73" t="s">
        <v>496</v>
      </c>
      <c r="B954" s="74"/>
      <c r="C954" s="70"/>
      <c r="D954" s="71"/>
      <c r="E954" s="114">
        <f>F954*E940</f>
        <v>2</v>
      </c>
      <c r="F954" s="61">
        <v>2</v>
      </c>
      <c r="G954" s="76"/>
      <c r="H954" s="77"/>
    </row>
    <row r="955" spans="1:8" x14ac:dyDescent="0.25">
      <c r="A955" s="73" t="s">
        <v>395</v>
      </c>
      <c r="B955" s="74"/>
      <c r="C955" s="70"/>
      <c r="D955" s="71"/>
      <c r="E955" s="115">
        <f>F955*E940</f>
        <v>1</v>
      </c>
      <c r="F955" s="61">
        <v>1</v>
      </c>
      <c r="G955" s="76"/>
      <c r="H955" s="77"/>
    </row>
    <row r="956" spans="1:8" x14ac:dyDescent="0.25">
      <c r="A956" s="73" t="s">
        <v>396</v>
      </c>
      <c r="B956" s="74"/>
      <c r="C956" s="70"/>
      <c r="D956" s="71"/>
      <c r="E956" s="115">
        <f>F956*E940</f>
        <v>1</v>
      </c>
      <c r="F956" s="61">
        <v>1</v>
      </c>
      <c r="G956" s="65"/>
      <c r="H956" s="77"/>
    </row>
    <row r="957" spans="1:8" x14ac:dyDescent="0.25">
      <c r="A957" s="73" t="s">
        <v>497</v>
      </c>
      <c r="B957" s="74"/>
      <c r="C957" s="70"/>
      <c r="D957" s="71"/>
      <c r="E957" s="115">
        <f>F957*E940</f>
        <v>2</v>
      </c>
      <c r="F957" s="61">
        <v>2</v>
      </c>
      <c r="G957" s="65"/>
      <c r="H957" s="77"/>
    </row>
    <row r="958" spans="1:8" x14ac:dyDescent="0.25">
      <c r="A958" s="73" t="s">
        <v>498</v>
      </c>
      <c r="B958" s="74"/>
      <c r="C958" s="70"/>
      <c r="D958" s="71"/>
      <c r="E958" s="115">
        <f>F958*E940</f>
        <v>2</v>
      </c>
      <c r="F958" s="61">
        <v>2</v>
      </c>
      <c r="G958" s="65"/>
      <c r="H958" s="77"/>
    </row>
    <row r="959" spans="1:8" x14ac:dyDescent="0.25">
      <c r="A959" s="73" t="s">
        <v>399</v>
      </c>
      <c r="B959" s="74"/>
      <c r="C959" s="70"/>
      <c r="D959" s="71"/>
      <c r="E959" s="115">
        <f>4*(A940/1000)+8*(C940/1000)*E940</f>
        <v>0</v>
      </c>
      <c r="F959" s="61" t="s">
        <v>481</v>
      </c>
      <c r="G959" s="64"/>
      <c r="H959" s="77"/>
    </row>
    <row r="960" spans="1:8" x14ac:dyDescent="0.25">
      <c r="A960" s="73" t="s">
        <v>550</v>
      </c>
      <c r="B960" s="74"/>
      <c r="C960" s="70"/>
      <c r="D960" s="71"/>
      <c r="E960" s="115">
        <f>2*(A940/1000)+6*(C940/1000)*E940</f>
        <v>0</v>
      </c>
      <c r="F960" s="61" t="s">
        <v>424</v>
      </c>
      <c r="G960" s="64"/>
      <c r="H960" s="77"/>
    </row>
    <row r="961" spans="1:8" x14ac:dyDescent="0.25">
      <c r="A961" s="73" t="s">
        <v>557</v>
      </c>
      <c r="B961" s="74"/>
      <c r="C961" s="70"/>
      <c r="D961" s="71"/>
      <c r="E961" s="115">
        <f>F961*E940</f>
        <v>6</v>
      </c>
      <c r="F961" s="61">
        <v>6</v>
      </c>
      <c r="G961" s="76"/>
      <c r="H961" s="77"/>
    </row>
    <row r="962" spans="1:8" x14ac:dyDescent="0.25">
      <c r="A962" s="73" t="s">
        <v>404</v>
      </c>
      <c r="B962" s="74"/>
      <c r="C962" s="70"/>
      <c r="D962" s="71"/>
      <c r="E962" s="115">
        <f>F962*E940</f>
        <v>8</v>
      </c>
      <c r="F962" s="61">
        <v>8</v>
      </c>
      <c r="G962" s="76"/>
      <c r="H962" s="77"/>
    </row>
    <row r="963" spans="1:8" x14ac:dyDescent="0.25">
      <c r="A963" s="73" t="s">
        <v>405</v>
      </c>
      <c r="B963" s="74"/>
      <c r="C963" s="70"/>
      <c r="D963" s="71"/>
      <c r="E963" s="115">
        <f>F963*E940</f>
        <v>12</v>
      </c>
      <c r="F963" s="61">
        <v>12</v>
      </c>
      <c r="G963" s="76"/>
      <c r="H963" s="77"/>
    </row>
    <row r="964" spans="1:8" x14ac:dyDescent="0.25">
      <c r="A964" s="73" t="s">
        <v>500</v>
      </c>
      <c r="B964" s="74"/>
      <c r="C964" s="70"/>
      <c r="D964" s="71"/>
      <c r="E964" s="115">
        <f>F964*E940</f>
        <v>2</v>
      </c>
      <c r="F964" s="61">
        <v>2</v>
      </c>
      <c r="G964" s="76"/>
      <c r="H964" s="77"/>
    </row>
    <row r="965" spans="1:8" x14ac:dyDescent="0.25">
      <c r="A965" s="73" t="s">
        <v>501</v>
      </c>
      <c r="B965" s="74"/>
      <c r="C965" s="70"/>
      <c r="D965" s="71"/>
      <c r="E965" s="115">
        <f>F965*E940</f>
        <v>2</v>
      </c>
      <c r="F965" s="61">
        <v>2</v>
      </c>
      <c r="G965" s="76"/>
      <c r="H965" s="77"/>
    </row>
    <row r="966" spans="1:8" x14ac:dyDescent="0.25">
      <c r="A966" s="73" t="s">
        <v>502</v>
      </c>
      <c r="B966" s="74"/>
      <c r="C966" s="70"/>
      <c r="D966" s="71"/>
      <c r="E966" s="115">
        <f>F966*E940</f>
        <v>2</v>
      </c>
      <c r="F966" s="61">
        <v>2</v>
      </c>
      <c r="G966" s="76"/>
      <c r="H966" s="77"/>
    </row>
    <row r="967" spans="1:8" x14ac:dyDescent="0.25">
      <c r="A967" s="73" t="s">
        <v>503</v>
      </c>
      <c r="B967" s="74"/>
      <c r="C967" s="70"/>
      <c r="D967" s="71"/>
      <c r="E967" s="115">
        <f>F967*E940</f>
        <v>2</v>
      </c>
      <c r="F967" s="61">
        <v>2</v>
      </c>
      <c r="G967" s="76"/>
      <c r="H967" s="77"/>
    </row>
    <row r="968" spans="1:8" x14ac:dyDescent="0.25">
      <c r="A968" s="73" t="s">
        <v>504</v>
      </c>
      <c r="B968" s="74"/>
      <c r="C968" s="70"/>
      <c r="D968" s="71"/>
      <c r="E968" s="115">
        <f>F968*E940</f>
        <v>2</v>
      </c>
      <c r="F968" s="61">
        <v>2</v>
      </c>
      <c r="G968" s="53"/>
      <c r="H968" s="80"/>
    </row>
    <row r="969" spans="1:8" x14ac:dyDescent="0.25">
      <c r="A969" s="73" t="s">
        <v>505</v>
      </c>
      <c r="B969" s="74"/>
      <c r="C969" s="70"/>
      <c r="D969" s="71"/>
      <c r="E969" s="115">
        <f>F969*E940</f>
        <v>6</v>
      </c>
      <c r="F969" s="61">
        <v>6</v>
      </c>
      <c r="G969" s="53"/>
      <c r="H969" s="80"/>
    </row>
    <row r="970" spans="1:8" x14ac:dyDescent="0.25">
      <c r="A970" s="73" t="s">
        <v>506</v>
      </c>
      <c r="B970" s="74"/>
      <c r="C970" s="70"/>
      <c r="D970" s="71"/>
      <c r="E970" s="115">
        <f>F970*E940</f>
        <v>6</v>
      </c>
      <c r="F970" s="61">
        <v>6</v>
      </c>
      <c r="G970" s="53"/>
      <c r="H970" s="80"/>
    </row>
    <row r="971" spans="1:8" x14ac:dyDescent="0.25">
      <c r="A971" s="73" t="s">
        <v>507</v>
      </c>
      <c r="B971" s="74"/>
      <c r="C971" s="70"/>
      <c r="D971" s="71"/>
      <c r="E971" s="115">
        <f>F971*E940</f>
        <v>4</v>
      </c>
      <c r="F971" s="61">
        <v>4</v>
      </c>
      <c r="G971" s="53"/>
      <c r="H971" s="80"/>
    </row>
    <row r="972" spans="1:8" x14ac:dyDescent="0.25">
      <c r="A972" s="73" t="s">
        <v>412</v>
      </c>
      <c r="B972" s="74"/>
      <c r="C972" s="70"/>
      <c r="D972" s="71"/>
      <c r="E972" s="115">
        <f>F972*E940</f>
        <v>20</v>
      </c>
      <c r="F972" s="61">
        <v>20</v>
      </c>
      <c r="G972" s="53"/>
      <c r="H972" s="80"/>
    </row>
    <row r="973" spans="1:8" x14ac:dyDescent="0.25">
      <c r="A973" s="52"/>
      <c r="B973" s="53"/>
      <c r="C973" s="53"/>
      <c r="D973" s="53"/>
      <c r="E973" s="53"/>
      <c r="F973" s="65"/>
      <c r="G973" s="53"/>
      <c r="H973" s="83"/>
    </row>
    <row r="974" spans="1:8" x14ac:dyDescent="0.25">
      <c r="A974" s="52"/>
      <c r="B974" s="53"/>
      <c r="C974" s="53"/>
      <c r="D974" s="53"/>
      <c r="E974" s="53"/>
      <c r="F974" s="65"/>
      <c r="G974" s="53"/>
      <c r="H974" s="83"/>
    </row>
    <row r="975" spans="1:8" x14ac:dyDescent="0.25">
      <c r="A975" s="59" t="s">
        <v>413</v>
      </c>
      <c r="B975" s="84" t="s">
        <v>266</v>
      </c>
      <c r="C975" s="84" t="s">
        <v>383</v>
      </c>
      <c r="D975" s="405" t="s">
        <v>414</v>
      </c>
      <c r="E975" s="406"/>
      <c r="F975" s="85" t="s">
        <v>415</v>
      </c>
      <c r="G975" s="59" t="s">
        <v>416</v>
      </c>
      <c r="H975" s="86"/>
    </row>
    <row r="976" spans="1:8" x14ac:dyDescent="0.25">
      <c r="A976" s="61"/>
      <c r="B976" s="89">
        <f>2*E940</f>
        <v>2</v>
      </c>
      <c r="C976" s="124" t="s">
        <v>558</v>
      </c>
      <c r="D976" s="409">
        <f>A940/3-68</f>
        <v>-68</v>
      </c>
      <c r="E976" s="410"/>
      <c r="F976" s="90">
        <f>C940-124</f>
        <v>-124</v>
      </c>
      <c r="G976" s="91">
        <f>+(D976/1000)*(F976/1000)*B976</f>
        <v>1.6864000000000001E-2</v>
      </c>
      <c r="H976" s="83"/>
    </row>
    <row r="977" spans="1:8" x14ac:dyDescent="0.25">
      <c r="A977" s="87"/>
      <c r="B977" s="89">
        <f>1*E940</f>
        <v>1</v>
      </c>
      <c r="C977" s="124" t="s">
        <v>559</v>
      </c>
      <c r="D977" s="409">
        <f>A940/3-20</f>
        <v>-20</v>
      </c>
      <c r="E977" s="410"/>
      <c r="F977" s="61">
        <f>C940-124</f>
        <v>-124</v>
      </c>
      <c r="G977" s="91">
        <f>+(D977/1000)*(F977/1000)*B977</f>
        <v>2.48E-3</v>
      </c>
      <c r="H977" s="92"/>
    </row>
    <row r="978" spans="1:8" x14ac:dyDescent="0.25">
      <c r="A978" s="52"/>
      <c r="B978" s="93"/>
      <c r="C978" s="53"/>
      <c r="D978" s="53"/>
      <c r="E978" s="53"/>
      <c r="F978" s="94" t="s">
        <v>418</v>
      </c>
      <c r="G978" s="95">
        <f>SUM(G976:G977)</f>
        <v>1.9344E-2</v>
      </c>
      <c r="H978" s="51"/>
    </row>
    <row r="979" spans="1:8" x14ac:dyDescent="0.25">
      <c r="A979" s="52"/>
      <c r="B979" s="93"/>
      <c r="C979" s="53"/>
      <c r="D979" s="53"/>
      <c r="E979" s="53"/>
      <c r="F979" s="94"/>
      <c r="G979" s="96"/>
      <c r="H979" s="51"/>
    </row>
    <row r="980" spans="1:8" x14ac:dyDescent="0.25">
      <c r="A980" s="52"/>
      <c r="B980" s="93"/>
      <c r="C980" s="53"/>
      <c r="D980" s="53"/>
      <c r="E980" s="53"/>
      <c r="F980" s="94"/>
      <c r="G980" s="96"/>
      <c r="H980" s="51"/>
    </row>
    <row r="981" spans="1:8" x14ac:dyDescent="0.25">
      <c r="A981" s="52"/>
      <c r="B981" s="93"/>
      <c r="C981" s="53"/>
      <c r="D981" s="53"/>
      <c r="E981" s="53"/>
      <c r="F981" s="94"/>
      <c r="G981" s="96"/>
      <c r="H981" s="51"/>
    </row>
    <row r="982" spans="1:8" x14ac:dyDescent="0.25">
      <c r="A982" s="52"/>
      <c r="B982" s="93"/>
      <c r="C982" s="53"/>
      <c r="D982" s="53"/>
      <c r="E982" s="53"/>
      <c r="F982" s="94"/>
      <c r="G982" s="96"/>
      <c r="H982" s="51"/>
    </row>
    <row r="983" spans="1:8" x14ac:dyDescent="0.25">
      <c r="A983" s="52"/>
      <c r="B983" s="93"/>
      <c r="C983" s="53"/>
      <c r="D983" s="53"/>
      <c r="E983" s="53"/>
      <c r="F983" s="94"/>
      <c r="G983" s="96"/>
      <c r="H983" s="51"/>
    </row>
    <row r="984" spans="1:8" x14ac:dyDescent="0.25">
      <c r="A984" s="52"/>
      <c r="B984" s="93"/>
      <c r="C984" s="53"/>
      <c r="D984" s="53"/>
      <c r="E984" s="53"/>
      <c r="F984" s="94"/>
      <c r="G984" s="96"/>
      <c r="H984" s="51"/>
    </row>
    <row r="985" spans="1:8" x14ac:dyDescent="0.25">
      <c r="A985" s="52"/>
      <c r="B985" s="93"/>
      <c r="C985" s="53"/>
      <c r="D985" s="53"/>
      <c r="E985" s="53"/>
      <c r="F985" s="94"/>
      <c r="G985" s="96"/>
      <c r="H985" s="51"/>
    </row>
    <row r="986" spans="1:8" x14ac:dyDescent="0.25">
      <c r="A986" s="52"/>
      <c r="B986" s="93"/>
      <c r="C986" s="53"/>
      <c r="D986" s="53"/>
      <c r="E986" s="53"/>
      <c r="F986" s="94"/>
      <c r="G986" s="96"/>
      <c r="H986" s="51"/>
    </row>
    <row r="987" spans="1:8" x14ac:dyDescent="0.25">
      <c r="A987" s="52"/>
      <c r="B987" s="93"/>
      <c r="C987" s="53"/>
      <c r="D987" s="53"/>
      <c r="E987" s="53"/>
      <c r="F987" s="94"/>
      <c r="G987" s="96"/>
      <c r="H987" s="51"/>
    </row>
    <row r="988" spans="1:8" x14ac:dyDescent="0.25">
      <c r="A988" s="52"/>
      <c r="B988" s="93"/>
      <c r="C988" s="53"/>
      <c r="D988" s="53"/>
      <c r="E988" s="53"/>
      <c r="F988" s="94"/>
      <c r="G988" s="96"/>
      <c r="H988" s="51"/>
    </row>
    <row r="989" spans="1:8" x14ac:dyDescent="0.25">
      <c r="A989" s="52"/>
      <c r="B989" s="93"/>
      <c r="C989" s="53"/>
      <c r="D989" s="53"/>
      <c r="E989" s="53"/>
      <c r="F989" s="94"/>
      <c r="G989" s="96"/>
      <c r="H989" s="51"/>
    </row>
    <row r="990" spans="1:8" x14ac:dyDescent="0.25">
      <c r="A990" s="52"/>
      <c r="B990" s="93"/>
      <c r="C990" s="53"/>
      <c r="D990" s="53"/>
      <c r="E990" s="53"/>
      <c r="F990" s="94"/>
      <c r="G990" s="96"/>
      <c r="H990" s="51"/>
    </row>
    <row r="991" spans="1:8" x14ac:dyDescent="0.25">
      <c r="A991" s="52"/>
      <c r="B991" s="93"/>
      <c r="C991" s="53"/>
      <c r="D991" s="53"/>
      <c r="E991" s="53"/>
      <c r="F991" s="94"/>
      <c r="G991" s="96"/>
      <c r="H991" s="51"/>
    </row>
    <row r="992" spans="1:8" x14ac:dyDescent="0.25">
      <c r="A992" s="52"/>
      <c r="B992" s="93"/>
      <c r="C992" s="53"/>
      <c r="D992" s="53"/>
      <c r="E992" s="53"/>
      <c r="F992" s="94"/>
      <c r="G992" s="96"/>
      <c r="H992" s="51"/>
    </row>
    <row r="993" spans="1:8" x14ac:dyDescent="0.25">
      <c r="A993" s="52"/>
      <c r="B993" s="93"/>
      <c r="C993" s="53"/>
      <c r="D993" s="53"/>
      <c r="E993" s="53"/>
      <c r="F993" s="94"/>
      <c r="G993" s="96"/>
      <c r="H993" s="51"/>
    </row>
    <row r="994" spans="1:8" x14ac:dyDescent="0.25">
      <c r="A994" s="52"/>
      <c r="B994" s="53"/>
      <c r="C994" s="53"/>
      <c r="D994" s="53"/>
      <c r="E994" s="53"/>
      <c r="F994" s="65"/>
      <c r="G994" s="53"/>
      <c r="H994" s="51"/>
    </row>
    <row r="995" spans="1:8" x14ac:dyDescent="0.25">
      <c r="A995" s="45"/>
      <c r="B995" s="45"/>
      <c r="C995" s="45"/>
      <c r="D995" s="45"/>
      <c r="E995" s="45"/>
      <c r="F995" s="102"/>
      <c r="G995" s="45"/>
      <c r="H995" s="45"/>
    </row>
    <row r="996" spans="1:8" x14ac:dyDescent="0.25">
      <c r="A996" s="100"/>
      <c r="B996" s="100"/>
      <c r="C996" s="100"/>
      <c r="D996" s="100"/>
      <c r="E996" s="100"/>
      <c r="F996" s="101"/>
      <c r="G996" s="100"/>
      <c r="H996" s="100"/>
    </row>
    <row r="997" spans="1:8" x14ac:dyDescent="0.25">
      <c r="A997" s="44"/>
      <c r="B997" s="45"/>
      <c r="C997" s="45"/>
      <c r="D997" s="45"/>
      <c r="E997" s="45"/>
      <c r="F997" s="102"/>
      <c r="G997" s="45"/>
      <c r="H997" s="46"/>
    </row>
    <row r="998" spans="1:8" x14ac:dyDescent="0.25">
      <c r="A998" s="52"/>
      <c r="B998" s="53"/>
      <c r="C998" s="53"/>
      <c r="D998" s="53"/>
      <c r="E998" s="53"/>
      <c r="F998" s="65"/>
      <c r="G998" s="53"/>
      <c r="H998" s="51"/>
    </row>
    <row r="999" spans="1:8" x14ac:dyDescent="0.25">
      <c r="A999" s="47" t="s">
        <v>560</v>
      </c>
      <c r="B999" s="48"/>
      <c r="C999" s="49"/>
      <c r="D999" s="122"/>
      <c r="E999" s="49"/>
      <c r="F999" s="50"/>
      <c r="G999" s="54" t="s">
        <v>561</v>
      </c>
      <c r="H999" s="103"/>
    </row>
    <row r="1000" spans="1:8" ht="16.5" thickBot="1" x14ac:dyDescent="0.3">
      <c r="A1000" s="52"/>
      <c r="B1000" s="53"/>
      <c r="C1000" s="53"/>
      <c r="D1000" s="53"/>
      <c r="E1000" s="53"/>
      <c r="F1000" s="65"/>
      <c r="G1000" s="53"/>
      <c r="H1000" s="51"/>
    </row>
    <row r="1001" spans="1:8" ht="16.5" thickBot="1" x14ac:dyDescent="0.3">
      <c r="A1001" s="400" t="s">
        <v>381</v>
      </c>
      <c r="B1001" s="401"/>
      <c r="C1001" s="402" t="s">
        <v>382</v>
      </c>
      <c r="D1001" s="401"/>
      <c r="E1001" s="55" t="s">
        <v>266</v>
      </c>
      <c r="F1001" s="65"/>
      <c r="G1001" s="53"/>
      <c r="H1001" s="51"/>
    </row>
    <row r="1002" spans="1:8" ht="16.5" thickBot="1" x14ac:dyDescent="0.3">
      <c r="A1002" s="403">
        <v>0</v>
      </c>
      <c r="B1002" s="404"/>
      <c r="C1002" s="403">
        <v>0</v>
      </c>
      <c r="D1002" s="404"/>
      <c r="E1002" s="56">
        <v>1</v>
      </c>
      <c r="F1002" s="65"/>
      <c r="G1002" s="53"/>
      <c r="H1002" s="51"/>
    </row>
    <row r="1003" spans="1:8" x14ac:dyDescent="0.25">
      <c r="A1003" s="52"/>
      <c r="B1003" s="58"/>
      <c r="C1003" s="58"/>
      <c r="D1003" s="58"/>
      <c r="E1003" s="58"/>
      <c r="F1003" s="58"/>
      <c r="G1003" s="53"/>
      <c r="H1003" s="83"/>
    </row>
    <row r="1004" spans="1:8" x14ac:dyDescent="0.25">
      <c r="A1004" s="59" t="s">
        <v>323</v>
      </c>
      <c r="B1004" s="59" t="s">
        <v>266</v>
      </c>
      <c r="C1004" s="59" t="s">
        <v>383</v>
      </c>
      <c r="D1004" s="59" t="s">
        <v>384</v>
      </c>
      <c r="E1004" s="59" t="s">
        <v>332</v>
      </c>
      <c r="F1004" s="59" t="s">
        <v>385</v>
      </c>
      <c r="G1004" s="59" t="s">
        <v>386</v>
      </c>
      <c r="H1004" s="59" t="s">
        <v>387</v>
      </c>
    </row>
    <row r="1005" spans="1:8" x14ac:dyDescent="0.25">
      <c r="A1005" s="60">
        <v>6901</v>
      </c>
      <c r="B1005" s="61">
        <f>1*E1002</f>
        <v>1</v>
      </c>
      <c r="C1005" s="61" t="s">
        <v>367</v>
      </c>
      <c r="D1005" s="61">
        <f>A1002-14</f>
        <v>-14</v>
      </c>
      <c r="E1005" s="61" t="s">
        <v>340</v>
      </c>
      <c r="F1005" s="104" t="s">
        <v>388</v>
      </c>
      <c r="G1005" s="63">
        <v>0.69199999999999995</v>
      </c>
      <c r="H1005" s="63">
        <f t="shared" ref="H1005:H1013" si="16">(D1005/1000)*B1005*G1005</f>
        <v>-9.6879999999999987E-3</v>
      </c>
    </row>
    <row r="1006" spans="1:8" x14ac:dyDescent="0.25">
      <c r="A1006" s="60">
        <v>6902</v>
      </c>
      <c r="B1006" s="61">
        <f>1*E1002</f>
        <v>1</v>
      </c>
      <c r="C1006" s="61" t="s">
        <v>367</v>
      </c>
      <c r="D1006" s="61">
        <f>A1002-14</f>
        <v>-14</v>
      </c>
      <c r="E1006" s="61" t="s">
        <v>340</v>
      </c>
      <c r="F1006" s="104" t="s">
        <v>82</v>
      </c>
      <c r="G1006" s="63">
        <v>0.67700000000000005</v>
      </c>
      <c r="H1006" s="63">
        <f t="shared" si="16"/>
        <v>-9.4780000000000003E-3</v>
      </c>
    </row>
    <row r="1007" spans="1:8" x14ac:dyDescent="0.25">
      <c r="A1007" s="60">
        <v>6903</v>
      </c>
      <c r="B1007" s="61">
        <f>2*E1002</f>
        <v>2</v>
      </c>
      <c r="C1007" s="61" t="s">
        <v>337</v>
      </c>
      <c r="D1007" s="61">
        <f>C1002</f>
        <v>0</v>
      </c>
      <c r="E1007" s="61" t="s">
        <v>340</v>
      </c>
      <c r="F1007" s="104" t="s">
        <v>83</v>
      </c>
      <c r="G1007" s="63">
        <v>0.55000000000000004</v>
      </c>
      <c r="H1007" s="63">
        <f t="shared" si="16"/>
        <v>0</v>
      </c>
    </row>
    <row r="1008" spans="1:8" x14ac:dyDescent="0.25">
      <c r="A1008" s="60">
        <v>6915</v>
      </c>
      <c r="B1008" s="61">
        <f>4*E1002</f>
        <v>4</v>
      </c>
      <c r="C1008" s="61" t="s">
        <v>462</v>
      </c>
      <c r="D1008" s="105">
        <f>A1002/4-6</f>
        <v>-6</v>
      </c>
      <c r="E1008" s="61" t="s">
        <v>340</v>
      </c>
      <c r="F1008" s="110" t="s">
        <v>562</v>
      </c>
      <c r="G1008" s="63">
        <v>0.56899999999999995</v>
      </c>
      <c r="H1008" s="63">
        <f t="shared" si="16"/>
        <v>-1.3656E-2</v>
      </c>
    </row>
    <row r="1009" spans="1:8" x14ac:dyDescent="0.25">
      <c r="A1009" s="60">
        <v>6915</v>
      </c>
      <c r="B1009" s="61">
        <f>4*E1002</f>
        <v>4</v>
      </c>
      <c r="C1009" s="61" t="s">
        <v>429</v>
      </c>
      <c r="D1009" s="61">
        <f>A1002/4-13</f>
        <v>-13</v>
      </c>
      <c r="E1009" s="61" t="s">
        <v>340</v>
      </c>
      <c r="F1009" s="110" t="s">
        <v>554</v>
      </c>
      <c r="G1009" s="63">
        <v>0.56899999999999995</v>
      </c>
      <c r="H1009" s="63">
        <f t="shared" si="16"/>
        <v>-2.9587999999999996E-2</v>
      </c>
    </row>
    <row r="1010" spans="1:8" x14ac:dyDescent="0.25">
      <c r="A1010" s="60">
        <v>6916</v>
      </c>
      <c r="B1010" s="61">
        <f>2*E1002</f>
        <v>2</v>
      </c>
      <c r="C1010" s="61" t="s">
        <v>470</v>
      </c>
      <c r="D1010" s="61">
        <f>C1002-38</f>
        <v>-38</v>
      </c>
      <c r="E1010" s="61" t="s">
        <v>340</v>
      </c>
      <c r="F1010" s="110" t="s">
        <v>563</v>
      </c>
      <c r="G1010" s="63">
        <v>0.82499999999999996</v>
      </c>
      <c r="H1010" s="63">
        <f t="shared" si="16"/>
        <v>-6.2699999999999992E-2</v>
      </c>
    </row>
    <row r="1011" spans="1:8" x14ac:dyDescent="0.25">
      <c r="A1011" s="60">
        <v>6913</v>
      </c>
      <c r="B1011" s="61">
        <f>2*E1002</f>
        <v>2</v>
      </c>
      <c r="C1011" s="61" t="s">
        <v>470</v>
      </c>
      <c r="D1011" s="61">
        <f>C1002-38</f>
        <v>-38</v>
      </c>
      <c r="E1011" s="61" t="s">
        <v>340</v>
      </c>
      <c r="F1011" s="110" t="s">
        <v>86</v>
      </c>
      <c r="G1011" s="63">
        <v>0.65500000000000003</v>
      </c>
      <c r="H1011" s="63">
        <f t="shared" si="16"/>
        <v>-4.9779999999999998E-2</v>
      </c>
    </row>
    <row r="1012" spans="1:8" x14ac:dyDescent="0.25">
      <c r="A1012" s="60">
        <v>6917</v>
      </c>
      <c r="B1012" s="61">
        <f>4*E1002</f>
        <v>4</v>
      </c>
      <c r="C1012" s="61" t="s">
        <v>470</v>
      </c>
      <c r="D1012" s="61">
        <f>C1002-38</f>
        <v>-38</v>
      </c>
      <c r="E1012" s="61" t="s">
        <v>340</v>
      </c>
      <c r="F1012" s="110" t="s">
        <v>556</v>
      </c>
      <c r="G1012" s="63">
        <v>0.751</v>
      </c>
      <c r="H1012" s="63">
        <f t="shared" si="16"/>
        <v>-0.114152</v>
      </c>
    </row>
    <row r="1013" spans="1:8" x14ac:dyDescent="0.25">
      <c r="A1013" s="60">
        <v>6919</v>
      </c>
      <c r="B1013" s="61">
        <f>1*E1002</f>
        <v>1</v>
      </c>
      <c r="C1013" s="61" t="s">
        <v>470</v>
      </c>
      <c r="D1013" s="61">
        <f>C1002-38</f>
        <v>-38</v>
      </c>
      <c r="E1013" s="61" t="s">
        <v>340</v>
      </c>
      <c r="F1013" s="110" t="s">
        <v>431</v>
      </c>
      <c r="G1013" s="63">
        <v>0.27600000000000002</v>
      </c>
      <c r="H1013" s="63">
        <f t="shared" si="16"/>
        <v>-1.0488000000000001E-2</v>
      </c>
    </row>
    <row r="1014" spans="1:8" x14ac:dyDescent="0.25">
      <c r="A1014" s="64"/>
      <c r="B1014" s="65"/>
      <c r="C1014" s="65"/>
      <c r="D1014" s="65"/>
      <c r="E1014" s="65"/>
      <c r="F1014" s="65"/>
      <c r="G1014" s="63" t="s">
        <v>392</v>
      </c>
      <c r="H1014" s="63">
        <f>SUM(H1005:H1013)</f>
        <v>-0.29953000000000002</v>
      </c>
    </row>
    <row r="1015" spans="1:8" x14ac:dyDescent="0.25">
      <c r="A1015" s="64"/>
      <c r="B1015" s="65"/>
      <c r="C1015" s="65"/>
      <c r="D1015" s="65"/>
      <c r="E1015" s="65"/>
      <c r="F1015" s="65"/>
      <c r="G1015" s="66"/>
      <c r="H1015" s="67"/>
    </row>
    <row r="1016" spans="1:8" x14ac:dyDescent="0.25">
      <c r="A1016" s="64"/>
      <c r="B1016" s="65"/>
      <c r="C1016" s="65"/>
      <c r="D1016" s="65"/>
      <c r="E1016" s="65"/>
      <c r="F1016" s="65"/>
      <c r="G1016" s="68"/>
      <c r="H1016" s="67"/>
    </row>
    <row r="1017" spans="1:8" x14ac:dyDescent="0.25">
      <c r="A1017" s="69" t="s">
        <v>393</v>
      </c>
      <c r="B1017" s="70"/>
      <c r="C1017" s="70"/>
      <c r="D1017" s="71"/>
      <c r="E1017" s="59" t="s">
        <v>36</v>
      </c>
      <c r="F1017" s="59" t="s">
        <v>266</v>
      </c>
      <c r="G1017" s="52"/>
      <c r="H1017" s="72"/>
    </row>
    <row r="1018" spans="1:8" x14ac:dyDescent="0.25">
      <c r="A1018" s="73" t="s">
        <v>496</v>
      </c>
      <c r="B1018" s="74"/>
      <c r="C1018" s="70"/>
      <c r="D1018" s="71"/>
      <c r="E1018" s="114">
        <f>F1018*E1002</f>
        <v>2</v>
      </c>
      <c r="F1018" s="61">
        <v>2</v>
      </c>
      <c r="G1018" s="76"/>
      <c r="H1018" s="77"/>
    </row>
    <row r="1019" spans="1:8" x14ac:dyDescent="0.25">
      <c r="A1019" s="73" t="s">
        <v>395</v>
      </c>
      <c r="B1019" s="74"/>
      <c r="C1019" s="70"/>
      <c r="D1019" s="71"/>
      <c r="E1019" s="115">
        <f>F1019*E1002</f>
        <v>1</v>
      </c>
      <c r="F1019" s="61">
        <v>1</v>
      </c>
      <c r="G1019" s="76"/>
      <c r="H1019" s="77"/>
    </row>
    <row r="1020" spans="1:8" x14ac:dyDescent="0.25">
      <c r="A1020" s="73" t="s">
        <v>396</v>
      </c>
      <c r="B1020" s="74"/>
      <c r="C1020" s="70"/>
      <c r="D1020" s="71"/>
      <c r="E1020" s="115">
        <f>F1020*E1002</f>
        <v>1</v>
      </c>
      <c r="F1020" s="61">
        <v>1</v>
      </c>
      <c r="G1020" s="65"/>
      <c r="H1020" s="77"/>
    </row>
    <row r="1021" spans="1:8" x14ac:dyDescent="0.25">
      <c r="A1021" s="73" t="s">
        <v>497</v>
      </c>
      <c r="B1021" s="74"/>
      <c r="C1021" s="70"/>
      <c r="D1021" s="71"/>
      <c r="E1021" s="115">
        <f>F1021*E1002</f>
        <v>2</v>
      </c>
      <c r="F1021" s="61">
        <v>2</v>
      </c>
      <c r="G1021" s="65"/>
      <c r="H1021" s="77"/>
    </row>
    <row r="1022" spans="1:8" x14ac:dyDescent="0.25">
      <c r="A1022" s="73" t="s">
        <v>498</v>
      </c>
      <c r="B1022" s="74"/>
      <c r="C1022" s="70"/>
      <c r="D1022" s="71"/>
      <c r="E1022" s="115">
        <f>F1022*E1002</f>
        <v>2</v>
      </c>
      <c r="F1022" s="61">
        <v>2</v>
      </c>
      <c r="G1022" s="65"/>
      <c r="H1022" s="77"/>
    </row>
    <row r="1023" spans="1:8" x14ac:dyDescent="0.25">
      <c r="A1023" s="73" t="s">
        <v>399</v>
      </c>
      <c r="B1023" s="74"/>
      <c r="C1023" s="70"/>
      <c r="D1023" s="71"/>
      <c r="E1023" s="115">
        <f>4*(A1002/1000)+10*(C1002/1000)*E1002</f>
        <v>0</v>
      </c>
      <c r="F1023" s="61" t="s">
        <v>487</v>
      </c>
      <c r="G1023" s="64"/>
      <c r="H1023" s="77"/>
    </row>
    <row r="1024" spans="1:8" x14ac:dyDescent="0.25">
      <c r="A1024" s="73" t="s">
        <v>550</v>
      </c>
      <c r="B1024" s="74"/>
      <c r="C1024" s="70"/>
      <c r="D1024" s="71"/>
      <c r="E1024" s="115">
        <f>2*(A1002/1000)+8*(C1002/1000)*E1002</f>
        <v>0</v>
      </c>
      <c r="F1024" s="61" t="s">
        <v>432</v>
      </c>
      <c r="G1024" s="64"/>
      <c r="H1024" s="77"/>
    </row>
    <row r="1025" spans="1:8" x14ac:dyDescent="0.25">
      <c r="A1025" s="73" t="s">
        <v>473</v>
      </c>
      <c r="B1025" s="74"/>
      <c r="C1025" s="70"/>
      <c r="D1025" s="71"/>
      <c r="E1025" s="115">
        <f>F1025*E1002</f>
        <v>8</v>
      </c>
      <c r="F1025" s="61">
        <v>8</v>
      </c>
      <c r="G1025" s="76"/>
      <c r="H1025" s="77"/>
    </row>
    <row r="1026" spans="1:8" x14ac:dyDescent="0.25">
      <c r="A1026" s="73" t="s">
        <v>404</v>
      </c>
      <c r="B1026" s="74"/>
      <c r="C1026" s="70"/>
      <c r="D1026" s="71"/>
      <c r="E1026" s="115">
        <f>F1026*E1002</f>
        <v>8</v>
      </c>
      <c r="F1026" s="61">
        <v>8</v>
      </c>
      <c r="G1026" s="76"/>
      <c r="H1026" s="77"/>
    </row>
    <row r="1027" spans="1:8" x14ac:dyDescent="0.25">
      <c r="A1027" s="73" t="s">
        <v>405</v>
      </c>
      <c r="B1027" s="74"/>
      <c r="C1027" s="70"/>
      <c r="D1027" s="71"/>
      <c r="E1027" s="115">
        <f>F1027*E1002</f>
        <v>16</v>
      </c>
      <c r="F1027" s="61">
        <v>16</v>
      </c>
      <c r="G1027" s="76"/>
      <c r="H1027" s="77"/>
    </row>
    <row r="1028" spans="1:8" x14ac:dyDescent="0.25">
      <c r="A1028" s="73" t="s">
        <v>500</v>
      </c>
      <c r="B1028" s="74"/>
      <c r="C1028" s="70"/>
      <c r="D1028" s="71"/>
      <c r="E1028" s="115">
        <f>F1028*E1002</f>
        <v>1</v>
      </c>
      <c r="F1028" s="61">
        <v>1</v>
      </c>
      <c r="G1028" s="76"/>
      <c r="H1028" s="77"/>
    </row>
    <row r="1029" spans="1:8" x14ac:dyDescent="0.25">
      <c r="A1029" s="73" t="s">
        <v>532</v>
      </c>
      <c r="B1029" s="74"/>
      <c r="C1029" s="70"/>
      <c r="D1029" s="71"/>
      <c r="E1029" s="115">
        <f>F1029*E1002</f>
        <v>1</v>
      </c>
      <c r="F1029" s="61">
        <v>1</v>
      </c>
      <c r="G1029" s="76"/>
      <c r="H1029" s="77"/>
    </row>
    <row r="1030" spans="1:8" x14ac:dyDescent="0.25">
      <c r="A1030" s="73" t="s">
        <v>502</v>
      </c>
      <c r="B1030" s="74"/>
      <c r="C1030" s="70"/>
      <c r="D1030" s="71"/>
      <c r="E1030" s="115">
        <f>F1030*E1002</f>
        <v>1</v>
      </c>
      <c r="F1030" s="61">
        <v>1</v>
      </c>
      <c r="G1030" s="76"/>
      <c r="H1030" s="77"/>
    </row>
    <row r="1031" spans="1:8" x14ac:dyDescent="0.25">
      <c r="A1031" s="73" t="s">
        <v>503</v>
      </c>
      <c r="B1031" s="74"/>
      <c r="C1031" s="70"/>
      <c r="D1031" s="71"/>
      <c r="E1031" s="115">
        <f>F1031*E1002</f>
        <v>1</v>
      </c>
      <c r="F1031" s="61">
        <v>1</v>
      </c>
      <c r="G1031" s="76"/>
      <c r="H1031" s="77"/>
    </row>
    <row r="1032" spans="1:8" x14ac:dyDescent="0.25">
      <c r="A1032" s="73" t="s">
        <v>504</v>
      </c>
      <c r="B1032" s="74"/>
      <c r="C1032" s="70"/>
      <c r="D1032" s="71"/>
      <c r="E1032" s="115">
        <f>F1032*E1002</f>
        <v>1</v>
      </c>
      <c r="F1032" s="61">
        <v>1</v>
      </c>
      <c r="G1032" s="53"/>
      <c r="H1032" s="80"/>
    </row>
    <row r="1033" spans="1:8" x14ac:dyDescent="0.25">
      <c r="A1033" s="73" t="s">
        <v>505</v>
      </c>
      <c r="B1033" s="74"/>
      <c r="C1033" s="70"/>
      <c r="D1033" s="71"/>
      <c r="E1033" s="115">
        <f>F1033*E1002</f>
        <v>8</v>
      </c>
      <c r="F1033" s="61">
        <v>8</v>
      </c>
      <c r="G1033" s="53"/>
      <c r="H1033" s="80"/>
    </row>
    <row r="1034" spans="1:8" x14ac:dyDescent="0.25">
      <c r="A1034" s="73" t="s">
        <v>506</v>
      </c>
      <c r="B1034" s="74"/>
      <c r="C1034" s="70"/>
      <c r="D1034" s="71"/>
      <c r="E1034" s="115">
        <f>F1034*E1002</f>
        <v>8</v>
      </c>
      <c r="F1034" s="61">
        <v>8</v>
      </c>
      <c r="G1034" s="53"/>
      <c r="H1034" s="80"/>
    </row>
    <row r="1035" spans="1:8" x14ac:dyDescent="0.25">
      <c r="A1035" s="73" t="s">
        <v>507</v>
      </c>
      <c r="B1035" s="74"/>
      <c r="C1035" s="70"/>
      <c r="D1035" s="71"/>
      <c r="E1035" s="115">
        <f>F1035*E1002</f>
        <v>6</v>
      </c>
      <c r="F1035" s="61">
        <v>6</v>
      </c>
      <c r="G1035" s="53"/>
      <c r="H1035" s="80"/>
    </row>
    <row r="1036" spans="1:8" x14ac:dyDescent="0.25">
      <c r="A1036" s="73" t="s">
        <v>406</v>
      </c>
      <c r="B1036" s="74"/>
      <c r="C1036" s="70"/>
      <c r="D1036" s="71"/>
      <c r="E1036" s="115">
        <f>F1036*E1002</f>
        <v>6</v>
      </c>
      <c r="F1036" s="61">
        <v>6</v>
      </c>
      <c r="G1036" s="53"/>
      <c r="H1036" s="80"/>
    </row>
    <row r="1037" spans="1:8" x14ac:dyDescent="0.25">
      <c r="A1037" s="73" t="s">
        <v>408</v>
      </c>
      <c r="B1037" s="74"/>
      <c r="C1037" s="70"/>
      <c r="D1037" s="71"/>
      <c r="E1037" s="115">
        <f>F1037*E1002</f>
        <v>2</v>
      </c>
      <c r="F1037" s="61">
        <v>2</v>
      </c>
      <c r="G1037" s="53"/>
      <c r="H1037" s="80"/>
    </row>
    <row r="1038" spans="1:8" x14ac:dyDescent="0.25">
      <c r="A1038" s="73" t="s">
        <v>515</v>
      </c>
      <c r="B1038" s="74"/>
      <c r="C1038" s="70"/>
      <c r="D1038" s="71"/>
      <c r="E1038" s="115">
        <f>F1038*E1002</f>
        <v>2</v>
      </c>
      <c r="F1038" s="61">
        <v>2</v>
      </c>
      <c r="G1038" s="53"/>
      <c r="H1038" s="80"/>
    </row>
    <row r="1039" spans="1:8" x14ac:dyDescent="0.25">
      <c r="A1039" s="73" t="s">
        <v>412</v>
      </c>
      <c r="B1039" s="74"/>
      <c r="C1039" s="70"/>
      <c r="D1039" s="71"/>
      <c r="E1039" s="115">
        <f>F1039*E1002</f>
        <v>24</v>
      </c>
      <c r="F1039" s="61">
        <v>24</v>
      </c>
      <c r="G1039" s="82"/>
      <c r="H1039" s="51"/>
    </row>
    <row r="1040" spans="1:8" x14ac:dyDescent="0.25">
      <c r="A1040" s="52"/>
      <c r="B1040" s="53"/>
      <c r="C1040" s="53"/>
      <c r="D1040" s="53"/>
      <c r="E1040" s="53"/>
      <c r="F1040" s="65"/>
      <c r="G1040" s="53"/>
      <c r="H1040" s="83"/>
    </row>
    <row r="1041" spans="1:8" x14ac:dyDescent="0.25">
      <c r="A1041" s="52"/>
      <c r="B1041" s="53"/>
      <c r="C1041" s="53"/>
      <c r="D1041" s="53"/>
      <c r="E1041" s="53"/>
      <c r="F1041" s="65"/>
      <c r="G1041" s="53"/>
      <c r="H1041" s="83"/>
    </row>
    <row r="1042" spans="1:8" x14ac:dyDescent="0.25">
      <c r="A1042" s="59" t="s">
        <v>413</v>
      </c>
      <c r="B1042" s="84" t="s">
        <v>266</v>
      </c>
      <c r="C1042" s="84" t="s">
        <v>383</v>
      </c>
      <c r="D1042" s="405" t="s">
        <v>414</v>
      </c>
      <c r="E1042" s="406"/>
      <c r="F1042" s="85" t="s">
        <v>415</v>
      </c>
      <c r="G1042" s="59" t="s">
        <v>416</v>
      </c>
      <c r="H1042" s="86"/>
    </row>
    <row r="1043" spans="1:8" x14ac:dyDescent="0.25">
      <c r="A1043" s="61"/>
      <c r="B1043" s="89">
        <f>2*E1002</f>
        <v>2</v>
      </c>
      <c r="C1043" s="124" t="s">
        <v>543</v>
      </c>
      <c r="D1043" s="407">
        <f>A1002/4-60</f>
        <v>-60</v>
      </c>
      <c r="E1043" s="408"/>
      <c r="F1043" s="90">
        <f>C1002-124</f>
        <v>-124</v>
      </c>
      <c r="G1043" s="91">
        <f>+(D1043/1000)*(F1043/1000)*B1043</f>
        <v>1.4879999999999999E-2</v>
      </c>
      <c r="H1043" s="83"/>
    </row>
    <row r="1044" spans="1:8" x14ac:dyDescent="0.25">
      <c r="A1044" s="87"/>
      <c r="B1044" s="89">
        <f>2*E1002</f>
        <v>2</v>
      </c>
      <c r="C1044" s="124" t="s">
        <v>564</v>
      </c>
      <c r="D1044" s="407">
        <f>A1002/4-68</f>
        <v>-68</v>
      </c>
      <c r="E1044" s="408"/>
      <c r="F1044" s="61">
        <f>C1002-124</f>
        <v>-124</v>
      </c>
      <c r="G1044" s="91">
        <f>+(D1044/1000)*(F1044/1000)*B1044</f>
        <v>1.6864000000000001E-2</v>
      </c>
      <c r="H1044" s="92"/>
    </row>
    <row r="1045" spans="1:8" x14ac:dyDescent="0.25">
      <c r="A1045" s="52"/>
      <c r="B1045" s="93"/>
      <c r="C1045" s="53"/>
      <c r="D1045" s="53"/>
      <c r="E1045" s="53"/>
      <c r="F1045" s="94" t="s">
        <v>418</v>
      </c>
      <c r="G1045" s="95">
        <f>SUM(G1043:G1044)</f>
        <v>3.1744000000000001E-2</v>
      </c>
      <c r="H1045" s="51"/>
    </row>
    <row r="1046" spans="1:8" x14ac:dyDescent="0.25">
      <c r="A1046" s="52"/>
      <c r="B1046" s="93"/>
      <c r="C1046" s="53"/>
      <c r="D1046" s="53"/>
      <c r="E1046" s="53"/>
      <c r="F1046" s="94"/>
      <c r="G1046" s="96"/>
      <c r="H1046" s="51"/>
    </row>
    <row r="1047" spans="1:8" x14ac:dyDescent="0.25">
      <c r="A1047" s="52"/>
      <c r="B1047" s="93"/>
      <c r="C1047" s="53"/>
      <c r="D1047" s="53"/>
      <c r="E1047" s="53"/>
      <c r="F1047" s="94"/>
      <c r="G1047" s="96"/>
      <c r="H1047" s="51"/>
    </row>
    <row r="1048" spans="1:8" x14ac:dyDescent="0.25">
      <c r="A1048" s="52"/>
      <c r="B1048" s="93"/>
      <c r="C1048" s="53"/>
      <c r="D1048" s="53"/>
      <c r="E1048" s="53"/>
      <c r="F1048" s="94"/>
      <c r="G1048" s="96"/>
      <c r="H1048" s="51"/>
    </row>
    <row r="1049" spans="1:8" x14ac:dyDescent="0.25">
      <c r="A1049" s="52"/>
      <c r="B1049" s="93"/>
      <c r="C1049" s="53"/>
      <c r="D1049" s="53"/>
      <c r="E1049" s="53"/>
      <c r="F1049" s="94"/>
      <c r="G1049" s="96"/>
      <c r="H1049" s="51"/>
    </row>
    <row r="1050" spans="1:8" x14ac:dyDescent="0.25">
      <c r="A1050" s="52"/>
      <c r="B1050" s="93"/>
      <c r="C1050" s="53"/>
      <c r="D1050" s="53"/>
      <c r="E1050" s="53"/>
      <c r="F1050" s="94"/>
      <c r="G1050" s="96"/>
      <c r="H1050" s="51"/>
    </row>
    <row r="1051" spans="1:8" x14ac:dyDescent="0.25">
      <c r="A1051" s="52"/>
      <c r="B1051" s="93"/>
      <c r="C1051" s="53"/>
      <c r="D1051" s="53"/>
      <c r="E1051" s="53"/>
      <c r="F1051" s="94"/>
      <c r="G1051" s="96"/>
      <c r="H1051" s="51"/>
    </row>
    <row r="1052" spans="1:8" x14ac:dyDescent="0.25">
      <c r="A1052" s="52"/>
      <c r="B1052" s="93"/>
      <c r="C1052" s="53"/>
      <c r="D1052" s="53"/>
      <c r="E1052" s="53"/>
      <c r="F1052" s="94"/>
      <c r="G1052" s="96"/>
      <c r="H1052" s="51"/>
    </row>
    <row r="1053" spans="1:8" x14ac:dyDescent="0.25">
      <c r="A1053" s="52"/>
      <c r="B1053" s="93"/>
      <c r="C1053" s="53"/>
      <c r="D1053" s="53"/>
      <c r="E1053" s="53"/>
      <c r="F1053" s="94"/>
      <c r="G1053" s="96"/>
      <c r="H1053" s="51"/>
    </row>
    <row r="1054" spans="1:8" x14ac:dyDescent="0.25">
      <c r="A1054" s="52"/>
      <c r="B1054" s="93"/>
      <c r="C1054" s="53"/>
      <c r="D1054" s="53"/>
      <c r="E1054" s="53"/>
      <c r="F1054" s="94"/>
      <c r="G1054" s="96"/>
      <c r="H1054" s="51"/>
    </row>
    <row r="1055" spans="1:8" x14ac:dyDescent="0.25">
      <c r="A1055" s="52"/>
      <c r="B1055" s="93"/>
      <c r="C1055" s="53"/>
      <c r="D1055" s="53"/>
      <c r="E1055" s="53"/>
      <c r="F1055" s="94"/>
      <c r="G1055" s="96"/>
      <c r="H1055" s="51"/>
    </row>
    <row r="1056" spans="1:8" x14ac:dyDescent="0.25">
      <c r="A1056" s="52"/>
      <c r="B1056" s="93"/>
      <c r="C1056" s="53"/>
      <c r="D1056" s="53"/>
      <c r="E1056" s="53"/>
      <c r="F1056" s="94"/>
      <c r="G1056" s="96"/>
      <c r="H1056" s="51"/>
    </row>
    <row r="1057" spans="1:8" x14ac:dyDescent="0.25">
      <c r="A1057" s="52"/>
      <c r="B1057" s="93"/>
      <c r="C1057" s="53"/>
      <c r="D1057" s="53"/>
      <c r="E1057" s="53"/>
      <c r="F1057" s="94"/>
      <c r="G1057" s="96"/>
      <c r="H1057" s="51"/>
    </row>
    <row r="1058" spans="1:8" x14ac:dyDescent="0.25">
      <c r="A1058" s="52"/>
      <c r="B1058" s="53"/>
      <c r="C1058" s="53"/>
      <c r="D1058" s="53"/>
      <c r="E1058" s="53"/>
      <c r="F1058" s="65"/>
      <c r="G1058" s="53"/>
      <c r="H1058" s="51"/>
    </row>
    <row r="1059" spans="1:8" x14ac:dyDescent="0.25">
      <c r="A1059" s="52"/>
      <c r="B1059" s="53"/>
      <c r="C1059" s="53"/>
      <c r="D1059" s="53"/>
      <c r="E1059" s="53"/>
      <c r="F1059" s="65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102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1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102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65"/>
      <c r="G1063" s="53"/>
      <c r="H1063" s="51"/>
    </row>
    <row r="1064" spans="1:8" x14ac:dyDescent="0.25">
      <c r="A1064" s="47" t="s">
        <v>565</v>
      </c>
      <c r="B1064" s="48"/>
      <c r="C1064" s="49"/>
      <c r="D1064" s="122"/>
      <c r="E1064" s="49"/>
      <c r="F1064" s="50"/>
      <c r="G1064" s="50"/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65"/>
      <c r="G1065" s="54" t="s">
        <v>566</v>
      </c>
      <c r="H1065" s="51"/>
    </row>
    <row r="1066" spans="1:8" ht="16.5" thickBot="1" x14ac:dyDescent="0.3">
      <c r="A1066" s="400" t="s">
        <v>381</v>
      </c>
      <c r="B1066" s="401"/>
      <c r="C1066" s="402" t="s">
        <v>382</v>
      </c>
      <c r="D1066" s="401"/>
      <c r="E1066" s="55" t="s">
        <v>266</v>
      </c>
      <c r="F1066" s="65"/>
      <c r="G1066" s="53"/>
      <c r="H1066" s="51"/>
    </row>
    <row r="1067" spans="1:8" ht="16.5" thickBot="1" x14ac:dyDescent="0.3">
      <c r="A1067" s="403">
        <v>0</v>
      </c>
      <c r="B1067" s="404"/>
      <c r="C1067" s="403">
        <v>0</v>
      </c>
      <c r="D1067" s="404"/>
      <c r="E1067" s="56">
        <v>1</v>
      </c>
      <c r="F1067" s="65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6921</v>
      </c>
      <c r="B1070" s="61">
        <f>2*E1067</f>
        <v>2</v>
      </c>
      <c r="C1070" s="61" t="s">
        <v>367</v>
      </c>
      <c r="D1070" s="61">
        <f>A1067-14</f>
        <v>-14</v>
      </c>
      <c r="E1070" s="61" t="s">
        <v>340</v>
      </c>
      <c r="F1070" s="104" t="s">
        <v>438</v>
      </c>
      <c r="G1070" s="63">
        <v>0.60499999999999998</v>
      </c>
      <c r="H1070" s="63">
        <f t="shared" ref="H1070:H1077" si="17">(D1070/1000)*B1070*G1070</f>
        <v>-1.694E-2</v>
      </c>
    </row>
    <row r="1071" spans="1:8" x14ac:dyDescent="0.25">
      <c r="A1071" s="60">
        <v>6903</v>
      </c>
      <c r="B1071" s="61">
        <f>2*E1067</f>
        <v>2</v>
      </c>
      <c r="C1071" s="61" t="s">
        <v>337</v>
      </c>
      <c r="D1071" s="61">
        <f>C1067</f>
        <v>0</v>
      </c>
      <c r="E1071" s="61" t="s">
        <v>340</v>
      </c>
      <c r="F1071" s="104" t="s">
        <v>83</v>
      </c>
      <c r="G1071" s="63">
        <v>0.55000000000000004</v>
      </c>
      <c r="H1071" s="63">
        <f t="shared" si="17"/>
        <v>0</v>
      </c>
    </row>
    <row r="1072" spans="1:8" x14ac:dyDescent="0.25">
      <c r="A1072" s="60">
        <v>6915</v>
      </c>
      <c r="B1072" s="61">
        <f>4*E1067</f>
        <v>4</v>
      </c>
      <c r="C1072" s="61" t="s">
        <v>421</v>
      </c>
      <c r="D1072" s="105">
        <f>A1067/3-13</f>
        <v>-13</v>
      </c>
      <c r="E1072" s="61" t="s">
        <v>340</v>
      </c>
      <c r="F1072" s="110" t="s">
        <v>567</v>
      </c>
      <c r="G1072" s="63">
        <v>0.56899999999999995</v>
      </c>
      <c r="H1072" s="63">
        <f t="shared" si="17"/>
        <v>-2.9587999999999996E-2</v>
      </c>
    </row>
    <row r="1073" spans="1:8" x14ac:dyDescent="0.25">
      <c r="A1073" s="60">
        <v>6916</v>
      </c>
      <c r="B1073" s="61">
        <f>2*E1067</f>
        <v>2</v>
      </c>
      <c r="C1073" s="61" t="s">
        <v>442</v>
      </c>
      <c r="D1073" s="105">
        <f>C1067-48</f>
        <v>-48</v>
      </c>
      <c r="E1073" s="61" t="s">
        <v>340</v>
      </c>
      <c r="F1073" s="110" t="s">
        <v>568</v>
      </c>
      <c r="G1073" s="63">
        <v>0.82499999999999996</v>
      </c>
      <c r="H1073" s="63">
        <f t="shared" si="17"/>
        <v>-7.9199999999999993E-2</v>
      </c>
    </row>
    <row r="1074" spans="1:8" x14ac:dyDescent="0.25">
      <c r="A1074" s="60">
        <v>6917</v>
      </c>
      <c r="B1074" s="61">
        <f>2*E1067</f>
        <v>2</v>
      </c>
      <c r="C1074" s="61" t="s">
        <v>442</v>
      </c>
      <c r="D1074" s="105">
        <f>C1067-48</f>
        <v>-48</v>
      </c>
      <c r="E1074" s="61" t="s">
        <v>340</v>
      </c>
      <c r="F1074" s="110" t="s">
        <v>569</v>
      </c>
      <c r="G1074" s="63">
        <v>0.751</v>
      </c>
      <c r="H1074" s="63">
        <f t="shared" si="17"/>
        <v>-7.2096000000000007E-2</v>
      </c>
    </row>
    <row r="1075" spans="1:8" x14ac:dyDescent="0.25">
      <c r="A1075" s="60">
        <v>6927</v>
      </c>
      <c r="B1075" s="61">
        <f>2*E1067</f>
        <v>2</v>
      </c>
      <c r="C1075" s="61" t="s">
        <v>444</v>
      </c>
      <c r="D1075" s="105">
        <f>C1067-20</f>
        <v>-20</v>
      </c>
      <c r="E1075" s="61" t="s">
        <v>340</v>
      </c>
      <c r="F1075" s="110" t="s">
        <v>542</v>
      </c>
      <c r="G1075" s="63">
        <v>0.56100000000000005</v>
      </c>
      <c r="H1075" s="63">
        <f t="shared" si="17"/>
        <v>-2.2440000000000002E-2</v>
      </c>
    </row>
    <row r="1076" spans="1:8" x14ac:dyDescent="0.25">
      <c r="A1076" s="60">
        <v>6932</v>
      </c>
      <c r="B1076" s="61">
        <f>2*E1067</f>
        <v>2</v>
      </c>
      <c r="C1076" s="61" t="s">
        <v>444</v>
      </c>
      <c r="D1076" s="105">
        <f>C1067-20</f>
        <v>-20</v>
      </c>
      <c r="E1076" s="61" t="s">
        <v>340</v>
      </c>
      <c r="F1076" s="110" t="s">
        <v>570</v>
      </c>
      <c r="G1076" s="63">
        <v>0.34</v>
      </c>
      <c r="H1076" s="63">
        <f t="shared" si="17"/>
        <v>-1.3600000000000001E-2</v>
      </c>
    </row>
    <row r="1077" spans="1:8" x14ac:dyDescent="0.25">
      <c r="A1077" s="60">
        <v>6931</v>
      </c>
      <c r="B1077" s="61">
        <f>2*E1067</f>
        <v>2</v>
      </c>
      <c r="C1077" s="61" t="s">
        <v>521</v>
      </c>
      <c r="D1077" s="105">
        <f>A1067/3-36</f>
        <v>-36</v>
      </c>
      <c r="E1077" s="61" t="s">
        <v>340</v>
      </c>
      <c r="F1077" s="110" t="s">
        <v>571</v>
      </c>
      <c r="G1077" s="63">
        <v>0.29899999999999999</v>
      </c>
      <c r="H1077" s="63">
        <f t="shared" si="17"/>
        <v>-2.1527999999999999E-2</v>
      </c>
    </row>
    <row r="1078" spans="1:8" x14ac:dyDescent="0.25">
      <c r="A1078" s="64"/>
      <c r="B1078" s="65"/>
      <c r="C1078" s="65"/>
      <c r="D1078" s="65"/>
      <c r="E1078" s="65"/>
      <c r="F1078" s="65"/>
      <c r="G1078" s="63" t="s">
        <v>392</v>
      </c>
      <c r="H1078" s="63">
        <f>SUM(H1070:H1077)</f>
        <v>-0.25539200000000001</v>
      </c>
    </row>
    <row r="1079" spans="1:8" x14ac:dyDescent="0.25">
      <c r="A1079" s="64"/>
      <c r="B1079" s="65"/>
      <c r="C1079" s="65"/>
      <c r="D1079" s="65"/>
      <c r="E1079" s="65"/>
      <c r="F1079" s="65"/>
      <c r="G1079" s="66"/>
      <c r="H1079" s="67"/>
    </row>
    <row r="1080" spans="1:8" x14ac:dyDescent="0.25">
      <c r="A1080" s="64"/>
      <c r="B1080" s="65"/>
      <c r="C1080" s="65"/>
      <c r="D1080" s="65"/>
      <c r="E1080" s="65"/>
      <c r="F1080" s="65"/>
      <c r="G1080" s="68"/>
      <c r="H1080" s="67"/>
    </row>
    <row r="1081" spans="1:8" x14ac:dyDescent="0.25">
      <c r="A1081" s="69" t="s">
        <v>393</v>
      </c>
      <c r="B1081" s="70"/>
      <c r="C1081" s="70"/>
      <c r="D1081" s="71"/>
      <c r="E1081" s="59" t="s">
        <v>36</v>
      </c>
      <c r="F1081" s="59" t="s">
        <v>266</v>
      </c>
      <c r="G1081" s="52"/>
      <c r="H1081" s="72"/>
    </row>
    <row r="1082" spans="1:8" x14ac:dyDescent="0.25">
      <c r="A1082" s="73" t="s">
        <v>446</v>
      </c>
      <c r="B1082" s="74"/>
      <c r="C1082" s="70"/>
      <c r="D1082" s="71"/>
      <c r="E1082" s="114">
        <f>F1082*E1067</f>
        <v>2</v>
      </c>
      <c r="F1082" s="61">
        <v>2</v>
      </c>
      <c r="G1082" s="76"/>
      <c r="H1082" s="77"/>
    </row>
    <row r="1083" spans="1:8" x14ac:dyDescent="0.25">
      <c r="A1083" s="73" t="s">
        <v>447</v>
      </c>
      <c r="B1083" s="74"/>
      <c r="C1083" s="70"/>
      <c r="D1083" s="71"/>
      <c r="E1083" s="115">
        <f>F1083*E1067</f>
        <v>2</v>
      </c>
      <c r="F1083" s="61">
        <v>2</v>
      </c>
      <c r="G1083" s="76"/>
      <c r="H1083" s="77"/>
    </row>
    <row r="1084" spans="1:8" x14ac:dyDescent="0.25">
      <c r="A1084" s="73" t="s">
        <v>450</v>
      </c>
      <c r="B1084" s="74"/>
      <c r="C1084" s="70"/>
      <c r="D1084" s="71"/>
      <c r="E1084" s="115">
        <f>F1084*E1067</f>
        <v>2</v>
      </c>
      <c r="F1084" s="61">
        <v>2</v>
      </c>
      <c r="G1084" s="65"/>
      <c r="H1084" s="77"/>
    </row>
    <row r="1085" spans="1:8" x14ac:dyDescent="0.25">
      <c r="A1085" s="73" t="s">
        <v>399</v>
      </c>
      <c r="B1085" s="74"/>
      <c r="C1085" s="70"/>
      <c r="D1085" s="71"/>
      <c r="E1085" s="115">
        <f>3*(A1067/1000)+8*(C1067/1000)*E1067</f>
        <v>0</v>
      </c>
      <c r="F1085" s="61" t="s">
        <v>526</v>
      </c>
      <c r="G1085" s="64"/>
      <c r="H1085" s="77"/>
    </row>
    <row r="1086" spans="1:8" x14ac:dyDescent="0.25">
      <c r="A1086" s="73" t="s">
        <v>550</v>
      </c>
      <c r="B1086" s="74"/>
      <c r="C1086" s="70"/>
      <c r="D1086" s="71"/>
      <c r="E1086" s="115">
        <f>3*(A1067/1000)+4*(C1067/1000)*E1067</f>
        <v>0</v>
      </c>
      <c r="F1086" s="61" t="s">
        <v>456</v>
      </c>
      <c r="G1086" s="64"/>
      <c r="H1086" s="77"/>
    </row>
    <row r="1087" spans="1:8" x14ac:dyDescent="0.25">
      <c r="A1087" s="73" t="s">
        <v>528</v>
      </c>
      <c r="B1087" s="74"/>
      <c r="C1087" s="70"/>
      <c r="D1087" s="71"/>
      <c r="E1087" s="115">
        <f>(A1067/1000)+2*(C1067/1000)*E1067</f>
        <v>0</v>
      </c>
      <c r="F1087" s="61" t="s">
        <v>529</v>
      </c>
      <c r="G1087" s="64"/>
      <c r="H1087" s="77"/>
    </row>
    <row r="1088" spans="1:8" x14ac:dyDescent="0.25">
      <c r="A1088" s="73" t="s">
        <v>572</v>
      </c>
      <c r="B1088" s="74"/>
      <c r="C1088" s="70"/>
      <c r="D1088" s="71"/>
      <c r="E1088" s="115">
        <f>(A1067/1000)+2*(C1067/1000)*E1067</f>
        <v>0</v>
      </c>
      <c r="F1088" s="61" t="s">
        <v>529</v>
      </c>
      <c r="G1088" s="64"/>
      <c r="H1088" s="77"/>
    </row>
    <row r="1089" spans="1:8" x14ac:dyDescent="0.25">
      <c r="A1089" s="73" t="s">
        <v>573</v>
      </c>
      <c r="B1089" s="74"/>
      <c r="C1089" s="70"/>
      <c r="D1089" s="71"/>
      <c r="E1089" s="115">
        <f>F1089*E1067</f>
        <v>4</v>
      </c>
      <c r="F1089" s="61">
        <v>4</v>
      </c>
      <c r="G1089" s="76"/>
      <c r="H1089" s="77"/>
    </row>
    <row r="1090" spans="1:8" x14ac:dyDescent="0.25">
      <c r="A1090" s="73" t="s">
        <v>404</v>
      </c>
      <c r="B1090" s="74"/>
      <c r="C1090" s="70"/>
      <c r="D1090" s="71"/>
      <c r="E1090" s="115">
        <f>F1090*E1067</f>
        <v>4</v>
      </c>
      <c r="F1090" s="61">
        <v>4</v>
      </c>
      <c r="G1090" s="76"/>
      <c r="H1090" s="77"/>
    </row>
    <row r="1091" spans="1:8" x14ac:dyDescent="0.25">
      <c r="A1091" s="73" t="s">
        <v>405</v>
      </c>
      <c r="B1091" s="74"/>
      <c r="C1091" s="70"/>
      <c r="D1091" s="71"/>
      <c r="E1091" s="115">
        <f>F1091*E1067</f>
        <v>8</v>
      </c>
      <c r="F1091" s="61">
        <v>8</v>
      </c>
      <c r="G1091" s="76"/>
      <c r="H1091" s="77"/>
    </row>
    <row r="1092" spans="1:8" x14ac:dyDescent="0.25">
      <c r="A1092" s="73" t="s">
        <v>500</v>
      </c>
      <c r="B1092" s="74"/>
      <c r="C1092" s="70"/>
      <c r="D1092" s="71"/>
      <c r="E1092" s="115">
        <f>F1092*E1067</f>
        <v>2</v>
      </c>
      <c r="F1092" s="61">
        <v>2</v>
      </c>
      <c r="G1092" s="76"/>
      <c r="H1092" s="77"/>
    </row>
    <row r="1093" spans="1:8" x14ac:dyDescent="0.25">
      <c r="A1093" s="73" t="s">
        <v>532</v>
      </c>
      <c r="B1093" s="74"/>
      <c r="C1093" s="70"/>
      <c r="D1093" s="71"/>
      <c r="E1093" s="115">
        <f>F1093*E1067</f>
        <v>2</v>
      </c>
      <c r="F1093" s="61">
        <v>2</v>
      </c>
      <c r="G1093" s="76"/>
      <c r="H1093" s="77"/>
    </row>
    <row r="1094" spans="1:8" x14ac:dyDescent="0.25">
      <c r="A1094" s="73" t="s">
        <v>502</v>
      </c>
      <c r="B1094" s="74"/>
      <c r="C1094" s="70"/>
      <c r="D1094" s="71"/>
      <c r="E1094" s="115">
        <f>F1094*E1067</f>
        <v>2</v>
      </c>
      <c r="F1094" s="61">
        <v>2</v>
      </c>
      <c r="G1094" s="76"/>
      <c r="H1094" s="77"/>
    </row>
    <row r="1095" spans="1:8" x14ac:dyDescent="0.25">
      <c r="A1095" s="73" t="s">
        <v>503</v>
      </c>
      <c r="B1095" s="74"/>
      <c r="C1095" s="70"/>
      <c r="D1095" s="71"/>
      <c r="E1095" s="115">
        <f>F1095*E1067</f>
        <v>2</v>
      </c>
      <c r="F1095" s="61">
        <v>2</v>
      </c>
      <c r="G1095" s="76"/>
      <c r="H1095" s="77"/>
    </row>
    <row r="1096" spans="1:8" x14ac:dyDescent="0.25">
      <c r="A1096" s="73" t="s">
        <v>504</v>
      </c>
      <c r="B1096" s="74"/>
      <c r="C1096" s="70"/>
      <c r="D1096" s="71"/>
      <c r="E1096" s="115">
        <f>F1096*E1067</f>
        <v>2</v>
      </c>
      <c r="F1096" s="61">
        <v>2</v>
      </c>
      <c r="G1096" s="53"/>
      <c r="H1096" s="80"/>
    </row>
    <row r="1097" spans="1:8" x14ac:dyDescent="0.25">
      <c r="A1097" s="73" t="s">
        <v>533</v>
      </c>
      <c r="B1097" s="74"/>
      <c r="C1097" s="70"/>
      <c r="D1097" s="71"/>
      <c r="E1097" s="115">
        <f>F1097*E1067</f>
        <v>4</v>
      </c>
      <c r="F1097" s="61">
        <v>4</v>
      </c>
      <c r="G1097" s="53"/>
      <c r="H1097" s="80"/>
    </row>
    <row r="1098" spans="1:8" x14ac:dyDescent="0.25">
      <c r="A1098" s="73" t="s">
        <v>506</v>
      </c>
      <c r="B1098" s="74"/>
      <c r="C1098" s="70"/>
      <c r="D1098" s="71"/>
      <c r="E1098" s="115">
        <f>F1098*E1067</f>
        <v>4</v>
      </c>
      <c r="F1098" s="61">
        <v>4</v>
      </c>
      <c r="G1098" s="53"/>
      <c r="H1098" s="80"/>
    </row>
    <row r="1099" spans="1:8" x14ac:dyDescent="0.25">
      <c r="A1099" s="81" t="s">
        <v>474</v>
      </c>
      <c r="B1099" s="74"/>
      <c r="C1099" s="70"/>
      <c r="D1099" s="71"/>
      <c r="E1099" s="115">
        <f>F1099*E1067</f>
        <v>4</v>
      </c>
      <c r="F1099" s="61">
        <v>4</v>
      </c>
      <c r="G1099" s="53"/>
      <c r="H1099" s="80"/>
    </row>
    <row r="1100" spans="1:8" x14ac:dyDescent="0.25">
      <c r="A1100" s="73" t="s">
        <v>534</v>
      </c>
      <c r="B1100" s="74"/>
      <c r="C1100" s="70"/>
      <c r="D1100" s="71"/>
      <c r="E1100" s="115">
        <f>F1100*E1067</f>
        <v>4</v>
      </c>
      <c r="F1100" s="61">
        <v>4</v>
      </c>
      <c r="G1100" s="82"/>
      <c r="H1100" s="51"/>
    </row>
    <row r="1101" spans="1:8" x14ac:dyDescent="0.25">
      <c r="A1101" s="73" t="s">
        <v>535</v>
      </c>
      <c r="B1101" s="74"/>
      <c r="C1101" s="70"/>
      <c r="D1101" s="71"/>
      <c r="E1101" s="115">
        <f>F1101*E1067</f>
        <v>24</v>
      </c>
      <c r="F1101" s="61">
        <v>24</v>
      </c>
      <c r="G1101" s="82"/>
      <c r="H1101" s="51"/>
    </row>
    <row r="1102" spans="1:8" x14ac:dyDescent="0.25">
      <c r="A1102" s="52"/>
      <c r="B1102" s="53"/>
      <c r="C1102" s="53"/>
      <c r="D1102" s="53"/>
      <c r="E1102" s="53"/>
      <c r="F1102" s="65"/>
      <c r="G1102" s="53"/>
      <c r="H1102" s="83"/>
    </row>
    <row r="1103" spans="1:8" x14ac:dyDescent="0.25">
      <c r="A1103" s="52"/>
      <c r="B1103" s="53"/>
      <c r="C1103" s="53"/>
      <c r="D1103" s="53"/>
      <c r="E1103" s="53"/>
      <c r="F1103" s="65"/>
      <c r="G1103" s="53"/>
      <c r="H1103" s="83"/>
    </row>
    <row r="1104" spans="1:8" x14ac:dyDescent="0.25">
      <c r="A1104" s="59" t="s">
        <v>413</v>
      </c>
      <c r="B1104" s="84" t="s">
        <v>266</v>
      </c>
      <c r="C1104" s="84" t="s">
        <v>383</v>
      </c>
      <c r="D1104" s="405" t="s">
        <v>414</v>
      </c>
      <c r="E1104" s="406"/>
      <c r="F1104" s="85" t="s">
        <v>415</v>
      </c>
      <c r="G1104" s="59" t="s">
        <v>416</v>
      </c>
      <c r="H1104" s="86"/>
    </row>
    <row r="1105" spans="1:8" x14ac:dyDescent="0.25">
      <c r="A1105" s="61"/>
      <c r="B1105" s="89">
        <f>2*E1067</f>
        <v>2</v>
      </c>
      <c r="C1105" s="124" t="s">
        <v>574</v>
      </c>
      <c r="D1105" s="407">
        <f>A1067/2-68</f>
        <v>-68</v>
      </c>
      <c r="E1105" s="408"/>
      <c r="F1105" s="90">
        <f>C1067-134</f>
        <v>-134</v>
      </c>
      <c r="G1105" s="91">
        <f>+(D1105/1000)*(F1105/1000)*B1105</f>
        <v>1.8224000000000004E-2</v>
      </c>
      <c r="H1105" s="83"/>
    </row>
    <row r="1106" spans="1:8" x14ac:dyDescent="0.25">
      <c r="A1106" s="87"/>
      <c r="B1106" s="89">
        <f>1*E1067</f>
        <v>1</v>
      </c>
      <c r="C1106" s="124" t="s">
        <v>575</v>
      </c>
      <c r="D1106" s="407">
        <f>A1067/2-16</f>
        <v>-16</v>
      </c>
      <c r="E1106" s="408"/>
      <c r="F1106" s="61">
        <f>C1067-50</f>
        <v>-50</v>
      </c>
      <c r="G1106" s="91">
        <f>+(D1106/1000)*(F1106/1000)*B1106</f>
        <v>8.0000000000000004E-4</v>
      </c>
      <c r="H1106" s="92"/>
    </row>
    <row r="1107" spans="1:8" x14ac:dyDescent="0.25">
      <c r="A1107" s="52"/>
      <c r="B1107" s="93"/>
      <c r="C1107" s="53"/>
      <c r="D1107" s="53"/>
      <c r="E1107" s="53"/>
      <c r="F1107" s="94" t="s">
        <v>418</v>
      </c>
      <c r="G1107" s="95">
        <f>SUM(G1105:G1106)</f>
        <v>1.9024000000000003E-2</v>
      </c>
      <c r="H1107" s="51"/>
    </row>
    <row r="1108" spans="1:8" x14ac:dyDescent="0.25">
      <c r="A1108" s="52"/>
      <c r="B1108" s="93"/>
      <c r="C1108" s="53"/>
      <c r="D1108" s="53"/>
      <c r="E1108" s="53"/>
      <c r="F1108" s="94"/>
      <c r="G1108" s="96"/>
      <c r="H1108" s="51"/>
    </row>
    <row r="1109" spans="1:8" x14ac:dyDescent="0.25">
      <c r="A1109" s="52"/>
      <c r="B1109" s="93"/>
      <c r="C1109" s="53"/>
      <c r="D1109" s="53"/>
      <c r="E1109" s="53"/>
      <c r="F1109" s="94"/>
      <c r="G1109" s="96"/>
      <c r="H1109" s="51"/>
    </row>
    <row r="1110" spans="1:8" x14ac:dyDescent="0.25">
      <c r="A1110" s="52"/>
      <c r="B1110" s="93"/>
      <c r="C1110" s="53"/>
      <c r="D1110" s="53"/>
      <c r="E1110" s="53"/>
      <c r="F1110" s="94"/>
      <c r="G1110" s="96"/>
      <c r="H1110" s="51"/>
    </row>
    <row r="1111" spans="1:8" x14ac:dyDescent="0.25">
      <c r="A1111" s="52"/>
      <c r="B1111" s="93"/>
      <c r="C1111" s="53"/>
      <c r="D1111" s="53"/>
      <c r="E1111" s="53"/>
      <c r="F1111" s="94"/>
      <c r="G1111" s="96"/>
      <c r="H1111" s="51"/>
    </row>
    <row r="1112" spans="1:8" x14ac:dyDescent="0.25">
      <c r="A1112" s="52"/>
      <c r="B1112" s="9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93"/>
      <c r="C1113" s="53"/>
      <c r="D1113" s="53"/>
      <c r="E1113" s="53"/>
      <c r="F1113" s="94"/>
      <c r="G1113" s="96"/>
      <c r="H1113" s="51"/>
    </row>
    <row r="1114" spans="1:8" x14ac:dyDescent="0.25">
      <c r="A1114" s="52"/>
      <c r="B1114" s="93"/>
      <c r="C1114" s="53"/>
      <c r="D1114" s="53"/>
      <c r="E1114" s="53"/>
      <c r="F1114" s="94"/>
      <c r="G1114" s="96"/>
      <c r="H1114" s="51"/>
    </row>
    <row r="1115" spans="1:8" x14ac:dyDescent="0.25">
      <c r="A1115" s="52"/>
      <c r="B1115" s="93"/>
      <c r="C1115" s="53"/>
      <c r="D1115" s="53"/>
      <c r="E1115" s="53"/>
      <c r="F1115" s="94"/>
      <c r="G1115" s="96"/>
      <c r="H1115" s="51"/>
    </row>
    <row r="1116" spans="1:8" x14ac:dyDescent="0.25">
      <c r="A1116" s="52"/>
      <c r="B1116" s="93"/>
      <c r="C1116" s="53"/>
      <c r="D1116" s="53"/>
      <c r="E1116" s="53"/>
      <c r="F1116" s="94"/>
      <c r="G1116" s="96"/>
      <c r="H1116" s="51"/>
    </row>
    <row r="1117" spans="1:8" x14ac:dyDescent="0.25">
      <c r="A1117" s="52"/>
      <c r="B1117" s="93"/>
      <c r="C1117" s="53"/>
      <c r="D1117" s="53"/>
      <c r="E1117" s="53"/>
      <c r="F1117" s="94"/>
      <c r="G1117" s="96"/>
      <c r="H1117" s="51"/>
    </row>
    <row r="1118" spans="1:8" x14ac:dyDescent="0.25">
      <c r="A1118" s="52"/>
      <c r="B1118" s="93"/>
      <c r="C1118" s="53"/>
      <c r="D1118" s="53"/>
      <c r="E1118" s="53"/>
      <c r="F1118" s="94"/>
      <c r="G1118" s="96"/>
      <c r="H1118" s="51"/>
    </row>
    <row r="1119" spans="1:8" x14ac:dyDescent="0.25">
      <c r="A1119" s="52"/>
      <c r="B1119" s="93"/>
      <c r="C1119" s="53"/>
      <c r="D1119" s="53"/>
      <c r="E1119" s="53"/>
      <c r="F1119" s="94"/>
      <c r="G1119" s="96"/>
      <c r="H1119" s="51"/>
    </row>
    <row r="1120" spans="1:8" x14ac:dyDescent="0.25">
      <c r="A1120" s="52"/>
      <c r="B1120" s="53"/>
      <c r="C1120" s="53"/>
      <c r="D1120" s="53"/>
      <c r="E1120" s="53"/>
      <c r="F1120" s="65"/>
      <c r="G1120" s="53"/>
      <c r="H1120" s="51"/>
    </row>
    <row r="1121" spans="1:8" x14ac:dyDescent="0.25">
      <c r="A1121" s="52"/>
      <c r="B1121" s="53"/>
      <c r="C1121" s="53"/>
      <c r="D1121" s="53"/>
      <c r="E1121" s="53"/>
      <c r="F1121" s="65"/>
      <c r="G1121" s="53"/>
      <c r="H1121" s="51"/>
    </row>
    <row r="1122" spans="1:8" x14ac:dyDescent="0.25">
      <c r="A1122" s="45"/>
      <c r="B1122" s="45"/>
      <c r="C1122" s="45"/>
      <c r="D1122" s="45"/>
      <c r="E1122" s="45"/>
      <c r="F1122" s="102"/>
      <c r="G1122" s="45"/>
      <c r="H1122" s="45"/>
    </row>
    <row r="1123" spans="1:8" x14ac:dyDescent="0.25">
      <c r="A1123" s="100"/>
      <c r="B1123" s="100"/>
      <c r="C1123" s="100"/>
      <c r="D1123" s="100"/>
      <c r="E1123" s="100"/>
      <c r="F1123" s="101"/>
      <c r="G1123" s="100"/>
      <c r="H1123" s="100"/>
    </row>
    <row r="1124" spans="1:8" x14ac:dyDescent="0.25">
      <c r="A1124" s="44"/>
      <c r="B1124" s="45"/>
      <c r="C1124" s="45"/>
      <c r="D1124" s="45"/>
      <c r="E1124" s="45"/>
      <c r="F1124" s="102"/>
      <c r="G1124" s="45"/>
      <c r="H1124" s="46"/>
    </row>
    <row r="1125" spans="1:8" x14ac:dyDescent="0.25">
      <c r="A1125" s="52"/>
      <c r="B1125" s="53"/>
      <c r="C1125" s="53"/>
      <c r="D1125" s="53"/>
      <c r="E1125" s="53"/>
      <c r="F1125" s="65"/>
      <c r="G1125" s="53"/>
      <c r="H1125" s="51"/>
    </row>
    <row r="1126" spans="1:8" x14ac:dyDescent="0.25">
      <c r="A1126" s="47" t="s">
        <v>576</v>
      </c>
      <c r="B1126" s="48"/>
      <c r="C1126" s="49"/>
      <c r="D1126" s="122"/>
      <c r="E1126" s="49"/>
      <c r="F1126" s="50"/>
      <c r="G1126" s="50"/>
      <c r="H1126" s="103"/>
    </row>
    <row r="1127" spans="1:8" ht="16.5" thickBot="1" x14ac:dyDescent="0.3">
      <c r="A1127" s="52"/>
      <c r="B1127" s="53"/>
      <c r="C1127" s="53"/>
      <c r="D1127" s="53"/>
      <c r="E1127" s="53"/>
      <c r="F1127" s="65"/>
      <c r="G1127" s="54" t="s">
        <v>577</v>
      </c>
      <c r="H1127" s="51"/>
    </row>
    <row r="1128" spans="1:8" ht="16.5" thickBot="1" x14ac:dyDescent="0.3">
      <c r="A1128" s="400" t="s">
        <v>381</v>
      </c>
      <c r="B1128" s="401"/>
      <c r="C1128" s="402" t="s">
        <v>382</v>
      </c>
      <c r="D1128" s="401"/>
      <c r="E1128" s="55" t="s">
        <v>266</v>
      </c>
      <c r="F1128" s="65"/>
      <c r="G1128" s="53"/>
      <c r="H1128" s="51"/>
    </row>
    <row r="1129" spans="1:8" ht="16.5" thickBot="1" x14ac:dyDescent="0.3">
      <c r="A1129" s="403">
        <v>0</v>
      </c>
      <c r="B1129" s="404"/>
      <c r="C1129" s="403">
        <v>0</v>
      </c>
      <c r="D1129" s="404"/>
      <c r="E1129" s="56">
        <v>1</v>
      </c>
      <c r="F1129" s="65"/>
      <c r="G1129" s="53"/>
      <c r="H1129" s="51"/>
    </row>
    <row r="1130" spans="1:8" x14ac:dyDescent="0.25">
      <c r="A1130" s="52"/>
      <c r="B1130" s="58"/>
      <c r="C1130" s="58"/>
      <c r="D1130" s="58"/>
      <c r="E1130" s="58"/>
      <c r="F1130" s="58"/>
      <c r="G1130" s="53"/>
      <c r="H1130" s="83"/>
    </row>
    <row r="1131" spans="1:8" x14ac:dyDescent="0.25">
      <c r="A1131" s="59" t="s">
        <v>323</v>
      </c>
      <c r="B1131" s="59" t="s">
        <v>266</v>
      </c>
      <c r="C1131" s="59" t="s">
        <v>383</v>
      </c>
      <c r="D1131" s="59" t="s">
        <v>384</v>
      </c>
      <c r="E1131" s="59" t="s">
        <v>332</v>
      </c>
      <c r="F1131" s="59" t="s">
        <v>385</v>
      </c>
      <c r="G1131" s="59" t="s">
        <v>386</v>
      </c>
      <c r="H1131" s="59" t="s">
        <v>387</v>
      </c>
    </row>
    <row r="1132" spans="1:8" x14ac:dyDescent="0.25">
      <c r="A1132" s="60">
        <v>6921</v>
      </c>
      <c r="B1132" s="61">
        <f>2*E1129</f>
        <v>2</v>
      </c>
      <c r="C1132" s="61" t="s">
        <v>367</v>
      </c>
      <c r="D1132" s="61">
        <f>A1129-14</f>
        <v>-14</v>
      </c>
      <c r="E1132" s="61" t="s">
        <v>340</v>
      </c>
      <c r="F1132" s="104" t="s">
        <v>438</v>
      </c>
      <c r="G1132" s="63">
        <v>0.60499999999999998</v>
      </c>
      <c r="H1132" s="63">
        <f t="shared" ref="H1132:H1141" si="18">(D1132/1000)*B1132*G1132</f>
        <v>-1.694E-2</v>
      </c>
    </row>
    <row r="1133" spans="1:8" x14ac:dyDescent="0.25">
      <c r="A1133" s="60">
        <v>6929</v>
      </c>
      <c r="B1133" s="61">
        <f>2*E1129</f>
        <v>2</v>
      </c>
      <c r="C1133" s="61" t="s">
        <v>337</v>
      </c>
      <c r="D1133" s="61">
        <f>C1129</f>
        <v>0</v>
      </c>
      <c r="E1133" s="61" t="s">
        <v>340</v>
      </c>
      <c r="F1133" s="110" t="s">
        <v>578</v>
      </c>
      <c r="G1133" s="63">
        <v>0.53900000000000003</v>
      </c>
      <c r="H1133" s="63">
        <f t="shared" si="18"/>
        <v>0</v>
      </c>
    </row>
    <row r="1134" spans="1:8" x14ac:dyDescent="0.25">
      <c r="A1134" s="60">
        <v>6930</v>
      </c>
      <c r="B1134" s="61">
        <f>2*E1129</f>
        <v>2</v>
      </c>
      <c r="C1134" s="61" t="s">
        <v>444</v>
      </c>
      <c r="D1134" s="61">
        <f>C1129-20</f>
        <v>-20</v>
      </c>
      <c r="E1134" s="61" t="s">
        <v>340</v>
      </c>
      <c r="F1134" s="110" t="s">
        <v>579</v>
      </c>
      <c r="G1134" s="63">
        <v>0.12</v>
      </c>
      <c r="H1134" s="63">
        <f t="shared" si="18"/>
        <v>-4.7999999999999996E-3</v>
      </c>
    </row>
    <row r="1135" spans="1:8" x14ac:dyDescent="0.25">
      <c r="A1135" s="60">
        <v>6915</v>
      </c>
      <c r="B1135" s="61">
        <f>4*E1129</f>
        <v>4</v>
      </c>
      <c r="C1135" s="61" t="s">
        <v>462</v>
      </c>
      <c r="D1135" s="105">
        <f>A1129/4-6</f>
        <v>-6</v>
      </c>
      <c r="E1135" s="61" t="s">
        <v>340</v>
      </c>
      <c r="F1135" s="104" t="s">
        <v>567</v>
      </c>
      <c r="G1135" s="63">
        <v>0.56899999999999995</v>
      </c>
      <c r="H1135" s="63">
        <f t="shared" si="18"/>
        <v>-1.3656E-2</v>
      </c>
    </row>
    <row r="1136" spans="1:8" x14ac:dyDescent="0.25">
      <c r="A1136" s="60">
        <v>6916</v>
      </c>
      <c r="B1136" s="61">
        <f>2*E1129</f>
        <v>2</v>
      </c>
      <c r="C1136" s="61" t="s">
        <v>442</v>
      </c>
      <c r="D1136" s="61">
        <f>C1129-48</f>
        <v>-48</v>
      </c>
      <c r="E1136" s="61" t="s">
        <v>340</v>
      </c>
      <c r="F1136" s="110" t="s">
        <v>568</v>
      </c>
      <c r="G1136" s="63">
        <v>0.82499999999999996</v>
      </c>
      <c r="H1136" s="63">
        <f t="shared" si="18"/>
        <v>-7.9199999999999993E-2</v>
      </c>
    </row>
    <row r="1137" spans="1:8" x14ac:dyDescent="0.25">
      <c r="A1137" s="60">
        <v>6919</v>
      </c>
      <c r="B1137" s="61">
        <f>1*E1129</f>
        <v>1</v>
      </c>
      <c r="C1137" s="61" t="s">
        <v>442</v>
      </c>
      <c r="D1137" s="61">
        <f>C1129-48</f>
        <v>-48</v>
      </c>
      <c r="E1137" s="61" t="s">
        <v>340</v>
      </c>
      <c r="F1137" s="110" t="s">
        <v>431</v>
      </c>
      <c r="G1137" s="63">
        <v>0.27600000000000002</v>
      </c>
      <c r="H1137" s="63">
        <f t="shared" si="18"/>
        <v>-1.3248000000000001E-2</v>
      </c>
    </row>
    <row r="1138" spans="1:8" x14ac:dyDescent="0.25">
      <c r="A1138" s="60">
        <v>6917</v>
      </c>
      <c r="B1138" s="61">
        <f>2*E1129</f>
        <v>2</v>
      </c>
      <c r="C1138" s="61" t="s">
        <v>442</v>
      </c>
      <c r="D1138" s="61">
        <f>C1129-48</f>
        <v>-48</v>
      </c>
      <c r="E1138" s="61" t="s">
        <v>340</v>
      </c>
      <c r="F1138" s="110" t="s">
        <v>569</v>
      </c>
      <c r="G1138" s="63">
        <v>0.751</v>
      </c>
      <c r="H1138" s="63">
        <f t="shared" si="18"/>
        <v>-7.2096000000000007E-2</v>
      </c>
    </row>
    <row r="1139" spans="1:8" x14ac:dyDescent="0.25">
      <c r="A1139" s="60">
        <v>6927</v>
      </c>
      <c r="B1139" s="61">
        <f>2*E1129</f>
        <v>2</v>
      </c>
      <c r="C1139" s="61" t="s">
        <v>444</v>
      </c>
      <c r="D1139" s="61">
        <f>C1129-20</f>
        <v>-20</v>
      </c>
      <c r="E1139" s="61" t="s">
        <v>340</v>
      </c>
      <c r="F1139" s="110" t="s">
        <v>542</v>
      </c>
      <c r="G1139" s="63">
        <v>0.56100000000000005</v>
      </c>
      <c r="H1139" s="63">
        <f t="shared" si="18"/>
        <v>-2.2440000000000002E-2</v>
      </c>
    </row>
    <row r="1140" spans="1:8" x14ac:dyDescent="0.25">
      <c r="A1140" s="60">
        <v>6932</v>
      </c>
      <c r="B1140" s="61">
        <f>2*E1129</f>
        <v>2</v>
      </c>
      <c r="C1140" s="61" t="s">
        <v>444</v>
      </c>
      <c r="D1140" s="61">
        <f>C1129-20</f>
        <v>-20</v>
      </c>
      <c r="E1140" s="61" t="s">
        <v>340</v>
      </c>
      <c r="F1140" s="110" t="s">
        <v>580</v>
      </c>
      <c r="G1140" s="63">
        <v>0.34</v>
      </c>
      <c r="H1140" s="63">
        <f t="shared" si="18"/>
        <v>-1.3600000000000001E-2</v>
      </c>
    </row>
    <row r="1141" spans="1:8" x14ac:dyDescent="0.25">
      <c r="A1141" s="60">
        <v>6931</v>
      </c>
      <c r="B1141" s="61">
        <f>4*E1129</f>
        <v>4</v>
      </c>
      <c r="C1141" s="61" t="s">
        <v>581</v>
      </c>
      <c r="D1141" s="61">
        <f>A1129/4-46</f>
        <v>-46</v>
      </c>
      <c r="E1141" s="61" t="s">
        <v>340</v>
      </c>
      <c r="F1141" s="110" t="s">
        <v>582</v>
      </c>
      <c r="G1141" s="63">
        <v>0.29899999999999999</v>
      </c>
      <c r="H1141" s="63">
        <f t="shared" si="18"/>
        <v>-5.5015999999999995E-2</v>
      </c>
    </row>
    <row r="1142" spans="1:8" x14ac:dyDescent="0.25">
      <c r="A1142" s="64"/>
      <c r="B1142" s="65"/>
      <c r="C1142" s="65"/>
      <c r="D1142" s="65"/>
      <c r="E1142" s="65"/>
      <c r="F1142" s="65"/>
      <c r="G1142" s="63" t="s">
        <v>392</v>
      </c>
      <c r="H1142" s="63">
        <f>SUM(H1132:H1141)</f>
        <v>-0.29099600000000003</v>
      </c>
    </row>
    <row r="1143" spans="1:8" x14ac:dyDescent="0.25">
      <c r="A1143" s="64"/>
      <c r="B1143" s="65"/>
      <c r="C1143" s="65"/>
      <c r="D1143" s="65"/>
      <c r="E1143" s="65"/>
      <c r="F1143" s="65"/>
      <c r="G1143" s="66"/>
      <c r="H1143" s="67"/>
    </row>
    <row r="1144" spans="1:8" x14ac:dyDescent="0.25">
      <c r="A1144" s="64"/>
      <c r="B1144" s="65"/>
      <c r="C1144" s="65"/>
      <c r="D1144" s="65"/>
      <c r="E1144" s="65"/>
      <c r="F1144" s="65"/>
      <c r="G1144" s="68"/>
      <c r="H1144" s="67"/>
    </row>
    <row r="1145" spans="1:8" x14ac:dyDescent="0.25">
      <c r="A1145" s="69" t="s">
        <v>393</v>
      </c>
      <c r="B1145" s="70"/>
      <c r="C1145" s="70"/>
      <c r="D1145" s="71"/>
      <c r="E1145" s="59" t="s">
        <v>36</v>
      </c>
      <c r="F1145" s="59" t="s">
        <v>266</v>
      </c>
      <c r="G1145" s="52"/>
      <c r="H1145" s="72"/>
    </row>
    <row r="1146" spans="1:8" x14ac:dyDescent="0.25">
      <c r="A1146" s="73" t="s">
        <v>446</v>
      </c>
      <c r="B1146" s="74"/>
      <c r="C1146" s="70"/>
      <c r="D1146" s="71"/>
      <c r="E1146" s="114">
        <f>F1146*E1129</f>
        <v>2</v>
      </c>
      <c r="F1146" s="61">
        <v>2</v>
      </c>
      <c r="G1146" s="76"/>
      <c r="H1146" s="77"/>
    </row>
    <row r="1147" spans="1:8" x14ac:dyDescent="0.25">
      <c r="A1147" s="73" t="s">
        <v>447</v>
      </c>
      <c r="B1147" s="74"/>
      <c r="C1147" s="70"/>
      <c r="D1147" s="71"/>
      <c r="E1147" s="115">
        <f>F1147*E1129</f>
        <v>2</v>
      </c>
      <c r="F1147" s="61">
        <v>2</v>
      </c>
      <c r="G1147" s="76"/>
      <c r="H1147" s="77"/>
    </row>
    <row r="1148" spans="1:8" x14ac:dyDescent="0.25">
      <c r="A1148" s="73" t="s">
        <v>450</v>
      </c>
      <c r="B1148" s="74"/>
      <c r="C1148" s="70"/>
      <c r="D1148" s="71"/>
      <c r="E1148" s="115">
        <f>F1148*E1129</f>
        <v>4</v>
      </c>
      <c r="F1148" s="61">
        <v>4</v>
      </c>
      <c r="G1148" s="65"/>
      <c r="H1148" s="77"/>
    </row>
    <row r="1149" spans="1:8" x14ac:dyDescent="0.25">
      <c r="A1149" s="73" t="s">
        <v>399</v>
      </c>
      <c r="B1149" s="74"/>
      <c r="C1149" s="70"/>
      <c r="D1149" s="71"/>
      <c r="E1149" s="115">
        <f>2*(A1129/1000)+6*(C1129/1000)*E1129</f>
        <v>0</v>
      </c>
      <c r="F1149" s="61" t="s">
        <v>424</v>
      </c>
      <c r="G1149" s="64"/>
      <c r="H1149" s="77"/>
    </row>
    <row r="1150" spans="1:8" x14ac:dyDescent="0.25">
      <c r="A1150" s="73" t="s">
        <v>550</v>
      </c>
      <c r="B1150" s="74"/>
      <c r="C1150" s="70"/>
      <c r="D1150" s="71"/>
      <c r="E1150" s="115">
        <f>(A1129/1000)+4*(C1129/1000)*E1129</f>
        <v>0</v>
      </c>
      <c r="F1150" s="61" t="s">
        <v>449</v>
      </c>
      <c r="G1150" s="64"/>
      <c r="H1150" s="77"/>
    </row>
    <row r="1151" spans="1:8" x14ac:dyDescent="0.25">
      <c r="A1151" s="73" t="s">
        <v>528</v>
      </c>
      <c r="B1151" s="74"/>
      <c r="C1151" s="70"/>
      <c r="D1151" s="71"/>
      <c r="E1151" s="115">
        <f>(A1129/1000)+4*(C1129/1000)*E1129</f>
        <v>0</v>
      </c>
      <c r="F1151" s="61" t="s">
        <v>449</v>
      </c>
      <c r="G1151" s="64"/>
      <c r="H1151" s="77"/>
    </row>
    <row r="1152" spans="1:8" x14ac:dyDescent="0.25">
      <c r="A1152" s="73" t="s">
        <v>530</v>
      </c>
      <c r="B1152" s="74"/>
      <c r="C1152" s="70"/>
      <c r="D1152" s="71"/>
      <c r="E1152" s="115">
        <f>(A1129/1000)+4*(C1129/1000)*E1129</f>
        <v>0</v>
      </c>
      <c r="F1152" s="61" t="s">
        <v>449</v>
      </c>
      <c r="G1152" s="64"/>
      <c r="H1152" s="77"/>
    </row>
    <row r="1153" spans="1:8" x14ac:dyDescent="0.25">
      <c r="A1153" s="73" t="s">
        <v>583</v>
      </c>
      <c r="B1153" s="74"/>
      <c r="C1153" s="70"/>
      <c r="D1153" s="71"/>
      <c r="E1153" s="115">
        <f>F1153*E1129</f>
        <v>4</v>
      </c>
      <c r="F1153" s="61">
        <v>4</v>
      </c>
      <c r="G1153" s="76"/>
      <c r="H1153" s="77"/>
    </row>
    <row r="1154" spans="1:8" x14ac:dyDescent="0.25">
      <c r="A1154" s="73" t="s">
        <v>404</v>
      </c>
      <c r="B1154" s="74"/>
      <c r="C1154" s="70"/>
      <c r="D1154" s="71"/>
      <c r="E1154" s="115">
        <f>F1154*E1129</f>
        <v>8</v>
      </c>
      <c r="F1154" s="61">
        <v>8</v>
      </c>
      <c r="G1154" s="76"/>
      <c r="H1154" s="77"/>
    </row>
    <row r="1155" spans="1:8" x14ac:dyDescent="0.25">
      <c r="A1155" s="73" t="s">
        <v>405</v>
      </c>
      <c r="B1155" s="74"/>
      <c r="C1155" s="70"/>
      <c r="D1155" s="71"/>
      <c r="E1155" s="115">
        <f>F1155*E1129</f>
        <v>12</v>
      </c>
      <c r="F1155" s="61">
        <v>12</v>
      </c>
      <c r="G1155" s="76"/>
      <c r="H1155" s="77"/>
    </row>
    <row r="1156" spans="1:8" x14ac:dyDescent="0.25">
      <c r="A1156" s="73" t="s">
        <v>500</v>
      </c>
      <c r="B1156" s="74"/>
      <c r="C1156" s="70"/>
      <c r="D1156" s="71"/>
      <c r="E1156" s="115">
        <f>F1156*E1129</f>
        <v>1</v>
      </c>
      <c r="F1156" s="61">
        <v>1</v>
      </c>
      <c r="G1156" s="76"/>
      <c r="H1156" s="77"/>
    </row>
    <row r="1157" spans="1:8" x14ac:dyDescent="0.25">
      <c r="A1157" s="73" t="s">
        <v>532</v>
      </c>
      <c r="B1157" s="74"/>
      <c r="C1157" s="70"/>
      <c r="D1157" s="71"/>
      <c r="E1157" s="115">
        <f>F1157*E1129</f>
        <v>1</v>
      </c>
      <c r="F1157" s="61">
        <v>1</v>
      </c>
      <c r="G1157" s="76"/>
      <c r="H1157" s="77"/>
    </row>
    <row r="1158" spans="1:8" x14ac:dyDescent="0.25">
      <c r="A1158" s="73" t="s">
        <v>502</v>
      </c>
      <c r="B1158" s="74"/>
      <c r="C1158" s="70"/>
      <c r="D1158" s="71"/>
      <c r="E1158" s="115">
        <f>F1158*E1129</f>
        <v>1</v>
      </c>
      <c r="F1158" s="61">
        <v>1</v>
      </c>
      <c r="G1158" s="76"/>
      <c r="H1158" s="77"/>
    </row>
    <row r="1159" spans="1:8" x14ac:dyDescent="0.25">
      <c r="A1159" s="73" t="s">
        <v>503</v>
      </c>
      <c r="B1159" s="74"/>
      <c r="C1159" s="70"/>
      <c r="D1159" s="71"/>
      <c r="E1159" s="115">
        <f>F1159*E1129</f>
        <v>1</v>
      </c>
      <c r="F1159" s="61">
        <v>1</v>
      </c>
      <c r="G1159" s="76"/>
      <c r="H1159" s="77"/>
    </row>
    <row r="1160" spans="1:8" x14ac:dyDescent="0.25">
      <c r="A1160" s="73" t="s">
        <v>504</v>
      </c>
      <c r="B1160" s="74"/>
      <c r="C1160" s="70"/>
      <c r="D1160" s="71"/>
      <c r="E1160" s="115">
        <f>F1160*E1129</f>
        <v>1</v>
      </c>
      <c r="F1160" s="61">
        <v>1</v>
      </c>
      <c r="G1160" s="53"/>
      <c r="H1160" s="80"/>
    </row>
    <row r="1161" spans="1:8" x14ac:dyDescent="0.25">
      <c r="A1161" s="73" t="s">
        <v>533</v>
      </c>
      <c r="B1161" s="74"/>
      <c r="C1161" s="70"/>
      <c r="D1161" s="71"/>
      <c r="E1161" s="115">
        <f>F1161*E1129</f>
        <v>4</v>
      </c>
      <c r="F1161" s="61">
        <v>4</v>
      </c>
      <c r="G1161" s="53"/>
      <c r="H1161" s="80"/>
    </row>
    <row r="1162" spans="1:8" x14ac:dyDescent="0.25">
      <c r="A1162" s="73" t="s">
        <v>506</v>
      </c>
      <c r="B1162" s="74"/>
      <c r="C1162" s="70"/>
      <c r="D1162" s="71"/>
      <c r="E1162" s="115">
        <f>F1162*E1129</f>
        <v>4</v>
      </c>
      <c r="F1162" s="61">
        <v>4</v>
      </c>
      <c r="G1162" s="53"/>
      <c r="H1162" s="80"/>
    </row>
    <row r="1163" spans="1:8" x14ac:dyDescent="0.25">
      <c r="A1163" s="81" t="s">
        <v>474</v>
      </c>
      <c r="B1163" s="74"/>
      <c r="C1163" s="70"/>
      <c r="D1163" s="71"/>
      <c r="E1163" s="115">
        <f>F1163*E1129</f>
        <v>2</v>
      </c>
      <c r="F1163" s="61">
        <v>2</v>
      </c>
      <c r="G1163" s="53"/>
      <c r="H1163" s="80"/>
    </row>
    <row r="1164" spans="1:8" x14ac:dyDescent="0.25">
      <c r="A1164" s="73" t="s">
        <v>534</v>
      </c>
      <c r="B1164" s="74"/>
      <c r="C1164" s="70"/>
      <c r="D1164" s="71"/>
      <c r="E1164" s="115">
        <f>F1164*E1129</f>
        <v>8</v>
      </c>
      <c r="F1164" s="61">
        <v>8</v>
      </c>
      <c r="G1164" s="82"/>
      <c r="H1164" s="51"/>
    </row>
    <row r="1165" spans="1:8" x14ac:dyDescent="0.25">
      <c r="A1165" s="73" t="s">
        <v>535</v>
      </c>
      <c r="B1165" s="74"/>
      <c r="C1165" s="70"/>
      <c r="D1165" s="71"/>
      <c r="E1165" s="115">
        <f>F1165*E1129</f>
        <v>24</v>
      </c>
      <c r="F1165" s="61">
        <v>24</v>
      </c>
      <c r="G1165" s="82"/>
      <c r="H1165" s="51"/>
    </row>
    <row r="1166" spans="1:8" x14ac:dyDescent="0.25">
      <c r="A1166" s="73" t="s">
        <v>584</v>
      </c>
      <c r="B1166" s="74"/>
      <c r="C1166" s="70"/>
      <c r="D1166" s="71"/>
      <c r="E1166" s="115">
        <f>C1129/100</f>
        <v>0</v>
      </c>
      <c r="F1166" s="61" t="s">
        <v>585</v>
      </c>
      <c r="G1166" s="82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83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83"/>
    </row>
    <row r="1169" spans="1:8" x14ac:dyDescent="0.25">
      <c r="A1169" s="59" t="s">
        <v>413</v>
      </c>
      <c r="B1169" s="84" t="s">
        <v>266</v>
      </c>
      <c r="C1169" s="84" t="s">
        <v>383</v>
      </c>
      <c r="D1169" s="405" t="s">
        <v>414</v>
      </c>
      <c r="E1169" s="406"/>
      <c r="F1169" s="85" t="s">
        <v>415</v>
      </c>
      <c r="G1169" s="59" t="s">
        <v>416</v>
      </c>
      <c r="H1169" s="86"/>
    </row>
    <row r="1170" spans="1:8" x14ac:dyDescent="0.25">
      <c r="A1170" s="61"/>
      <c r="B1170" s="89">
        <f>2*E1129</f>
        <v>2</v>
      </c>
      <c r="C1170" s="124" t="s">
        <v>586</v>
      </c>
      <c r="D1170" s="407">
        <f>A1129/4-62</f>
        <v>-62</v>
      </c>
      <c r="E1170" s="408"/>
      <c r="F1170" s="90">
        <f>C1129-134</f>
        <v>-134</v>
      </c>
      <c r="G1170" s="91">
        <f>+(D1170/1000)*(F1170/1000)*B1170</f>
        <v>1.6616000000000002E-2</v>
      </c>
      <c r="H1170" s="83"/>
    </row>
    <row r="1171" spans="1:8" x14ac:dyDescent="0.25">
      <c r="A1171" s="87"/>
      <c r="B1171" s="89">
        <f>2*E1129</f>
        <v>2</v>
      </c>
      <c r="C1171" s="124" t="s">
        <v>587</v>
      </c>
      <c r="D1171" s="407">
        <f>A1129/4-26</f>
        <v>-26</v>
      </c>
      <c r="E1171" s="408"/>
      <c r="F1171" s="61">
        <f>C1129-50</f>
        <v>-50</v>
      </c>
      <c r="G1171" s="91">
        <f>+(D1171/1000)*(F1171/1000)*B1171</f>
        <v>2.5999999999999999E-3</v>
      </c>
      <c r="H1171" s="92"/>
    </row>
    <row r="1172" spans="1:8" x14ac:dyDescent="0.25">
      <c r="A1172" s="52"/>
      <c r="B1172" s="93"/>
      <c r="C1172" s="53"/>
      <c r="D1172" s="53"/>
      <c r="E1172" s="53"/>
      <c r="F1172" s="94" t="s">
        <v>418</v>
      </c>
      <c r="G1172" s="95">
        <f>SUM(G1170:G1171)</f>
        <v>1.9216000000000004E-2</v>
      </c>
      <c r="H1172" s="51"/>
    </row>
    <row r="1173" spans="1:8" x14ac:dyDescent="0.25">
      <c r="A1173" s="52"/>
      <c r="B1173" s="93"/>
      <c r="C1173" s="53"/>
      <c r="D1173" s="53"/>
      <c r="E1173" s="53"/>
      <c r="F1173" s="94"/>
      <c r="G1173" s="96"/>
      <c r="H1173" s="51"/>
    </row>
    <row r="1174" spans="1:8" x14ac:dyDescent="0.25">
      <c r="A1174" s="52"/>
      <c r="B1174" s="93"/>
      <c r="C1174" s="53"/>
      <c r="D1174" s="53"/>
      <c r="E1174" s="53"/>
      <c r="F1174" s="94"/>
      <c r="G1174" s="96"/>
      <c r="H1174" s="51"/>
    </row>
    <row r="1175" spans="1:8" x14ac:dyDescent="0.25">
      <c r="A1175" s="52"/>
      <c r="B1175" s="93"/>
      <c r="C1175" s="53"/>
      <c r="D1175" s="53"/>
      <c r="E1175" s="53"/>
      <c r="F1175" s="94"/>
      <c r="G1175" s="96"/>
      <c r="H1175" s="51"/>
    </row>
    <row r="1176" spans="1:8" x14ac:dyDescent="0.25">
      <c r="A1176" s="52"/>
      <c r="B1176" s="93"/>
      <c r="C1176" s="53"/>
      <c r="D1176" s="53"/>
      <c r="E1176" s="53"/>
      <c r="F1176" s="94"/>
      <c r="G1176" s="96"/>
      <c r="H1176" s="51"/>
    </row>
    <row r="1177" spans="1:8" x14ac:dyDescent="0.25">
      <c r="A1177" s="52"/>
      <c r="B1177" s="93"/>
      <c r="C1177" s="53"/>
      <c r="D1177" s="53"/>
      <c r="E1177" s="53"/>
      <c r="F1177" s="94"/>
      <c r="G1177" s="96"/>
      <c r="H1177" s="51"/>
    </row>
    <row r="1178" spans="1:8" x14ac:dyDescent="0.25">
      <c r="A1178" s="52"/>
      <c r="B1178" s="93"/>
      <c r="C1178" s="53"/>
      <c r="D1178" s="53"/>
      <c r="E1178" s="53"/>
      <c r="F1178" s="94"/>
      <c r="G1178" s="96"/>
      <c r="H1178" s="51"/>
    </row>
    <row r="1179" spans="1:8" x14ac:dyDescent="0.25">
      <c r="A1179" s="52"/>
      <c r="B1179" s="93"/>
      <c r="C1179" s="53"/>
      <c r="D1179" s="53"/>
      <c r="E1179" s="53"/>
      <c r="F1179" s="94"/>
      <c r="G1179" s="96"/>
      <c r="H1179" s="51"/>
    </row>
    <row r="1180" spans="1:8" x14ac:dyDescent="0.25">
      <c r="A1180" s="52"/>
      <c r="B1180" s="93"/>
      <c r="C1180" s="53"/>
      <c r="D1180" s="53"/>
      <c r="E1180" s="53"/>
      <c r="F1180" s="94"/>
      <c r="G1180" s="96"/>
      <c r="H1180" s="51"/>
    </row>
    <row r="1181" spans="1:8" x14ac:dyDescent="0.25">
      <c r="A1181" s="52"/>
      <c r="B1181" s="93"/>
      <c r="C1181" s="53"/>
      <c r="D1181" s="53"/>
      <c r="E1181" s="53"/>
      <c r="F1181" s="94"/>
      <c r="G1181" s="96"/>
      <c r="H1181" s="51"/>
    </row>
    <row r="1182" spans="1:8" x14ac:dyDescent="0.25">
      <c r="A1182" s="52"/>
      <c r="B1182" s="93"/>
      <c r="C1182" s="53"/>
      <c r="D1182" s="53"/>
      <c r="E1182" s="53"/>
      <c r="F1182" s="94"/>
      <c r="G1182" s="96"/>
      <c r="H1182" s="51"/>
    </row>
    <row r="1183" spans="1:8" x14ac:dyDescent="0.25">
      <c r="A1183" s="52"/>
      <c r="B1183" s="53"/>
      <c r="C1183" s="53"/>
      <c r="D1183" s="53"/>
      <c r="E1183" s="53"/>
      <c r="F1183" s="53"/>
      <c r="G1183" s="53"/>
      <c r="H1183" s="51"/>
    </row>
    <row r="1184" spans="1:8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x14ac:dyDescent="0.25">
      <c r="A1185" s="100"/>
      <c r="B1185" s="100"/>
      <c r="C1185" s="100"/>
      <c r="D1185" s="100"/>
      <c r="E1185" s="100"/>
      <c r="F1185" s="100"/>
      <c r="G1185" s="100"/>
      <c r="H1185" s="100"/>
    </row>
    <row r="1186" spans="1:8" x14ac:dyDescent="0.25">
      <c r="A1186" s="44"/>
      <c r="B1186" s="45"/>
      <c r="C1186" s="45"/>
      <c r="D1186" s="45"/>
      <c r="E1186" s="45"/>
      <c r="F1186" s="45"/>
      <c r="G1186" s="45"/>
      <c r="H1186" s="46"/>
    </row>
    <row r="1187" spans="1:8" x14ac:dyDescent="0.25">
      <c r="A1187" s="132"/>
      <c r="B1187" s="53"/>
      <c r="C1187" s="53"/>
      <c r="D1187" s="53"/>
      <c r="E1187" s="53"/>
      <c r="F1187" s="53"/>
      <c r="G1187" s="53"/>
      <c r="H1187" s="51"/>
    </row>
    <row r="1188" spans="1:8" x14ac:dyDescent="0.25">
      <c r="A1188" s="47" t="s">
        <v>588</v>
      </c>
      <c r="B1188" s="48"/>
      <c r="C1188" s="49"/>
      <c r="D1188" s="122"/>
      <c r="E1188" s="49"/>
      <c r="F1188" s="50"/>
      <c r="G1188" s="50"/>
      <c r="H1188" s="133"/>
    </row>
    <row r="1189" spans="1:8" ht="16.5" thickBot="1" x14ac:dyDescent="0.3">
      <c r="A1189" s="52"/>
      <c r="B1189" s="53"/>
      <c r="C1189" s="53"/>
      <c r="D1189" s="53"/>
      <c r="E1189" s="53"/>
      <c r="F1189" s="65"/>
      <c r="G1189" s="54" t="s">
        <v>589</v>
      </c>
      <c r="H1189" s="51"/>
    </row>
    <row r="1190" spans="1:8" ht="16.5" thickBot="1" x14ac:dyDescent="0.3">
      <c r="A1190" s="400" t="s">
        <v>381</v>
      </c>
      <c r="B1190" s="401"/>
      <c r="C1190" s="402" t="s">
        <v>382</v>
      </c>
      <c r="D1190" s="401"/>
      <c r="E1190" s="55" t="s">
        <v>266</v>
      </c>
      <c r="F1190" s="65"/>
      <c r="G1190" s="53"/>
      <c r="H1190" s="51"/>
    </row>
    <row r="1191" spans="1:8" ht="16.5" thickBot="1" x14ac:dyDescent="0.3">
      <c r="A1191" s="403">
        <v>0</v>
      </c>
      <c r="B1191" s="404"/>
      <c r="C1191" s="403">
        <v>0</v>
      </c>
      <c r="D1191" s="404"/>
      <c r="E1191" s="56">
        <v>1</v>
      </c>
      <c r="F1191" s="65"/>
      <c r="G1191" s="53"/>
      <c r="H1191" s="51"/>
    </row>
    <row r="1192" spans="1:8" x14ac:dyDescent="0.25">
      <c r="A1192" s="52"/>
      <c r="B1192" s="58"/>
      <c r="C1192" s="58"/>
      <c r="D1192" s="58"/>
      <c r="E1192" s="58"/>
      <c r="F1192" s="58"/>
      <c r="G1192" s="53"/>
      <c r="H1192" s="83"/>
    </row>
    <row r="1193" spans="1:8" x14ac:dyDescent="0.25">
      <c r="A1193" s="59" t="s">
        <v>323</v>
      </c>
      <c r="B1193" s="59" t="s">
        <v>266</v>
      </c>
      <c r="C1193" s="59" t="s">
        <v>383</v>
      </c>
      <c r="D1193" s="59" t="s">
        <v>384</v>
      </c>
      <c r="E1193" s="59" t="s">
        <v>332</v>
      </c>
      <c r="F1193" s="59" t="s">
        <v>385</v>
      </c>
      <c r="G1193" s="59" t="s">
        <v>386</v>
      </c>
      <c r="H1193" s="59" t="s">
        <v>387</v>
      </c>
    </row>
    <row r="1194" spans="1:8" x14ac:dyDescent="0.25">
      <c r="A1194" s="134">
        <v>6921</v>
      </c>
      <c r="B1194" s="135">
        <f>2*E1191</f>
        <v>2</v>
      </c>
      <c r="C1194" s="135" t="s">
        <v>367</v>
      </c>
      <c r="D1194" s="61">
        <f>A1191-14</f>
        <v>-14</v>
      </c>
      <c r="E1194" s="135" t="s">
        <v>590</v>
      </c>
      <c r="F1194" s="136" t="s">
        <v>591</v>
      </c>
      <c r="G1194" s="63">
        <v>0.60499999999999998</v>
      </c>
      <c r="H1194" s="63">
        <f t="shared" ref="H1194:H1203" si="19">(D1194/1000)*B1194*G1194</f>
        <v>-1.694E-2</v>
      </c>
    </row>
    <row r="1195" spans="1:8" x14ac:dyDescent="0.25">
      <c r="A1195" s="134">
        <v>6929</v>
      </c>
      <c r="B1195" s="135">
        <f>1*E1191</f>
        <v>1</v>
      </c>
      <c r="C1195" s="135" t="s">
        <v>337</v>
      </c>
      <c r="D1195" s="61">
        <f>C1191</f>
        <v>0</v>
      </c>
      <c r="E1195" s="135" t="s">
        <v>590</v>
      </c>
      <c r="F1195" s="137" t="s">
        <v>592</v>
      </c>
      <c r="G1195" s="63">
        <v>0.53900000000000003</v>
      </c>
      <c r="H1195" s="63">
        <f t="shared" si="19"/>
        <v>0</v>
      </c>
    </row>
    <row r="1196" spans="1:8" x14ac:dyDescent="0.25">
      <c r="A1196" s="134">
        <v>6903</v>
      </c>
      <c r="B1196" s="135">
        <f>1*E1191</f>
        <v>1</v>
      </c>
      <c r="C1196" s="135" t="s">
        <v>337</v>
      </c>
      <c r="D1196" s="61">
        <f>C1191</f>
        <v>0</v>
      </c>
      <c r="E1196" s="135" t="s">
        <v>590</v>
      </c>
      <c r="F1196" s="136" t="s">
        <v>593</v>
      </c>
      <c r="G1196" s="63">
        <v>0.55000000000000004</v>
      </c>
      <c r="H1196" s="63">
        <f t="shared" si="19"/>
        <v>0</v>
      </c>
    </row>
    <row r="1197" spans="1:8" x14ac:dyDescent="0.25">
      <c r="A1197" s="134">
        <v>6947</v>
      </c>
      <c r="B1197" s="135">
        <f>1*E1191</f>
        <v>1</v>
      </c>
      <c r="C1197" s="135" t="s">
        <v>444</v>
      </c>
      <c r="D1197" s="105">
        <f>C1191-20</f>
        <v>-20</v>
      </c>
      <c r="E1197" s="135" t="s">
        <v>590</v>
      </c>
      <c r="F1197" s="137" t="s">
        <v>594</v>
      </c>
      <c r="G1197" s="63">
        <v>0.89300000000000002</v>
      </c>
      <c r="H1197" s="63">
        <f t="shared" si="19"/>
        <v>-1.7860000000000001E-2</v>
      </c>
    </row>
    <row r="1198" spans="1:8" x14ac:dyDescent="0.25">
      <c r="A1198" s="134">
        <v>6948</v>
      </c>
      <c r="B1198" s="135">
        <f>2*E1191</f>
        <v>2</v>
      </c>
      <c r="C1198" s="135" t="s">
        <v>444</v>
      </c>
      <c r="D1198" s="61">
        <f>C1191-20</f>
        <v>-20</v>
      </c>
      <c r="E1198" s="135" t="s">
        <v>595</v>
      </c>
      <c r="F1198" s="136" t="s">
        <v>596</v>
      </c>
      <c r="G1198" s="63">
        <v>0.20799999999999999</v>
      </c>
      <c r="H1198" s="63">
        <f t="shared" si="19"/>
        <v>-8.3199999999999993E-3</v>
      </c>
    </row>
    <row r="1199" spans="1:8" x14ac:dyDescent="0.25">
      <c r="A1199" s="134">
        <v>6922</v>
      </c>
      <c r="B1199" s="135">
        <f>2*E1191</f>
        <v>2</v>
      </c>
      <c r="C1199" s="135" t="s">
        <v>597</v>
      </c>
      <c r="D1199" s="61">
        <f>A1191/2-11</f>
        <v>-11</v>
      </c>
      <c r="E1199" s="135" t="s">
        <v>595</v>
      </c>
      <c r="F1199" s="136" t="s">
        <v>598</v>
      </c>
      <c r="G1199" s="63">
        <v>0.28199999999999997</v>
      </c>
      <c r="H1199" s="63">
        <f t="shared" si="19"/>
        <v>-6.2039999999999994E-3</v>
      </c>
    </row>
    <row r="1200" spans="1:8" x14ac:dyDescent="0.25">
      <c r="A1200" s="134">
        <v>6912</v>
      </c>
      <c r="B1200" s="135">
        <f>1*E1191</f>
        <v>1</v>
      </c>
      <c r="C1200" s="135" t="s">
        <v>442</v>
      </c>
      <c r="D1200" s="61">
        <f>C1191-48</f>
        <v>-48</v>
      </c>
      <c r="E1200" s="135" t="s">
        <v>590</v>
      </c>
      <c r="F1200" s="136" t="s">
        <v>599</v>
      </c>
      <c r="G1200" s="63">
        <v>0.78900000000000003</v>
      </c>
      <c r="H1200" s="63">
        <f t="shared" si="19"/>
        <v>-3.7872000000000003E-2</v>
      </c>
    </row>
    <row r="1201" spans="1:8" x14ac:dyDescent="0.25">
      <c r="A1201" s="134">
        <v>6911</v>
      </c>
      <c r="B1201" s="135">
        <f>1*E1191</f>
        <v>1</v>
      </c>
      <c r="C1201" s="135" t="s">
        <v>442</v>
      </c>
      <c r="D1201" s="61">
        <f>C1191-48</f>
        <v>-48</v>
      </c>
      <c r="E1201" s="135" t="s">
        <v>590</v>
      </c>
      <c r="F1201" s="136" t="s">
        <v>600</v>
      </c>
      <c r="G1201" s="63">
        <v>0.86399999999999999</v>
      </c>
      <c r="H1201" s="63">
        <f t="shared" si="19"/>
        <v>-4.1472000000000002E-2</v>
      </c>
    </row>
    <row r="1202" spans="1:8" x14ac:dyDescent="0.25">
      <c r="A1202" s="134">
        <v>6909</v>
      </c>
      <c r="B1202" s="135">
        <f>1*E1191</f>
        <v>1</v>
      </c>
      <c r="C1202" s="135" t="s">
        <v>389</v>
      </c>
      <c r="D1202" s="61">
        <f>A1191/2-13</f>
        <v>-13</v>
      </c>
      <c r="E1202" s="135" t="s">
        <v>590</v>
      </c>
      <c r="F1202" s="136" t="s">
        <v>601</v>
      </c>
      <c r="G1202" s="63">
        <v>0.52</v>
      </c>
      <c r="H1202" s="63">
        <f t="shared" si="19"/>
        <v>-6.7599999999999995E-3</v>
      </c>
    </row>
    <row r="1203" spans="1:8" x14ac:dyDescent="0.25">
      <c r="A1203" s="134">
        <v>6910</v>
      </c>
      <c r="B1203" s="135">
        <f>1*E1191</f>
        <v>1</v>
      </c>
      <c r="C1203" s="135" t="s">
        <v>389</v>
      </c>
      <c r="D1203" s="61">
        <f>A1191/2-13</f>
        <v>-13</v>
      </c>
      <c r="E1203" s="135" t="s">
        <v>590</v>
      </c>
      <c r="F1203" s="136" t="s">
        <v>602</v>
      </c>
      <c r="G1203" s="63">
        <v>0.56899999999999995</v>
      </c>
      <c r="H1203" s="63">
        <f t="shared" si="19"/>
        <v>-7.3969999999999991E-3</v>
      </c>
    </row>
    <row r="1204" spans="1:8" x14ac:dyDescent="0.25">
      <c r="A1204" s="64"/>
      <c r="B1204" s="65"/>
      <c r="C1204" s="65"/>
      <c r="D1204" s="65"/>
      <c r="E1204" s="65"/>
      <c r="F1204" s="138"/>
      <c r="G1204" s="63" t="s">
        <v>392</v>
      </c>
      <c r="H1204" s="63">
        <f>SUM(H1194:H1203)</f>
        <v>-0.14282499999999998</v>
      </c>
    </row>
    <row r="1205" spans="1:8" x14ac:dyDescent="0.25">
      <c r="A1205" s="64"/>
      <c r="B1205" s="65"/>
      <c r="C1205" s="65"/>
      <c r="D1205" s="65"/>
      <c r="E1205" s="65"/>
      <c r="F1205" s="65"/>
      <c r="G1205" s="66"/>
      <c r="H1205" s="67"/>
    </row>
    <row r="1206" spans="1:8" x14ac:dyDescent="0.25">
      <c r="A1206" s="64"/>
      <c r="B1206" s="65"/>
      <c r="C1206" s="65"/>
      <c r="D1206" s="65"/>
      <c r="E1206" s="65"/>
      <c r="F1206" s="65"/>
      <c r="G1206" s="68"/>
      <c r="H1206" s="67"/>
    </row>
    <row r="1207" spans="1:8" x14ac:dyDescent="0.25">
      <c r="A1207" s="69" t="s">
        <v>393</v>
      </c>
      <c r="B1207" s="70"/>
      <c r="C1207" s="70"/>
      <c r="D1207" s="71"/>
      <c r="E1207" s="59" t="s">
        <v>36</v>
      </c>
      <c r="F1207" s="59" t="s">
        <v>266</v>
      </c>
      <c r="G1207" s="52"/>
      <c r="H1207" s="72"/>
    </row>
    <row r="1208" spans="1:8" x14ac:dyDescent="0.25">
      <c r="A1208" s="139" t="s">
        <v>603</v>
      </c>
      <c r="B1208" s="74"/>
      <c r="C1208" s="70"/>
      <c r="D1208" s="71"/>
      <c r="E1208" s="114">
        <f>F1208*E1191</f>
        <v>2</v>
      </c>
      <c r="F1208" s="135">
        <v>2</v>
      </c>
      <c r="G1208" s="76"/>
      <c r="H1208" s="77"/>
    </row>
    <row r="1209" spans="1:8" x14ac:dyDescent="0.25">
      <c r="A1209" s="139" t="s">
        <v>604</v>
      </c>
      <c r="B1209" s="74"/>
      <c r="C1209" s="70"/>
      <c r="D1209" s="71"/>
      <c r="E1209" s="115">
        <f>F1209*E1191</f>
        <v>2</v>
      </c>
      <c r="F1209" s="135">
        <v>2</v>
      </c>
      <c r="G1209" s="140"/>
      <c r="H1209" s="77"/>
    </row>
    <row r="1210" spans="1:8" x14ac:dyDescent="0.25">
      <c r="A1210" s="139" t="s">
        <v>605</v>
      </c>
      <c r="B1210" s="74"/>
      <c r="C1210" s="70"/>
      <c r="D1210" s="71"/>
      <c r="E1210" s="115">
        <f>2*(A1191/1000)+2*(C1191/1000)*E1191</f>
        <v>0</v>
      </c>
      <c r="F1210" s="135" t="s">
        <v>448</v>
      </c>
      <c r="G1210" s="141"/>
      <c r="H1210" s="77"/>
    </row>
    <row r="1211" spans="1:8" x14ac:dyDescent="0.25">
      <c r="A1211" s="139" t="s">
        <v>606</v>
      </c>
      <c r="B1211" s="74"/>
      <c r="C1211" s="70"/>
      <c r="D1211" s="71"/>
      <c r="E1211" s="115">
        <f>2*(C1191/1000)*E1191</f>
        <v>0</v>
      </c>
      <c r="F1211" s="135" t="s">
        <v>400</v>
      </c>
      <c r="G1211" s="64"/>
      <c r="H1211" s="77"/>
    </row>
    <row r="1212" spans="1:8" x14ac:dyDescent="0.25">
      <c r="A1212" s="139" t="s">
        <v>607</v>
      </c>
      <c r="B1212" s="74"/>
      <c r="C1212" s="70"/>
      <c r="D1212" s="71"/>
      <c r="E1212" s="115">
        <f>1*(A1191/1000)+2*(C1191/1000)*E1191</f>
        <v>0</v>
      </c>
      <c r="F1212" s="135" t="s">
        <v>608</v>
      </c>
      <c r="G1212" s="64"/>
      <c r="H1212" s="77"/>
    </row>
    <row r="1213" spans="1:8" x14ac:dyDescent="0.25">
      <c r="A1213" s="142" t="s">
        <v>530</v>
      </c>
      <c r="B1213" s="74"/>
      <c r="C1213" s="70"/>
      <c r="D1213" s="71"/>
      <c r="E1213" s="115">
        <f>1*(A1191/1000)+2*(C1191/1000)*E1191</f>
        <v>0</v>
      </c>
      <c r="F1213" s="135" t="s">
        <v>608</v>
      </c>
      <c r="G1213" s="64"/>
      <c r="H1213" s="77"/>
    </row>
    <row r="1214" spans="1:8" x14ac:dyDescent="0.25">
      <c r="A1214" s="139" t="s">
        <v>528</v>
      </c>
      <c r="B1214" s="74"/>
      <c r="C1214" s="70"/>
      <c r="D1214" s="71"/>
      <c r="E1214" s="115">
        <f>1*(A1191/1000)+2*(C1191/1000)*E1191</f>
        <v>0</v>
      </c>
      <c r="F1214" s="135" t="s">
        <v>608</v>
      </c>
      <c r="G1214" s="141"/>
      <c r="H1214" s="77"/>
    </row>
    <row r="1215" spans="1:8" x14ac:dyDescent="0.25">
      <c r="A1215" s="139" t="s">
        <v>609</v>
      </c>
      <c r="B1215" s="74"/>
      <c r="C1215" s="70"/>
      <c r="D1215" s="71"/>
      <c r="E1215" s="115">
        <f>F1215*E1191</f>
        <v>2</v>
      </c>
      <c r="F1215" s="135">
        <v>2</v>
      </c>
      <c r="G1215" s="140"/>
      <c r="H1215" s="77"/>
    </row>
    <row r="1216" spans="1:8" x14ac:dyDescent="0.25">
      <c r="A1216" s="139" t="s">
        <v>404</v>
      </c>
      <c r="B1216" s="74"/>
      <c r="C1216" s="70"/>
      <c r="D1216" s="71"/>
      <c r="E1216" s="115">
        <f>F1216*E1191</f>
        <v>4</v>
      </c>
      <c r="F1216" s="135">
        <v>4</v>
      </c>
      <c r="G1216" s="76"/>
      <c r="H1216" s="77"/>
    </row>
    <row r="1217" spans="1:8" x14ac:dyDescent="0.25">
      <c r="A1217" s="139" t="s">
        <v>405</v>
      </c>
      <c r="B1217" s="74"/>
      <c r="C1217" s="70"/>
      <c r="D1217" s="71"/>
      <c r="E1217" s="115">
        <f>F1217*E1191</f>
        <v>6</v>
      </c>
      <c r="F1217" s="135">
        <v>6</v>
      </c>
      <c r="G1217" s="76"/>
      <c r="H1217" s="77"/>
    </row>
    <row r="1218" spans="1:8" x14ac:dyDescent="0.25">
      <c r="A1218" s="139" t="s">
        <v>610</v>
      </c>
      <c r="B1218" s="74"/>
      <c r="C1218" s="70"/>
      <c r="D1218" s="71"/>
      <c r="E1218" s="115">
        <f>F1218*E1191</f>
        <v>1</v>
      </c>
      <c r="F1218" s="135">
        <v>1</v>
      </c>
      <c r="G1218" s="76"/>
      <c r="H1218" s="77"/>
    </row>
    <row r="1219" spans="1:8" x14ac:dyDescent="0.25">
      <c r="A1219" s="142" t="s">
        <v>450</v>
      </c>
      <c r="B1219" s="74"/>
      <c r="C1219" s="70"/>
      <c r="D1219" s="71"/>
      <c r="E1219" s="115">
        <f>F1219*E1191</f>
        <v>2</v>
      </c>
      <c r="F1219" s="135">
        <v>2</v>
      </c>
      <c r="G1219" s="76"/>
      <c r="H1219" s="77"/>
    </row>
    <row r="1220" spans="1:8" x14ac:dyDescent="0.25">
      <c r="A1220" s="143" t="s">
        <v>409</v>
      </c>
      <c r="B1220" s="74"/>
      <c r="C1220" s="70"/>
      <c r="D1220" s="71"/>
      <c r="E1220" s="115">
        <f>F1220*E1191</f>
        <v>2</v>
      </c>
      <c r="F1220" s="135">
        <v>2</v>
      </c>
      <c r="G1220" s="76"/>
      <c r="H1220" s="77"/>
    </row>
    <row r="1221" spans="1:8" x14ac:dyDescent="0.25">
      <c r="A1221" s="139" t="s">
        <v>611</v>
      </c>
      <c r="B1221" s="74"/>
      <c r="C1221" s="70"/>
      <c r="D1221" s="71"/>
      <c r="E1221" s="115">
        <f>F1221*E1191</f>
        <v>16</v>
      </c>
      <c r="F1221" s="135">
        <v>16</v>
      </c>
      <c r="G1221" s="76"/>
      <c r="H1221" s="77"/>
    </row>
    <row r="1222" spans="1:8" x14ac:dyDescent="0.25">
      <c r="A1222" s="73" t="s">
        <v>533</v>
      </c>
      <c r="B1222" s="74"/>
      <c r="C1222" s="70"/>
      <c r="D1222" s="71"/>
      <c r="E1222" s="115">
        <f>F1222*E1191</f>
        <v>3</v>
      </c>
      <c r="F1222" s="61">
        <v>3</v>
      </c>
      <c r="G1222" s="53"/>
      <c r="H1222" s="80"/>
    </row>
    <row r="1223" spans="1:8" x14ac:dyDescent="0.25">
      <c r="A1223" s="73" t="s">
        <v>506</v>
      </c>
      <c r="B1223" s="74"/>
      <c r="C1223" s="70"/>
      <c r="D1223" s="71"/>
      <c r="E1223" s="115">
        <f>F1223*E1191</f>
        <v>3</v>
      </c>
      <c r="F1223" s="61">
        <v>3</v>
      </c>
      <c r="G1223" s="53"/>
      <c r="H1223" s="80"/>
    </row>
    <row r="1224" spans="1:8" x14ac:dyDescent="0.25">
      <c r="A1224" s="52"/>
      <c r="B1224" s="53"/>
      <c r="C1224" s="53"/>
      <c r="D1224" s="53"/>
      <c r="E1224" s="53"/>
      <c r="F1224" s="53"/>
      <c r="G1224" s="53"/>
      <c r="H1224" s="83"/>
    </row>
    <row r="1225" spans="1:8" x14ac:dyDescent="0.25">
      <c r="A1225" s="52"/>
      <c r="B1225" s="53"/>
      <c r="C1225" s="53"/>
      <c r="D1225" s="53"/>
      <c r="E1225" s="53"/>
      <c r="F1225" s="53"/>
      <c r="G1225" s="53"/>
      <c r="H1225" s="83"/>
    </row>
    <row r="1226" spans="1:8" x14ac:dyDescent="0.25">
      <c r="A1226" s="59" t="s">
        <v>413</v>
      </c>
      <c r="B1226" s="84" t="s">
        <v>266</v>
      </c>
      <c r="C1226" s="84" t="s">
        <v>383</v>
      </c>
      <c r="D1226" s="405" t="s">
        <v>414</v>
      </c>
      <c r="E1226" s="406"/>
      <c r="F1226" s="85" t="s">
        <v>415</v>
      </c>
      <c r="G1226" s="59" t="s">
        <v>416</v>
      </c>
      <c r="H1226" s="86"/>
    </row>
    <row r="1227" spans="1:8" x14ac:dyDescent="0.25">
      <c r="A1227" s="61"/>
      <c r="B1227" s="89">
        <f>1*E1191</f>
        <v>1</v>
      </c>
      <c r="C1227" s="88" t="s">
        <v>612</v>
      </c>
      <c r="D1227" s="407">
        <f>A1191/2-37</f>
        <v>-37</v>
      </c>
      <c r="E1227" s="408"/>
      <c r="F1227" s="90">
        <f>C1191-44</f>
        <v>-44</v>
      </c>
      <c r="G1227" s="91">
        <f>+(D1227/1000)*(F1227/1000)*B1227</f>
        <v>1.6279999999999999E-3</v>
      </c>
      <c r="H1227" s="83"/>
    </row>
    <row r="1228" spans="1:8" x14ac:dyDescent="0.25">
      <c r="A1228" s="87"/>
      <c r="B1228" s="89">
        <f>1*E1191</f>
        <v>1</v>
      </c>
      <c r="C1228" s="124" t="s">
        <v>613</v>
      </c>
      <c r="D1228" s="407">
        <f>A1191/2-66</f>
        <v>-66</v>
      </c>
      <c r="E1228" s="408"/>
      <c r="F1228" s="61">
        <f>C1191-125</f>
        <v>-125</v>
      </c>
      <c r="G1228" s="91">
        <f>+(D1228/1000)*(F1228/1000)*B1228</f>
        <v>8.2500000000000004E-3</v>
      </c>
      <c r="H1228" s="92"/>
    </row>
    <row r="1229" spans="1:8" x14ac:dyDescent="0.25">
      <c r="A1229" s="52"/>
      <c r="B1229" s="93"/>
      <c r="C1229" s="53"/>
      <c r="D1229" s="53"/>
      <c r="E1229" s="53"/>
      <c r="F1229" s="94" t="s">
        <v>418</v>
      </c>
      <c r="G1229" s="95">
        <f>SUM(G1227:G1228)</f>
        <v>9.8779999999999996E-3</v>
      </c>
      <c r="H1229" s="51"/>
    </row>
    <row r="1230" spans="1:8" x14ac:dyDescent="0.25">
      <c r="A1230" s="52"/>
      <c r="B1230" s="93"/>
      <c r="C1230" s="53"/>
      <c r="D1230" s="53"/>
      <c r="E1230" s="53"/>
      <c r="F1230" s="94"/>
      <c r="G1230" s="96"/>
      <c r="H1230" s="51"/>
    </row>
    <row r="1231" spans="1:8" x14ac:dyDescent="0.25">
      <c r="A1231" s="52"/>
      <c r="B1231" s="93"/>
      <c r="C1231" s="53"/>
      <c r="D1231" s="53"/>
      <c r="E1231" s="53"/>
      <c r="F1231" s="94"/>
      <c r="G1231" s="96"/>
      <c r="H1231" s="51"/>
    </row>
    <row r="1232" spans="1:8" x14ac:dyDescent="0.25">
      <c r="A1232" s="52"/>
      <c r="B1232" s="93"/>
      <c r="C1232" s="53"/>
      <c r="D1232" s="53"/>
      <c r="E1232" s="53"/>
      <c r="F1232" s="94"/>
      <c r="G1232" s="96"/>
      <c r="H1232" s="51"/>
    </row>
    <row r="1233" spans="1:8" x14ac:dyDescent="0.25">
      <c r="A1233" s="52"/>
      <c r="B1233" s="93"/>
      <c r="C1233" s="53"/>
      <c r="D1233" s="53"/>
      <c r="E1233" s="53"/>
      <c r="F1233" s="94"/>
      <c r="G1233" s="96"/>
      <c r="H1233" s="51"/>
    </row>
    <row r="1234" spans="1:8" x14ac:dyDescent="0.25">
      <c r="A1234" s="52"/>
      <c r="B1234" s="93"/>
      <c r="C1234" s="53"/>
      <c r="D1234" s="53"/>
      <c r="E1234" s="53"/>
      <c r="F1234" s="94"/>
      <c r="G1234" s="96"/>
      <c r="H1234" s="51"/>
    </row>
    <row r="1235" spans="1:8" x14ac:dyDescent="0.25">
      <c r="A1235" s="52"/>
      <c r="B1235" s="93"/>
      <c r="C1235" s="53"/>
      <c r="D1235" s="53"/>
      <c r="E1235" s="53"/>
      <c r="F1235" s="94"/>
      <c r="G1235" s="96"/>
      <c r="H1235" s="51"/>
    </row>
    <row r="1236" spans="1:8" x14ac:dyDescent="0.25">
      <c r="A1236" s="52"/>
      <c r="B1236" s="93"/>
      <c r="C1236" s="53"/>
      <c r="D1236" s="53"/>
      <c r="E1236" s="53"/>
      <c r="F1236" s="94"/>
      <c r="G1236" s="96"/>
      <c r="H1236" s="51"/>
    </row>
    <row r="1237" spans="1:8" x14ac:dyDescent="0.25">
      <c r="A1237" s="52"/>
      <c r="B1237" s="93"/>
      <c r="C1237" s="53"/>
      <c r="D1237" s="53"/>
      <c r="E1237" s="53"/>
      <c r="F1237" s="94"/>
      <c r="G1237" s="96"/>
      <c r="H1237" s="51"/>
    </row>
    <row r="1238" spans="1:8" x14ac:dyDescent="0.25">
      <c r="A1238" s="52"/>
      <c r="B1238" s="93"/>
      <c r="C1238" s="53"/>
      <c r="D1238" s="53"/>
      <c r="E1238" s="53"/>
      <c r="F1238" s="94"/>
      <c r="G1238" s="96"/>
      <c r="H1238" s="51"/>
    </row>
    <row r="1239" spans="1:8" x14ac:dyDescent="0.25">
      <c r="A1239" s="52"/>
      <c r="B1239" s="93"/>
      <c r="C1239" s="53"/>
      <c r="D1239" s="53"/>
      <c r="E1239" s="53"/>
      <c r="F1239" s="94"/>
      <c r="G1239" s="96"/>
      <c r="H1239" s="51"/>
    </row>
    <row r="1240" spans="1:8" x14ac:dyDescent="0.25">
      <c r="A1240" s="52"/>
      <c r="B1240" s="93"/>
      <c r="C1240" s="53"/>
      <c r="D1240" s="53"/>
      <c r="E1240" s="53"/>
      <c r="F1240" s="94"/>
      <c r="G1240" s="96"/>
      <c r="H1240" s="51"/>
    </row>
    <row r="1241" spans="1:8" x14ac:dyDescent="0.25">
      <c r="A1241" s="52"/>
      <c r="B1241" s="93"/>
      <c r="C1241" s="53"/>
      <c r="D1241" s="53"/>
      <c r="E1241" s="53"/>
      <c r="F1241" s="94"/>
      <c r="G1241" s="96"/>
      <c r="H1241" s="51"/>
    </row>
    <row r="1242" spans="1:8" x14ac:dyDescent="0.25">
      <c r="A1242" s="52"/>
      <c r="B1242" s="93"/>
      <c r="C1242" s="53"/>
      <c r="D1242" s="53"/>
      <c r="E1242" s="53"/>
      <c r="F1242" s="94"/>
      <c r="G1242" s="96"/>
      <c r="H1242" s="51"/>
    </row>
    <row r="1243" spans="1:8" x14ac:dyDescent="0.25">
      <c r="A1243" s="52"/>
      <c r="B1243" s="93"/>
      <c r="C1243" s="53"/>
      <c r="D1243" s="53"/>
      <c r="E1243" s="53"/>
      <c r="F1243" s="94"/>
      <c r="G1243" s="96"/>
      <c r="H1243" s="51"/>
    </row>
    <row r="1244" spans="1:8" x14ac:dyDescent="0.25">
      <c r="A1244" s="52"/>
      <c r="B1244" s="93"/>
      <c r="C1244" s="53"/>
      <c r="D1244" s="53"/>
      <c r="E1244" s="53"/>
      <c r="F1244" s="94"/>
      <c r="G1244" s="96"/>
      <c r="H1244" s="51"/>
    </row>
    <row r="1245" spans="1:8" x14ac:dyDescent="0.25">
      <c r="A1245" s="52"/>
      <c r="B1245" s="93"/>
      <c r="C1245" s="53"/>
      <c r="D1245" s="53"/>
      <c r="E1245" s="53"/>
      <c r="F1245" s="94"/>
      <c r="G1245" s="96"/>
      <c r="H1245" s="51"/>
    </row>
    <row r="1246" spans="1:8" x14ac:dyDescent="0.25">
      <c r="A1246" s="52"/>
      <c r="B1246" s="93"/>
      <c r="C1246" s="53"/>
      <c r="D1246" s="53"/>
      <c r="E1246" s="53"/>
      <c r="F1246" s="94"/>
      <c r="G1246" s="96"/>
      <c r="H1246" s="51"/>
    </row>
    <row r="1247" spans="1:8" x14ac:dyDescent="0.25">
      <c r="A1247" s="52"/>
      <c r="B1247" s="144"/>
      <c r="C1247" s="53"/>
      <c r="D1247" s="53"/>
      <c r="E1247" s="53"/>
      <c r="F1247" s="53"/>
      <c r="G1247" s="53"/>
      <c r="H1247" s="51"/>
    </row>
    <row r="1248" spans="1:8" x14ac:dyDescent="0.25">
      <c r="A1248" s="45"/>
      <c r="B1248" s="145"/>
      <c r="C1248" s="45"/>
      <c r="D1248" s="45"/>
      <c r="E1248" s="45"/>
      <c r="F1248" s="45"/>
      <c r="G1248" s="45"/>
      <c r="H1248" s="45"/>
    </row>
    <row r="1249" spans="1:8" x14ac:dyDescent="0.25">
      <c r="A1249" s="100"/>
      <c r="B1249" s="100"/>
      <c r="C1249" s="100"/>
      <c r="D1249" s="100"/>
      <c r="E1249" s="100"/>
      <c r="F1249" s="100"/>
      <c r="G1249" s="100"/>
      <c r="H1249" s="100"/>
    </row>
    <row r="1250" spans="1:8" x14ac:dyDescent="0.25">
      <c r="A1250" s="44"/>
      <c r="B1250" s="45"/>
      <c r="C1250" s="45"/>
      <c r="D1250" s="45"/>
      <c r="E1250" s="45"/>
      <c r="F1250" s="45"/>
      <c r="G1250" s="45"/>
      <c r="H1250" s="46"/>
    </row>
    <row r="1251" spans="1:8" x14ac:dyDescent="0.25">
      <c r="A1251" s="132"/>
      <c r="B1251" s="53"/>
      <c r="C1251" s="53"/>
      <c r="D1251" s="53"/>
      <c r="E1251" s="53"/>
      <c r="F1251" s="53"/>
      <c r="G1251" s="53"/>
      <c r="H1251" s="51"/>
    </row>
    <row r="1252" spans="1:8" x14ac:dyDescent="0.25">
      <c r="A1252" s="47" t="s">
        <v>614</v>
      </c>
      <c r="B1252" s="48"/>
      <c r="C1252" s="49"/>
      <c r="D1252" s="122"/>
      <c r="E1252" s="49"/>
      <c r="F1252" s="50"/>
      <c r="G1252" s="50"/>
      <c r="H1252" s="103"/>
    </row>
    <row r="1253" spans="1:8" ht="16.5" thickBot="1" x14ac:dyDescent="0.3">
      <c r="A1253" s="52"/>
      <c r="B1253" s="53"/>
      <c r="C1253" s="53"/>
      <c r="D1253" s="53"/>
      <c r="E1253" s="53"/>
      <c r="F1253" s="65"/>
      <c r="G1253" s="54" t="s">
        <v>615</v>
      </c>
      <c r="H1253" s="51"/>
    </row>
    <row r="1254" spans="1:8" ht="16.5" thickBot="1" x14ac:dyDescent="0.3">
      <c r="A1254" s="400" t="s">
        <v>381</v>
      </c>
      <c r="B1254" s="401"/>
      <c r="C1254" s="402" t="s">
        <v>382</v>
      </c>
      <c r="D1254" s="401"/>
      <c r="E1254" s="55" t="s">
        <v>266</v>
      </c>
      <c r="F1254" s="65"/>
      <c r="G1254" s="53"/>
      <c r="H1254" s="51"/>
    </row>
    <row r="1255" spans="1:8" ht="16.5" thickBot="1" x14ac:dyDescent="0.3">
      <c r="A1255" s="403">
        <v>0</v>
      </c>
      <c r="B1255" s="404"/>
      <c r="C1255" s="403">
        <v>0</v>
      </c>
      <c r="D1255" s="404"/>
      <c r="E1255" s="56">
        <v>1</v>
      </c>
      <c r="F1255" s="65"/>
      <c r="G1255" s="53"/>
      <c r="H1255" s="51"/>
    </row>
    <row r="1256" spans="1:8" x14ac:dyDescent="0.25">
      <c r="A1256" s="52"/>
      <c r="B1256" s="58"/>
      <c r="C1256" s="58"/>
      <c r="D1256" s="58"/>
      <c r="E1256" s="58"/>
      <c r="F1256" s="58"/>
      <c r="G1256" s="53"/>
      <c r="H1256" s="83"/>
    </row>
    <row r="1257" spans="1:8" x14ac:dyDescent="0.25">
      <c r="A1257" s="59" t="s">
        <v>323</v>
      </c>
      <c r="B1257" s="59" t="s">
        <v>266</v>
      </c>
      <c r="C1257" s="59" t="s">
        <v>383</v>
      </c>
      <c r="D1257" s="59" t="s">
        <v>384</v>
      </c>
      <c r="E1257" s="59" t="s">
        <v>332</v>
      </c>
      <c r="F1257" s="59" t="s">
        <v>385</v>
      </c>
      <c r="G1257" s="59" t="s">
        <v>386</v>
      </c>
      <c r="H1257" s="59" t="s">
        <v>387</v>
      </c>
    </row>
    <row r="1258" spans="1:8" x14ac:dyDescent="0.25">
      <c r="A1258" s="134">
        <v>6921</v>
      </c>
      <c r="B1258" s="135">
        <f>2*E1255</f>
        <v>2</v>
      </c>
      <c r="C1258" s="135" t="s">
        <v>367</v>
      </c>
      <c r="D1258" s="61">
        <f>A1255-14</f>
        <v>-14</v>
      </c>
      <c r="E1258" s="135" t="s">
        <v>590</v>
      </c>
      <c r="F1258" s="136" t="s">
        <v>591</v>
      </c>
      <c r="G1258" s="63">
        <v>0.60499999999999998</v>
      </c>
      <c r="H1258" s="63">
        <f t="shared" ref="H1258:H1266" si="20">(D1258/1000)*B1258*G1258</f>
        <v>-1.694E-2</v>
      </c>
    </row>
    <row r="1259" spans="1:8" x14ac:dyDescent="0.25">
      <c r="A1259" s="134">
        <v>6929</v>
      </c>
      <c r="B1259" s="135">
        <f>1*E1255</f>
        <v>1</v>
      </c>
      <c r="C1259" s="135" t="s">
        <v>337</v>
      </c>
      <c r="D1259" s="61">
        <f>C1255</f>
        <v>0</v>
      </c>
      <c r="E1259" s="135" t="s">
        <v>590</v>
      </c>
      <c r="F1259" s="137" t="s">
        <v>592</v>
      </c>
      <c r="G1259" s="63">
        <v>0.53900000000000003</v>
      </c>
      <c r="H1259" s="63">
        <f t="shared" si="20"/>
        <v>0</v>
      </c>
    </row>
    <row r="1260" spans="1:8" x14ac:dyDescent="0.25">
      <c r="A1260" s="134">
        <v>6903</v>
      </c>
      <c r="B1260" s="135">
        <f>1*E1255</f>
        <v>1</v>
      </c>
      <c r="C1260" s="135" t="s">
        <v>337</v>
      </c>
      <c r="D1260" s="61">
        <f>C1255</f>
        <v>0</v>
      </c>
      <c r="E1260" s="135" t="s">
        <v>590</v>
      </c>
      <c r="F1260" s="136" t="s">
        <v>616</v>
      </c>
      <c r="G1260" s="63">
        <v>0.55000000000000004</v>
      </c>
      <c r="H1260" s="63">
        <f t="shared" si="20"/>
        <v>0</v>
      </c>
    </row>
    <row r="1261" spans="1:8" x14ac:dyDescent="0.25">
      <c r="A1261" s="134">
        <v>6947</v>
      </c>
      <c r="B1261" s="135">
        <f>1*E1255</f>
        <v>1</v>
      </c>
      <c r="C1261" s="135" t="s">
        <v>444</v>
      </c>
      <c r="D1261" s="105">
        <f>C1255-20</f>
        <v>-20</v>
      </c>
      <c r="E1261" s="135" t="s">
        <v>590</v>
      </c>
      <c r="F1261" s="137" t="s">
        <v>617</v>
      </c>
      <c r="G1261" s="63">
        <v>0.89300000000000002</v>
      </c>
      <c r="H1261" s="63">
        <f t="shared" si="20"/>
        <v>-1.7860000000000001E-2</v>
      </c>
    </row>
    <row r="1262" spans="1:8" x14ac:dyDescent="0.25">
      <c r="A1262" s="134">
        <v>6949</v>
      </c>
      <c r="B1262" s="135">
        <f>2*E1255</f>
        <v>2</v>
      </c>
      <c r="C1262" s="135" t="s">
        <v>444</v>
      </c>
      <c r="D1262" s="61">
        <f>C1255-20</f>
        <v>-20</v>
      </c>
      <c r="E1262" s="135" t="s">
        <v>595</v>
      </c>
      <c r="F1262" s="137" t="s">
        <v>618</v>
      </c>
      <c r="G1262" s="63">
        <v>0.16900000000000001</v>
      </c>
      <c r="H1262" s="63">
        <f t="shared" si="20"/>
        <v>-6.7600000000000004E-3</v>
      </c>
    </row>
    <row r="1263" spans="1:8" x14ac:dyDescent="0.25">
      <c r="A1263" s="134">
        <v>6931</v>
      </c>
      <c r="B1263" s="135">
        <f>2*E1255</f>
        <v>2</v>
      </c>
      <c r="C1263" s="135" t="s">
        <v>597</v>
      </c>
      <c r="D1263" s="61">
        <f>A1255/2-11</f>
        <v>-11</v>
      </c>
      <c r="E1263" s="135" t="s">
        <v>595</v>
      </c>
      <c r="F1263" s="137" t="s">
        <v>598</v>
      </c>
      <c r="G1263" s="63">
        <v>0.22900000000000001</v>
      </c>
      <c r="H1263" s="63">
        <f t="shared" si="20"/>
        <v>-5.0379999999999999E-3</v>
      </c>
    </row>
    <row r="1264" spans="1:8" x14ac:dyDescent="0.25">
      <c r="A1264" s="134">
        <v>6917</v>
      </c>
      <c r="B1264" s="135">
        <f>1*E1255</f>
        <v>1</v>
      </c>
      <c r="C1264" s="135" t="s">
        <v>442</v>
      </c>
      <c r="D1264" s="61">
        <f>C1255-48</f>
        <v>-48</v>
      </c>
      <c r="E1264" s="135" t="s">
        <v>590</v>
      </c>
      <c r="F1264" s="137" t="s">
        <v>569</v>
      </c>
      <c r="G1264" s="63">
        <v>0.751</v>
      </c>
      <c r="H1264" s="63">
        <f t="shared" si="20"/>
        <v>-3.6048000000000004E-2</v>
      </c>
    </row>
    <row r="1265" spans="1:8" x14ac:dyDescent="0.25">
      <c r="A1265" s="134">
        <v>6916</v>
      </c>
      <c r="B1265" s="135">
        <f>1*E1255</f>
        <v>1</v>
      </c>
      <c r="C1265" s="135" t="s">
        <v>442</v>
      </c>
      <c r="D1265" s="61">
        <f>C1255-48</f>
        <v>-48</v>
      </c>
      <c r="E1265" s="135" t="s">
        <v>590</v>
      </c>
      <c r="F1265" s="137" t="s">
        <v>619</v>
      </c>
      <c r="G1265" s="63">
        <v>0.82499999999999996</v>
      </c>
      <c r="H1265" s="63">
        <f t="shared" si="20"/>
        <v>-3.9599999999999996E-2</v>
      </c>
    </row>
    <row r="1266" spans="1:8" x14ac:dyDescent="0.25">
      <c r="A1266" s="134">
        <v>6915</v>
      </c>
      <c r="B1266" s="135">
        <v>2</v>
      </c>
      <c r="C1266" s="135" t="s">
        <v>389</v>
      </c>
      <c r="D1266" s="61">
        <f>A1255/2-13</f>
        <v>-13</v>
      </c>
      <c r="E1266" s="135" t="s">
        <v>590</v>
      </c>
      <c r="F1266" s="137" t="s">
        <v>620</v>
      </c>
      <c r="G1266" s="63">
        <v>0.56899999999999995</v>
      </c>
      <c r="H1266" s="63">
        <f t="shared" si="20"/>
        <v>-1.4793999999999998E-2</v>
      </c>
    </row>
    <row r="1267" spans="1:8" x14ac:dyDescent="0.25">
      <c r="A1267" s="64"/>
      <c r="B1267" s="65"/>
      <c r="C1267" s="65"/>
      <c r="D1267" s="65"/>
      <c r="E1267" s="65"/>
      <c r="F1267" s="65"/>
      <c r="G1267" s="63" t="s">
        <v>392</v>
      </c>
      <c r="H1267" s="63">
        <f>SUM(H1258:H1266)</f>
        <v>-0.13704</v>
      </c>
    </row>
    <row r="1268" spans="1:8" x14ac:dyDescent="0.25">
      <c r="A1268" s="64"/>
      <c r="B1268" s="65"/>
      <c r="C1268" s="65"/>
      <c r="D1268" s="65"/>
      <c r="E1268" s="65"/>
      <c r="F1268" s="65"/>
      <c r="G1268" s="66"/>
      <c r="H1268" s="67"/>
    </row>
    <row r="1269" spans="1:8" x14ac:dyDescent="0.25">
      <c r="A1269" s="64"/>
      <c r="B1269" s="65"/>
      <c r="C1269" s="65"/>
      <c r="D1269" s="65"/>
      <c r="E1269" s="65"/>
      <c r="F1269" s="65"/>
      <c r="G1269" s="68"/>
      <c r="H1269" s="67"/>
    </row>
    <row r="1270" spans="1:8" x14ac:dyDescent="0.25">
      <c r="A1270" s="69" t="s">
        <v>393</v>
      </c>
      <c r="B1270" s="70"/>
      <c r="C1270" s="70"/>
      <c r="D1270" s="71"/>
      <c r="E1270" s="59" t="s">
        <v>36</v>
      </c>
      <c r="F1270" s="59" t="s">
        <v>266</v>
      </c>
      <c r="G1270" s="52"/>
      <c r="H1270" s="72"/>
    </row>
    <row r="1271" spans="1:8" x14ac:dyDescent="0.25">
      <c r="A1271" s="139" t="s">
        <v>603</v>
      </c>
      <c r="B1271" s="74"/>
      <c r="C1271" s="70"/>
      <c r="D1271" s="71"/>
      <c r="E1271" s="114">
        <f>F1271*E1255</f>
        <v>2</v>
      </c>
      <c r="F1271" s="135">
        <v>2</v>
      </c>
      <c r="G1271" s="76"/>
      <c r="H1271" s="77"/>
    </row>
    <row r="1272" spans="1:8" x14ac:dyDescent="0.25">
      <c r="A1272" s="139" t="s">
        <v>604</v>
      </c>
      <c r="B1272" s="74"/>
      <c r="C1272" s="70"/>
      <c r="D1272" s="71"/>
      <c r="E1272" s="115">
        <f>F1272*E1255</f>
        <v>2</v>
      </c>
      <c r="F1272" s="135">
        <v>2</v>
      </c>
      <c r="G1272" s="76"/>
      <c r="H1272" s="77"/>
    </row>
    <row r="1273" spans="1:8" x14ac:dyDescent="0.25">
      <c r="A1273" s="139" t="s">
        <v>605</v>
      </c>
      <c r="B1273" s="74"/>
      <c r="C1273" s="70"/>
      <c r="D1273" s="71"/>
      <c r="E1273" s="115">
        <f>2*(A1255/1000)+2*(C1255/1000)*E1255</f>
        <v>0</v>
      </c>
      <c r="F1273" s="135" t="s">
        <v>448</v>
      </c>
      <c r="G1273" s="64"/>
      <c r="H1273" s="77"/>
    </row>
    <row r="1274" spans="1:8" x14ac:dyDescent="0.25">
      <c r="A1274" s="139" t="s">
        <v>606</v>
      </c>
      <c r="B1274" s="74"/>
      <c r="C1274" s="70"/>
      <c r="D1274" s="71"/>
      <c r="E1274" s="115">
        <f>2*(C1255/1000)*E1255</f>
        <v>0</v>
      </c>
      <c r="F1274" s="135" t="s">
        <v>400</v>
      </c>
      <c r="G1274" s="64"/>
      <c r="H1274" s="77"/>
    </row>
    <row r="1275" spans="1:8" x14ac:dyDescent="0.25">
      <c r="A1275" s="139" t="s">
        <v>401</v>
      </c>
      <c r="B1275" s="74"/>
      <c r="C1275" s="70"/>
      <c r="D1275" s="71"/>
      <c r="E1275" s="115">
        <f>1*(A1255/1000)+2*(C1255/1000)*E1255</f>
        <v>0</v>
      </c>
      <c r="F1275" s="135" t="s">
        <v>608</v>
      </c>
      <c r="G1275" s="64"/>
      <c r="H1275" s="77"/>
    </row>
    <row r="1276" spans="1:8" x14ac:dyDescent="0.25">
      <c r="A1276" s="142" t="s">
        <v>530</v>
      </c>
      <c r="B1276" s="74"/>
      <c r="C1276" s="70"/>
      <c r="D1276" s="71"/>
      <c r="E1276" s="115">
        <f>1*(A1255/1000)+2*(C1255/1000)*E1255</f>
        <v>0</v>
      </c>
      <c r="F1276" s="135" t="s">
        <v>608</v>
      </c>
      <c r="G1276" s="64"/>
      <c r="H1276" s="77"/>
    </row>
    <row r="1277" spans="1:8" x14ac:dyDescent="0.25">
      <c r="A1277" s="139" t="s">
        <v>528</v>
      </c>
      <c r="B1277" s="74"/>
      <c r="C1277" s="70"/>
      <c r="D1277" s="71"/>
      <c r="E1277" s="115">
        <f>1*(A1255/1000)+2*(C1255/1000)*E1255</f>
        <v>0</v>
      </c>
      <c r="F1277" s="135" t="s">
        <v>608</v>
      </c>
      <c r="G1277" s="64"/>
      <c r="H1277" s="77"/>
    </row>
    <row r="1278" spans="1:8" x14ac:dyDescent="0.25">
      <c r="A1278" s="139" t="s">
        <v>621</v>
      </c>
      <c r="B1278" s="74"/>
      <c r="C1278" s="70"/>
      <c r="D1278" s="71"/>
      <c r="E1278" s="115">
        <f>F1278*E1255</f>
        <v>2</v>
      </c>
      <c r="F1278" s="135">
        <v>2</v>
      </c>
      <c r="G1278" s="76"/>
      <c r="H1278" s="77"/>
    </row>
    <row r="1279" spans="1:8" x14ac:dyDescent="0.25">
      <c r="A1279" s="139" t="s">
        <v>404</v>
      </c>
      <c r="B1279" s="74"/>
      <c r="C1279" s="70"/>
      <c r="D1279" s="71"/>
      <c r="E1279" s="115">
        <f>F1279*E1255</f>
        <v>2</v>
      </c>
      <c r="F1279" s="135">
        <v>2</v>
      </c>
      <c r="G1279" s="76"/>
      <c r="H1279" s="77"/>
    </row>
    <row r="1280" spans="1:8" x14ac:dyDescent="0.25">
      <c r="A1280" s="139" t="s">
        <v>405</v>
      </c>
      <c r="B1280" s="74"/>
      <c r="C1280" s="70"/>
      <c r="D1280" s="71"/>
      <c r="E1280" s="115">
        <f>F1280*E1255</f>
        <v>6</v>
      </c>
      <c r="F1280" s="135">
        <v>6</v>
      </c>
      <c r="G1280" s="76"/>
      <c r="H1280" s="77"/>
    </row>
    <row r="1281" spans="1:8" x14ac:dyDescent="0.25">
      <c r="A1281" s="139" t="s">
        <v>610</v>
      </c>
      <c r="B1281" s="74"/>
      <c r="C1281" s="70"/>
      <c r="D1281" s="71"/>
      <c r="E1281" s="115">
        <f>F1281*E1255</f>
        <v>4</v>
      </c>
      <c r="F1281" s="135">
        <v>4</v>
      </c>
      <c r="G1281" s="76"/>
      <c r="H1281" s="77"/>
    </row>
    <row r="1282" spans="1:8" x14ac:dyDescent="0.25">
      <c r="A1282" s="142" t="s">
        <v>450</v>
      </c>
      <c r="B1282" s="74"/>
      <c r="C1282" s="70"/>
      <c r="D1282" s="71"/>
      <c r="E1282" s="115">
        <f>F1282*E1255</f>
        <v>2</v>
      </c>
      <c r="F1282" s="135">
        <v>2</v>
      </c>
      <c r="G1282" s="76"/>
      <c r="H1282" s="77"/>
    </row>
    <row r="1283" spans="1:8" x14ac:dyDescent="0.25">
      <c r="A1283" s="143" t="s">
        <v>409</v>
      </c>
      <c r="B1283" s="74"/>
      <c r="C1283" s="70"/>
      <c r="D1283" s="71"/>
      <c r="E1283" s="115">
        <f>F1283*E1255</f>
        <v>2</v>
      </c>
      <c r="F1283" s="135">
        <v>2</v>
      </c>
      <c r="G1283" s="76"/>
      <c r="H1283" s="77"/>
    </row>
    <row r="1284" spans="1:8" x14ac:dyDescent="0.25">
      <c r="A1284" s="139" t="s">
        <v>611</v>
      </c>
      <c r="B1284" s="74"/>
      <c r="C1284" s="70"/>
      <c r="D1284" s="71"/>
      <c r="E1284" s="115">
        <f>F1284*E1255</f>
        <v>16</v>
      </c>
      <c r="F1284" s="135">
        <v>16</v>
      </c>
      <c r="G1284" s="76"/>
      <c r="H1284" s="77"/>
    </row>
    <row r="1285" spans="1:8" x14ac:dyDescent="0.25">
      <c r="A1285" s="52"/>
      <c r="B1285" s="53"/>
      <c r="C1285" s="53"/>
      <c r="D1285" s="53"/>
      <c r="E1285" s="53"/>
      <c r="F1285" s="53"/>
      <c r="G1285" s="53"/>
      <c r="H1285" s="83"/>
    </row>
    <row r="1286" spans="1:8" x14ac:dyDescent="0.25">
      <c r="A1286" s="52"/>
      <c r="B1286" s="53"/>
      <c r="C1286" s="53"/>
      <c r="D1286" s="53"/>
      <c r="E1286" s="53"/>
      <c r="F1286" s="53"/>
      <c r="G1286" s="53"/>
      <c r="H1286" s="83"/>
    </row>
    <row r="1287" spans="1:8" x14ac:dyDescent="0.25">
      <c r="A1287" s="59" t="s">
        <v>413</v>
      </c>
      <c r="B1287" s="84" t="s">
        <v>266</v>
      </c>
      <c r="C1287" s="84" t="s">
        <v>383</v>
      </c>
      <c r="D1287" s="405" t="s">
        <v>414</v>
      </c>
      <c r="E1287" s="406"/>
      <c r="F1287" s="85" t="s">
        <v>415</v>
      </c>
      <c r="G1287" s="59" t="s">
        <v>416</v>
      </c>
      <c r="H1287" s="86"/>
    </row>
    <row r="1288" spans="1:8" x14ac:dyDescent="0.25">
      <c r="A1288" s="61"/>
      <c r="B1288" s="89">
        <f>1*E1255</f>
        <v>1</v>
      </c>
      <c r="C1288" s="88" t="s">
        <v>622</v>
      </c>
      <c r="D1288" s="407">
        <f>A1255/2-33</f>
        <v>-33</v>
      </c>
      <c r="E1288" s="408"/>
      <c r="F1288" s="90">
        <f>C1255-48</f>
        <v>-48</v>
      </c>
      <c r="G1288" s="91">
        <f>+(D1288/1000)*(F1288/1000)*B1288</f>
        <v>1.5840000000000001E-3</v>
      </c>
      <c r="H1288" s="83"/>
    </row>
    <row r="1289" spans="1:8" x14ac:dyDescent="0.25">
      <c r="A1289" s="87"/>
      <c r="B1289" s="89">
        <f>1*E1255</f>
        <v>1</v>
      </c>
      <c r="C1289" s="88" t="s">
        <v>623</v>
      </c>
      <c r="D1289" s="407">
        <f>A1255/2-66</f>
        <v>-66</v>
      </c>
      <c r="E1289" s="408"/>
      <c r="F1289" s="61">
        <f>C1255-134</f>
        <v>-134</v>
      </c>
      <c r="G1289" s="91">
        <f>+(D1289/1000)*(F1289/1000)*B1289</f>
        <v>8.8440000000000012E-3</v>
      </c>
      <c r="H1289" s="92"/>
    </row>
    <row r="1290" spans="1:8" x14ac:dyDescent="0.25">
      <c r="A1290" s="52"/>
      <c r="B1290" s="93"/>
      <c r="C1290" s="53"/>
      <c r="D1290" s="53"/>
      <c r="E1290" s="53"/>
      <c r="F1290" s="94" t="s">
        <v>418</v>
      </c>
      <c r="G1290" s="95">
        <f>SUM(G1288:G1289)</f>
        <v>1.0428000000000002E-2</v>
      </c>
      <c r="H1290" s="51"/>
    </row>
    <row r="1291" spans="1:8" x14ac:dyDescent="0.25">
      <c r="A1291" s="52"/>
      <c r="B1291" s="93"/>
      <c r="C1291" s="53"/>
      <c r="D1291" s="53"/>
      <c r="E1291" s="53"/>
      <c r="F1291" s="94"/>
      <c r="G1291" s="96"/>
      <c r="H1291" s="51"/>
    </row>
    <row r="1292" spans="1:8" x14ac:dyDescent="0.25">
      <c r="A1292" s="52"/>
      <c r="B1292" s="93"/>
      <c r="C1292" s="53"/>
      <c r="D1292" s="53"/>
      <c r="E1292" s="53"/>
      <c r="F1292" s="94"/>
      <c r="G1292" s="96"/>
      <c r="H1292" s="51"/>
    </row>
    <row r="1293" spans="1:8" x14ac:dyDescent="0.25">
      <c r="A1293" s="52"/>
      <c r="B1293" s="93"/>
      <c r="C1293" s="53"/>
      <c r="D1293" s="53"/>
      <c r="E1293" s="53"/>
      <c r="F1293" s="94"/>
      <c r="G1293" s="96"/>
      <c r="H1293" s="51"/>
    </row>
    <row r="1294" spans="1:8" x14ac:dyDescent="0.25">
      <c r="A1294" s="52"/>
      <c r="B1294" s="93"/>
      <c r="C1294" s="53"/>
      <c r="D1294" s="53"/>
      <c r="E1294" s="53"/>
      <c r="F1294" s="94"/>
      <c r="G1294" s="96"/>
      <c r="H1294" s="51"/>
    </row>
    <row r="1295" spans="1:8" x14ac:dyDescent="0.25">
      <c r="A1295" s="52"/>
      <c r="B1295" s="93"/>
      <c r="C1295" s="53"/>
      <c r="D1295" s="53"/>
      <c r="E1295" s="53"/>
      <c r="F1295" s="94"/>
      <c r="G1295" s="96"/>
      <c r="H1295" s="51"/>
    </row>
    <row r="1296" spans="1:8" x14ac:dyDescent="0.25">
      <c r="A1296" s="52"/>
      <c r="B1296" s="93"/>
      <c r="C1296" s="53"/>
      <c r="D1296" s="53"/>
      <c r="E1296" s="53"/>
      <c r="F1296" s="94"/>
      <c r="G1296" s="96"/>
      <c r="H1296" s="51"/>
    </row>
    <row r="1297" spans="1:8" x14ac:dyDescent="0.25">
      <c r="A1297" s="52"/>
      <c r="B1297" s="93"/>
      <c r="C1297" s="53"/>
      <c r="D1297" s="53"/>
      <c r="E1297" s="53"/>
      <c r="F1297" s="94"/>
      <c r="G1297" s="96"/>
      <c r="H1297" s="51"/>
    </row>
    <row r="1298" spans="1:8" x14ac:dyDescent="0.25">
      <c r="A1298" s="52"/>
      <c r="B1298" s="93"/>
      <c r="C1298" s="53"/>
      <c r="D1298" s="53"/>
      <c r="E1298" s="53"/>
      <c r="F1298" s="94"/>
      <c r="G1298" s="96"/>
      <c r="H1298" s="51"/>
    </row>
    <row r="1299" spans="1:8" x14ac:dyDescent="0.25">
      <c r="A1299" s="52"/>
      <c r="B1299" s="93"/>
      <c r="C1299" s="53"/>
      <c r="D1299" s="53"/>
      <c r="E1299" s="53"/>
      <c r="F1299" s="94"/>
      <c r="G1299" s="96"/>
      <c r="H1299" s="51"/>
    </row>
    <row r="1300" spans="1:8" x14ac:dyDescent="0.25">
      <c r="A1300" s="52"/>
      <c r="B1300" s="93"/>
      <c r="C1300" s="53"/>
      <c r="D1300" s="53"/>
      <c r="E1300" s="53"/>
      <c r="F1300" s="94"/>
      <c r="G1300" s="96"/>
      <c r="H1300" s="51"/>
    </row>
    <row r="1301" spans="1:8" x14ac:dyDescent="0.25">
      <c r="A1301" s="52"/>
      <c r="B1301" s="93"/>
      <c r="C1301" s="53"/>
      <c r="D1301" s="53"/>
      <c r="E1301" s="53"/>
      <c r="F1301" s="94"/>
      <c r="G1301" s="96"/>
      <c r="H1301" s="51"/>
    </row>
    <row r="1302" spans="1:8" x14ac:dyDescent="0.25">
      <c r="A1302" s="52"/>
      <c r="B1302" s="93"/>
      <c r="C1302" s="53"/>
      <c r="D1302" s="53"/>
      <c r="E1302" s="53"/>
      <c r="F1302" s="94"/>
      <c r="G1302" s="96"/>
      <c r="H1302" s="51"/>
    </row>
    <row r="1303" spans="1:8" x14ac:dyDescent="0.25">
      <c r="A1303" s="52"/>
      <c r="B1303" s="93"/>
      <c r="C1303" s="53"/>
      <c r="D1303" s="53"/>
      <c r="E1303" s="53"/>
      <c r="F1303" s="94"/>
      <c r="G1303" s="96"/>
      <c r="H1303" s="51"/>
    </row>
    <row r="1304" spans="1:8" x14ac:dyDescent="0.25">
      <c r="A1304" s="52"/>
      <c r="B1304" s="93"/>
      <c r="C1304" s="53"/>
      <c r="D1304" s="53"/>
      <c r="E1304" s="53"/>
      <c r="F1304" s="94"/>
      <c r="G1304" s="96"/>
      <c r="H1304" s="51"/>
    </row>
    <row r="1305" spans="1:8" x14ac:dyDescent="0.25">
      <c r="A1305" s="52"/>
      <c r="B1305" s="93"/>
      <c r="C1305" s="53"/>
      <c r="D1305" s="53"/>
      <c r="E1305" s="53"/>
      <c r="F1305" s="94"/>
      <c r="G1305" s="96"/>
      <c r="H1305" s="51"/>
    </row>
    <row r="1306" spans="1:8" x14ac:dyDescent="0.25">
      <c r="A1306" s="52"/>
      <c r="B1306" s="93"/>
      <c r="C1306" s="53"/>
      <c r="D1306" s="53"/>
      <c r="E1306" s="53"/>
      <c r="F1306" s="94"/>
      <c r="G1306" s="96"/>
      <c r="H1306" s="51"/>
    </row>
    <row r="1307" spans="1:8" x14ac:dyDescent="0.25">
      <c r="A1307" s="52"/>
      <c r="B1307" s="93"/>
      <c r="C1307" s="53"/>
      <c r="D1307" s="53"/>
      <c r="E1307" s="53"/>
      <c r="F1307" s="94"/>
      <c r="G1307" s="96"/>
      <c r="H1307" s="51"/>
    </row>
    <row r="1308" spans="1:8" x14ac:dyDescent="0.25">
      <c r="A1308" s="52"/>
      <c r="B1308" s="53"/>
      <c r="C1308" s="144"/>
      <c r="D1308" s="53"/>
      <c r="E1308" s="53"/>
      <c r="F1308" s="53"/>
      <c r="G1308" s="53"/>
      <c r="H1308" s="51"/>
    </row>
    <row r="1309" spans="1:8" x14ac:dyDescent="0.25">
      <c r="A1309" s="52"/>
      <c r="B1309" s="53"/>
      <c r="C1309" s="146"/>
      <c r="D1309" s="53"/>
      <c r="E1309" s="53"/>
      <c r="F1309" s="53"/>
      <c r="G1309" s="53"/>
      <c r="H1309" s="51"/>
    </row>
    <row r="1310" spans="1:8" x14ac:dyDescent="0.25">
      <c r="A1310" s="45"/>
      <c r="B1310" s="45"/>
      <c r="C1310" s="145"/>
      <c r="D1310" s="45"/>
      <c r="E1310" s="45"/>
      <c r="F1310" s="45"/>
      <c r="G1310" s="45"/>
      <c r="H1310" s="45"/>
    </row>
    <row r="1311" spans="1:8" x14ac:dyDescent="0.25">
      <c r="A1311" s="100"/>
      <c r="B1311" s="100"/>
      <c r="C1311" s="100"/>
      <c r="D1311" s="100"/>
      <c r="E1311" s="100"/>
      <c r="F1311" s="100"/>
      <c r="G1311" s="100"/>
      <c r="H1311" s="100"/>
    </row>
    <row r="1312" spans="1:8" x14ac:dyDescent="0.25">
      <c r="A1312" s="44"/>
      <c r="B1312" s="45"/>
      <c r="C1312" s="45"/>
      <c r="D1312" s="45"/>
      <c r="E1312" s="45"/>
      <c r="F1312" s="45"/>
      <c r="G1312" s="45"/>
      <c r="H1312" s="46"/>
    </row>
    <row r="1313" spans="1:8" x14ac:dyDescent="0.25">
      <c r="A1313" s="147"/>
      <c r="B1313" s="53"/>
      <c r="C1313" s="53"/>
      <c r="D1313" s="53"/>
      <c r="E1313" s="53"/>
      <c r="F1313" s="53"/>
      <c r="G1313" s="53"/>
      <c r="H1313" s="51"/>
    </row>
    <row r="1314" spans="1:8" x14ac:dyDescent="0.25">
      <c r="A1314" s="47" t="s">
        <v>624</v>
      </c>
      <c r="B1314" s="48"/>
      <c r="C1314" s="49"/>
      <c r="D1314" s="122"/>
      <c r="E1314" s="49"/>
      <c r="F1314" s="50"/>
      <c r="G1314" s="54"/>
      <c r="H1314" s="103"/>
    </row>
    <row r="1315" spans="1:8" ht="16.5" thickBot="1" x14ac:dyDescent="0.3">
      <c r="A1315" s="52"/>
      <c r="B1315" s="53"/>
      <c r="C1315" s="53"/>
      <c r="D1315" s="53"/>
      <c r="E1315" s="53"/>
      <c r="F1315" s="65"/>
      <c r="G1315" s="53"/>
      <c r="H1315" s="51"/>
    </row>
    <row r="1316" spans="1:8" ht="16.5" thickBot="1" x14ac:dyDescent="0.3">
      <c r="A1316" s="400" t="s">
        <v>381</v>
      </c>
      <c r="B1316" s="401"/>
      <c r="C1316" s="402" t="s">
        <v>382</v>
      </c>
      <c r="D1316" s="401"/>
      <c r="E1316" s="55" t="s">
        <v>266</v>
      </c>
      <c r="F1316" s="65"/>
      <c r="G1316" s="54" t="s">
        <v>625</v>
      </c>
      <c r="H1316" s="51"/>
    </row>
    <row r="1317" spans="1:8" ht="16.5" thickBot="1" x14ac:dyDescent="0.3">
      <c r="A1317" s="403">
        <v>0</v>
      </c>
      <c r="B1317" s="404"/>
      <c r="C1317" s="403">
        <v>0</v>
      </c>
      <c r="D1317" s="404"/>
      <c r="E1317" s="56">
        <v>1</v>
      </c>
      <c r="F1317" s="65"/>
      <c r="G1317" s="53"/>
      <c r="H1317" s="51"/>
    </row>
    <row r="1318" spans="1:8" x14ac:dyDescent="0.25">
      <c r="A1318" s="52"/>
      <c r="B1318" s="58"/>
      <c r="C1318" s="58"/>
      <c r="D1318" s="58"/>
      <c r="E1318" s="58"/>
      <c r="F1318" s="58"/>
      <c r="G1318" s="53"/>
      <c r="H1318" s="83"/>
    </row>
    <row r="1319" spans="1:8" x14ac:dyDescent="0.25">
      <c r="A1319" s="59" t="s">
        <v>323</v>
      </c>
      <c r="B1319" s="59" t="s">
        <v>266</v>
      </c>
      <c r="C1319" s="59" t="s">
        <v>383</v>
      </c>
      <c r="D1319" s="59" t="s">
        <v>384</v>
      </c>
      <c r="E1319" s="59" t="s">
        <v>332</v>
      </c>
      <c r="F1319" s="59" t="s">
        <v>385</v>
      </c>
      <c r="G1319" s="59" t="s">
        <v>386</v>
      </c>
      <c r="H1319" s="59" t="s">
        <v>387</v>
      </c>
    </row>
    <row r="1320" spans="1:8" x14ac:dyDescent="0.25">
      <c r="A1320" s="134">
        <v>6901</v>
      </c>
      <c r="B1320" s="135">
        <f>1*E1317</f>
        <v>1</v>
      </c>
      <c r="C1320" s="135" t="s">
        <v>367</v>
      </c>
      <c r="D1320" s="61">
        <f>A1317-14</f>
        <v>-14</v>
      </c>
      <c r="E1320" s="135" t="s">
        <v>590</v>
      </c>
      <c r="F1320" s="136" t="s">
        <v>388</v>
      </c>
      <c r="G1320" s="63">
        <v>0.69199999999999995</v>
      </c>
      <c r="H1320" s="63">
        <f t="shared" ref="H1320:H1326" si="21">(D1320/1000)*B1320*G1320</f>
        <v>-9.6879999999999987E-3</v>
      </c>
    </row>
    <row r="1321" spans="1:8" x14ac:dyDescent="0.25">
      <c r="A1321" s="134">
        <v>6902</v>
      </c>
      <c r="B1321" s="135">
        <f>1*E1317</f>
        <v>1</v>
      </c>
      <c r="C1321" s="135" t="s">
        <v>367</v>
      </c>
      <c r="D1321" s="61">
        <f>A1317-14</f>
        <v>-14</v>
      </c>
      <c r="E1321" s="135" t="s">
        <v>590</v>
      </c>
      <c r="F1321" s="136" t="s">
        <v>82</v>
      </c>
      <c r="G1321" s="63">
        <v>0.67700000000000005</v>
      </c>
      <c r="H1321" s="63">
        <f t="shared" si="21"/>
        <v>-9.4780000000000003E-3</v>
      </c>
    </row>
    <row r="1322" spans="1:8" x14ac:dyDescent="0.25">
      <c r="A1322" s="134">
        <v>6903</v>
      </c>
      <c r="B1322" s="135">
        <f>2*E1317</f>
        <v>2</v>
      </c>
      <c r="C1322" s="135" t="s">
        <v>337</v>
      </c>
      <c r="D1322" s="61">
        <f>C1317</f>
        <v>0</v>
      </c>
      <c r="E1322" s="135" t="s">
        <v>590</v>
      </c>
      <c r="F1322" s="136" t="s">
        <v>83</v>
      </c>
      <c r="G1322" s="63">
        <v>0.55000000000000004</v>
      </c>
      <c r="H1322" s="63">
        <f t="shared" si="21"/>
        <v>0</v>
      </c>
    </row>
    <row r="1323" spans="1:8" x14ac:dyDescent="0.25">
      <c r="A1323" s="134">
        <v>6911</v>
      </c>
      <c r="B1323" s="135">
        <f>2*E1317</f>
        <v>2</v>
      </c>
      <c r="C1323" s="135" t="s">
        <v>470</v>
      </c>
      <c r="D1323" s="105">
        <f>C1317-40</f>
        <v>-40</v>
      </c>
      <c r="E1323" s="135" t="s">
        <v>590</v>
      </c>
      <c r="F1323" s="136" t="s">
        <v>600</v>
      </c>
      <c r="G1323" s="63">
        <v>0.86399999999999999</v>
      </c>
      <c r="H1323" s="63">
        <f t="shared" si="21"/>
        <v>-6.9120000000000001E-2</v>
      </c>
    </row>
    <row r="1324" spans="1:8" x14ac:dyDescent="0.25">
      <c r="A1324" s="134">
        <v>6961</v>
      </c>
      <c r="B1324" s="148">
        <f>2*E1317</f>
        <v>2</v>
      </c>
      <c r="C1324" s="135" t="s">
        <v>470</v>
      </c>
      <c r="D1324" s="61">
        <f>C1317-40</f>
        <v>-40</v>
      </c>
      <c r="E1324" s="135" t="s">
        <v>590</v>
      </c>
      <c r="F1324" s="137" t="s">
        <v>626</v>
      </c>
      <c r="G1324" s="63">
        <v>0.97199999999999998</v>
      </c>
      <c r="H1324" s="63">
        <f t="shared" si="21"/>
        <v>-7.7759999999999996E-2</v>
      </c>
    </row>
    <row r="1325" spans="1:8" x14ac:dyDescent="0.25">
      <c r="A1325" s="134">
        <v>6909</v>
      </c>
      <c r="B1325" s="135">
        <f>2*E1317</f>
        <v>2</v>
      </c>
      <c r="C1325" s="135" t="s">
        <v>389</v>
      </c>
      <c r="D1325" s="61">
        <f>A1317/2-13</f>
        <v>-13</v>
      </c>
      <c r="E1325" s="135" t="s">
        <v>590</v>
      </c>
      <c r="F1325" s="136" t="s">
        <v>520</v>
      </c>
      <c r="G1325" s="63">
        <v>0.52</v>
      </c>
      <c r="H1325" s="63">
        <f t="shared" si="21"/>
        <v>-1.3519999999999999E-2</v>
      </c>
    </row>
    <row r="1326" spans="1:8" x14ac:dyDescent="0.25">
      <c r="A1326" s="134">
        <v>6910</v>
      </c>
      <c r="B1326" s="135">
        <f>2*E1317</f>
        <v>2</v>
      </c>
      <c r="C1326" s="135" t="s">
        <v>389</v>
      </c>
      <c r="D1326" s="61">
        <f>A1317/2-13</f>
        <v>-13</v>
      </c>
      <c r="E1326" s="135" t="s">
        <v>590</v>
      </c>
      <c r="F1326" s="136" t="s">
        <v>493</v>
      </c>
      <c r="G1326" s="63">
        <v>0.56899999999999995</v>
      </c>
      <c r="H1326" s="63">
        <f t="shared" si="21"/>
        <v>-1.4793999999999998E-2</v>
      </c>
    </row>
    <row r="1327" spans="1:8" x14ac:dyDescent="0.25">
      <c r="A1327" s="64"/>
      <c r="B1327" s="65"/>
      <c r="C1327" s="65"/>
      <c r="D1327" s="65"/>
      <c r="E1327" s="65"/>
      <c r="F1327" s="65"/>
      <c r="G1327" s="63" t="s">
        <v>392</v>
      </c>
      <c r="H1327" s="63">
        <f>SUM(H1320:H1326)</f>
        <v>-0.19436</v>
      </c>
    </row>
    <row r="1328" spans="1:8" x14ac:dyDescent="0.25">
      <c r="A1328" s="64"/>
      <c r="B1328" s="65"/>
      <c r="C1328" s="65"/>
      <c r="D1328" s="65"/>
      <c r="E1328" s="65"/>
      <c r="F1328" s="65"/>
      <c r="G1328" s="66"/>
      <c r="H1328" s="67"/>
    </row>
    <row r="1329" spans="1:8" x14ac:dyDescent="0.25">
      <c r="A1329" s="64"/>
      <c r="B1329" s="65"/>
      <c r="C1329" s="65"/>
      <c r="D1329" s="65"/>
      <c r="E1329" s="65"/>
      <c r="F1329" s="65"/>
      <c r="G1329" s="68"/>
      <c r="H1329" s="67"/>
    </row>
    <row r="1330" spans="1:8" x14ac:dyDescent="0.25">
      <c r="A1330" s="69" t="s">
        <v>393</v>
      </c>
      <c r="B1330" s="70"/>
      <c r="C1330" s="70"/>
      <c r="D1330" s="71"/>
      <c r="E1330" s="59" t="s">
        <v>36</v>
      </c>
      <c r="F1330" s="59" t="s">
        <v>266</v>
      </c>
      <c r="G1330" s="52"/>
      <c r="H1330" s="72"/>
    </row>
    <row r="1331" spans="1:8" x14ac:dyDescent="0.25">
      <c r="A1331" s="139" t="s">
        <v>627</v>
      </c>
      <c r="B1331" s="74"/>
      <c r="C1331" s="70"/>
      <c r="D1331" s="71"/>
      <c r="E1331" s="114">
        <f>F1331*E1317</f>
        <v>2</v>
      </c>
      <c r="F1331" s="135">
        <v>2</v>
      </c>
      <c r="G1331" s="76"/>
      <c r="H1331" s="77"/>
    </row>
    <row r="1332" spans="1:8" x14ac:dyDescent="0.25">
      <c r="A1332" s="139" t="s">
        <v>628</v>
      </c>
      <c r="B1332" s="74"/>
      <c r="C1332" s="70"/>
      <c r="D1332" s="71"/>
      <c r="E1332" s="115">
        <f>F1332*E1317</f>
        <v>1</v>
      </c>
      <c r="F1332" s="135">
        <v>1</v>
      </c>
      <c r="G1332" s="76"/>
      <c r="H1332" s="77"/>
    </row>
    <row r="1333" spans="1:8" x14ac:dyDescent="0.25">
      <c r="A1333" s="139" t="s">
        <v>629</v>
      </c>
      <c r="B1333" s="74"/>
      <c r="C1333" s="70"/>
      <c r="D1333" s="71"/>
      <c r="E1333" s="115">
        <f>F1333*E1317</f>
        <v>1</v>
      </c>
      <c r="F1333" s="135">
        <v>1</v>
      </c>
      <c r="G1333" s="65"/>
      <c r="H1333" s="77"/>
    </row>
    <row r="1334" spans="1:8" x14ac:dyDescent="0.25">
      <c r="A1334" s="139" t="s">
        <v>605</v>
      </c>
      <c r="B1334" s="74"/>
      <c r="C1334" s="70"/>
      <c r="D1334" s="71"/>
      <c r="E1334" s="115">
        <f>4*(A1317/1000)+4*(C1317/1000)*E1317</f>
        <v>0</v>
      </c>
      <c r="F1334" s="135" t="s">
        <v>398</v>
      </c>
      <c r="G1334" s="64"/>
      <c r="H1334" s="77"/>
    </row>
    <row r="1335" spans="1:8" x14ac:dyDescent="0.25">
      <c r="A1335" s="139" t="s">
        <v>606</v>
      </c>
      <c r="B1335" s="74"/>
      <c r="C1335" s="70"/>
      <c r="D1335" s="71"/>
      <c r="E1335" s="115">
        <f>2*(C1317/1000)*E1317</f>
        <v>0</v>
      </c>
      <c r="F1335" s="135" t="s">
        <v>400</v>
      </c>
      <c r="G1335" s="64"/>
      <c r="H1335" s="77"/>
    </row>
    <row r="1336" spans="1:8" x14ac:dyDescent="0.25">
      <c r="A1336" s="139" t="s">
        <v>630</v>
      </c>
      <c r="B1336" s="74"/>
      <c r="C1336" s="70"/>
      <c r="D1336" s="71"/>
      <c r="E1336" s="115">
        <f>2*(A1317/1000)+4*(C1317/1000)*E1317</f>
        <v>0</v>
      </c>
      <c r="F1336" s="135" t="s">
        <v>402</v>
      </c>
      <c r="G1336" s="141"/>
      <c r="H1336" s="77"/>
    </row>
    <row r="1337" spans="1:8" x14ac:dyDescent="0.25">
      <c r="A1337" s="139" t="s">
        <v>609</v>
      </c>
      <c r="B1337" s="74"/>
      <c r="C1337" s="70"/>
      <c r="D1337" s="71"/>
      <c r="E1337" s="115">
        <f>F1337*E1317</f>
        <v>4</v>
      </c>
      <c r="F1337" s="135">
        <v>4</v>
      </c>
      <c r="G1337" s="64"/>
      <c r="H1337" s="77"/>
    </row>
    <row r="1338" spans="1:8" x14ac:dyDescent="0.25">
      <c r="A1338" s="139" t="s">
        <v>404</v>
      </c>
      <c r="B1338" s="74"/>
      <c r="C1338" s="70"/>
      <c r="D1338" s="71"/>
      <c r="E1338" s="115">
        <f>F1338*E1317</f>
        <v>8</v>
      </c>
      <c r="F1338" s="135">
        <v>8</v>
      </c>
      <c r="G1338" s="76"/>
      <c r="H1338" s="77"/>
    </row>
    <row r="1339" spans="1:8" x14ac:dyDescent="0.25">
      <c r="A1339" s="139" t="s">
        <v>405</v>
      </c>
      <c r="B1339" s="74"/>
      <c r="C1339" s="70"/>
      <c r="D1339" s="71"/>
      <c r="E1339" s="115">
        <f>F1339*E1317</f>
        <v>4</v>
      </c>
      <c r="F1339" s="135">
        <v>4</v>
      </c>
      <c r="G1339" s="76"/>
      <c r="H1339" s="77"/>
    </row>
    <row r="1340" spans="1:8" x14ac:dyDescent="0.25">
      <c r="A1340" s="139" t="s">
        <v>610</v>
      </c>
      <c r="B1340" s="74"/>
      <c r="C1340" s="70"/>
      <c r="D1340" s="71"/>
      <c r="E1340" s="115">
        <f>F1340*E1317</f>
        <v>2</v>
      </c>
      <c r="F1340" s="135">
        <v>2</v>
      </c>
      <c r="G1340" s="76"/>
      <c r="H1340" s="77"/>
    </row>
    <row r="1341" spans="1:8" x14ac:dyDescent="0.25">
      <c r="A1341" s="142" t="s">
        <v>631</v>
      </c>
      <c r="B1341" s="74"/>
      <c r="C1341" s="70"/>
      <c r="D1341" s="71"/>
      <c r="E1341" s="115">
        <f>F1341*E1317</f>
        <v>1</v>
      </c>
      <c r="F1341" s="135">
        <v>1</v>
      </c>
      <c r="G1341" s="76"/>
      <c r="H1341" s="77"/>
    </row>
    <row r="1342" spans="1:8" x14ac:dyDescent="0.25">
      <c r="A1342" s="139" t="s">
        <v>632</v>
      </c>
      <c r="B1342" s="74"/>
      <c r="C1342" s="70"/>
      <c r="D1342" s="71"/>
      <c r="E1342" s="115">
        <f>F1342*E1317</f>
        <v>1</v>
      </c>
      <c r="F1342" s="135">
        <v>1</v>
      </c>
      <c r="G1342" s="76"/>
      <c r="H1342" s="77"/>
    </row>
    <row r="1343" spans="1:8" x14ac:dyDescent="0.25">
      <c r="A1343" s="143" t="s">
        <v>409</v>
      </c>
      <c r="B1343" s="74"/>
      <c r="C1343" s="70"/>
      <c r="D1343" s="71"/>
      <c r="E1343" s="115">
        <f>F1343*E1317</f>
        <v>4</v>
      </c>
      <c r="F1343" s="135">
        <v>4</v>
      </c>
      <c r="G1343" s="76"/>
      <c r="H1343" s="77"/>
    </row>
    <row r="1344" spans="1:8" x14ac:dyDescent="0.25">
      <c r="A1344" s="149" t="s">
        <v>611</v>
      </c>
      <c r="B1344" s="97"/>
      <c r="C1344" s="45"/>
      <c r="D1344" s="46"/>
      <c r="E1344" s="115">
        <f>F1344*E1317</f>
        <v>16</v>
      </c>
      <c r="F1344" s="135">
        <v>16</v>
      </c>
      <c r="G1344" s="76"/>
      <c r="H1344" s="77"/>
    </row>
    <row r="1345" spans="1:8" x14ac:dyDescent="0.25">
      <c r="A1345" s="139" t="s">
        <v>505</v>
      </c>
      <c r="B1345" s="74"/>
      <c r="C1345" s="70"/>
      <c r="D1345" s="71"/>
      <c r="E1345" s="115">
        <f>F1345*E1317</f>
        <v>4</v>
      </c>
      <c r="F1345" s="135">
        <v>4</v>
      </c>
      <c r="G1345" s="76"/>
      <c r="H1345" s="77"/>
    </row>
    <row r="1346" spans="1:8" x14ac:dyDescent="0.25">
      <c r="A1346" s="139" t="s">
        <v>506</v>
      </c>
      <c r="B1346" s="74"/>
      <c r="C1346" s="70"/>
      <c r="D1346" s="71"/>
      <c r="E1346" s="115">
        <f>F1346*E1317</f>
        <v>4</v>
      </c>
      <c r="F1346" s="135">
        <v>4</v>
      </c>
      <c r="G1346" s="76"/>
      <c r="H1346" s="77"/>
    </row>
    <row r="1347" spans="1:8" x14ac:dyDescent="0.25">
      <c r="A1347" s="52"/>
      <c r="B1347" s="53"/>
      <c r="C1347" s="53"/>
      <c r="D1347" s="53"/>
      <c r="E1347" s="53"/>
      <c r="F1347" s="53"/>
      <c r="G1347" s="53"/>
      <c r="H1347" s="83"/>
    </row>
    <row r="1348" spans="1:8" x14ac:dyDescent="0.25">
      <c r="A1348" s="59" t="s">
        <v>413</v>
      </c>
      <c r="B1348" s="84" t="s">
        <v>266</v>
      </c>
      <c r="C1348" s="84" t="s">
        <v>383</v>
      </c>
      <c r="D1348" s="405" t="s">
        <v>414</v>
      </c>
      <c r="E1348" s="406"/>
      <c r="F1348" s="85" t="s">
        <v>415</v>
      </c>
      <c r="G1348" s="59" t="s">
        <v>416</v>
      </c>
      <c r="H1348" s="86"/>
    </row>
    <row r="1349" spans="1:8" x14ac:dyDescent="0.25">
      <c r="A1349" s="61"/>
      <c r="B1349" s="89">
        <f>2*E1317</f>
        <v>2</v>
      </c>
      <c r="C1349" s="61" t="s">
        <v>633</v>
      </c>
      <c r="D1349" s="407">
        <f>A1317/2-66</f>
        <v>-66</v>
      </c>
      <c r="E1349" s="408"/>
      <c r="F1349" s="90">
        <f>C1317-116</f>
        <v>-116</v>
      </c>
      <c r="G1349" s="91">
        <f>+(D1349/1000)*(F1349/1000)*B1349</f>
        <v>1.5312000000000001E-2</v>
      </c>
      <c r="H1349" s="83"/>
    </row>
    <row r="1350" spans="1:8" x14ac:dyDescent="0.25">
      <c r="A1350" s="52"/>
      <c r="B1350" s="93"/>
      <c r="C1350" s="53"/>
      <c r="D1350" s="53"/>
      <c r="E1350" s="53"/>
      <c r="F1350" s="94" t="s">
        <v>418</v>
      </c>
      <c r="G1350" s="95">
        <f>SUM(G1349:G1349)</f>
        <v>1.5312000000000001E-2</v>
      </c>
      <c r="H1350" s="51"/>
    </row>
    <row r="1351" spans="1:8" x14ac:dyDescent="0.25">
      <c r="A1351" s="52"/>
      <c r="B1351" s="93"/>
      <c r="C1351" s="53"/>
      <c r="D1351" s="53"/>
      <c r="E1351" s="53"/>
      <c r="F1351" s="94"/>
      <c r="G1351" s="96"/>
      <c r="H1351" s="51"/>
    </row>
    <row r="1352" spans="1:8" x14ac:dyDescent="0.25">
      <c r="A1352" s="52"/>
      <c r="B1352" s="93"/>
      <c r="C1352" s="53"/>
      <c r="D1352" s="53"/>
      <c r="E1352" s="53"/>
      <c r="F1352" s="94"/>
      <c r="G1352" s="96"/>
      <c r="H1352" s="51"/>
    </row>
    <row r="1353" spans="1:8" x14ac:dyDescent="0.25">
      <c r="A1353" s="52"/>
      <c r="B1353" s="93"/>
      <c r="C1353" s="53"/>
      <c r="D1353" s="53"/>
      <c r="E1353" s="53"/>
      <c r="F1353" s="94"/>
      <c r="G1353" s="96"/>
      <c r="H1353" s="51"/>
    </row>
    <row r="1354" spans="1:8" x14ac:dyDescent="0.25">
      <c r="A1354" s="52"/>
      <c r="B1354" s="93"/>
      <c r="C1354" s="53"/>
      <c r="D1354" s="53"/>
      <c r="E1354" s="53"/>
      <c r="F1354" s="94"/>
      <c r="G1354" s="96"/>
      <c r="H1354" s="51"/>
    </row>
    <row r="1355" spans="1:8" x14ac:dyDescent="0.25">
      <c r="A1355" s="52"/>
      <c r="B1355" s="93"/>
      <c r="C1355" s="53"/>
      <c r="D1355" s="53"/>
      <c r="E1355" s="53"/>
      <c r="F1355" s="94"/>
      <c r="G1355" s="96"/>
      <c r="H1355" s="51"/>
    </row>
    <row r="1356" spans="1:8" x14ac:dyDescent="0.25">
      <c r="A1356" s="52"/>
      <c r="B1356" s="93"/>
      <c r="C1356" s="53"/>
      <c r="D1356" s="53"/>
      <c r="E1356" s="53"/>
      <c r="F1356" s="94"/>
      <c r="G1356" s="96"/>
      <c r="H1356" s="51"/>
    </row>
    <row r="1357" spans="1:8" x14ac:dyDescent="0.25">
      <c r="A1357" s="52"/>
      <c r="B1357" s="93"/>
      <c r="C1357" s="53"/>
      <c r="D1357" s="53"/>
      <c r="E1357" s="53"/>
      <c r="F1357" s="94"/>
      <c r="G1357" s="96"/>
      <c r="H1357" s="51"/>
    </row>
    <row r="1358" spans="1:8" x14ac:dyDescent="0.25">
      <c r="A1358" s="52"/>
      <c r="B1358" s="93"/>
      <c r="C1358" s="53"/>
      <c r="D1358" s="53"/>
      <c r="E1358" s="53"/>
      <c r="F1358" s="94"/>
      <c r="G1358" s="96"/>
      <c r="H1358" s="51"/>
    </row>
    <row r="1359" spans="1:8" x14ac:dyDescent="0.25">
      <c r="A1359" s="52"/>
      <c r="B1359" s="93"/>
      <c r="C1359" s="53"/>
      <c r="D1359" s="53"/>
      <c r="E1359" s="53"/>
      <c r="F1359" s="94"/>
      <c r="G1359" s="96"/>
      <c r="H1359" s="51"/>
    </row>
    <row r="1360" spans="1:8" x14ac:dyDescent="0.25">
      <c r="A1360" s="52"/>
      <c r="B1360" s="93"/>
      <c r="C1360" s="53"/>
      <c r="D1360" s="53"/>
      <c r="E1360" s="53"/>
      <c r="F1360" s="94"/>
      <c r="G1360" s="96"/>
      <c r="H1360" s="51"/>
    </row>
    <row r="1361" spans="1:8" x14ac:dyDescent="0.25">
      <c r="A1361" s="52"/>
      <c r="B1361" s="93"/>
      <c r="C1361" s="53"/>
      <c r="D1361" s="53"/>
      <c r="E1361" s="53"/>
      <c r="F1361" s="94"/>
      <c r="G1361" s="96"/>
      <c r="H1361" s="51"/>
    </row>
    <row r="1362" spans="1:8" x14ac:dyDescent="0.25">
      <c r="A1362" s="52"/>
      <c r="B1362" s="93"/>
      <c r="C1362" s="53"/>
      <c r="D1362" s="53"/>
      <c r="E1362" s="53"/>
      <c r="F1362" s="94"/>
      <c r="G1362" s="96"/>
      <c r="H1362" s="51"/>
    </row>
    <row r="1363" spans="1:8" x14ac:dyDescent="0.25">
      <c r="A1363" s="52"/>
      <c r="B1363" s="93"/>
      <c r="C1363" s="53"/>
      <c r="D1363" s="53"/>
      <c r="E1363" s="53"/>
      <c r="F1363" s="94"/>
      <c r="G1363" s="96"/>
      <c r="H1363" s="51"/>
    </row>
    <row r="1364" spans="1:8" x14ac:dyDescent="0.25">
      <c r="A1364" s="52"/>
      <c r="B1364" s="93"/>
      <c r="C1364" s="53"/>
      <c r="D1364" s="53"/>
      <c r="E1364" s="53"/>
      <c r="F1364" s="94"/>
      <c r="G1364" s="96"/>
      <c r="H1364" s="51"/>
    </row>
    <row r="1365" spans="1:8" x14ac:dyDescent="0.25">
      <c r="A1365" s="52"/>
      <c r="B1365" s="93"/>
      <c r="C1365" s="53"/>
      <c r="D1365" s="53"/>
      <c r="E1365" s="53"/>
      <c r="F1365" s="94"/>
      <c r="G1365" s="96"/>
      <c r="H1365" s="51"/>
    </row>
    <row r="1366" spans="1:8" x14ac:dyDescent="0.25">
      <c r="A1366" s="52"/>
      <c r="B1366" s="93"/>
      <c r="C1366" s="53"/>
      <c r="D1366" s="53"/>
      <c r="E1366" s="53"/>
      <c r="F1366" s="94"/>
      <c r="G1366" s="96"/>
      <c r="H1366" s="51"/>
    </row>
    <row r="1367" spans="1:8" x14ac:dyDescent="0.25">
      <c r="A1367" s="52"/>
      <c r="B1367" s="93"/>
      <c r="C1367" s="53"/>
      <c r="D1367" s="53"/>
      <c r="E1367" s="53"/>
      <c r="F1367" s="94"/>
      <c r="G1367" s="96"/>
      <c r="H1367" s="51"/>
    </row>
    <row r="1368" spans="1:8" x14ac:dyDescent="0.25">
      <c r="A1368" s="52"/>
      <c r="B1368" s="93"/>
      <c r="C1368" s="53"/>
      <c r="D1368" s="53"/>
      <c r="E1368" s="53"/>
      <c r="F1368" s="94"/>
      <c r="G1368" s="96"/>
      <c r="H1368" s="51"/>
    </row>
    <row r="1369" spans="1:8" x14ac:dyDescent="0.25">
      <c r="A1369" s="52"/>
      <c r="B1369" s="93"/>
      <c r="C1369" s="53"/>
      <c r="D1369" s="53"/>
      <c r="E1369" s="53"/>
      <c r="F1369" s="53"/>
      <c r="G1369" s="53"/>
      <c r="H1369" s="51"/>
    </row>
    <row r="1370" spans="1:8" x14ac:dyDescent="0.25">
      <c r="A1370" s="52"/>
      <c r="B1370" s="93"/>
      <c r="C1370" s="53"/>
      <c r="D1370" s="53"/>
      <c r="E1370" s="53"/>
      <c r="F1370" s="53"/>
      <c r="G1370" s="53"/>
      <c r="H1370" s="51"/>
    </row>
    <row r="1371" spans="1:8" x14ac:dyDescent="0.25">
      <c r="A1371" s="52"/>
      <c r="B1371" s="93"/>
      <c r="C1371" s="53"/>
      <c r="D1371" s="53"/>
      <c r="E1371" s="53"/>
      <c r="F1371" s="53"/>
      <c r="G1371" s="53"/>
      <c r="H1371" s="51"/>
    </row>
    <row r="1372" spans="1:8" x14ac:dyDescent="0.25">
      <c r="A1372" s="52"/>
      <c r="B1372" s="53"/>
      <c r="C1372" s="53"/>
      <c r="D1372" s="53"/>
      <c r="E1372" s="53"/>
      <c r="F1372" s="53"/>
      <c r="G1372" s="53"/>
      <c r="H1372" s="51"/>
    </row>
    <row r="1373" spans="1:8" x14ac:dyDescent="0.25">
      <c r="A1373" s="45"/>
      <c r="B1373" s="45"/>
      <c r="C1373" s="45"/>
      <c r="D1373" s="45"/>
      <c r="E1373" s="45"/>
      <c r="F1373" s="45"/>
      <c r="G1373" s="45"/>
      <c r="H1373" s="45"/>
    </row>
    <row r="1374" spans="1:8" x14ac:dyDescent="0.25">
      <c r="A1374" s="100"/>
      <c r="B1374" s="100"/>
      <c r="C1374" s="100"/>
      <c r="D1374" s="100"/>
      <c r="E1374" s="100"/>
      <c r="F1374" s="100"/>
      <c r="G1374" s="100"/>
      <c r="H1374" s="100"/>
    </row>
    <row r="1375" spans="1:8" x14ac:dyDescent="0.25">
      <c r="A1375" s="44"/>
      <c r="B1375" s="45"/>
      <c r="C1375" s="45"/>
      <c r="D1375" s="45"/>
      <c r="E1375" s="45"/>
      <c r="F1375" s="45"/>
      <c r="G1375" s="45"/>
      <c r="H1375" s="46"/>
    </row>
    <row r="1376" spans="1:8" x14ac:dyDescent="0.25">
      <c r="A1376" s="147"/>
      <c r="B1376" s="53"/>
      <c r="C1376" s="53"/>
      <c r="D1376" s="53"/>
      <c r="E1376" s="53"/>
      <c r="F1376" s="53"/>
      <c r="G1376" s="53"/>
      <c r="H1376" s="51"/>
    </row>
    <row r="1377" spans="1:8" x14ac:dyDescent="0.25">
      <c r="A1377" s="47" t="s">
        <v>634</v>
      </c>
      <c r="B1377" s="48"/>
      <c r="C1377" s="49"/>
      <c r="D1377" s="122"/>
      <c r="E1377" s="49"/>
      <c r="F1377" s="50"/>
      <c r="G1377" s="50"/>
      <c r="H1377" s="133"/>
    </row>
    <row r="1378" spans="1:8" ht="16.5" thickBot="1" x14ac:dyDescent="0.3">
      <c r="A1378" s="52"/>
      <c r="B1378" s="53"/>
      <c r="C1378" s="53"/>
      <c r="D1378" s="53"/>
      <c r="E1378" s="53"/>
      <c r="F1378" s="65"/>
      <c r="G1378" s="54" t="s">
        <v>635</v>
      </c>
      <c r="H1378" s="51"/>
    </row>
    <row r="1379" spans="1:8" ht="16.5" thickBot="1" x14ac:dyDescent="0.3">
      <c r="A1379" s="400" t="s">
        <v>381</v>
      </c>
      <c r="B1379" s="401"/>
      <c r="C1379" s="402" t="s">
        <v>382</v>
      </c>
      <c r="D1379" s="401"/>
      <c r="E1379" s="55" t="s">
        <v>266</v>
      </c>
      <c r="F1379" s="65"/>
      <c r="G1379" s="54"/>
      <c r="H1379" s="51"/>
    </row>
    <row r="1380" spans="1:8" ht="16.5" thickBot="1" x14ac:dyDescent="0.3">
      <c r="A1380" s="403">
        <v>0</v>
      </c>
      <c r="B1380" s="404"/>
      <c r="C1380" s="403">
        <v>0</v>
      </c>
      <c r="D1380" s="404"/>
      <c r="E1380" s="56">
        <v>1</v>
      </c>
      <c r="F1380" s="65"/>
      <c r="G1380" s="53"/>
      <c r="H1380" s="51"/>
    </row>
    <row r="1381" spans="1:8" x14ac:dyDescent="0.25">
      <c r="A1381" s="52"/>
      <c r="B1381" s="58"/>
      <c r="C1381" s="58"/>
      <c r="D1381" s="58"/>
      <c r="E1381" s="58"/>
      <c r="F1381" s="58"/>
      <c r="G1381" s="53"/>
      <c r="H1381" s="83"/>
    </row>
    <row r="1382" spans="1:8" x14ac:dyDescent="0.25">
      <c r="A1382" s="59" t="s">
        <v>323</v>
      </c>
      <c r="B1382" s="59" t="s">
        <v>266</v>
      </c>
      <c r="C1382" s="59" t="s">
        <v>383</v>
      </c>
      <c r="D1382" s="59" t="s">
        <v>384</v>
      </c>
      <c r="E1382" s="59" t="s">
        <v>332</v>
      </c>
      <c r="F1382" s="59" t="s">
        <v>385</v>
      </c>
      <c r="G1382" s="59" t="s">
        <v>386</v>
      </c>
      <c r="H1382" s="59" t="s">
        <v>387</v>
      </c>
    </row>
    <row r="1383" spans="1:8" x14ac:dyDescent="0.25">
      <c r="A1383" s="134">
        <v>6901</v>
      </c>
      <c r="B1383" s="135">
        <f>1*E1380</f>
        <v>1</v>
      </c>
      <c r="C1383" s="135" t="s">
        <v>367</v>
      </c>
      <c r="D1383" s="61">
        <f>A1380-14</f>
        <v>-14</v>
      </c>
      <c r="E1383" s="135" t="s">
        <v>590</v>
      </c>
      <c r="F1383" s="136" t="s">
        <v>388</v>
      </c>
      <c r="G1383" s="63">
        <v>0.69199999999999995</v>
      </c>
      <c r="H1383" s="63">
        <f t="shared" ref="H1383:H1392" si="22">(D1383/1000)*B1383*G1383</f>
        <v>-9.6879999999999987E-3</v>
      </c>
    </row>
    <row r="1384" spans="1:8" x14ac:dyDescent="0.25">
      <c r="A1384" s="134">
        <v>6920</v>
      </c>
      <c r="B1384" s="135">
        <f>1*E1380</f>
        <v>1</v>
      </c>
      <c r="C1384" s="135" t="s">
        <v>367</v>
      </c>
      <c r="D1384" s="61">
        <f>A1380-14</f>
        <v>-14</v>
      </c>
      <c r="E1384" s="135" t="s">
        <v>590</v>
      </c>
      <c r="F1384" s="136" t="s">
        <v>636</v>
      </c>
      <c r="G1384" s="63">
        <v>1.0129999999999999</v>
      </c>
      <c r="H1384" s="63">
        <f t="shared" si="22"/>
        <v>-1.4181999999999998E-2</v>
      </c>
    </row>
    <row r="1385" spans="1:8" x14ac:dyDescent="0.25">
      <c r="A1385" s="134">
        <v>6903</v>
      </c>
      <c r="B1385" s="135">
        <f>2*E1380</f>
        <v>2</v>
      </c>
      <c r="C1385" s="135" t="s">
        <v>337</v>
      </c>
      <c r="D1385" s="61">
        <f>C1380</f>
        <v>0</v>
      </c>
      <c r="E1385" s="135" t="s">
        <v>590</v>
      </c>
      <c r="F1385" s="136" t="s">
        <v>83</v>
      </c>
      <c r="G1385" s="63">
        <v>0.55000000000000004</v>
      </c>
      <c r="H1385" s="63">
        <f t="shared" si="22"/>
        <v>0</v>
      </c>
    </row>
    <row r="1386" spans="1:8" x14ac:dyDescent="0.25">
      <c r="A1386" s="134">
        <v>6905</v>
      </c>
      <c r="B1386" s="135">
        <f>1*E1380</f>
        <v>1</v>
      </c>
      <c r="C1386" s="135" t="s">
        <v>637</v>
      </c>
      <c r="D1386" s="105">
        <f>C1380-54</f>
        <v>-54</v>
      </c>
      <c r="E1386" s="135" t="s">
        <v>590</v>
      </c>
      <c r="F1386" s="136" t="s">
        <v>391</v>
      </c>
      <c r="G1386" s="63">
        <v>0.54300000000000004</v>
      </c>
      <c r="H1386" s="63">
        <f t="shared" si="22"/>
        <v>-2.9322000000000001E-2</v>
      </c>
    </row>
    <row r="1387" spans="1:8" x14ac:dyDescent="0.25">
      <c r="A1387" s="134">
        <v>6906</v>
      </c>
      <c r="B1387" s="135">
        <f>1*E1380</f>
        <v>1</v>
      </c>
      <c r="C1387" s="135" t="s">
        <v>637</v>
      </c>
      <c r="D1387" s="61">
        <f>C1380-54</f>
        <v>-54</v>
      </c>
      <c r="E1387" s="135" t="s">
        <v>590</v>
      </c>
      <c r="F1387" s="136" t="s">
        <v>138</v>
      </c>
      <c r="G1387" s="63">
        <v>0.48</v>
      </c>
      <c r="H1387" s="63">
        <f t="shared" si="22"/>
        <v>-2.5919999999999999E-2</v>
      </c>
    </row>
    <row r="1388" spans="1:8" x14ac:dyDescent="0.25">
      <c r="A1388" s="134">
        <v>6905</v>
      </c>
      <c r="B1388" s="135">
        <f>1*E1380</f>
        <v>1</v>
      </c>
      <c r="C1388" s="135" t="s">
        <v>638</v>
      </c>
      <c r="D1388" s="61">
        <f>C1380-42</f>
        <v>-42</v>
      </c>
      <c r="E1388" s="135" t="s">
        <v>590</v>
      </c>
      <c r="F1388" s="136" t="s">
        <v>391</v>
      </c>
      <c r="G1388" s="63">
        <v>0.54300000000000004</v>
      </c>
      <c r="H1388" s="63">
        <f t="shared" si="22"/>
        <v>-2.2806000000000003E-2</v>
      </c>
    </row>
    <row r="1389" spans="1:8" x14ac:dyDescent="0.25">
      <c r="A1389" s="134">
        <v>6906</v>
      </c>
      <c r="B1389" s="135">
        <f>1*E1380</f>
        <v>1</v>
      </c>
      <c r="C1389" s="135" t="s">
        <v>638</v>
      </c>
      <c r="D1389" s="61">
        <f>C1380-42</f>
        <v>-42</v>
      </c>
      <c r="E1389" s="135" t="s">
        <v>590</v>
      </c>
      <c r="F1389" s="136" t="s">
        <v>138</v>
      </c>
      <c r="G1389" s="63">
        <v>0.48</v>
      </c>
      <c r="H1389" s="63">
        <f t="shared" si="22"/>
        <v>-2.0160000000000001E-2</v>
      </c>
    </row>
    <row r="1390" spans="1:8" x14ac:dyDescent="0.25">
      <c r="A1390" s="134">
        <v>6907</v>
      </c>
      <c r="B1390" s="135">
        <f>2*E1380</f>
        <v>2</v>
      </c>
      <c r="C1390" s="135" t="s">
        <v>389</v>
      </c>
      <c r="D1390" s="61">
        <f>A1380/2-13</f>
        <v>-13</v>
      </c>
      <c r="E1390" s="135" t="s">
        <v>590</v>
      </c>
      <c r="F1390" s="136" t="s">
        <v>324</v>
      </c>
      <c r="G1390" s="63">
        <v>0.437</v>
      </c>
      <c r="H1390" s="63">
        <f t="shared" si="22"/>
        <v>-1.1361999999999999E-2</v>
      </c>
    </row>
    <row r="1391" spans="1:8" x14ac:dyDescent="0.25">
      <c r="A1391" s="134">
        <v>6908</v>
      </c>
      <c r="B1391" s="135">
        <f>1*E1380</f>
        <v>1</v>
      </c>
      <c r="C1391" s="135" t="s">
        <v>389</v>
      </c>
      <c r="D1391" s="61">
        <f>A1380/2-13</f>
        <v>-13</v>
      </c>
      <c r="E1391" s="135" t="s">
        <v>590</v>
      </c>
      <c r="F1391" s="136" t="s">
        <v>341</v>
      </c>
      <c r="G1391" s="63">
        <v>0.54300000000000004</v>
      </c>
      <c r="H1391" s="63">
        <f t="shared" si="22"/>
        <v>-7.0590000000000002E-3</v>
      </c>
    </row>
    <row r="1392" spans="1:8" x14ac:dyDescent="0.25">
      <c r="A1392" s="134">
        <v>6944</v>
      </c>
      <c r="B1392" s="135">
        <f>1*E1380</f>
        <v>1</v>
      </c>
      <c r="C1392" s="135" t="s">
        <v>389</v>
      </c>
      <c r="D1392" s="61">
        <f>A1380/2-13</f>
        <v>-13</v>
      </c>
      <c r="E1392" s="135" t="s">
        <v>590</v>
      </c>
      <c r="F1392" s="136" t="s">
        <v>639</v>
      </c>
      <c r="G1392" s="63">
        <v>0.629</v>
      </c>
      <c r="H1392" s="63">
        <f t="shared" si="22"/>
        <v>-8.1770000000000002E-3</v>
      </c>
    </row>
    <row r="1393" spans="1:8" x14ac:dyDescent="0.25">
      <c r="A1393" s="64"/>
      <c r="B1393" s="65"/>
      <c r="C1393" s="65"/>
      <c r="D1393" s="65"/>
      <c r="E1393" s="65"/>
      <c r="F1393" s="65"/>
      <c r="G1393" s="63" t="s">
        <v>392</v>
      </c>
      <c r="H1393" s="63">
        <f>SUM(H1383:H1392)</f>
        <v>-0.148676</v>
      </c>
    </row>
    <row r="1394" spans="1:8" x14ac:dyDescent="0.25">
      <c r="A1394" s="64"/>
      <c r="B1394" s="65"/>
      <c r="C1394" s="65"/>
      <c r="D1394" s="65"/>
      <c r="E1394" s="65"/>
      <c r="F1394" s="65"/>
      <c r="G1394" s="66"/>
      <c r="H1394" s="67"/>
    </row>
    <row r="1395" spans="1:8" x14ac:dyDescent="0.25">
      <c r="A1395" s="64"/>
      <c r="B1395" s="65"/>
      <c r="C1395" s="65"/>
      <c r="D1395" s="65"/>
      <c r="E1395" s="65"/>
      <c r="F1395" s="65"/>
      <c r="G1395" s="68"/>
      <c r="H1395" s="67"/>
    </row>
    <row r="1396" spans="1:8" x14ac:dyDescent="0.25">
      <c r="A1396" s="69" t="s">
        <v>393</v>
      </c>
      <c r="B1396" s="70"/>
      <c r="C1396" s="70"/>
      <c r="D1396" s="71"/>
      <c r="E1396" s="59" t="s">
        <v>36</v>
      </c>
      <c r="F1396" s="59" t="s">
        <v>266</v>
      </c>
      <c r="G1396" s="52"/>
      <c r="H1396" s="72"/>
    </row>
    <row r="1397" spans="1:8" x14ac:dyDescent="0.25">
      <c r="A1397" s="139" t="s">
        <v>627</v>
      </c>
      <c r="B1397" s="74"/>
      <c r="C1397" s="70"/>
      <c r="D1397" s="71"/>
      <c r="E1397" s="114">
        <f>F1397*E1380</f>
        <v>2</v>
      </c>
      <c r="F1397" s="135">
        <v>2</v>
      </c>
      <c r="G1397" s="76"/>
      <c r="H1397" s="77"/>
    </row>
    <row r="1398" spans="1:8" x14ac:dyDescent="0.25">
      <c r="A1398" s="139" t="s">
        <v>640</v>
      </c>
      <c r="B1398" s="74"/>
      <c r="C1398" s="70"/>
      <c r="D1398" s="71"/>
      <c r="E1398" s="115">
        <f>F1398*E1380</f>
        <v>1</v>
      </c>
      <c r="F1398" s="135">
        <v>1</v>
      </c>
      <c r="G1398" s="76"/>
      <c r="H1398" s="77"/>
    </row>
    <row r="1399" spans="1:8" x14ac:dyDescent="0.25">
      <c r="A1399" s="139" t="s">
        <v>641</v>
      </c>
      <c r="B1399" s="74"/>
      <c r="C1399" s="70"/>
      <c r="D1399" s="71"/>
      <c r="E1399" s="115">
        <f>F1399*E1380</f>
        <v>1</v>
      </c>
      <c r="F1399" s="135">
        <v>1</v>
      </c>
      <c r="G1399" s="65"/>
      <c r="H1399" s="77"/>
    </row>
    <row r="1400" spans="1:8" x14ac:dyDescent="0.25">
      <c r="A1400" s="139" t="s">
        <v>605</v>
      </c>
      <c r="B1400" s="74"/>
      <c r="C1400" s="70"/>
      <c r="D1400" s="71"/>
      <c r="E1400" s="115">
        <f>4*(A1380/1000)+4*(C1380/1000)*E1380</f>
        <v>0</v>
      </c>
      <c r="F1400" s="135" t="s">
        <v>398</v>
      </c>
      <c r="G1400" s="64"/>
      <c r="H1400" s="77"/>
    </row>
    <row r="1401" spans="1:8" x14ac:dyDescent="0.25">
      <c r="A1401" s="139" t="s">
        <v>606</v>
      </c>
      <c r="B1401" s="74"/>
      <c r="C1401" s="70"/>
      <c r="D1401" s="71"/>
      <c r="E1401" s="115">
        <f>2*(C1380/1000)*E1380</f>
        <v>0</v>
      </c>
      <c r="F1401" s="135" t="s">
        <v>400</v>
      </c>
      <c r="G1401" s="64"/>
      <c r="H1401" s="77"/>
    </row>
    <row r="1402" spans="1:8" x14ac:dyDescent="0.25">
      <c r="A1402" s="139" t="s">
        <v>642</v>
      </c>
      <c r="B1402" s="74"/>
      <c r="C1402" s="70"/>
      <c r="D1402" s="71"/>
      <c r="E1402" s="115">
        <f>2*(A1380/1000)+4*(C1380/1000)*E1380</f>
        <v>0</v>
      </c>
      <c r="F1402" s="135" t="s">
        <v>402</v>
      </c>
      <c r="G1402" s="64"/>
      <c r="H1402" s="77"/>
    </row>
    <row r="1403" spans="1:8" x14ac:dyDescent="0.25">
      <c r="A1403" s="139" t="s">
        <v>643</v>
      </c>
      <c r="B1403" s="74"/>
      <c r="C1403" s="70"/>
      <c r="D1403" s="71"/>
      <c r="E1403" s="115">
        <f>F1403*E1380</f>
        <v>4</v>
      </c>
      <c r="F1403" s="135">
        <v>4</v>
      </c>
      <c r="G1403" s="64"/>
      <c r="H1403" s="77"/>
    </row>
    <row r="1404" spans="1:8" x14ac:dyDescent="0.25">
      <c r="A1404" s="139" t="s">
        <v>404</v>
      </c>
      <c r="B1404" s="74"/>
      <c r="C1404" s="70"/>
      <c r="D1404" s="71"/>
      <c r="E1404" s="115">
        <f>F1404*E1380</f>
        <v>4</v>
      </c>
      <c r="F1404" s="135">
        <v>4</v>
      </c>
      <c r="G1404" s="76"/>
      <c r="H1404" s="77"/>
    </row>
    <row r="1405" spans="1:8" x14ac:dyDescent="0.25">
      <c r="A1405" s="139" t="s">
        <v>405</v>
      </c>
      <c r="B1405" s="74"/>
      <c r="C1405" s="70"/>
      <c r="D1405" s="71"/>
      <c r="E1405" s="115">
        <f>F1405*E1380</f>
        <v>8</v>
      </c>
      <c r="F1405" s="135">
        <v>8</v>
      </c>
      <c r="G1405" s="76"/>
      <c r="H1405" s="77"/>
    </row>
    <row r="1406" spans="1:8" x14ac:dyDescent="0.25">
      <c r="A1406" s="139" t="s">
        <v>610</v>
      </c>
      <c r="B1406" s="74"/>
      <c r="C1406" s="70"/>
      <c r="D1406" s="71"/>
      <c r="E1406" s="115">
        <f>F1406*E1380</f>
        <v>2</v>
      </c>
      <c r="F1406" s="135">
        <v>2</v>
      </c>
      <c r="G1406" s="76"/>
      <c r="H1406" s="77"/>
    </row>
    <row r="1407" spans="1:8" x14ac:dyDescent="0.25">
      <c r="A1407" s="142" t="s">
        <v>631</v>
      </c>
      <c r="B1407" s="74"/>
      <c r="C1407" s="70"/>
      <c r="D1407" s="71"/>
      <c r="E1407" s="115">
        <f>F1407*E1380</f>
        <v>1</v>
      </c>
      <c r="F1407" s="135">
        <v>1</v>
      </c>
      <c r="G1407" s="76"/>
      <c r="H1407" s="77"/>
    </row>
    <row r="1408" spans="1:8" x14ac:dyDescent="0.25">
      <c r="A1408" s="139" t="s">
        <v>644</v>
      </c>
      <c r="B1408" s="74"/>
      <c r="C1408" s="70"/>
      <c r="D1408" s="71"/>
      <c r="E1408" s="115">
        <f>F1408*E1380</f>
        <v>1</v>
      </c>
      <c r="F1408" s="135">
        <v>1</v>
      </c>
      <c r="G1408" s="76"/>
      <c r="H1408" s="77"/>
    </row>
    <row r="1409" spans="1:8" x14ac:dyDescent="0.25">
      <c r="A1409" s="143" t="s">
        <v>409</v>
      </c>
      <c r="B1409" s="74"/>
      <c r="C1409" s="70"/>
      <c r="D1409" s="71"/>
      <c r="E1409" s="115">
        <f>F1409*E1380</f>
        <v>4</v>
      </c>
      <c r="F1409" s="135">
        <v>4</v>
      </c>
      <c r="G1409" s="76"/>
      <c r="H1409" s="77"/>
    </row>
    <row r="1410" spans="1:8" x14ac:dyDescent="0.25">
      <c r="A1410" s="139" t="s">
        <v>611</v>
      </c>
      <c r="B1410" s="74"/>
      <c r="C1410" s="70"/>
      <c r="D1410" s="71"/>
      <c r="E1410" s="115">
        <f>F1410*E1380</f>
        <v>16</v>
      </c>
      <c r="F1410" s="135">
        <v>16</v>
      </c>
      <c r="G1410" s="76"/>
      <c r="H1410" s="77"/>
    </row>
    <row r="1411" spans="1:8" x14ac:dyDescent="0.25">
      <c r="A1411" s="52"/>
      <c r="B1411" s="53"/>
      <c r="C1411" s="53"/>
      <c r="D1411" s="53"/>
      <c r="E1411" s="53"/>
      <c r="F1411" s="53"/>
      <c r="G1411" s="53"/>
      <c r="H1411" s="83"/>
    </row>
    <row r="1412" spans="1:8" x14ac:dyDescent="0.25">
      <c r="A1412" s="52"/>
      <c r="B1412" s="53"/>
      <c r="C1412" s="53"/>
      <c r="D1412" s="53"/>
      <c r="E1412" s="53"/>
      <c r="F1412" s="53"/>
      <c r="G1412" s="53"/>
      <c r="H1412" s="83"/>
    </row>
    <row r="1413" spans="1:8" x14ac:dyDescent="0.25">
      <c r="A1413" s="59" t="s">
        <v>413</v>
      </c>
      <c r="B1413" s="84" t="s">
        <v>266</v>
      </c>
      <c r="C1413" s="84" t="s">
        <v>383</v>
      </c>
      <c r="D1413" s="405" t="s">
        <v>414</v>
      </c>
      <c r="E1413" s="406"/>
      <c r="F1413" s="85" t="s">
        <v>415</v>
      </c>
      <c r="G1413" s="59" t="s">
        <v>416</v>
      </c>
      <c r="H1413" s="86"/>
    </row>
    <row r="1414" spans="1:8" x14ac:dyDescent="0.25">
      <c r="A1414" s="61"/>
      <c r="B1414" s="89">
        <f>2*E1380</f>
        <v>2</v>
      </c>
      <c r="C1414" s="61" t="s">
        <v>645</v>
      </c>
      <c r="D1414" s="407">
        <f>A1380/2-54</f>
        <v>-54</v>
      </c>
      <c r="E1414" s="408"/>
      <c r="F1414" s="90">
        <f>C1380-130</f>
        <v>-130</v>
      </c>
      <c r="G1414" s="91">
        <f>+(D1414/1000)*(F1414/1000)*B1414</f>
        <v>1.404E-2</v>
      </c>
      <c r="H1414" s="83"/>
    </row>
    <row r="1415" spans="1:8" x14ac:dyDescent="0.25">
      <c r="A1415" s="52"/>
      <c r="B1415" s="93"/>
      <c r="C1415" s="53"/>
      <c r="D1415" s="53"/>
      <c r="E1415" s="53"/>
      <c r="F1415" s="94" t="s">
        <v>418</v>
      </c>
      <c r="G1415" s="95">
        <f>SUM(G1414:G1414)</f>
        <v>1.404E-2</v>
      </c>
      <c r="H1415" s="51"/>
    </row>
    <row r="1416" spans="1:8" x14ac:dyDescent="0.25">
      <c r="A1416" s="52"/>
      <c r="B1416" s="93"/>
      <c r="C1416" s="53"/>
      <c r="D1416" s="53"/>
      <c r="E1416" s="53"/>
      <c r="F1416" s="94"/>
      <c r="G1416" s="96"/>
      <c r="H1416" s="51"/>
    </row>
    <row r="1417" spans="1:8" x14ac:dyDescent="0.25">
      <c r="A1417" s="52"/>
      <c r="B1417" s="93"/>
      <c r="C1417" s="53"/>
      <c r="D1417" s="53"/>
      <c r="E1417" s="53"/>
      <c r="F1417" s="94"/>
      <c r="G1417" s="96"/>
      <c r="H1417" s="51"/>
    </row>
    <row r="1418" spans="1:8" x14ac:dyDescent="0.25">
      <c r="A1418" s="52"/>
      <c r="B1418" s="93"/>
      <c r="C1418" s="53"/>
      <c r="D1418" s="53"/>
      <c r="E1418" s="53"/>
      <c r="F1418" s="94"/>
      <c r="G1418" s="96"/>
      <c r="H1418" s="51"/>
    </row>
    <row r="1419" spans="1:8" x14ac:dyDescent="0.25">
      <c r="A1419" s="52"/>
      <c r="B1419" s="93"/>
      <c r="C1419" s="53"/>
      <c r="D1419" s="53"/>
      <c r="E1419" s="53"/>
      <c r="F1419" s="94"/>
      <c r="G1419" s="96"/>
      <c r="H1419" s="51"/>
    </row>
    <row r="1420" spans="1:8" x14ac:dyDescent="0.25">
      <c r="A1420" s="52"/>
      <c r="B1420" s="93"/>
      <c r="C1420" s="53"/>
      <c r="D1420" s="53"/>
      <c r="E1420" s="53"/>
      <c r="F1420" s="94"/>
      <c r="G1420" s="96"/>
      <c r="H1420" s="51"/>
    </row>
    <row r="1421" spans="1:8" x14ac:dyDescent="0.25">
      <c r="A1421" s="52"/>
      <c r="B1421" s="93"/>
      <c r="C1421" s="53"/>
      <c r="D1421" s="53"/>
      <c r="E1421" s="53"/>
      <c r="F1421" s="94"/>
      <c r="G1421" s="96"/>
      <c r="H1421" s="51"/>
    </row>
    <row r="1422" spans="1:8" x14ac:dyDescent="0.25">
      <c r="A1422" s="52"/>
      <c r="B1422" s="93"/>
      <c r="C1422" s="53"/>
      <c r="D1422" s="53"/>
      <c r="E1422" s="53"/>
      <c r="F1422" s="94"/>
      <c r="G1422" s="96"/>
      <c r="H1422" s="51"/>
    </row>
    <row r="1423" spans="1:8" x14ac:dyDescent="0.25">
      <c r="A1423" s="52"/>
      <c r="B1423" s="93"/>
      <c r="C1423" s="53"/>
      <c r="D1423" s="53"/>
      <c r="E1423" s="53"/>
      <c r="F1423" s="94"/>
      <c r="G1423" s="96"/>
      <c r="H1423" s="51"/>
    </row>
    <row r="1424" spans="1:8" x14ac:dyDescent="0.25">
      <c r="A1424" s="52"/>
      <c r="B1424" s="93"/>
      <c r="C1424" s="53"/>
      <c r="D1424" s="53"/>
      <c r="E1424" s="53"/>
      <c r="F1424" s="94"/>
      <c r="G1424" s="96"/>
      <c r="H1424" s="51"/>
    </row>
    <row r="1425" spans="1:8" x14ac:dyDescent="0.25">
      <c r="A1425" s="52"/>
      <c r="B1425" s="93"/>
      <c r="C1425" s="53"/>
      <c r="D1425" s="53"/>
      <c r="E1425" s="53"/>
      <c r="F1425" s="94"/>
      <c r="G1425" s="96"/>
      <c r="H1425" s="51"/>
    </row>
    <row r="1426" spans="1:8" x14ac:dyDescent="0.25">
      <c r="A1426" s="52"/>
      <c r="B1426" s="93"/>
      <c r="C1426" s="53"/>
      <c r="D1426" s="53"/>
      <c r="E1426" s="53"/>
      <c r="F1426" s="94"/>
      <c r="G1426" s="96"/>
      <c r="H1426" s="51"/>
    </row>
    <row r="1427" spans="1:8" x14ac:dyDescent="0.25">
      <c r="A1427" s="52"/>
      <c r="B1427" s="93"/>
      <c r="C1427" s="53"/>
      <c r="D1427" s="53"/>
      <c r="E1427" s="53"/>
      <c r="F1427" s="94"/>
      <c r="G1427" s="96"/>
      <c r="H1427" s="51"/>
    </row>
    <row r="1428" spans="1:8" x14ac:dyDescent="0.25">
      <c r="A1428" s="52"/>
      <c r="B1428" s="93"/>
      <c r="C1428" s="53"/>
      <c r="D1428" s="53"/>
      <c r="E1428" s="53"/>
      <c r="F1428" s="94"/>
      <c r="G1428" s="96"/>
      <c r="H1428" s="51"/>
    </row>
    <row r="1429" spans="1:8" x14ac:dyDescent="0.25">
      <c r="A1429" s="52"/>
      <c r="B1429" s="93"/>
      <c r="C1429" s="53"/>
      <c r="D1429" s="53"/>
      <c r="E1429" s="53"/>
      <c r="F1429" s="94"/>
      <c r="G1429" s="96"/>
      <c r="H1429" s="51"/>
    </row>
    <row r="1430" spans="1:8" x14ac:dyDescent="0.25">
      <c r="A1430" s="52"/>
      <c r="B1430" s="93"/>
      <c r="C1430" s="53"/>
      <c r="D1430" s="53"/>
      <c r="E1430" s="53"/>
      <c r="F1430" s="94"/>
      <c r="G1430" s="96"/>
      <c r="H1430" s="51"/>
    </row>
    <row r="1431" spans="1:8" x14ac:dyDescent="0.25">
      <c r="A1431" s="52"/>
      <c r="B1431" s="93"/>
      <c r="C1431" s="53"/>
      <c r="D1431" s="53"/>
      <c r="E1431" s="53"/>
      <c r="F1431" s="94"/>
      <c r="G1431" s="96"/>
      <c r="H1431" s="51"/>
    </row>
    <row r="1432" spans="1:8" x14ac:dyDescent="0.25">
      <c r="A1432" s="52"/>
      <c r="B1432" s="93"/>
      <c r="C1432" s="53"/>
      <c r="D1432" s="53"/>
      <c r="E1432" s="53"/>
      <c r="F1432" s="94"/>
      <c r="G1432" s="96"/>
      <c r="H1432" s="51"/>
    </row>
    <row r="1433" spans="1:8" x14ac:dyDescent="0.25">
      <c r="A1433" s="52"/>
      <c r="B1433" s="93"/>
      <c r="C1433" s="53"/>
      <c r="D1433" s="53"/>
      <c r="E1433" s="53"/>
      <c r="F1433" s="94"/>
      <c r="G1433" s="96"/>
      <c r="H1433" s="51"/>
    </row>
    <row r="1434" spans="1:8" x14ac:dyDescent="0.25">
      <c r="A1434" s="52"/>
      <c r="B1434" s="93"/>
      <c r="C1434" s="53"/>
      <c r="D1434" s="53"/>
      <c r="E1434" s="53"/>
      <c r="F1434" s="94"/>
      <c r="G1434" s="96"/>
      <c r="H1434" s="51"/>
    </row>
    <row r="1435" spans="1:8" x14ac:dyDescent="0.25">
      <c r="A1435" s="45"/>
      <c r="B1435" s="150"/>
      <c r="C1435" s="45"/>
      <c r="D1435" s="45"/>
      <c r="E1435" s="45"/>
      <c r="F1435" s="45"/>
      <c r="G1435" s="45"/>
      <c r="H1435" s="45"/>
    </row>
    <row r="1436" spans="1:8" x14ac:dyDescent="0.25">
      <c r="A1436" s="100"/>
      <c r="B1436" s="100"/>
      <c r="C1436" s="100"/>
      <c r="D1436" s="100"/>
      <c r="E1436" s="100"/>
      <c r="F1436" s="100"/>
      <c r="G1436" s="100"/>
      <c r="H1436" s="100"/>
    </row>
    <row r="1437" spans="1:8" x14ac:dyDescent="0.25">
      <c r="A1437" s="44"/>
      <c r="B1437" s="45"/>
      <c r="C1437" s="45"/>
      <c r="D1437" s="45"/>
      <c r="E1437" s="45"/>
      <c r="F1437" s="45"/>
      <c r="G1437" s="45"/>
      <c r="H1437" s="46"/>
    </row>
    <row r="1438" spans="1:8" x14ac:dyDescent="0.25">
      <c r="A1438" s="147"/>
      <c r="B1438" s="53"/>
      <c r="C1438" s="53"/>
      <c r="D1438" s="53"/>
      <c r="E1438" s="53"/>
      <c r="F1438" s="53"/>
      <c r="G1438" s="53"/>
      <c r="H1438" s="51"/>
    </row>
    <row r="1439" spans="1:8" x14ac:dyDescent="0.25">
      <c r="A1439" s="47" t="s">
        <v>646</v>
      </c>
      <c r="B1439" s="48"/>
      <c r="C1439" s="49"/>
      <c r="D1439" s="122"/>
      <c r="E1439" s="49"/>
      <c r="F1439" s="50"/>
      <c r="G1439" s="50"/>
      <c r="H1439" s="133"/>
    </row>
    <row r="1440" spans="1:8" ht="16.5" thickBot="1" x14ac:dyDescent="0.3">
      <c r="A1440" s="52"/>
      <c r="B1440" s="53"/>
      <c r="C1440" s="53"/>
      <c r="D1440" s="53"/>
      <c r="E1440" s="53"/>
      <c r="F1440" s="65"/>
      <c r="G1440" s="54" t="s">
        <v>647</v>
      </c>
      <c r="H1440" s="51"/>
    </row>
    <row r="1441" spans="1:8" ht="16.5" thickBot="1" x14ac:dyDescent="0.3">
      <c r="A1441" s="400" t="s">
        <v>381</v>
      </c>
      <c r="B1441" s="401"/>
      <c r="C1441" s="402" t="s">
        <v>382</v>
      </c>
      <c r="D1441" s="401"/>
      <c r="E1441" s="55" t="s">
        <v>266</v>
      </c>
      <c r="F1441" s="65"/>
      <c r="G1441" s="54"/>
      <c r="H1441" s="51"/>
    </row>
    <row r="1442" spans="1:8" ht="16.5" thickBot="1" x14ac:dyDescent="0.3">
      <c r="A1442" s="403">
        <v>0</v>
      </c>
      <c r="B1442" s="404"/>
      <c r="C1442" s="403">
        <v>0</v>
      </c>
      <c r="D1442" s="404"/>
      <c r="E1442" s="56">
        <v>1</v>
      </c>
      <c r="F1442" s="65"/>
      <c r="G1442" s="53"/>
      <c r="H1442" s="51"/>
    </row>
    <row r="1443" spans="1:8" x14ac:dyDescent="0.25">
      <c r="A1443" s="52"/>
      <c r="B1443" s="58"/>
      <c r="C1443" s="58"/>
      <c r="D1443" s="58"/>
      <c r="E1443" s="58"/>
      <c r="F1443" s="58"/>
      <c r="G1443" s="53"/>
      <c r="H1443" s="83"/>
    </row>
    <row r="1444" spans="1:8" x14ac:dyDescent="0.25">
      <c r="A1444" s="59" t="s">
        <v>323</v>
      </c>
      <c r="B1444" s="59" t="s">
        <v>266</v>
      </c>
      <c r="C1444" s="59" t="s">
        <v>383</v>
      </c>
      <c r="D1444" s="59" t="s">
        <v>384</v>
      </c>
      <c r="E1444" s="59" t="s">
        <v>332</v>
      </c>
      <c r="F1444" s="59" t="s">
        <v>385</v>
      </c>
      <c r="G1444" s="59" t="s">
        <v>386</v>
      </c>
      <c r="H1444" s="59" t="s">
        <v>387</v>
      </c>
    </row>
    <row r="1445" spans="1:8" x14ac:dyDescent="0.25">
      <c r="A1445" s="134">
        <v>6901</v>
      </c>
      <c r="B1445" s="135">
        <f>1*E1442</f>
        <v>1</v>
      </c>
      <c r="C1445" s="135" t="s">
        <v>367</v>
      </c>
      <c r="D1445" s="61">
        <f>A1442-14</f>
        <v>-14</v>
      </c>
      <c r="E1445" s="135" t="s">
        <v>590</v>
      </c>
      <c r="F1445" s="136" t="s">
        <v>388</v>
      </c>
      <c r="G1445" s="63">
        <v>0.69199999999999995</v>
      </c>
      <c r="H1445" s="63">
        <f t="shared" ref="H1445:H1454" si="23">(D1445/1000)*B1445*G1445</f>
        <v>-9.6879999999999987E-3</v>
      </c>
    </row>
    <row r="1446" spans="1:8" x14ac:dyDescent="0.25">
      <c r="A1446" s="134">
        <v>6920</v>
      </c>
      <c r="B1446" s="135">
        <f>1*E1442</f>
        <v>1</v>
      </c>
      <c r="C1446" s="135" t="s">
        <v>367</v>
      </c>
      <c r="D1446" s="61">
        <f>A1442-14</f>
        <v>-14</v>
      </c>
      <c r="E1446" s="135" t="s">
        <v>590</v>
      </c>
      <c r="F1446" s="136" t="s">
        <v>636</v>
      </c>
      <c r="G1446" s="63">
        <v>1.0129999999999999</v>
      </c>
      <c r="H1446" s="63">
        <f t="shared" si="23"/>
        <v>-1.4181999999999998E-2</v>
      </c>
    </row>
    <row r="1447" spans="1:8" x14ac:dyDescent="0.25">
      <c r="A1447" s="134">
        <v>6903</v>
      </c>
      <c r="B1447" s="135">
        <f>2*E1442</f>
        <v>2</v>
      </c>
      <c r="C1447" s="135" t="s">
        <v>337</v>
      </c>
      <c r="D1447" s="61">
        <f>C1442</f>
        <v>0</v>
      </c>
      <c r="E1447" s="135" t="s">
        <v>590</v>
      </c>
      <c r="F1447" s="136" t="s">
        <v>83</v>
      </c>
      <c r="G1447" s="63">
        <v>0.55000000000000004</v>
      </c>
      <c r="H1447" s="63">
        <f t="shared" si="23"/>
        <v>0</v>
      </c>
    </row>
    <row r="1448" spans="1:8" x14ac:dyDescent="0.25">
      <c r="A1448" s="134">
        <v>6911</v>
      </c>
      <c r="B1448" s="135">
        <f>1*E1442</f>
        <v>1</v>
      </c>
      <c r="C1448" s="135" t="s">
        <v>648</v>
      </c>
      <c r="D1448" s="105">
        <f>C1442-53</f>
        <v>-53</v>
      </c>
      <c r="E1448" s="135" t="s">
        <v>590</v>
      </c>
      <c r="F1448" s="136" t="s">
        <v>600</v>
      </c>
      <c r="G1448" s="63">
        <v>0.86399999999999999</v>
      </c>
      <c r="H1448" s="63">
        <f t="shared" si="23"/>
        <v>-4.5791999999999999E-2</v>
      </c>
    </row>
    <row r="1449" spans="1:8" x14ac:dyDescent="0.25">
      <c r="A1449" s="134">
        <v>6912</v>
      </c>
      <c r="B1449" s="135">
        <f>1*E1442</f>
        <v>1</v>
      </c>
      <c r="C1449" s="135" t="s">
        <v>648</v>
      </c>
      <c r="D1449" s="61">
        <f>C1442-53</f>
        <v>-53</v>
      </c>
      <c r="E1449" s="135" t="s">
        <v>590</v>
      </c>
      <c r="F1449" s="136" t="s">
        <v>599</v>
      </c>
      <c r="G1449" s="63">
        <v>0.78900000000000003</v>
      </c>
      <c r="H1449" s="63">
        <f t="shared" si="23"/>
        <v>-4.1817E-2</v>
      </c>
    </row>
    <row r="1450" spans="1:8" x14ac:dyDescent="0.25">
      <c r="A1450" s="134">
        <v>6911</v>
      </c>
      <c r="B1450" s="135">
        <f>1*E1442</f>
        <v>1</v>
      </c>
      <c r="C1450" s="135" t="s">
        <v>649</v>
      </c>
      <c r="D1450" s="61">
        <f>C1442-41</f>
        <v>-41</v>
      </c>
      <c r="E1450" s="135" t="s">
        <v>590</v>
      </c>
      <c r="F1450" s="136" t="s">
        <v>600</v>
      </c>
      <c r="G1450" s="63">
        <v>0.86399999999999999</v>
      </c>
      <c r="H1450" s="63">
        <f t="shared" si="23"/>
        <v>-3.5424000000000004E-2</v>
      </c>
    </row>
    <row r="1451" spans="1:8" x14ac:dyDescent="0.25">
      <c r="A1451" s="134">
        <v>6912</v>
      </c>
      <c r="B1451" s="135">
        <f>1*E1442</f>
        <v>1</v>
      </c>
      <c r="C1451" s="135" t="s">
        <v>649</v>
      </c>
      <c r="D1451" s="61">
        <f>C1442-41</f>
        <v>-41</v>
      </c>
      <c r="E1451" s="135" t="s">
        <v>590</v>
      </c>
      <c r="F1451" s="136" t="s">
        <v>599</v>
      </c>
      <c r="G1451" s="63">
        <v>0.78900000000000003</v>
      </c>
      <c r="H1451" s="63">
        <f t="shared" si="23"/>
        <v>-3.2349000000000003E-2</v>
      </c>
    </row>
    <row r="1452" spans="1:8" x14ac:dyDescent="0.25">
      <c r="A1452" s="134">
        <v>6909</v>
      </c>
      <c r="B1452" s="135">
        <f>2*E1442</f>
        <v>2</v>
      </c>
      <c r="C1452" s="135" t="s">
        <v>389</v>
      </c>
      <c r="D1452" s="61">
        <f>A1442/2-13</f>
        <v>-13</v>
      </c>
      <c r="E1452" s="135" t="s">
        <v>590</v>
      </c>
      <c r="F1452" s="136" t="s">
        <v>650</v>
      </c>
      <c r="G1452" s="63">
        <v>0.52</v>
      </c>
      <c r="H1452" s="63">
        <f t="shared" si="23"/>
        <v>-1.3519999999999999E-2</v>
      </c>
    </row>
    <row r="1453" spans="1:8" x14ac:dyDescent="0.25">
      <c r="A1453" s="134">
        <v>6910</v>
      </c>
      <c r="B1453" s="135">
        <f>1*E1442</f>
        <v>1</v>
      </c>
      <c r="C1453" s="135" t="s">
        <v>389</v>
      </c>
      <c r="D1453" s="61">
        <f>A1442/2-13</f>
        <v>-13</v>
      </c>
      <c r="E1453" s="135" t="s">
        <v>590</v>
      </c>
      <c r="F1453" s="136" t="s">
        <v>651</v>
      </c>
      <c r="G1453" s="63">
        <v>0.56899999999999995</v>
      </c>
      <c r="H1453" s="63">
        <f t="shared" si="23"/>
        <v>-7.3969999999999991E-3</v>
      </c>
    </row>
    <row r="1454" spans="1:8" x14ac:dyDescent="0.25">
      <c r="A1454" s="134">
        <v>6945</v>
      </c>
      <c r="B1454" s="135">
        <f>1*E1442</f>
        <v>1</v>
      </c>
      <c r="C1454" s="135" t="s">
        <v>389</v>
      </c>
      <c r="D1454" s="61">
        <f>A1442/2-13</f>
        <v>-13</v>
      </c>
      <c r="E1454" s="135" t="s">
        <v>590</v>
      </c>
      <c r="F1454" s="136" t="s">
        <v>639</v>
      </c>
      <c r="G1454" s="63">
        <v>0.65400000000000003</v>
      </c>
      <c r="H1454" s="63">
        <f t="shared" si="23"/>
        <v>-8.5019999999999991E-3</v>
      </c>
    </row>
    <row r="1455" spans="1:8" x14ac:dyDescent="0.25">
      <c r="A1455" s="64"/>
      <c r="B1455" s="65"/>
      <c r="C1455" s="65"/>
      <c r="D1455" s="65"/>
      <c r="E1455" s="65"/>
      <c r="F1455" s="65"/>
      <c r="G1455" s="63" t="s">
        <v>392</v>
      </c>
      <c r="H1455" s="63">
        <f>SUM(H1445:H1454)</f>
        <v>-0.20867100000000002</v>
      </c>
    </row>
    <row r="1456" spans="1:8" x14ac:dyDescent="0.25">
      <c r="A1456" s="64"/>
      <c r="B1456" s="65"/>
      <c r="C1456" s="65"/>
      <c r="D1456" s="65"/>
      <c r="E1456" s="65"/>
      <c r="F1456" s="65"/>
      <c r="G1456" s="66"/>
      <c r="H1456" s="67"/>
    </row>
    <row r="1457" spans="1:8" x14ac:dyDescent="0.25">
      <c r="A1457" s="64"/>
      <c r="B1457" s="65"/>
      <c r="C1457" s="65"/>
      <c r="D1457" s="65"/>
      <c r="E1457" s="65"/>
      <c r="F1457" s="65"/>
      <c r="G1457" s="68"/>
      <c r="H1457" s="67"/>
    </row>
    <row r="1458" spans="1:8" x14ac:dyDescent="0.25">
      <c r="A1458" s="69" t="s">
        <v>393</v>
      </c>
      <c r="B1458" s="70"/>
      <c r="C1458" s="70"/>
      <c r="D1458" s="71"/>
      <c r="E1458" s="59" t="s">
        <v>36</v>
      </c>
      <c r="F1458" s="59" t="s">
        <v>266</v>
      </c>
      <c r="G1458" s="52"/>
      <c r="H1458" s="72"/>
    </row>
    <row r="1459" spans="1:8" x14ac:dyDescent="0.25">
      <c r="A1459" s="139" t="s">
        <v>652</v>
      </c>
      <c r="B1459" s="74"/>
      <c r="C1459" s="70"/>
      <c r="D1459" s="71"/>
      <c r="E1459" s="114">
        <f>F1459*E1442</f>
        <v>2</v>
      </c>
      <c r="F1459" s="135">
        <v>2</v>
      </c>
      <c r="G1459" s="76"/>
      <c r="H1459" s="77"/>
    </row>
    <row r="1460" spans="1:8" x14ac:dyDescent="0.25">
      <c r="A1460" s="139" t="s">
        <v>640</v>
      </c>
      <c r="B1460" s="74"/>
      <c r="C1460" s="70"/>
      <c r="D1460" s="71"/>
      <c r="E1460" s="115">
        <f>F1460*E1442</f>
        <v>1</v>
      </c>
      <c r="F1460" s="135">
        <v>1</v>
      </c>
      <c r="G1460" s="76"/>
      <c r="H1460" s="77"/>
    </row>
    <row r="1461" spans="1:8" x14ac:dyDescent="0.25">
      <c r="A1461" s="139" t="s">
        <v>641</v>
      </c>
      <c r="B1461" s="74"/>
      <c r="C1461" s="70"/>
      <c r="D1461" s="71"/>
      <c r="E1461" s="115">
        <f>F1461*E1442</f>
        <v>1</v>
      </c>
      <c r="F1461" s="135">
        <v>1</v>
      </c>
      <c r="G1461" s="65"/>
      <c r="H1461" s="77"/>
    </row>
    <row r="1462" spans="1:8" x14ac:dyDescent="0.25">
      <c r="A1462" s="139" t="s">
        <v>606</v>
      </c>
      <c r="B1462" s="74"/>
      <c r="C1462" s="70"/>
      <c r="D1462" s="71"/>
      <c r="E1462" s="115">
        <f>4*(A1442/1000)+6*(D1443/1000)*E1442</f>
        <v>0</v>
      </c>
      <c r="F1462" s="135" t="s">
        <v>472</v>
      </c>
      <c r="G1462" s="64"/>
      <c r="H1462" s="77"/>
    </row>
    <row r="1463" spans="1:8" x14ac:dyDescent="0.25">
      <c r="A1463" s="139" t="s">
        <v>653</v>
      </c>
      <c r="B1463" s="74"/>
      <c r="C1463" s="70"/>
      <c r="D1463" s="71"/>
      <c r="E1463" s="115">
        <f>2*(A1442/1000)+4*(C1442/1000)*E1442</f>
        <v>0</v>
      </c>
      <c r="F1463" s="135" t="s">
        <v>402</v>
      </c>
      <c r="G1463" s="64"/>
      <c r="H1463" s="77"/>
    </row>
    <row r="1464" spans="1:8" x14ac:dyDescent="0.25">
      <c r="A1464" s="139" t="s">
        <v>621</v>
      </c>
      <c r="B1464" s="74"/>
      <c r="C1464" s="70"/>
      <c r="D1464" s="71"/>
      <c r="E1464" s="115">
        <f>F1464*E1442</f>
        <v>4</v>
      </c>
      <c r="F1464" s="135">
        <v>4</v>
      </c>
      <c r="G1464" s="64"/>
      <c r="H1464" s="77"/>
    </row>
    <row r="1465" spans="1:8" x14ac:dyDescent="0.25">
      <c r="A1465" s="139" t="s">
        <v>404</v>
      </c>
      <c r="B1465" s="74"/>
      <c r="C1465" s="70"/>
      <c r="D1465" s="71"/>
      <c r="E1465" s="115">
        <f>F1465*E1442</f>
        <v>4</v>
      </c>
      <c r="F1465" s="135">
        <v>4</v>
      </c>
      <c r="G1465" s="64"/>
      <c r="H1465" s="77"/>
    </row>
    <row r="1466" spans="1:8" x14ac:dyDescent="0.25">
      <c r="A1466" s="139" t="s">
        <v>405</v>
      </c>
      <c r="B1466" s="74"/>
      <c r="C1466" s="70"/>
      <c r="D1466" s="71"/>
      <c r="E1466" s="115">
        <f>F1466*E1442</f>
        <v>8</v>
      </c>
      <c r="F1466" s="135">
        <v>8</v>
      </c>
      <c r="G1466" s="76"/>
      <c r="H1466" s="77"/>
    </row>
    <row r="1467" spans="1:8" x14ac:dyDescent="0.25">
      <c r="A1467" s="139" t="s">
        <v>610</v>
      </c>
      <c r="B1467" s="74"/>
      <c r="C1467" s="70"/>
      <c r="D1467" s="71"/>
      <c r="E1467" s="115">
        <f>F1467*E1442</f>
        <v>1</v>
      </c>
      <c r="F1467" s="135">
        <v>1</v>
      </c>
      <c r="G1467" s="76"/>
      <c r="H1467" s="77"/>
    </row>
    <row r="1468" spans="1:8" x14ac:dyDescent="0.25">
      <c r="A1468" s="139" t="s">
        <v>654</v>
      </c>
      <c r="B1468" s="74"/>
      <c r="C1468" s="70"/>
      <c r="D1468" s="71"/>
      <c r="E1468" s="115">
        <f>F1468*E1442</f>
        <v>1</v>
      </c>
      <c r="F1468" s="135">
        <v>1</v>
      </c>
      <c r="G1468" s="76"/>
      <c r="H1468" s="77"/>
    </row>
    <row r="1469" spans="1:8" x14ac:dyDescent="0.25">
      <c r="A1469" s="142" t="s">
        <v>631</v>
      </c>
      <c r="B1469" s="74"/>
      <c r="C1469" s="70"/>
      <c r="D1469" s="71"/>
      <c r="E1469" s="115">
        <f>F1469*E1442</f>
        <v>1</v>
      </c>
      <c r="F1469" s="135">
        <v>1</v>
      </c>
      <c r="G1469" s="76"/>
      <c r="H1469" s="77"/>
    </row>
    <row r="1470" spans="1:8" x14ac:dyDescent="0.25">
      <c r="A1470" s="139" t="s">
        <v>644</v>
      </c>
      <c r="B1470" s="74"/>
      <c r="C1470" s="70"/>
      <c r="D1470" s="71"/>
      <c r="E1470" s="115">
        <f>F1470*E1442</f>
        <v>1</v>
      </c>
      <c r="F1470" s="135">
        <v>1</v>
      </c>
      <c r="G1470" s="76"/>
      <c r="H1470" s="77"/>
    </row>
    <row r="1471" spans="1:8" x14ac:dyDescent="0.25">
      <c r="A1471" s="139" t="s">
        <v>655</v>
      </c>
      <c r="B1471" s="74"/>
      <c r="C1471" s="70"/>
      <c r="D1471" s="71"/>
      <c r="E1471" s="115">
        <f>F1471*E1442</f>
        <v>4</v>
      </c>
      <c r="F1471" s="135">
        <v>4</v>
      </c>
      <c r="G1471" s="76"/>
      <c r="H1471" s="77"/>
    </row>
    <row r="1472" spans="1:8" x14ac:dyDescent="0.25">
      <c r="A1472" s="139" t="s">
        <v>656</v>
      </c>
      <c r="B1472" s="74"/>
      <c r="C1472" s="70"/>
      <c r="D1472" s="71"/>
      <c r="E1472" s="115">
        <f>F1472*E1442</f>
        <v>4</v>
      </c>
      <c r="F1472" s="135">
        <v>4</v>
      </c>
      <c r="G1472" s="76"/>
      <c r="H1472" s="77"/>
    </row>
    <row r="1473" spans="1:8" x14ac:dyDescent="0.25">
      <c r="A1473" s="142" t="s">
        <v>657</v>
      </c>
      <c r="B1473" s="74"/>
      <c r="C1473" s="70"/>
      <c r="D1473" s="71"/>
      <c r="E1473" s="115">
        <f>F1473*E1442</f>
        <v>4</v>
      </c>
      <c r="F1473" s="135">
        <v>4</v>
      </c>
      <c r="G1473" s="76"/>
      <c r="H1473" s="77"/>
    </row>
    <row r="1474" spans="1:8" x14ac:dyDescent="0.25">
      <c r="A1474" s="139" t="s">
        <v>611</v>
      </c>
      <c r="B1474" s="74"/>
      <c r="C1474" s="70"/>
      <c r="D1474" s="71"/>
      <c r="E1474" s="115">
        <f>F1474*E1442</f>
        <v>16</v>
      </c>
      <c r="F1474" s="135">
        <v>16</v>
      </c>
      <c r="G1474" s="76"/>
      <c r="H1474" s="77"/>
    </row>
    <row r="1475" spans="1:8" x14ac:dyDescent="0.25">
      <c r="A1475" s="52"/>
      <c r="B1475" s="53"/>
      <c r="C1475" s="53"/>
      <c r="D1475" s="53"/>
      <c r="E1475" s="53"/>
      <c r="F1475" s="53"/>
      <c r="G1475" s="53"/>
      <c r="H1475" s="83"/>
    </row>
    <row r="1476" spans="1:8" x14ac:dyDescent="0.25">
      <c r="A1476" s="52"/>
      <c r="B1476" s="53"/>
      <c r="C1476" s="53"/>
      <c r="D1476" s="53"/>
      <c r="E1476" s="53"/>
      <c r="F1476" s="53"/>
      <c r="G1476" s="53"/>
      <c r="H1476" s="83"/>
    </row>
    <row r="1477" spans="1:8" x14ac:dyDescent="0.25">
      <c r="A1477" s="59" t="s">
        <v>413</v>
      </c>
      <c r="B1477" s="84" t="s">
        <v>266</v>
      </c>
      <c r="C1477" s="84" t="s">
        <v>383</v>
      </c>
      <c r="D1477" s="405" t="s">
        <v>414</v>
      </c>
      <c r="E1477" s="406"/>
      <c r="F1477" s="85" t="s">
        <v>415</v>
      </c>
      <c r="G1477" s="59" t="s">
        <v>416</v>
      </c>
      <c r="H1477" s="86"/>
    </row>
    <row r="1478" spans="1:8" x14ac:dyDescent="0.25">
      <c r="A1478" s="61"/>
      <c r="B1478" s="89">
        <f>2*E1442</f>
        <v>2</v>
      </c>
      <c r="C1478" s="61" t="s">
        <v>658</v>
      </c>
      <c r="D1478" s="407">
        <f>A1442/2-66</f>
        <v>-66</v>
      </c>
      <c r="E1478" s="408"/>
      <c r="F1478" s="90">
        <f>C1442-131</f>
        <v>-131</v>
      </c>
      <c r="G1478" s="91">
        <f>+(D1478/1000)*(F1478/1000)*B1478</f>
        <v>1.7292000000000002E-2</v>
      </c>
      <c r="H1478" s="83"/>
    </row>
    <row r="1479" spans="1:8" x14ac:dyDescent="0.25">
      <c r="A1479" s="52"/>
      <c r="B1479" s="93"/>
      <c r="C1479" s="53"/>
      <c r="D1479" s="53"/>
      <c r="E1479" s="53"/>
      <c r="F1479" s="94" t="s">
        <v>418</v>
      </c>
      <c r="G1479" s="95">
        <f>SUM(G1478:G1478)</f>
        <v>1.7292000000000002E-2</v>
      </c>
      <c r="H1479" s="51"/>
    </row>
    <row r="1480" spans="1:8" x14ac:dyDescent="0.25">
      <c r="A1480" s="52"/>
      <c r="B1480" s="93"/>
      <c r="C1480" s="53"/>
      <c r="D1480" s="53"/>
      <c r="E1480" s="53"/>
      <c r="F1480" s="94"/>
      <c r="G1480" s="96"/>
      <c r="H1480" s="51"/>
    </row>
    <row r="1481" spans="1:8" x14ac:dyDescent="0.25">
      <c r="A1481" s="52"/>
      <c r="B1481" s="93"/>
      <c r="C1481" s="53"/>
      <c r="D1481" s="53"/>
      <c r="E1481" s="53"/>
      <c r="F1481" s="94"/>
      <c r="G1481" s="96"/>
      <c r="H1481" s="51"/>
    </row>
    <row r="1482" spans="1:8" x14ac:dyDescent="0.25">
      <c r="A1482" s="52"/>
      <c r="B1482" s="93"/>
      <c r="C1482" s="53"/>
      <c r="D1482" s="53"/>
      <c r="E1482" s="53"/>
      <c r="F1482" s="94"/>
      <c r="G1482" s="96"/>
      <c r="H1482" s="51"/>
    </row>
    <row r="1483" spans="1:8" x14ac:dyDescent="0.25">
      <c r="A1483" s="52"/>
      <c r="B1483" s="93"/>
      <c r="C1483" s="53"/>
      <c r="D1483" s="53"/>
      <c r="E1483" s="53"/>
      <c r="F1483" s="94"/>
      <c r="G1483" s="96"/>
      <c r="H1483" s="51"/>
    </row>
    <row r="1484" spans="1:8" x14ac:dyDescent="0.25">
      <c r="A1484" s="52"/>
      <c r="B1484" s="93"/>
      <c r="C1484" s="53"/>
      <c r="D1484" s="53"/>
      <c r="E1484" s="53"/>
      <c r="F1484" s="94"/>
      <c r="G1484" s="96"/>
      <c r="H1484" s="51"/>
    </row>
    <row r="1485" spans="1:8" x14ac:dyDescent="0.25">
      <c r="A1485" s="52"/>
      <c r="B1485" s="93"/>
      <c r="C1485" s="53"/>
      <c r="D1485" s="53"/>
      <c r="E1485" s="53"/>
      <c r="F1485" s="94"/>
      <c r="G1485" s="96"/>
      <c r="H1485" s="51"/>
    </row>
    <row r="1486" spans="1:8" x14ac:dyDescent="0.25">
      <c r="A1486" s="52"/>
      <c r="B1486" s="93"/>
      <c r="C1486" s="53"/>
      <c r="D1486" s="53"/>
      <c r="E1486" s="53"/>
      <c r="F1486" s="94"/>
      <c r="G1486" s="96"/>
      <c r="H1486" s="51"/>
    </row>
    <row r="1487" spans="1:8" x14ac:dyDescent="0.25">
      <c r="A1487" s="52"/>
      <c r="B1487" s="93"/>
      <c r="C1487" s="53"/>
      <c r="D1487" s="53"/>
      <c r="E1487" s="53"/>
      <c r="F1487" s="94"/>
      <c r="G1487" s="96"/>
      <c r="H1487" s="51"/>
    </row>
    <row r="1488" spans="1:8" x14ac:dyDescent="0.25">
      <c r="A1488" s="52"/>
      <c r="B1488" s="93"/>
      <c r="C1488" s="53"/>
      <c r="D1488" s="53"/>
      <c r="E1488" s="53"/>
      <c r="F1488" s="94"/>
      <c r="G1488" s="96"/>
      <c r="H1488" s="51"/>
    </row>
    <row r="1489" spans="1:8" x14ac:dyDescent="0.25">
      <c r="A1489" s="52"/>
      <c r="B1489" s="93"/>
      <c r="C1489" s="53"/>
      <c r="D1489" s="53"/>
      <c r="E1489" s="53"/>
      <c r="F1489" s="94"/>
      <c r="G1489" s="96"/>
      <c r="H1489" s="51"/>
    </row>
    <row r="1490" spans="1:8" x14ac:dyDescent="0.25">
      <c r="A1490" s="52"/>
      <c r="B1490" s="93"/>
      <c r="C1490" s="53"/>
      <c r="D1490" s="53"/>
      <c r="E1490" s="53"/>
      <c r="F1490" s="94"/>
      <c r="G1490" s="96"/>
      <c r="H1490" s="51"/>
    </row>
    <row r="1491" spans="1:8" x14ac:dyDescent="0.25">
      <c r="A1491" s="52"/>
      <c r="B1491" s="93"/>
      <c r="C1491" s="53"/>
      <c r="D1491" s="53"/>
      <c r="E1491" s="53"/>
      <c r="F1491" s="94"/>
      <c r="G1491" s="96"/>
      <c r="H1491" s="51"/>
    </row>
    <row r="1492" spans="1:8" x14ac:dyDescent="0.25">
      <c r="A1492" s="52"/>
      <c r="B1492" s="93"/>
      <c r="C1492" s="53"/>
      <c r="D1492" s="53"/>
      <c r="E1492" s="53"/>
      <c r="F1492" s="94"/>
      <c r="G1492" s="96"/>
      <c r="H1492" s="51"/>
    </row>
    <row r="1493" spans="1:8" x14ac:dyDescent="0.25">
      <c r="A1493" s="52"/>
      <c r="B1493" s="93"/>
      <c r="C1493" s="53"/>
      <c r="D1493" s="53"/>
      <c r="E1493" s="53"/>
      <c r="F1493" s="94"/>
      <c r="G1493" s="96"/>
      <c r="H1493" s="51"/>
    </row>
    <row r="1494" spans="1:8" x14ac:dyDescent="0.25">
      <c r="A1494" s="52"/>
      <c r="B1494" s="93"/>
      <c r="C1494" s="53"/>
      <c r="D1494" s="53"/>
      <c r="E1494" s="53"/>
      <c r="F1494" s="94"/>
      <c r="G1494" s="96"/>
      <c r="H1494" s="51"/>
    </row>
    <row r="1495" spans="1:8" x14ac:dyDescent="0.25">
      <c r="A1495" s="52"/>
      <c r="B1495" s="93"/>
      <c r="C1495" s="53"/>
      <c r="D1495" s="53"/>
      <c r="E1495" s="53"/>
      <c r="F1495" s="94"/>
      <c r="G1495" s="96"/>
      <c r="H1495" s="51"/>
    </row>
    <row r="1496" spans="1:8" x14ac:dyDescent="0.25">
      <c r="A1496" s="52"/>
      <c r="B1496" s="93"/>
      <c r="C1496" s="53"/>
      <c r="D1496" s="53"/>
      <c r="E1496" s="53"/>
      <c r="F1496" s="94"/>
      <c r="G1496" s="96"/>
      <c r="H1496" s="51"/>
    </row>
    <row r="1497" spans="1:8" x14ac:dyDescent="0.25">
      <c r="A1497" s="45"/>
      <c r="B1497" s="150"/>
      <c r="C1497" s="45"/>
      <c r="D1497" s="45"/>
      <c r="E1497" s="45"/>
      <c r="F1497" s="45"/>
      <c r="G1497" s="45"/>
      <c r="H1497" s="45"/>
    </row>
    <row r="1498" spans="1:8" x14ac:dyDescent="0.25">
      <c r="A1498" s="100"/>
      <c r="B1498" s="100"/>
      <c r="C1498" s="100"/>
      <c r="D1498" s="100"/>
      <c r="E1498" s="100"/>
      <c r="F1498" s="100"/>
      <c r="G1498" s="100"/>
      <c r="H1498" s="100"/>
    </row>
    <row r="1499" spans="1:8" x14ac:dyDescent="0.25">
      <c r="A1499" s="44"/>
      <c r="B1499" s="45"/>
      <c r="C1499" s="45"/>
      <c r="D1499" s="45"/>
      <c r="E1499" s="45"/>
      <c r="F1499" s="45"/>
      <c r="G1499" s="45"/>
      <c r="H1499" s="46"/>
    </row>
    <row r="1500" spans="1:8" x14ac:dyDescent="0.25">
      <c r="A1500" s="147"/>
      <c r="B1500" s="53"/>
      <c r="C1500" s="53"/>
      <c r="D1500" s="53"/>
      <c r="E1500" s="53"/>
      <c r="F1500" s="53"/>
      <c r="G1500" s="53"/>
      <c r="H1500" s="51"/>
    </row>
    <row r="1501" spans="1:8" x14ac:dyDescent="0.25">
      <c r="A1501" s="47" t="s">
        <v>659</v>
      </c>
      <c r="B1501" s="48"/>
      <c r="C1501" s="49"/>
      <c r="D1501" s="122"/>
      <c r="E1501" s="49"/>
      <c r="F1501" s="50"/>
      <c r="G1501" s="50"/>
      <c r="H1501" s="133"/>
    </row>
    <row r="1502" spans="1:8" ht="16.5" thickBot="1" x14ac:dyDescent="0.3">
      <c r="A1502" s="52"/>
      <c r="B1502" s="53"/>
      <c r="C1502" s="53"/>
      <c r="D1502" s="53"/>
      <c r="E1502" s="53"/>
      <c r="F1502" s="65"/>
      <c r="G1502" s="54" t="s">
        <v>660</v>
      </c>
      <c r="H1502" s="51"/>
    </row>
    <row r="1503" spans="1:8" ht="16.5" thickBot="1" x14ac:dyDescent="0.3">
      <c r="A1503" s="400" t="s">
        <v>381</v>
      </c>
      <c r="B1503" s="401"/>
      <c r="C1503" s="402" t="s">
        <v>382</v>
      </c>
      <c r="D1503" s="401"/>
      <c r="E1503" s="55" t="s">
        <v>266</v>
      </c>
      <c r="F1503" s="65"/>
      <c r="G1503" s="54"/>
      <c r="H1503" s="51"/>
    </row>
    <row r="1504" spans="1:8" ht="16.5" thickBot="1" x14ac:dyDescent="0.3">
      <c r="A1504" s="403">
        <v>0</v>
      </c>
      <c r="B1504" s="404"/>
      <c r="C1504" s="403">
        <v>0</v>
      </c>
      <c r="D1504" s="404"/>
      <c r="E1504" s="56">
        <v>1</v>
      </c>
      <c r="F1504" s="65"/>
      <c r="G1504" s="53"/>
      <c r="H1504" s="51"/>
    </row>
    <row r="1505" spans="1:8" x14ac:dyDescent="0.25">
      <c r="A1505" s="52"/>
      <c r="B1505" s="58"/>
      <c r="C1505" s="58"/>
      <c r="D1505" s="58"/>
      <c r="E1505" s="58"/>
      <c r="F1505" s="58"/>
      <c r="G1505" s="53"/>
      <c r="H1505" s="83"/>
    </row>
    <row r="1506" spans="1:8" x14ac:dyDescent="0.25">
      <c r="A1506" s="59" t="s">
        <v>323</v>
      </c>
      <c r="B1506" s="59" t="s">
        <v>266</v>
      </c>
      <c r="C1506" s="59" t="s">
        <v>383</v>
      </c>
      <c r="D1506" s="59" t="s">
        <v>384</v>
      </c>
      <c r="E1506" s="59" t="s">
        <v>332</v>
      </c>
      <c r="F1506" s="59" t="s">
        <v>385</v>
      </c>
      <c r="G1506" s="59" t="s">
        <v>386</v>
      </c>
      <c r="H1506" s="59" t="s">
        <v>387</v>
      </c>
    </row>
    <row r="1507" spans="1:8" x14ac:dyDescent="0.25">
      <c r="A1507" s="134">
        <v>6901</v>
      </c>
      <c r="B1507" s="135">
        <f>1*E1504</f>
        <v>1</v>
      </c>
      <c r="C1507" s="135" t="s">
        <v>367</v>
      </c>
      <c r="D1507" s="61">
        <f>A1504-14</f>
        <v>-14</v>
      </c>
      <c r="E1507" s="135" t="s">
        <v>590</v>
      </c>
      <c r="F1507" s="136" t="s">
        <v>388</v>
      </c>
      <c r="G1507" s="63">
        <v>0.69199999999999995</v>
      </c>
      <c r="H1507" s="63">
        <f t="shared" ref="H1507:H1515" si="24">(D1507/1000)*B1507*G1507</f>
        <v>-9.6879999999999987E-3</v>
      </c>
    </row>
    <row r="1508" spans="1:8" x14ac:dyDescent="0.25">
      <c r="A1508" s="134">
        <v>6920</v>
      </c>
      <c r="B1508" s="135">
        <f>1*E1504</f>
        <v>1</v>
      </c>
      <c r="C1508" s="135" t="s">
        <v>367</v>
      </c>
      <c r="D1508" s="61">
        <f>A1504-14</f>
        <v>-14</v>
      </c>
      <c r="E1508" s="135" t="s">
        <v>590</v>
      </c>
      <c r="F1508" s="136" t="s">
        <v>636</v>
      </c>
      <c r="G1508" s="63">
        <v>1.0129999999999999</v>
      </c>
      <c r="H1508" s="63">
        <f t="shared" si="24"/>
        <v>-1.4181999999999998E-2</v>
      </c>
    </row>
    <row r="1509" spans="1:8" x14ac:dyDescent="0.25">
      <c r="A1509" s="134">
        <v>6903</v>
      </c>
      <c r="B1509" s="135">
        <f>2*E1504</f>
        <v>2</v>
      </c>
      <c r="C1509" s="135" t="s">
        <v>337</v>
      </c>
      <c r="D1509" s="61">
        <f>C1504</f>
        <v>0</v>
      </c>
      <c r="E1509" s="135" t="s">
        <v>590</v>
      </c>
      <c r="F1509" s="136" t="s">
        <v>83</v>
      </c>
      <c r="G1509" s="63">
        <v>0.55000000000000004</v>
      </c>
      <c r="H1509" s="63">
        <f t="shared" si="24"/>
        <v>0</v>
      </c>
    </row>
    <row r="1510" spans="1:8" x14ac:dyDescent="0.25">
      <c r="A1510" s="134">
        <v>6916</v>
      </c>
      <c r="B1510" s="135">
        <f>1*E1504</f>
        <v>1</v>
      </c>
      <c r="C1510" s="135" t="s">
        <v>648</v>
      </c>
      <c r="D1510" s="105">
        <f>C1504-53</f>
        <v>-53</v>
      </c>
      <c r="E1510" s="135" t="s">
        <v>590</v>
      </c>
      <c r="F1510" s="137" t="s">
        <v>661</v>
      </c>
      <c r="G1510" s="63">
        <v>0.82499999999999996</v>
      </c>
      <c r="H1510" s="63">
        <f t="shared" si="24"/>
        <v>-4.3724999999999993E-2</v>
      </c>
    </row>
    <row r="1511" spans="1:8" x14ac:dyDescent="0.25">
      <c r="A1511" s="134">
        <v>6917</v>
      </c>
      <c r="B1511" s="135">
        <f>1*E1504</f>
        <v>1</v>
      </c>
      <c r="C1511" s="135" t="s">
        <v>648</v>
      </c>
      <c r="D1511" s="61">
        <f>C1504-53</f>
        <v>-53</v>
      </c>
      <c r="E1511" s="135" t="s">
        <v>590</v>
      </c>
      <c r="F1511" s="137" t="s">
        <v>662</v>
      </c>
      <c r="G1511" s="63">
        <v>0.751</v>
      </c>
      <c r="H1511" s="63">
        <f t="shared" si="24"/>
        <v>-3.9802999999999998E-2</v>
      </c>
    </row>
    <row r="1512" spans="1:8" x14ac:dyDescent="0.25">
      <c r="A1512" s="134">
        <v>6916</v>
      </c>
      <c r="B1512" s="135">
        <f>1*E1504</f>
        <v>1</v>
      </c>
      <c r="C1512" s="135" t="s">
        <v>649</v>
      </c>
      <c r="D1512" s="61">
        <f>C1504-41</f>
        <v>-41</v>
      </c>
      <c r="E1512" s="135" t="s">
        <v>590</v>
      </c>
      <c r="F1512" s="137" t="s">
        <v>661</v>
      </c>
      <c r="G1512" s="63">
        <v>0.82499999999999996</v>
      </c>
      <c r="H1512" s="63">
        <f t="shared" si="24"/>
        <v>-3.3825000000000001E-2</v>
      </c>
    </row>
    <row r="1513" spans="1:8" x14ac:dyDescent="0.25">
      <c r="A1513" s="134">
        <v>6917</v>
      </c>
      <c r="B1513" s="135">
        <f>1*E1504</f>
        <v>1</v>
      </c>
      <c r="C1513" s="135" t="s">
        <v>649</v>
      </c>
      <c r="D1513" s="61">
        <f>C1504-41</f>
        <v>-41</v>
      </c>
      <c r="E1513" s="135" t="s">
        <v>590</v>
      </c>
      <c r="F1513" s="137" t="s">
        <v>662</v>
      </c>
      <c r="G1513" s="63">
        <v>0.751</v>
      </c>
      <c r="H1513" s="63">
        <f t="shared" si="24"/>
        <v>-3.0791000000000002E-2</v>
      </c>
    </row>
    <row r="1514" spans="1:8" x14ac:dyDescent="0.25">
      <c r="A1514" s="134">
        <v>6915</v>
      </c>
      <c r="B1514" s="135">
        <v>3</v>
      </c>
      <c r="C1514" s="135" t="s">
        <v>389</v>
      </c>
      <c r="D1514" s="61">
        <f>A1504/2-13</f>
        <v>-13</v>
      </c>
      <c r="E1514" s="135" t="s">
        <v>590</v>
      </c>
      <c r="F1514" s="137" t="s">
        <v>663</v>
      </c>
      <c r="G1514" s="63">
        <v>0.56899999999999995</v>
      </c>
      <c r="H1514" s="63">
        <f t="shared" si="24"/>
        <v>-2.2190999999999999E-2</v>
      </c>
    </row>
    <row r="1515" spans="1:8" x14ac:dyDescent="0.25">
      <c r="A1515" s="134">
        <v>6946</v>
      </c>
      <c r="B1515" s="135">
        <v>1</v>
      </c>
      <c r="C1515" s="135" t="s">
        <v>389</v>
      </c>
      <c r="D1515" s="61">
        <f>A1504/2-13</f>
        <v>-13</v>
      </c>
      <c r="E1515" s="135" t="s">
        <v>590</v>
      </c>
      <c r="F1515" s="136" t="s">
        <v>664</v>
      </c>
      <c r="G1515" s="63">
        <v>0.65400000000000003</v>
      </c>
      <c r="H1515" s="63">
        <f t="shared" si="24"/>
        <v>-8.5019999999999991E-3</v>
      </c>
    </row>
    <row r="1516" spans="1:8" x14ac:dyDescent="0.25">
      <c r="A1516" s="64"/>
      <c r="B1516" s="65"/>
      <c r="C1516" s="65"/>
      <c r="D1516" s="65"/>
      <c r="E1516" s="65"/>
      <c r="F1516" s="65"/>
      <c r="G1516" s="63" t="s">
        <v>392</v>
      </c>
      <c r="H1516" s="63">
        <f>SUM(H1507:H1515)</f>
        <v>-0.202707</v>
      </c>
    </row>
    <row r="1517" spans="1:8" x14ac:dyDescent="0.25">
      <c r="A1517" s="64"/>
      <c r="B1517" s="65"/>
      <c r="C1517" s="65"/>
      <c r="D1517" s="65"/>
      <c r="E1517" s="65"/>
      <c r="F1517" s="65"/>
      <c r="G1517" s="66"/>
      <c r="H1517" s="67"/>
    </row>
    <row r="1518" spans="1:8" x14ac:dyDescent="0.25">
      <c r="A1518" s="64"/>
      <c r="B1518" s="65"/>
      <c r="C1518" s="65"/>
      <c r="D1518" s="65"/>
      <c r="E1518" s="65"/>
      <c r="F1518" s="65"/>
      <c r="G1518" s="68"/>
      <c r="H1518" s="67"/>
    </row>
    <row r="1519" spans="1:8" x14ac:dyDescent="0.25">
      <c r="A1519" s="69" t="s">
        <v>393</v>
      </c>
      <c r="B1519" s="70"/>
      <c r="C1519" s="70"/>
      <c r="D1519" s="71"/>
      <c r="E1519" s="59" t="s">
        <v>36</v>
      </c>
      <c r="F1519" s="59" t="s">
        <v>266</v>
      </c>
      <c r="G1519" s="52"/>
      <c r="H1519" s="72"/>
    </row>
    <row r="1520" spans="1:8" x14ac:dyDescent="0.25">
      <c r="A1520" s="139" t="s">
        <v>652</v>
      </c>
      <c r="B1520" s="74"/>
      <c r="C1520" s="70"/>
      <c r="D1520" s="71"/>
      <c r="E1520" s="114">
        <f>F1520*E1504</f>
        <v>2</v>
      </c>
      <c r="F1520" s="135">
        <v>2</v>
      </c>
      <c r="G1520" s="76"/>
      <c r="H1520" s="77"/>
    </row>
    <row r="1521" spans="1:8" x14ac:dyDescent="0.25">
      <c r="A1521" s="139" t="s">
        <v>640</v>
      </c>
      <c r="B1521" s="74"/>
      <c r="C1521" s="70"/>
      <c r="D1521" s="71"/>
      <c r="E1521" s="115">
        <f>F1521*E1504</f>
        <v>1</v>
      </c>
      <c r="F1521" s="135">
        <v>1</v>
      </c>
      <c r="G1521" s="76"/>
      <c r="H1521" s="77"/>
    </row>
    <row r="1522" spans="1:8" x14ac:dyDescent="0.25">
      <c r="A1522" s="139" t="s">
        <v>641</v>
      </c>
      <c r="B1522" s="74"/>
      <c r="C1522" s="70"/>
      <c r="D1522" s="71"/>
      <c r="E1522" s="115">
        <f>F1522*E1504</f>
        <v>1</v>
      </c>
      <c r="F1522" s="135">
        <v>1</v>
      </c>
      <c r="G1522" s="65"/>
      <c r="H1522" s="77"/>
    </row>
    <row r="1523" spans="1:8" x14ac:dyDescent="0.25">
      <c r="A1523" s="139" t="s">
        <v>606</v>
      </c>
      <c r="B1523" s="74"/>
      <c r="C1523" s="70"/>
      <c r="D1523" s="71"/>
      <c r="E1523" s="115">
        <f>4*(A1504/1000)+6*(C1504/1000)*E1504</f>
        <v>0</v>
      </c>
      <c r="F1523" s="135" t="s">
        <v>472</v>
      </c>
      <c r="G1523" s="64"/>
      <c r="H1523" s="77"/>
    </row>
    <row r="1524" spans="1:8" x14ac:dyDescent="0.25">
      <c r="A1524" s="139" t="s">
        <v>665</v>
      </c>
      <c r="B1524" s="74"/>
      <c r="C1524" s="70"/>
      <c r="D1524" s="71"/>
      <c r="E1524" s="115">
        <f>2*(A1504/1000)+4*(C1504/1000)*E1504</f>
        <v>0</v>
      </c>
      <c r="F1524" s="135" t="s">
        <v>402</v>
      </c>
      <c r="G1524" s="64"/>
      <c r="H1524" s="77"/>
    </row>
    <row r="1525" spans="1:8" x14ac:dyDescent="0.25">
      <c r="A1525" s="139" t="s">
        <v>666</v>
      </c>
      <c r="B1525" s="74"/>
      <c r="C1525" s="70"/>
      <c r="D1525" s="71"/>
      <c r="E1525" s="115">
        <f>F1525*E1504</f>
        <v>4</v>
      </c>
      <c r="F1525" s="135">
        <v>4</v>
      </c>
      <c r="G1525" s="64"/>
      <c r="H1525" s="77"/>
    </row>
    <row r="1526" spans="1:8" x14ac:dyDescent="0.25">
      <c r="A1526" s="139" t="s">
        <v>404</v>
      </c>
      <c r="B1526" s="74"/>
      <c r="C1526" s="70"/>
      <c r="D1526" s="71"/>
      <c r="E1526" s="115">
        <f>F1526*E1504</f>
        <v>4</v>
      </c>
      <c r="F1526" s="135">
        <v>4</v>
      </c>
      <c r="G1526" s="64"/>
      <c r="H1526" s="77"/>
    </row>
    <row r="1527" spans="1:8" x14ac:dyDescent="0.25">
      <c r="A1527" s="139" t="s">
        <v>405</v>
      </c>
      <c r="B1527" s="74"/>
      <c r="C1527" s="70"/>
      <c r="D1527" s="71"/>
      <c r="E1527" s="115">
        <f>F1527*E1504</f>
        <v>8</v>
      </c>
      <c r="F1527" s="135">
        <v>8</v>
      </c>
      <c r="G1527" s="76"/>
      <c r="H1527" s="77"/>
    </row>
    <row r="1528" spans="1:8" x14ac:dyDescent="0.25">
      <c r="A1528" s="139" t="s">
        <v>610</v>
      </c>
      <c r="B1528" s="74"/>
      <c r="C1528" s="70"/>
      <c r="D1528" s="71"/>
      <c r="E1528" s="115">
        <f>F1528*E1504</f>
        <v>1</v>
      </c>
      <c r="F1528" s="135">
        <v>1</v>
      </c>
      <c r="G1528" s="76"/>
      <c r="H1528" s="77"/>
    </row>
    <row r="1529" spans="1:8" x14ac:dyDescent="0.25">
      <c r="A1529" s="139" t="s">
        <v>654</v>
      </c>
      <c r="B1529" s="74"/>
      <c r="C1529" s="70"/>
      <c r="D1529" s="71"/>
      <c r="E1529" s="115">
        <f>F1529*E1504</f>
        <v>1</v>
      </c>
      <c r="F1529" s="135">
        <v>1</v>
      </c>
      <c r="G1529" s="76"/>
      <c r="H1529" s="77"/>
    </row>
    <row r="1530" spans="1:8" x14ac:dyDescent="0.25">
      <c r="A1530" s="142" t="s">
        <v>631</v>
      </c>
      <c r="B1530" s="74"/>
      <c r="C1530" s="70"/>
      <c r="D1530" s="71"/>
      <c r="E1530" s="115">
        <f>F1530*E1504</f>
        <v>1</v>
      </c>
      <c r="F1530" s="135">
        <v>1</v>
      </c>
      <c r="G1530" s="76"/>
      <c r="H1530" s="77"/>
    </row>
    <row r="1531" spans="1:8" x14ac:dyDescent="0.25">
      <c r="A1531" s="139" t="s">
        <v>644</v>
      </c>
      <c r="B1531" s="74"/>
      <c r="C1531" s="70"/>
      <c r="D1531" s="71"/>
      <c r="E1531" s="115">
        <f>F1531*E1504</f>
        <v>1</v>
      </c>
      <c r="F1531" s="135">
        <v>1</v>
      </c>
      <c r="G1531" s="76"/>
      <c r="H1531" s="77"/>
    </row>
    <row r="1532" spans="1:8" x14ac:dyDescent="0.25">
      <c r="A1532" s="139" t="s">
        <v>655</v>
      </c>
      <c r="B1532" s="74"/>
      <c r="C1532" s="70"/>
      <c r="D1532" s="71"/>
      <c r="E1532" s="115">
        <f>F1532*E1504</f>
        <v>4</v>
      </c>
      <c r="F1532" s="135">
        <v>4</v>
      </c>
      <c r="G1532" s="76"/>
      <c r="H1532" s="77"/>
    </row>
    <row r="1533" spans="1:8" x14ac:dyDescent="0.25">
      <c r="A1533" s="139" t="s">
        <v>656</v>
      </c>
      <c r="B1533" s="74"/>
      <c r="C1533" s="70"/>
      <c r="D1533" s="71"/>
      <c r="E1533" s="115">
        <f>F1533*E1504</f>
        <v>4</v>
      </c>
      <c r="F1533" s="135">
        <v>4</v>
      </c>
      <c r="G1533" s="76"/>
      <c r="H1533" s="77"/>
    </row>
    <row r="1534" spans="1:8" x14ac:dyDescent="0.25">
      <c r="A1534" s="142" t="s">
        <v>657</v>
      </c>
      <c r="B1534" s="74"/>
      <c r="C1534" s="70"/>
      <c r="D1534" s="71"/>
      <c r="E1534" s="115">
        <f>F1534*E1504</f>
        <v>4</v>
      </c>
      <c r="F1534" s="135">
        <v>4</v>
      </c>
      <c r="G1534" s="76"/>
      <c r="H1534" s="77"/>
    </row>
    <row r="1535" spans="1:8" x14ac:dyDescent="0.25">
      <c r="A1535" s="139" t="s">
        <v>611</v>
      </c>
      <c r="B1535" s="74"/>
      <c r="C1535" s="70"/>
      <c r="D1535" s="71"/>
      <c r="E1535" s="115">
        <f>F1535*E1504</f>
        <v>16</v>
      </c>
      <c r="F1535" s="135">
        <v>16</v>
      </c>
      <c r="G1535" s="76"/>
      <c r="H1535" s="77"/>
    </row>
    <row r="1536" spans="1:8" x14ac:dyDescent="0.25">
      <c r="A1536" s="52"/>
      <c r="B1536" s="53"/>
      <c r="C1536" s="53"/>
      <c r="D1536" s="53"/>
      <c r="E1536" s="53"/>
      <c r="F1536" s="53"/>
      <c r="G1536" s="53"/>
      <c r="H1536" s="83"/>
    </row>
    <row r="1537" spans="1:8" x14ac:dyDescent="0.25">
      <c r="A1537" s="52"/>
      <c r="B1537" s="53"/>
      <c r="C1537" s="53"/>
      <c r="D1537" s="53"/>
      <c r="E1537" s="53"/>
      <c r="F1537" s="53"/>
      <c r="G1537" s="53"/>
      <c r="H1537" s="83"/>
    </row>
    <row r="1538" spans="1:8" x14ac:dyDescent="0.25">
      <c r="A1538" s="59" t="s">
        <v>413</v>
      </c>
      <c r="B1538" s="84" t="s">
        <v>266</v>
      </c>
      <c r="C1538" s="84" t="s">
        <v>383</v>
      </c>
      <c r="D1538" s="405" t="s">
        <v>414</v>
      </c>
      <c r="E1538" s="406"/>
      <c r="F1538" s="85" t="s">
        <v>415</v>
      </c>
      <c r="G1538" s="59" t="s">
        <v>416</v>
      </c>
      <c r="H1538" s="86"/>
    </row>
    <row r="1539" spans="1:8" x14ac:dyDescent="0.25">
      <c r="A1539" s="61"/>
      <c r="B1539" s="89">
        <f>2*E1504</f>
        <v>2</v>
      </c>
      <c r="C1539" s="61" t="s">
        <v>667</v>
      </c>
      <c r="D1539" s="407">
        <f>A1504/2-66</f>
        <v>-66</v>
      </c>
      <c r="E1539" s="408"/>
      <c r="F1539" s="90">
        <f>C1504-139</f>
        <v>-139</v>
      </c>
      <c r="G1539" s="91">
        <f>(D1539/1000)*(F1539/1000)*B1539</f>
        <v>1.8348000000000003E-2</v>
      </c>
      <c r="H1539" s="83"/>
    </row>
    <row r="1540" spans="1:8" x14ac:dyDescent="0.25">
      <c r="A1540" s="52"/>
      <c r="B1540" s="93"/>
      <c r="C1540" s="53"/>
      <c r="D1540" s="53"/>
      <c r="E1540" s="53"/>
      <c r="F1540" s="94" t="s">
        <v>418</v>
      </c>
      <c r="G1540" s="95">
        <f>SUM(G1539:G1539)</f>
        <v>1.8348000000000003E-2</v>
      </c>
      <c r="H1540" s="51"/>
    </row>
    <row r="1541" spans="1:8" x14ac:dyDescent="0.25">
      <c r="A1541" s="52"/>
      <c r="B1541" s="93"/>
      <c r="C1541" s="53"/>
      <c r="D1541" s="53"/>
      <c r="E1541" s="53"/>
      <c r="F1541" s="94"/>
      <c r="G1541" s="96"/>
      <c r="H1541" s="51"/>
    </row>
    <row r="1542" spans="1:8" x14ac:dyDescent="0.25">
      <c r="A1542" s="52"/>
      <c r="B1542" s="93"/>
      <c r="C1542" s="53"/>
      <c r="D1542" s="53"/>
      <c r="E1542" s="53"/>
      <c r="F1542" s="94"/>
      <c r="G1542" s="96"/>
      <c r="H1542" s="51"/>
    </row>
    <row r="1543" spans="1:8" x14ac:dyDescent="0.25">
      <c r="A1543" s="52"/>
      <c r="B1543" s="93"/>
      <c r="C1543" s="53"/>
      <c r="D1543" s="53"/>
      <c r="E1543" s="53"/>
      <c r="F1543" s="94"/>
      <c r="G1543" s="96"/>
      <c r="H1543" s="51"/>
    </row>
    <row r="1544" spans="1:8" x14ac:dyDescent="0.25">
      <c r="A1544" s="52"/>
      <c r="B1544" s="93"/>
      <c r="C1544" s="53"/>
      <c r="D1544" s="53"/>
      <c r="E1544" s="53"/>
      <c r="F1544" s="94"/>
      <c r="G1544" s="96"/>
      <c r="H1544" s="51"/>
    </row>
    <row r="1545" spans="1:8" x14ac:dyDescent="0.25">
      <c r="A1545" s="52"/>
      <c r="B1545" s="93"/>
      <c r="C1545" s="53"/>
      <c r="D1545" s="53"/>
      <c r="E1545" s="53"/>
      <c r="F1545" s="94"/>
      <c r="G1545" s="96"/>
      <c r="H1545" s="51"/>
    </row>
    <row r="1546" spans="1:8" x14ac:dyDescent="0.25">
      <c r="A1546" s="52"/>
      <c r="B1546" s="93"/>
      <c r="C1546" s="53"/>
      <c r="D1546" s="53"/>
      <c r="E1546" s="53"/>
      <c r="F1546" s="94"/>
      <c r="G1546" s="96"/>
      <c r="H1546" s="51"/>
    </row>
    <row r="1547" spans="1:8" x14ac:dyDescent="0.25">
      <c r="A1547" s="52"/>
      <c r="B1547" s="93"/>
      <c r="C1547" s="53"/>
      <c r="D1547" s="53"/>
      <c r="E1547" s="53"/>
      <c r="F1547" s="94"/>
      <c r="G1547" s="96"/>
      <c r="H1547" s="51"/>
    </row>
    <row r="1548" spans="1:8" x14ac:dyDescent="0.25">
      <c r="A1548" s="52"/>
      <c r="B1548" s="93"/>
      <c r="C1548" s="53"/>
      <c r="D1548" s="53"/>
      <c r="E1548" s="53"/>
      <c r="F1548" s="94"/>
      <c r="G1548" s="96"/>
      <c r="H1548" s="51"/>
    </row>
    <row r="1549" spans="1:8" x14ac:dyDescent="0.25">
      <c r="A1549" s="52"/>
      <c r="B1549" s="93"/>
      <c r="C1549" s="53"/>
      <c r="D1549" s="53"/>
      <c r="E1549" s="53"/>
      <c r="F1549" s="94"/>
      <c r="G1549" s="96"/>
      <c r="H1549" s="51"/>
    </row>
    <row r="1550" spans="1:8" x14ac:dyDescent="0.25">
      <c r="A1550" s="52"/>
      <c r="B1550" s="93"/>
      <c r="C1550" s="53"/>
      <c r="D1550" s="53"/>
      <c r="E1550" s="53"/>
      <c r="F1550" s="94"/>
      <c r="G1550" s="96"/>
      <c r="H1550" s="51"/>
    </row>
    <row r="1551" spans="1:8" x14ac:dyDescent="0.25">
      <c r="A1551" s="52"/>
      <c r="B1551" s="93"/>
      <c r="C1551" s="53"/>
      <c r="D1551" s="53"/>
      <c r="E1551" s="53"/>
      <c r="F1551" s="94"/>
      <c r="G1551" s="96"/>
      <c r="H1551" s="51"/>
    </row>
    <row r="1552" spans="1:8" x14ac:dyDescent="0.25">
      <c r="A1552" s="52"/>
      <c r="B1552" s="93"/>
      <c r="C1552" s="53"/>
      <c r="D1552" s="53"/>
      <c r="E1552" s="53"/>
      <c r="F1552" s="94"/>
      <c r="G1552" s="96"/>
      <c r="H1552" s="51"/>
    </row>
    <row r="1553" spans="1:8" x14ac:dyDescent="0.25">
      <c r="A1553" s="52"/>
      <c r="B1553" s="93"/>
      <c r="C1553" s="53"/>
      <c r="D1553" s="53"/>
      <c r="E1553" s="53"/>
      <c r="F1553" s="94"/>
      <c r="G1553" s="96"/>
      <c r="H1553" s="51"/>
    </row>
    <row r="1554" spans="1:8" x14ac:dyDescent="0.25">
      <c r="A1554" s="52"/>
      <c r="B1554" s="93"/>
      <c r="C1554" s="53"/>
      <c r="D1554" s="53"/>
      <c r="E1554" s="53"/>
      <c r="F1554" s="94"/>
      <c r="G1554" s="96"/>
      <c r="H1554" s="51"/>
    </row>
    <row r="1555" spans="1:8" x14ac:dyDescent="0.25">
      <c r="A1555" s="52"/>
      <c r="B1555" s="93"/>
      <c r="C1555" s="53"/>
      <c r="D1555" s="53"/>
      <c r="E1555" s="53"/>
      <c r="F1555" s="94"/>
      <c r="G1555" s="96"/>
      <c r="H1555" s="51"/>
    </row>
    <row r="1556" spans="1:8" x14ac:dyDescent="0.25">
      <c r="A1556" s="52"/>
      <c r="B1556" s="93"/>
      <c r="C1556" s="53"/>
      <c r="D1556" s="53"/>
      <c r="E1556" s="53"/>
      <c r="F1556" s="94"/>
      <c r="G1556" s="96"/>
      <c r="H1556" s="51"/>
    </row>
    <row r="1557" spans="1:8" x14ac:dyDescent="0.25">
      <c r="A1557" s="52"/>
      <c r="B1557" s="93"/>
      <c r="C1557" s="53"/>
      <c r="D1557" s="53"/>
      <c r="E1557" s="53"/>
      <c r="F1557" s="94"/>
      <c r="G1557" s="96"/>
      <c r="H1557" s="51"/>
    </row>
    <row r="1558" spans="1:8" x14ac:dyDescent="0.25">
      <c r="A1558" s="52"/>
      <c r="B1558" s="144"/>
      <c r="C1558" s="53"/>
      <c r="D1558" s="53"/>
      <c r="E1558" s="53"/>
      <c r="F1558" s="53"/>
      <c r="G1558" s="53"/>
      <c r="H1558" s="51"/>
    </row>
    <row r="1559" spans="1:8" x14ac:dyDescent="0.25">
      <c r="A1559" s="45"/>
      <c r="B1559" s="45"/>
      <c r="C1559" s="45"/>
      <c r="D1559" s="45"/>
      <c r="E1559" s="45"/>
      <c r="F1559" s="45"/>
      <c r="G1559" s="45"/>
      <c r="H1559" s="45"/>
    </row>
    <row r="1560" spans="1:8" x14ac:dyDescent="0.25">
      <c r="A1560" s="100"/>
      <c r="B1560" s="100"/>
      <c r="C1560" s="100"/>
      <c r="D1560" s="100"/>
      <c r="E1560" s="100"/>
      <c r="F1560" s="100"/>
      <c r="G1560" s="100"/>
      <c r="H1560" s="100"/>
    </row>
    <row r="1561" spans="1:8" x14ac:dyDescent="0.25">
      <c r="A1561" s="44"/>
      <c r="B1561" s="45"/>
      <c r="C1561" s="45"/>
      <c r="D1561" s="45"/>
      <c r="E1561" s="45"/>
      <c r="F1561" s="45"/>
      <c r="G1561" s="45"/>
      <c r="H1561" s="46"/>
    </row>
    <row r="1562" spans="1:8" x14ac:dyDescent="0.25">
      <c r="A1562" s="147"/>
      <c r="B1562" s="53"/>
      <c r="C1562" s="53"/>
      <c r="D1562" s="53"/>
      <c r="E1562" s="53"/>
      <c r="F1562" s="53"/>
      <c r="G1562" s="53"/>
      <c r="H1562" s="51"/>
    </row>
    <row r="1563" spans="1:8" x14ac:dyDescent="0.25">
      <c r="A1563" s="151" t="s">
        <v>668</v>
      </c>
      <c r="B1563" s="48"/>
      <c r="C1563" s="49"/>
      <c r="D1563" s="122"/>
      <c r="E1563" s="49"/>
      <c r="F1563" s="50"/>
      <c r="G1563" s="50"/>
      <c r="H1563" s="133"/>
    </row>
    <row r="1564" spans="1:8" ht="16.5" thickBot="1" x14ac:dyDescent="0.3">
      <c r="A1564" s="52"/>
      <c r="B1564" s="53"/>
      <c r="C1564" s="53"/>
      <c r="D1564" s="53"/>
      <c r="E1564" s="53"/>
      <c r="F1564" s="65"/>
      <c r="G1564" s="54" t="s">
        <v>669</v>
      </c>
      <c r="H1564" s="51"/>
    </row>
    <row r="1565" spans="1:8" ht="16.5" thickBot="1" x14ac:dyDescent="0.3">
      <c r="A1565" s="400" t="s">
        <v>381</v>
      </c>
      <c r="B1565" s="401"/>
      <c r="C1565" s="402" t="s">
        <v>382</v>
      </c>
      <c r="D1565" s="401"/>
      <c r="E1565" s="55" t="s">
        <v>266</v>
      </c>
      <c r="F1565" s="65"/>
      <c r="G1565" s="53"/>
      <c r="H1565" s="51"/>
    </row>
    <row r="1566" spans="1:8" ht="16.5" thickBot="1" x14ac:dyDescent="0.3">
      <c r="A1566" s="403">
        <v>0</v>
      </c>
      <c r="B1566" s="404"/>
      <c r="C1566" s="403">
        <v>0</v>
      </c>
      <c r="D1566" s="404"/>
      <c r="E1566" s="56">
        <v>1</v>
      </c>
      <c r="F1566" s="65"/>
      <c r="G1566" s="53"/>
      <c r="H1566" s="51"/>
    </row>
    <row r="1567" spans="1:8" x14ac:dyDescent="0.25">
      <c r="A1567" s="52"/>
      <c r="B1567" s="58"/>
      <c r="C1567" s="58"/>
      <c r="D1567" s="58"/>
      <c r="E1567" s="58"/>
      <c r="F1567" s="58"/>
      <c r="G1567" s="53"/>
      <c r="H1567" s="83"/>
    </row>
    <row r="1568" spans="1:8" x14ac:dyDescent="0.25">
      <c r="A1568" s="59" t="s">
        <v>323</v>
      </c>
      <c r="B1568" s="59" t="s">
        <v>266</v>
      </c>
      <c r="C1568" s="59" t="s">
        <v>383</v>
      </c>
      <c r="D1568" s="59" t="s">
        <v>384</v>
      </c>
      <c r="E1568" s="59" t="s">
        <v>332</v>
      </c>
      <c r="F1568" s="59" t="s">
        <v>385</v>
      </c>
      <c r="G1568" s="59" t="s">
        <v>386</v>
      </c>
      <c r="H1568" s="59" t="s">
        <v>387</v>
      </c>
    </row>
    <row r="1569" spans="1:8" x14ac:dyDescent="0.25">
      <c r="A1569" s="134">
        <v>6901</v>
      </c>
      <c r="B1569" s="135">
        <f>1*E1566</f>
        <v>1</v>
      </c>
      <c r="C1569" s="135" t="s">
        <v>670</v>
      </c>
      <c r="D1569" s="61">
        <f>A1566-7</f>
        <v>-7</v>
      </c>
      <c r="E1569" s="135" t="s">
        <v>671</v>
      </c>
      <c r="F1569" s="136" t="s">
        <v>388</v>
      </c>
      <c r="G1569" s="63">
        <v>0.69199999999999995</v>
      </c>
      <c r="H1569" s="63">
        <f t="shared" ref="H1569:H1578" si="25">(D1569/1000)*B1569*G1569</f>
        <v>-4.8439999999999993E-3</v>
      </c>
    </row>
    <row r="1570" spans="1:8" x14ac:dyDescent="0.25">
      <c r="A1570" s="134">
        <v>6902</v>
      </c>
      <c r="B1570" s="135">
        <f>1*E1566</f>
        <v>1</v>
      </c>
      <c r="C1570" s="135" t="s">
        <v>670</v>
      </c>
      <c r="D1570" s="61">
        <f>A1566-7</f>
        <v>-7</v>
      </c>
      <c r="E1570" s="135" t="s">
        <v>671</v>
      </c>
      <c r="F1570" s="136" t="s">
        <v>82</v>
      </c>
      <c r="G1570" s="63">
        <v>0.67700000000000005</v>
      </c>
      <c r="H1570" s="63">
        <f t="shared" si="25"/>
        <v>-4.7390000000000002E-3</v>
      </c>
    </row>
    <row r="1571" spans="1:8" x14ac:dyDescent="0.25">
      <c r="A1571" s="134">
        <v>6901</v>
      </c>
      <c r="B1571" s="135">
        <f>1*E1566</f>
        <v>1</v>
      </c>
      <c r="C1571" s="135" t="s">
        <v>670</v>
      </c>
      <c r="D1571" s="61">
        <f>A1566-7</f>
        <v>-7</v>
      </c>
      <c r="E1571" s="135" t="s">
        <v>672</v>
      </c>
      <c r="F1571" s="136" t="s">
        <v>388</v>
      </c>
      <c r="G1571" s="63">
        <v>0.69199999999999995</v>
      </c>
      <c r="H1571" s="63">
        <f t="shared" si="25"/>
        <v>-4.8439999999999993E-3</v>
      </c>
    </row>
    <row r="1572" spans="1:8" x14ac:dyDescent="0.25">
      <c r="A1572" s="134">
        <v>6902</v>
      </c>
      <c r="B1572" s="135">
        <f>1*E1566</f>
        <v>1</v>
      </c>
      <c r="C1572" s="135" t="s">
        <v>670</v>
      </c>
      <c r="D1572" s="105">
        <f>A1566-7</f>
        <v>-7</v>
      </c>
      <c r="E1572" s="135" t="s">
        <v>672</v>
      </c>
      <c r="F1572" s="136" t="s">
        <v>82</v>
      </c>
      <c r="G1572" s="63">
        <v>0.67700000000000005</v>
      </c>
      <c r="H1572" s="63">
        <f t="shared" si="25"/>
        <v>-4.7390000000000002E-3</v>
      </c>
    </row>
    <row r="1573" spans="1:8" x14ac:dyDescent="0.25">
      <c r="A1573" s="134">
        <v>6903</v>
      </c>
      <c r="B1573" s="135">
        <f>2*E1566</f>
        <v>2</v>
      </c>
      <c r="C1573" s="135" t="s">
        <v>337</v>
      </c>
      <c r="D1573" s="61">
        <f>C1566</f>
        <v>0</v>
      </c>
      <c r="E1573" s="135" t="s">
        <v>590</v>
      </c>
      <c r="F1573" s="136" t="s">
        <v>83</v>
      </c>
      <c r="G1573" s="63">
        <v>0.55000000000000004</v>
      </c>
      <c r="H1573" s="63">
        <f t="shared" si="25"/>
        <v>0</v>
      </c>
    </row>
    <row r="1574" spans="1:8" x14ac:dyDescent="0.25">
      <c r="A1574" s="134">
        <v>6913</v>
      </c>
      <c r="B1574" s="135">
        <f>2*E1566</f>
        <v>2</v>
      </c>
      <c r="C1574" s="135" t="s">
        <v>470</v>
      </c>
      <c r="D1574" s="61">
        <f>C1566-38</f>
        <v>-38</v>
      </c>
      <c r="E1574" s="135" t="s">
        <v>590</v>
      </c>
      <c r="F1574" s="137" t="s">
        <v>673</v>
      </c>
      <c r="G1574" s="63">
        <v>0.65500000000000003</v>
      </c>
      <c r="H1574" s="63">
        <f t="shared" si="25"/>
        <v>-4.9779999999999998E-2</v>
      </c>
    </row>
    <row r="1575" spans="1:8" x14ac:dyDescent="0.25">
      <c r="A1575" s="134">
        <v>6914</v>
      </c>
      <c r="B1575" s="135">
        <f>4*E1566</f>
        <v>4</v>
      </c>
      <c r="C1575" s="135" t="s">
        <v>470</v>
      </c>
      <c r="D1575" s="61">
        <f>C1566-38</f>
        <v>-38</v>
      </c>
      <c r="E1575" s="135" t="s">
        <v>590</v>
      </c>
      <c r="F1575" s="136" t="s">
        <v>674</v>
      </c>
      <c r="G1575" s="63">
        <v>0.57299999999999995</v>
      </c>
      <c r="H1575" s="63">
        <f t="shared" si="25"/>
        <v>-8.7095999999999993E-2</v>
      </c>
    </row>
    <row r="1576" spans="1:8" x14ac:dyDescent="0.25">
      <c r="A1576" s="134">
        <v>6956</v>
      </c>
      <c r="B1576" s="135">
        <f>2*E1566</f>
        <v>2</v>
      </c>
      <c r="C1576" s="135" t="s">
        <v>470</v>
      </c>
      <c r="D1576" s="61">
        <f>C1566-38</f>
        <v>-38</v>
      </c>
      <c r="E1576" s="135" t="s">
        <v>590</v>
      </c>
      <c r="F1576" s="136" t="s">
        <v>675</v>
      </c>
      <c r="G1576" s="63">
        <v>0.93100000000000005</v>
      </c>
      <c r="H1576" s="63">
        <f t="shared" si="25"/>
        <v>-7.0755999999999999E-2</v>
      </c>
    </row>
    <row r="1577" spans="1:8" x14ac:dyDescent="0.25">
      <c r="A1577" s="134">
        <v>6915</v>
      </c>
      <c r="B1577" s="135">
        <f>4*E1566</f>
        <v>4</v>
      </c>
      <c r="C1577" s="135" t="s">
        <v>389</v>
      </c>
      <c r="D1577" s="61">
        <f>A1566/2-13</f>
        <v>-13</v>
      </c>
      <c r="E1577" s="135" t="s">
        <v>590</v>
      </c>
      <c r="F1577" s="137" t="s">
        <v>620</v>
      </c>
      <c r="G1577" s="63">
        <v>0.56899999999999995</v>
      </c>
      <c r="H1577" s="63">
        <f t="shared" si="25"/>
        <v>-2.9587999999999996E-2</v>
      </c>
    </row>
    <row r="1578" spans="1:8" x14ac:dyDescent="0.25">
      <c r="A1578" s="134">
        <v>6915</v>
      </c>
      <c r="B1578" s="135">
        <f>4*E1566</f>
        <v>4</v>
      </c>
      <c r="C1578" s="135" t="s">
        <v>676</v>
      </c>
      <c r="D1578" s="61">
        <f>A1566/2-54</f>
        <v>-54</v>
      </c>
      <c r="E1578" s="135" t="s">
        <v>590</v>
      </c>
      <c r="F1578" s="137" t="s">
        <v>620</v>
      </c>
      <c r="G1578" s="63">
        <v>0.56899999999999995</v>
      </c>
      <c r="H1578" s="63">
        <f t="shared" si="25"/>
        <v>-0.12290399999999999</v>
      </c>
    </row>
    <row r="1579" spans="1:8" x14ac:dyDescent="0.25">
      <c r="A1579" s="64"/>
      <c r="B1579" s="65"/>
      <c r="C1579" s="65"/>
      <c r="D1579" s="65"/>
      <c r="E1579" s="65"/>
      <c r="F1579" s="138"/>
      <c r="G1579" s="63" t="s">
        <v>392</v>
      </c>
      <c r="H1579" s="63">
        <f>SUM(H1569:H1578)</f>
        <v>-0.37929000000000002</v>
      </c>
    </row>
    <row r="1580" spans="1:8" x14ac:dyDescent="0.25">
      <c r="A1580" s="64"/>
      <c r="B1580" s="65"/>
      <c r="C1580" s="65"/>
      <c r="D1580" s="65"/>
      <c r="E1580" s="65"/>
      <c r="F1580" s="65"/>
      <c r="G1580" s="66"/>
      <c r="H1580" s="67"/>
    </row>
    <row r="1581" spans="1:8" x14ac:dyDescent="0.25">
      <c r="A1581" s="64"/>
      <c r="B1581" s="65"/>
      <c r="C1581" s="65"/>
      <c r="D1581" s="65"/>
      <c r="E1581" s="65"/>
      <c r="F1581" s="65"/>
      <c r="G1581" s="68"/>
      <c r="H1581" s="67"/>
    </row>
    <row r="1582" spans="1:8" x14ac:dyDescent="0.25">
      <c r="A1582" s="69" t="s">
        <v>393</v>
      </c>
      <c r="B1582" s="70"/>
      <c r="C1582" s="70"/>
      <c r="D1582" s="71"/>
      <c r="E1582" s="59" t="s">
        <v>36</v>
      </c>
      <c r="F1582" s="59" t="s">
        <v>266</v>
      </c>
      <c r="G1582" s="52"/>
      <c r="H1582" s="72"/>
    </row>
    <row r="1583" spans="1:8" x14ac:dyDescent="0.25">
      <c r="A1583" s="139" t="s">
        <v>652</v>
      </c>
      <c r="B1583" s="74"/>
      <c r="C1583" s="70"/>
      <c r="D1583" s="71"/>
      <c r="E1583" s="114">
        <f>F1583*E1566</f>
        <v>2</v>
      </c>
      <c r="F1583" s="135">
        <v>2</v>
      </c>
      <c r="G1583" s="76"/>
      <c r="H1583" s="77"/>
    </row>
    <row r="1584" spans="1:8" x14ac:dyDescent="0.25">
      <c r="A1584" s="139" t="s">
        <v>640</v>
      </c>
      <c r="B1584" s="74"/>
      <c r="C1584" s="70"/>
      <c r="D1584" s="71"/>
      <c r="E1584" s="115">
        <f>F1584*E1566</f>
        <v>1</v>
      </c>
      <c r="F1584" s="135">
        <v>1</v>
      </c>
      <c r="G1584" s="76"/>
      <c r="H1584" s="77"/>
    </row>
    <row r="1585" spans="1:8" x14ac:dyDescent="0.25">
      <c r="A1585" s="139" t="s">
        <v>641</v>
      </c>
      <c r="B1585" s="74"/>
      <c r="C1585" s="70"/>
      <c r="D1585" s="71"/>
      <c r="E1585" s="115">
        <f>F1585*E1566</f>
        <v>1</v>
      </c>
      <c r="F1585" s="135">
        <v>1</v>
      </c>
      <c r="G1585" s="65"/>
      <c r="H1585" s="77"/>
    </row>
    <row r="1586" spans="1:8" x14ac:dyDescent="0.25">
      <c r="A1586" s="139" t="s">
        <v>606</v>
      </c>
      <c r="B1586" s="74"/>
      <c r="C1586" s="70"/>
      <c r="D1586" s="71"/>
      <c r="E1586" s="115">
        <f>8*(A1566/1000)+8*(C1566/1000)*E1566</f>
        <v>0</v>
      </c>
      <c r="F1586" s="135" t="s">
        <v>677</v>
      </c>
      <c r="G1586" s="64"/>
      <c r="H1586" s="77"/>
    </row>
    <row r="1587" spans="1:8" x14ac:dyDescent="0.25">
      <c r="A1587" s="139" t="s">
        <v>665</v>
      </c>
      <c r="B1587" s="74"/>
      <c r="C1587" s="70"/>
      <c r="D1587" s="71"/>
      <c r="E1587" s="115">
        <f>4*(A1566/1000)+8*(C1566/1000)*E1566</f>
        <v>0</v>
      </c>
      <c r="F1587" s="135" t="s">
        <v>481</v>
      </c>
      <c r="G1587" s="64"/>
      <c r="H1587" s="77"/>
    </row>
    <row r="1588" spans="1:8" x14ac:dyDescent="0.25">
      <c r="A1588" s="139" t="s">
        <v>666</v>
      </c>
      <c r="B1588" s="74"/>
      <c r="C1588" s="70"/>
      <c r="D1588" s="71"/>
      <c r="E1588" s="115">
        <f>F1588*E1566</f>
        <v>8</v>
      </c>
      <c r="F1588" s="135">
        <v>8</v>
      </c>
      <c r="G1588" s="64"/>
      <c r="H1588" s="77"/>
    </row>
    <row r="1589" spans="1:8" x14ac:dyDescent="0.25">
      <c r="A1589" s="139" t="s">
        <v>404</v>
      </c>
      <c r="B1589" s="74"/>
      <c r="C1589" s="70"/>
      <c r="D1589" s="71"/>
      <c r="E1589" s="115">
        <f>F1589*E1566</f>
        <v>12</v>
      </c>
      <c r="F1589" s="135">
        <v>12</v>
      </c>
      <c r="G1589" s="64"/>
      <c r="H1589" s="77"/>
    </row>
    <row r="1590" spans="1:8" x14ac:dyDescent="0.25">
      <c r="A1590" s="139" t="s">
        <v>405</v>
      </c>
      <c r="B1590" s="74"/>
      <c r="C1590" s="70"/>
      <c r="D1590" s="71"/>
      <c r="E1590" s="115">
        <f>F1590*E1566</f>
        <v>16</v>
      </c>
      <c r="F1590" s="135">
        <v>16</v>
      </c>
      <c r="G1590" s="76"/>
      <c r="H1590" s="77"/>
    </row>
    <row r="1591" spans="1:8" x14ac:dyDescent="0.25">
      <c r="A1591" s="139" t="s">
        <v>610</v>
      </c>
      <c r="B1591" s="74"/>
      <c r="C1591" s="70"/>
      <c r="D1591" s="71"/>
      <c r="E1591" s="115">
        <f>F1591*E1566</f>
        <v>2</v>
      </c>
      <c r="F1591" s="135">
        <v>2</v>
      </c>
      <c r="G1591" s="76"/>
      <c r="H1591" s="77"/>
    </row>
    <row r="1592" spans="1:8" x14ac:dyDescent="0.25">
      <c r="A1592" s="139" t="s">
        <v>678</v>
      </c>
      <c r="B1592" s="74"/>
      <c r="C1592" s="70"/>
      <c r="D1592" s="71"/>
      <c r="E1592" s="115">
        <f>F1592*E1566</f>
        <v>1</v>
      </c>
      <c r="F1592" s="135">
        <v>1</v>
      </c>
      <c r="G1592" s="76"/>
      <c r="H1592" s="77"/>
    </row>
    <row r="1593" spans="1:8" x14ac:dyDescent="0.25">
      <c r="A1593" s="139" t="s">
        <v>679</v>
      </c>
      <c r="B1593" s="74"/>
      <c r="C1593" s="70"/>
      <c r="D1593" s="71"/>
      <c r="E1593" s="115">
        <f>F1593*E1566</f>
        <v>2</v>
      </c>
      <c r="F1593" s="135">
        <v>2</v>
      </c>
      <c r="G1593" s="76"/>
      <c r="H1593" s="77"/>
    </row>
    <row r="1594" spans="1:8" x14ac:dyDescent="0.25">
      <c r="A1594" s="142" t="s">
        <v>631</v>
      </c>
      <c r="B1594" s="74"/>
      <c r="C1594" s="70"/>
      <c r="D1594" s="71"/>
      <c r="E1594" s="115">
        <f>F1594*E1566</f>
        <v>2</v>
      </c>
      <c r="F1594" s="135">
        <v>2</v>
      </c>
      <c r="G1594" s="76"/>
      <c r="H1594" s="77"/>
    </row>
    <row r="1595" spans="1:8" x14ac:dyDescent="0.25">
      <c r="A1595" s="139" t="s">
        <v>632</v>
      </c>
      <c r="B1595" s="74"/>
      <c r="C1595" s="70"/>
      <c r="D1595" s="71"/>
      <c r="E1595" s="115">
        <f>F1595*E1566</f>
        <v>2</v>
      </c>
      <c r="F1595" s="135">
        <v>2</v>
      </c>
      <c r="G1595" s="76"/>
      <c r="H1595" s="77"/>
    </row>
    <row r="1596" spans="1:8" x14ac:dyDescent="0.25">
      <c r="A1596" s="142" t="s">
        <v>657</v>
      </c>
      <c r="B1596" s="74"/>
      <c r="C1596" s="70"/>
      <c r="D1596" s="71"/>
      <c r="E1596" s="115">
        <f>F1596*E1566</f>
        <v>4</v>
      </c>
      <c r="F1596" s="135">
        <v>4</v>
      </c>
      <c r="G1596" s="76"/>
      <c r="H1596" s="77"/>
    </row>
    <row r="1597" spans="1:8" x14ac:dyDescent="0.25">
      <c r="A1597" s="139" t="s">
        <v>611</v>
      </c>
      <c r="B1597" s="74"/>
      <c r="C1597" s="70"/>
      <c r="D1597" s="71"/>
      <c r="E1597" s="115">
        <f>F1597*E1566</f>
        <v>24</v>
      </c>
      <c r="F1597" s="135">
        <v>24</v>
      </c>
      <c r="G1597" s="76"/>
      <c r="H1597" s="77"/>
    </row>
    <row r="1598" spans="1:8" x14ac:dyDescent="0.25">
      <c r="A1598" s="52"/>
      <c r="B1598" s="53"/>
      <c r="C1598" s="53"/>
      <c r="D1598" s="53"/>
      <c r="E1598" s="53"/>
      <c r="F1598" s="53"/>
      <c r="G1598" s="53"/>
      <c r="H1598" s="83"/>
    </row>
    <row r="1599" spans="1:8" x14ac:dyDescent="0.25">
      <c r="A1599" s="52"/>
      <c r="B1599" s="53"/>
      <c r="C1599" s="53"/>
      <c r="D1599" s="53"/>
      <c r="E1599" s="53"/>
      <c r="F1599" s="53"/>
      <c r="G1599" s="53"/>
      <c r="H1599" s="83"/>
    </row>
    <row r="1600" spans="1:8" x14ac:dyDescent="0.25">
      <c r="A1600" s="59" t="s">
        <v>413</v>
      </c>
      <c r="B1600" s="84" t="s">
        <v>266</v>
      </c>
      <c r="C1600" s="84" t="s">
        <v>383</v>
      </c>
      <c r="D1600" s="405" t="s">
        <v>414</v>
      </c>
      <c r="E1600" s="406"/>
      <c r="F1600" s="85" t="s">
        <v>415</v>
      </c>
      <c r="G1600" s="59" t="s">
        <v>416</v>
      </c>
      <c r="H1600" s="86"/>
    </row>
    <row r="1601" spans="1:8" x14ac:dyDescent="0.25">
      <c r="A1601" s="61"/>
      <c r="B1601" s="89">
        <f>2*E1566</f>
        <v>2</v>
      </c>
      <c r="C1601" s="108" t="s">
        <v>680</v>
      </c>
      <c r="D1601" s="407">
        <f>A1566/2-66</f>
        <v>-66</v>
      </c>
      <c r="E1601" s="408"/>
      <c r="F1601" s="90">
        <f>C1566-124</f>
        <v>-124</v>
      </c>
      <c r="G1601" s="152">
        <f>B1601*(D1601/1000)*(F1601/1000)</f>
        <v>1.6368000000000001E-2</v>
      </c>
      <c r="H1601" s="86"/>
    </row>
    <row r="1602" spans="1:8" x14ac:dyDescent="0.25">
      <c r="A1602" s="61"/>
      <c r="B1602" s="89">
        <f>2*E1566</f>
        <v>2</v>
      </c>
      <c r="C1602" s="88" t="s">
        <v>681</v>
      </c>
      <c r="D1602" s="407">
        <f>A1566/2-121</f>
        <v>-121</v>
      </c>
      <c r="E1602" s="408"/>
      <c r="F1602" s="90">
        <f>C1566-124</f>
        <v>-124</v>
      </c>
      <c r="G1602" s="152">
        <f>B1602*(D1602/1000)*(F1602/1000)</f>
        <v>3.0008E-2</v>
      </c>
      <c r="H1602" s="83"/>
    </row>
    <row r="1603" spans="1:8" x14ac:dyDescent="0.25">
      <c r="A1603" s="52"/>
      <c r="B1603" s="93"/>
      <c r="C1603" s="53"/>
      <c r="D1603" s="53"/>
      <c r="E1603" s="53"/>
      <c r="F1603" s="94" t="s">
        <v>418</v>
      </c>
      <c r="G1603" s="95">
        <f>SUM(G1601:G1602)</f>
        <v>4.6376000000000001E-2</v>
      </c>
      <c r="H1603" s="51"/>
    </row>
    <row r="1604" spans="1:8" x14ac:dyDescent="0.25">
      <c r="A1604" s="52"/>
      <c r="B1604" s="93"/>
      <c r="C1604" s="53"/>
      <c r="D1604" s="53"/>
      <c r="E1604" s="53"/>
      <c r="F1604" s="94"/>
      <c r="G1604" s="96"/>
      <c r="H1604" s="51"/>
    </row>
    <row r="1605" spans="1:8" x14ac:dyDescent="0.25">
      <c r="A1605" s="52"/>
      <c r="B1605" s="93"/>
      <c r="C1605" s="53"/>
      <c r="D1605" s="53"/>
      <c r="E1605" s="53"/>
      <c r="F1605" s="94"/>
      <c r="G1605" s="96"/>
      <c r="H1605" s="51"/>
    </row>
    <row r="1606" spans="1:8" x14ac:dyDescent="0.25">
      <c r="A1606" s="52"/>
      <c r="B1606" s="93"/>
      <c r="C1606" s="53"/>
      <c r="D1606" s="53"/>
      <c r="E1606" s="53"/>
      <c r="F1606" s="94"/>
      <c r="G1606" s="96"/>
      <c r="H1606" s="51"/>
    </row>
    <row r="1607" spans="1:8" x14ac:dyDescent="0.25">
      <c r="A1607" s="52"/>
      <c r="B1607" s="93"/>
      <c r="C1607" s="53"/>
      <c r="D1607" s="53"/>
      <c r="E1607" s="53"/>
      <c r="F1607" s="94"/>
      <c r="G1607" s="96"/>
      <c r="H1607" s="51"/>
    </row>
    <row r="1608" spans="1:8" x14ac:dyDescent="0.25">
      <c r="A1608" s="52"/>
      <c r="B1608" s="93"/>
      <c r="C1608" s="53"/>
      <c r="D1608" s="53"/>
      <c r="E1608" s="53"/>
      <c r="F1608" s="94"/>
      <c r="G1608" s="96"/>
      <c r="H1608" s="51"/>
    </row>
    <row r="1609" spans="1:8" x14ac:dyDescent="0.25">
      <c r="A1609" s="52"/>
      <c r="B1609" s="93"/>
      <c r="C1609" s="53"/>
      <c r="D1609" s="53"/>
      <c r="E1609" s="53"/>
      <c r="F1609" s="94"/>
      <c r="G1609" s="96"/>
      <c r="H1609" s="51"/>
    </row>
    <row r="1610" spans="1:8" x14ac:dyDescent="0.25">
      <c r="A1610" s="52"/>
      <c r="B1610" s="93"/>
      <c r="C1610" s="53"/>
      <c r="D1610" s="53"/>
      <c r="E1610" s="53"/>
      <c r="F1610" s="94"/>
      <c r="G1610" s="96"/>
      <c r="H1610" s="51"/>
    </row>
    <row r="1611" spans="1:8" x14ac:dyDescent="0.25">
      <c r="A1611" s="52"/>
      <c r="B1611" s="93"/>
      <c r="C1611" s="53"/>
      <c r="D1611" s="53"/>
      <c r="E1611" s="53"/>
      <c r="F1611" s="94"/>
      <c r="G1611" s="96"/>
      <c r="H1611" s="51"/>
    </row>
    <row r="1612" spans="1:8" x14ac:dyDescent="0.25">
      <c r="A1612" s="52"/>
      <c r="B1612" s="93"/>
      <c r="C1612" s="53"/>
      <c r="D1612" s="53"/>
      <c r="E1612" s="53"/>
      <c r="F1612" s="94"/>
      <c r="G1612" s="96"/>
      <c r="H1612" s="51"/>
    </row>
    <row r="1613" spans="1:8" x14ac:dyDescent="0.25">
      <c r="A1613" s="52"/>
      <c r="B1613" s="93"/>
      <c r="C1613" s="53"/>
      <c r="D1613" s="53"/>
      <c r="E1613" s="53"/>
      <c r="F1613" s="94"/>
      <c r="G1613" s="96"/>
      <c r="H1613" s="51"/>
    </row>
    <row r="1614" spans="1:8" x14ac:dyDescent="0.25">
      <c r="A1614" s="52"/>
      <c r="B1614" s="93"/>
      <c r="C1614" s="53"/>
      <c r="D1614" s="53"/>
      <c r="E1614" s="53"/>
      <c r="F1614" s="94"/>
      <c r="G1614" s="96"/>
      <c r="H1614" s="51"/>
    </row>
    <row r="1615" spans="1:8" x14ac:dyDescent="0.25">
      <c r="A1615" s="52"/>
      <c r="B1615" s="93"/>
      <c r="C1615" s="53"/>
      <c r="D1615" s="53"/>
      <c r="E1615" s="53"/>
      <c r="F1615" s="94"/>
      <c r="G1615" s="96"/>
      <c r="H1615" s="51"/>
    </row>
    <row r="1616" spans="1:8" x14ac:dyDescent="0.25">
      <c r="A1616" s="52"/>
      <c r="B1616" s="93"/>
      <c r="C1616" s="53"/>
      <c r="D1616" s="53"/>
      <c r="E1616" s="53"/>
      <c r="F1616" s="94"/>
      <c r="G1616" s="96"/>
      <c r="H1616" s="51"/>
    </row>
    <row r="1617" spans="1:8" x14ac:dyDescent="0.25">
      <c r="A1617" s="52"/>
      <c r="B1617" s="93"/>
      <c r="C1617" s="53"/>
      <c r="D1617" s="53"/>
      <c r="E1617" s="53"/>
      <c r="F1617" s="94"/>
      <c r="G1617" s="96"/>
      <c r="H1617" s="51"/>
    </row>
    <row r="1618" spans="1:8" x14ac:dyDescent="0.25">
      <c r="A1618" s="52"/>
      <c r="B1618" s="93"/>
      <c r="C1618" s="53"/>
      <c r="D1618" s="53"/>
      <c r="E1618" s="53"/>
      <c r="F1618" s="94"/>
      <c r="G1618" s="96"/>
      <c r="H1618" s="51"/>
    </row>
    <row r="1619" spans="1:8" x14ac:dyDescent="0.25">
      <c r="A1619" s="52"/>
      <c r="B1619" s="93"/>
      <c r="C1619" s="53"/>
      <c r="D1619" s="53"/>
      <c r="E1619" s="53"/>
      <c r="F1619" s="94"/>
      <c r="G1619" s="96"/>
      <c r="H1619" s="51"/>
    </row>
    <row r="1620" spans="1:8" x14ac:dyDescent="0.25">
      <c r="A1620" s="52"/>
      <c r="B1620" s="93"/>
      <c r="C1620" s="53"/>
      <c r="D1620" s="53"/>
      <c r="E1620" s="53"/>
      <c r="F1620" s="94"/>
      <c r="G1620" s="96"/>
      <c r="H1620" s="51"/>
    </row>
    <row r="1621" spans="1:8" x14ac:dyDescent="0.25">
      <c r="A1621" s="45"/>
      <c r="B1621" s="150"/>
      <c r="C1621" s="45"/>
      <c r="D1621" s="45"/>
      <c r="E1621" s="45"/>
      <c r="F1621" s="45"/>
      <c r="G1621" s="45"/>
      <c r="H1621" s="45"/>
    </row>
    <row r="1622" spans="1:8" x14ac:dyDescent="0.25">
      <c r="A1622" s="100"/>
      <c r="B1622" s="100"/>
      <c r="C1622" s="100"/>
      <c r="D1622" s="100"/>
      <c r="E1622" s="100"/>
      <c r="F1622" s="100"/>
      <c r="G1622" s="100"/>
      <c r="H1622" s="100"/>
    </row>
    <row r="1623" spans="1:8" x14ac:dyDescent="0.25">
      <c r="A1623" s="44"/>
      <c r="B1623" s="45"/>
      <c r="C1623" s="45"/>
      <c r="D1623" s="45"/>
      <c r="E1623" s="45"/>
      <c r="F1623" s="45"/>
      <c r="G1623" s="45"/>
      <c r="H1623" s="46"/>
    </row>
    <row r="1624" spans="1:8" x14ac:dyDescent="0.25">
      <c r="A1624" s="52"/>
      <c r="B1624" s="53"/>
      <c r="C1624" s="53"/>
      <c r="D1624" s="53"/>
      <c r="E1624" s="53"/>
      <c r="F1624" s="53"/>
      <c r="G1624" s="53"/>
      <c r="H1624" s="51"/>
    </row>
    <row r="1625" spans="1:8" x14ac:dyDescent="0.25">
      <c r="A1625" s="153" t="s">
        <v>682</v>
      </c>
      <c r="B1625" s="48"/>
      <c r="C1625" s="49"/>
      <c r="D1625" s="122"/>
      <c r="E1625" s="49"/>
      <c r="F1625" s="50"/>
      <c r="G1625" s="50"/>
      <c r="H1625" s="133"/>
    </row>
    <row r="1626" spans="1:8" ht="16.5" thickBot="1" x14ac:dyDescent="0.3">
      <c r="A1626" s="52"/>
      <c r="B1626" s="53"/>
      <c r="C1626" s="53"/>
      <c r="D1626" s="53"/>
      <c r="E1626" s="53"/>
      <c r="F1626" s="65"/>
      <c r="G1626" s="54" t="s">
        <v>683</v>
      </c>
      <c r="H1626" s="51"/>
    </row>
    <row r="1627" spans="1:8" ht="16.5" thickBot="1" x14ac:dyDescent="0.3">
      <c r="A1627" s="400" t="s">
        <v>381</v>
      </c>
      <c r="B1627" s="401"/>
      <c r="C1627" s="402" t="s">
        <v>382</v>
      </c>
      <c r="D1627" s="401"/>
      <c r="E1627" s="55" t="s">
        <v>266</v>
      </c>
      <c r="F1627" s="65"/>
      <c r="G1627" s="54"/>
      <c r="H1627" s="51"/>
    </row>
    <row r="1628" spans="1:8" ht="16.5" thickBot="1" x14ac:dyDescent="0.3">
      <c r="A1628" s="403">
        <v>0</v>
      </c>
      <c r="B1628" s="404"/>
      <c r="C1628" s="403">
        <v>0</v>
      </c>
      <c r="D1628" s="404"/>
      <c r="E1628" s="56">
        <v>1</v>
      </c>
      <c r="F1628" s="65"/>
      <c r="G1628" s="54"/>
      <c r="H1628" s="51"/>
    </row>
    <row r="1629" spans="1:8" x14ac:dyDescent="0.25">
      <c r="A1629" s="52"/>
      <c r="B1629" s="58"/>
      <c r="C1629" s="58"/>
      <c r="D1629" s="58"/>
      <c r="E1629" s="58"/>
      <c r="F1629" s="58"/>
      <c r="G1629" s="53"/>
      <c r="H1629" s="83"/>
    </row>
    <row r="1630" spans="1:8" x14ac:dyDescent="0.25">
      <c r="A1630" s="59" t="s">
        <v>323</v>
      </c>
      <c r="B1630" s="59" t="s">
        <v>266</v>
      </c>
      <c r="C1630" s="59" t="s">
        <v>383</v>
      </c>
      <c r="D1630" s="59" t="s">
        <v>384</v>
      </c>
      <c r="E1630" s="59" t="s">
        <v>332</v>
      </c>
      <c r="F1630" s="59" t="s">
        <v>385</v>
      </c>
      <c r="G1630" s="59" t="s">
        <v>386</v>
      </c>
      <c r="H1630" s="59" t="s">
        <v>387</v>
      </c>
    </row>
    <row r="1631" spans="1:8" x14ac:dyDescent="0.25">
      <c r="A1631" s="134">
        <v>6901</v>
      </c>
      <c r="B1631" s="135">
        <f>1*E1628</f>
        <v>1</v>
      </c>
      <c r="C1631" s="135" t="s">
        <v>367</v>
      </c>
      <c r="D1631" s="61">
        <f>A1628-14</f>
        <v>-14</v>
      </c>
      <c r="E1631" s="135" t="s">
        <v>590</v>
      </c>
      <c r="F1631" s="136" t="s">
        <v>388</v>
      </c>
      <c r="G1631" s="63">
        <v>0.69199999999999995</v>
      </c>
      <c r="H1631" s="63">
        <f t="shared" ref="H1631:H1641" si="26">(D1631/1000)*B1631*G1631</f>
        <v>-9.6879999999999987E-3</v>
      </c>
    </row>
    <row r="1632" spans="1:8" x14ac:dyDescent="0.25">
      <c r="A1632" s="134">
        <v>6921</v>
      </c>
      <c r="B1632" s="135">
        <f>1*E1628</f>
        <v>1</v>
      </c>
      <c r="C1632" s="135" t="s">
        <v>367</v>
      </c>
      <c r="D1632" s="61">
        <f>A1628-14</f>
        <v>-14</v>
      </c>
      <c r="E1632" s="135" t="s">
        <v>590</v>
      </c>
      <c r="F1632" s="136" t="s">
        <v>591</v>
      </c>
      <c r="G1632" s="63">
        <v>0.60499999999999998</v>
      </c>
      <c r="H1632" s="63">
        <f t="shared" si="26"/>
        <v>-8.4700000000000001E-3</v>
      </c>
    </row>
    <row r="1633" spans="1:8" x14ac:dyDescent="0.25">
      <c r="A1633" s="134">
        <v>6903</v>
      </c>
      <c r="B1633" s="135">
        <f>1*E1628</f>
        <v>1</v>
      </c>
      <c r="C1633" s="135" t="s">
        <v>337</v>
      </c>
      <c r="D1633" s="61">
        <f>C1628</f>
        <v>0</v>
      </c>
      <c r="E1633" s="135" t="s">
        <v>590</v>
      </c>
      <c r="F1633" s="136" t="s">
        <v>83</v>
      </c>
      <c r="G1633" s="63">
        <v>0.55000000000000004</v>
      </c>
      <c r="H1633" s="63">
        <f t="shared" si="26"/>
        <v>0</v>
      </c>
    </row>
    <row r="1634" spans="1:8" x14ac:dyDescent="0.25">
      <c r="A1634" s="134">
        <v>6954</v>
      </c>
      <c r="B1634" s="135">
        <f>1*E1628</f>
        <v>1</v>
      </c>
      <c r="C1634" s="135" t="s">
        <v>337</v>
      </c>
      <c r="D1634" s="105">
        <f>C1628</f>
        <v>0</v>
      </c>
      <c r="E1634" s="135" t="s">
        <v>590</v>
      </c>
      <c r="F1634" s="136" t="s">
        <v>684</v>
      </c>
      <c r="G1634" s="63">
        <v>0.42499999999999999</v>
      </c>
      <c r="H1634" s="63">
        <f t="shared" si="26"/>
        <v>0</v>
      </c>
    </row>
    <row r="1635" spans="1:8" x14ac:dyDescent="0.25">
      <c r="A1635" s="134">
        <v>6905</v>
      </c>
      <c r="B1635" s="135">
        <f>1*E1628</f>
        <v>1</v>
      </c>
      <c r="C1635" s="135" t="s">
        <v>685</v>
      </c>
      <c r="D1635" s="61">
        <f>C1628-44</f>
        <v>-44</v>
      </c>
      <c r="E1635" s="135" t="s">
        <v>590</v>
      </c>
      <c r="F1635" s="136" t="s">
        <v>391</v>
      </c>
      <c r="G1635" s="63">
        <v>0.54300000000000004</v>
      </c>
      <c r="H1635" s="63">
        <f t="shared" si="26"/>
        <v>-2.3892E-2</v>
      </c>
    </row>
    <row r="1636" spans="1:8" x14ac:dyDescent="0.25">
      <c r="A1636" s="134">
        <v>6906</v>
      </c>
      <c r="B1636" s="135">
        <f>1*E1628</f>
        <v>1</v>
      </c>
      <c r="C1636" s="135" t="s">
        <v>685</v>
      </c>
      <c r="D1636" s="61">
        <f>C1628-44</f>
        <v>-44</v>
      </c>
      <c r="E1636" s="135" t="s">
        <v>590</v>
      </c>
      <c r="F1636" s="136" t="s">
        <v>138</v>
      </c>
      <c r="G1636" s="63">
        <v>0.48</v>
      </c>
      <c r="H1636" s="63">
        <f t="shared" si="26"/>
        <v>-2.1119999999999996E-2</v>
      </c>
    </row>
    <row r="1637" spans="1:8" x14ac:dyDescent="0.25">
      <c r="A1637" s="134">
        <v>6906</v>
      </c>
      <c r="B1637" s="135">
        <f>1*E1628</f>
        <v>1</v>
      </c>
      <c r="C1637" s="135" t="s">
        <v>686</v>
      </c>
      <c r="D1637" s="61">
        <f>C1628-30</f>
        <v>-30</v>
      </c>
      <c r="E1637" s="135" t="s">
        <v>590</v>
      </c>
      <c r="F1637" s="136" t="s">
        <v>138</v>
      </c>
      <c r="G1637" s="63">
        <v>0.48</v>
      </c>
      <c r="H1637" s="63">
        <f t="shared" si="26"/>
        <v>-1.44E-2</v>
      </c>
    </row>
    <row r="1638" spans="1:8" x14ac:dyDescent="0.25">
      <c r="A1638" s="134">
        <v>6955</v>
      </c>
      <c r="B1638" s="135">
        <f>1*E1628</f>
        <v>1</v>
      </c>
      <c r="C1638" s="135" t="s">
        <v>686</v>
      </c>
      <c r="D1638" s="61">
        <f>C1628-30</f>
        <v>-30</v>
      </c>
      <c r="E1638" s="135" t="s">
        <v>590</v>
      </c>
      <c r="F1638" s="136" t="s">
        <v>687</v>
      </c>
      <c r="G1638" s="63">
        <v>0.26600000000000001</v>
      </c>
      <c r="H1638" s="63">
        <f t="shared" si="26"/>
        <v>-7.980000000000001E-3</v>
      </c>
    </row>
    <row r="1639" spans="1:8" x14ac:dyDescent="0.25">
      <c r="A1639" s="134">
        <v>6907</v>
      </c>
      <c r="B1639" s="135">
        <f>1*E1628</f>
        <v>1</v>
      </c>
      <c r="C1639" s="135" t="s">
        <v>389</v>
      </c>
      <c r="D1639" s="61">
        <f>A1628/2-14</f>
        <v>-14</v>
      </c>
      <c r="E1639" s="135" t="s">
        <v>590</v>
      </c>
      <c r="F1639" s="136" t="s">
        <v>324</v>
      </c>
      <c r="G1639" s="63">
        <v>0.437</v>
      </c>
      <c r="H1639" s="63">
        <f t="shared" si="26"/>
        <v>-6.1180000000000002E-3</v>
      </c>
    </row>
    <row r="1640" spans="1:8" x14ac:dyDescent="0.25">
      <c r="A1640" s="134">
        <v>6908</v>
      </c>
      <c r="B1640" s="135">
        <f>1*E1628</f>
        <v>1</v>
      </c>
      <c r="C1640" s="135" t="s">
        <v>389</v>
      </c>
      <c r="D1640" s="61">
        <f>A1628/2-14</f>
        <v>-14</v>
      </c>
      <c r="E1640" s="135" t="s">
        <v>590</v>
      </c>
      <c r="F1640" s="136" t="s">
        <v>341</v>
      </c>
      <c r="G1640" s="63">
        <v>0.54300000000000004</v>
      </c>
      <c r="H1640" s="63">
        <f t="shared" si="26"/>
        <v>-7.6020000000000011E-3</v>
      </c>
    </row>
    <row r="1641" spans="1:8" x14ac:dyDescent="0.25">
      <c r="A1641" s="134">
        <v>6907</v>
      </c>
      <c r="B1641" s="135">
        <f>1*E1628</f>
        <v>1</v>
      </c>
      <c r="C1641" s="135" t="s">
        <v>688</v>
      </c>
      <c r="D1641" s="61">
        <f>A1628/2+2</f>
        <v>2</v>
      </c>
      <c r="E1641" s="135" t="s">
        <v>590</v>
      </c>
      <c r="F1641" s="136" t="s">
        <v>324</v>
      </c>
      <c r="G1641" s="63">
        <v>0.437</v>
      </c>
      <c r="H1641" s="63">
        <f t="shared" si="26"/>
        <v>8.7399999999999999E-4</v>
      </c>
    </row>
    <row r="1642" spans="1:8" x14ac:dyDescent="0.25">
      <c r="A1642" s="134">
        <v>6944</v>
      </c>
      <c r="B1642" s="135">
        <f>1*E1628</f>
        <v>1</v>
      </c>
      <c r="C1642" s="135" t="s">
        <v>688</v>
      </c>
      <c r="D1642" s="61">
        <f>A1629/2+2</f>
        <v>2</v>
      </c>
      <c r="E1642" s="135" t="s">
        <v>590</v>
      </c>
      <c r="F1642" s="136" t="s">
        <v>639</v>
      </c>
      <c r="G1642" s="63">
        <v>0.629</v>
      </c>
      <c r="H1642" s="63">
        <f>(D1642/1000)*B1642*G1642</f>
        <v>1.258E-3</v>
      </c>
    </row>
    <row r="1643" spans="1:8" x14ac:dyDescent="0.25">
      <c r="A1643" s="64"/>
      <c r="B1643" s="65"/>
      <c r="C1643" s="65"/>
      <c r="D1643" s="65"/>
      <c r="E1643" s="65"/>
      <c r="F1643" s="65"/>
      <c r="G1643" s="63" t="s">
        <v>392</v>
      </c>
      <c r="H1643" s="63">
        <f>SUM(H1631:H1642)</f>
        <v>-9.7138000000000002E-2</v>
      </c>
    </row>
    <row r="1644" spans="1:8" x14ac:dyDescent="0.25">
      <c r="A1644" s="64"/>
      <c r="B1644" s="65"/>
      <c r="C1644" s="65"/>
      <c r="D1644" s="65"/>
      <c r="E1644" s="65"/>
      <c r="F1644" s="65"/>
      <c r="G1644" s="66"/>
      <c r="H1644" s="67"/>
    </row>
    <row r="1645" spans="1:8" x14ac:dyDescent="0.25">
      <c r="A1645" s="64"/>
      <c r="B1645" s="65"/>
      <c r="C1645" s="65"/>
      <c r="D1645" s="65"/>
      <c r="E1645" s="65"/>
      <c r="F1645" s="65"/>
      <c r="G1645" s="68"/>
      <c r="H1645" s="67"/>
    </row>
    <row r="1646" spans="1:8" x14ac:dyDescent="0.25">
      <c r="A1646" s="69" t="s">
        <v>393</v>
      </c>
      <c r="B1646" s="70"/>
      <c r="C1646" s="70"/>
      <c r="D1646" s="71"/>
      <c r="E1646" s="59" t="s">
        <v>36</v>
      </c>
      <c r="F1646" s="59" t="s">
        <v>266</v>
      </c>
      <c r="G1646" s="52"/>
      <c r="H1646" s="72"/>
    </row>
    <row r="1647" spans="1:8" x14ac:dyDescent="0.25">
      <c r="A1647" s="139" t="s">
        <v>689</v>
      </c>
      <c r="B1647" s="74"/>
      <c r="C1647" s="70"/>
      <c r="D1647" s="71"/>
      <c r="E1647" s="114">
        <f>F1647*E1628</f>
        <v>2</v>
      </c>
      <c r="F1647" s="135">
        <v>2</v>
      </c>
      <c r="G1647" s="76"/>
      <c r="H1647" s="77"/>
    </row>
    <row r="1648" spans="1:8" x14ac:dyDescent="0.25">
      <c r="A1648" s="139" t="s">
        <v>690</v>
      </c>
      <c r="B1648" s="74"/>
      <c r="C1648" s="70"/>
      <c r="D1648" s="71"/>
      <c r="E1648" s="115">
        <f>F1648*E1628</f>
        <v>1</v>
      </c>
      <c r="F1648" s="135">
        <v>1</v>
      </c>
      <c r="G1648" s="76"/>
      <c r="H1648" s="77"/>
    </row>
    <row r="1649" spans="1:8" x14ac:dyDescent="0.25">
      <c r="A1649" s="139" t="s">
        <v>691</v>
      </c>
      <c r="B1649" s="74"/>
      <c r="C1649" s="70"/>
      <c r="D1649" s="71"/>
      <c r="E1649" s="115">
        <f>F1649*E1628</f>
        <v>1</v>
      </c>
      <c r="F1649" s="135">
        <v>1</v>
      </c>
      <c r="G1649" s="65"/>
      <c r="H1649" s="77"/>
    </row>
    <row r="1650" spans="1:8" x14ac:dyDescent="0.25">
      <c r="A1650" s="139" t="s">
        <v>605</v>
      </c>
      <c r="B1650" s="74"/>
      <c r="C1650" s="70"/>
      <c r="D1650" s="71"/>
      <c r="E1650" s="115">
        <f>2*(A1628/1000)+4*(C1628/1000)*E1628</f>
        <v>0</v>
      </c>
      <c r="F1650" s="135" t="s">
        <v>402</v>
      </c>
      <c r="G1650" s="64"/>
      <c r="H1650" s="77"/>
    </row>
    <row r="1651" spans="1:8" x14ac:dyDescent="0.25">
      <c r="A1651" s="139" t="s">
        <v>692</v>
      </c>
      <c r="B1651" s="74"/>
      <c r="C1651" s="70"/>
      <c r="D1651" s="71"/>
      <c r="E1651" s="115">
        <f>2*(A1628/1000)+4*(C1628/1000)*E1628</f>
        <v>0</v>
      </c>
      <c r="F1651" s="135" t="s">
        <v>402</v>
      </c>
      <c r="G1651" s="64"/>
      <c r="H1651" s="77"/>
    </row>
    <row r="1652" spans="1:8" x14ac:dyDescent="0.25">
      <c r="A1652" s="139" t="s">
        <v>643</v>
      </c>
      <c r="B1652" s="74"/>
      <c r="C1652" s="70"/>
      <c r="D1652" s="71"/>
      <c r="E1652" s="115">
        <f>F1652*E1628</f>
        <v>2</v>
      </c>
      <c r="F1652" s="135">
        <v>2</v>
      </c>
      <c r="G1652" s="64"/>
      <c r="H1652" s="77"/>
    </row>
    <row r="1653" spans="1:8" x14ac:dyDescent="0.25">
      <c r="A1653" s="139" t="s">
        <v>693</v>
      </c>
      <c r="B1653" s="74"/>
      <c r="C1653" s="70"/>
      <c r="D1653" s="71"/>
      <c r="E1653" s="115">
        <f>F1653*E1628</f>
        <v>2</v>
      </c>
      <c r="F1653" s="135">
        <v>2</v>
      </c>
      <c r="G1653" s="64"/>
      <c r="H1653" s="77"/>
    </row>
    <row r="1654" spans="1:8" x14ac:dyDescent="0.25">
      <c r="A1654" s="139" t="s">
        <v>404</v>
      </c>
      <c r="B1654" s="74"/>
      <c r="C1654" s="70"/>
      <c r="D1654" s="71"/>
      <c r="E1654" s="115">
        <f>F1654*E1628</f>
        <v>4</v>
      </c>
      <c r="F1654" s="135">
        <v>4</v>
      </c>
      <c r="G1654" s="76"/>
      <c r="H1654" s="77"/>
    </row>
    <row r="1655" spans="1:8" x14ac:dyDescent="0.25">
      <c r="A1655" s="139" t="s">
        <v>405</v>
      </c>
      <c r="B1655" s="74"/>
      <c r="C1655" s="70"/>
      <c r="D1655" s="71"/>
      <c r="E1655" s="115">
        <f>F1655*E1628</f>
        <v>6</v>
      </c>
      <c r="F1655" s="135">
        <v>6</v>
      </c>
      <c r="G1655" s="76"/>
      <c r="H1655" s="77"/>
    </row>
    <row r="1656" spans="1:8" x14ac:dyDescent="0.25">
      <c r="A1656" s="139" t="s">
        <v>610</v>
      </c>
      <c r="B1656" s="74"/>
      <c r="C1656" s="70"/>
      <c r="D1656" s="71"/>
      <c r="E1656" s="115">
        <f>F1656*E1628</f>
        <v>1</v>
      </c>
      <c r="F1656" s="135">
        <v>1</v>
      </c>
      <c r="G1656" s="76"/>
      <c r="H1656" s="77"/>
    </row>
    <row r="1657" spans="1:8" x14ac:dyDescent="0.25">
      <c r="A1657" s="142" t="s">
        <v>631</v>
      </c>
      <c r="B1657" s="74"/>
      <c r="C1657" s="70"/>
      <c r="D1657" s="71"/>
      <c r="E1657" s="115">
        <f>F1657*E1628</f>
        <v>1</v>
      </c>
      <c r="F1657" s="135">
        <v>1</v>
      </c>
      <c r="G1657" s="76"/>
      <c r="H1657" s="77"/>
    </row>
    <row r="1658" spans="1:8" x14ac:dyDescent="0.25">
      <c r="A1658" s="139" t="s">
        <v>694</v>
      </c>
      <c r="B1658" s="74"/>
      <c r="C1658" s="70"/>
      <c r="D1658" s="71"/>
      <c r="E1658" s="115">
        <f>F1658*E1628</f>
        <v>1</v>
      </c>
      <c r="F1658" s="135">
        <v>1</v>
      </c>
      <c r="G1658" s="76"/>
      <c r="H1658" s="77"/>
    </row>
    <row r="1659" spans="1:8" x14ac:dyDescent="0.25">
      <c r="A1659" s="143" t="s">
        <v>409</v>
      </c>
      <c r="B1659" s="74"/>
      <c r="C1659" s="70"/>
      <c r="D1659" s="71"/>
      <c r="E1659" s="115">
        <f>F1659*E1628</f>
        <v>2</v>
      </c>
      <c r="F1659" s="135">
        <v>2</v>
      </c>
      <c r="G1659" s="76"/>
      <c r="H1659" s="77"/>
    </row>
    <row r="1660" spans="1:8" x14ac:dyDescent="0.25">
      <c r="A1660" s="139" t="s">
        <v>695</v>
      </c>
      <c r="B1660" s="74"/>
      <c r="C1660" s="70"/>
      <c r="D1660" s="71"/>
      <c r="E1660" s="115">
        <f>1*(A1628/1000)*E1628</f>
        <v>0</v>
      </c>
      <c r="F1660" s="135" t="s">
        <v>696</v>
      </c>
      <c r="G1660" s="76"/>
      <c r="H1660" s="77"/>
    </row>
    <row r="1661" spans="1:8" x14ac:dyDescent="0.25">
      <c r="A1661" s="139" t="s">
        <v>611</v>
      </c>
      <c r="B1661" s="74"/>
      <c r="C1661" s="70"/>
      <c r="D1661" s="71"/>
      <c r="E1661" s="115">
        <f>F1661*E1628</f>
        <v>16</v>
      </c>
      <c r="F1661" s="135">
        <v>16</v>
      </c>
      <c r="G1661" s="76"/>
      <c r="H1661" s="77"/>
    </row>
    <row r="1662" spans="1:8" x14ac:dyDescent="0.25">
      <c r="A1662" s="52"/>
      <c r="B1662" s="53"/>
      <c r="C1662" s="53"/>
      <c r="D1662" s="53"/>
      <c r="E1662" s="53"/>
      <c r="F1662" s="53"/>
      <c r="G1662" s="53"/>
      <c r="H1662" s="83"/>
    </row>
    <row r="1663" spans="1:8" x14ac:dyDescent="0.25">
      <c r="A1663" s="52"/>
      <c r="B1663" s="53"/>
      <c r="C1663" s="53"/>
      <c r="D1663" s="53"/>
      <c r="E1663" s="53"/>
      <c r="F1663" s="53"/>
      <c r="G1663" s="53"/>
      <c r="H1663" s="83"/>
    </row>
    <row r="1664" spans="1:8" x14ac:dyDescent="0.25">
      <c r="A1664" s="59" t="s">
        <v>413</v>
      </c>
      <c r="B1664" s="84" t="s">
        <v>266</v>
      </c>
      <c r="C1664" s="84" t="s">
        <v>383</v>
      </c>
      <c r="D1664" s="405" t="s">
        <v>414</v>
      </c>
      <c r="E1664" s="406"/>
      <c r="F1664" s="85" t="s">
        <v>415</v>
      </c>
      <c r="G1664" s="59" t="s">
        <v>416</v>
      </c>
      <c r="H1664" s="86"/>
    </row>
    <row r="1665" spans="1:8" x14ac:dyDescent="0.25">
      <c r="A1665" s="61"/>
      <c r="B1665" s="89">
        <f>1*E1628</f>
        <v>1</v>
      </c>
      <c r="C1665" s="89" t="s">
        <v>697</v>
      </c>
      <c r="D1665" s="407">
        <f>A1628/2-55</f>
        <v>-55</v>
      </c>
      <c r="E1665" s="408"/>
      <c r="F1665" s="90">
        <f>C1628-120</f>
        <v>-120</v>
      </c>
      <c r="G1665" s="154">
        <f>B1665*(D1665/1000)*(F1665/1000)</f>
        <v>6.6E-3</v>
      </c>
      <c r="H1665" s="86"/>
    </row>
    <row r="1666" spans="1:8" x14ac:dyDescent="0.25">
      <c r="A1666" s="61"/>
      <c r="B1666" s="89">
        <f>1*E1628</f>
        <v>1</v>
      </c>
      <c r="C1666" s="61" t="s">
        <v>698</v>
      </c>
      <c r="D1666" s="407">
        <f>A1628/2-20</f>
        <v>-20</v>
      </c>
      <c r="E1666" s="408"/>
      <c r="F1666" s="90">
        <f>C1628-120</f>
        <v>-120</v>
      </c>
      <c r="G1666" s="154">
        <f>B1666*(D1666/1000)*(F1666/1000)</f>
        <v>2.3999999999999998E-3</v>
      </c>
      <c r="H1666" s="83"/>
    </row>
    <row r="1667" spans="1:8" x14ac:dyDescent="0.25">
      <c r="A1667" s="52"/>
      <c r="B1667" s="93"/>
      <c r="C1667" s="53"/>
      <c r="D1667" s="53"/>
      <c r="E1667" s="53"/>
      <c r="F1667" s="94" t="s">
        <v>418</v>
      </c>
      <c r="G1667" s="95"/>
      <c r="H1667" s="51"/>
    </row>
    <row r="1668" spans="1:8" x14ac:dyDescent="0.25">
      <c r="A1668" s="52"/>
      <c r="B1668" s="93"/>
      <c r="C1668" s="53"/>
      <c r="D1668" s="53"/>
      <c r="E1668" s="53"/>
      <c r="F1668" s="94"/>
      <c r="G1668" s="96"/>
      <c r="H1668" s="51"/>
    </row>
    <row r="1669" spans="1:8" x14ac:dyDescent="0.25">
      <c r="A1669" s="52"/>
      <c r="B1669" s="93"/>
      <c r="C1669" s="53"/>
      <c r="D1669" s="53"/>
      <c r="E1669" s="53"/>
      <c r="F1669" s="94"/>
      <c r="G1669" s="96"/>
      <c r="H1669" s="51"/>
    </row>
    <row r="1670" spans="1:8" x14ac:dyDescent="0.25">
      <c r="A1670" s="52"/>
      <c r="B1670" s="93"/>
      <c r="C1670" s="53"/>
      <c r="D1670" s="53"/>
      <c r="E1670" s="53"/>
      <c r="F1670" s="94"/>
      <c r="G1670" s="96"/>
      <c r="H1670" s="51"/>
    </row>
    <row r="1671" spans="1:8" x14ac:dyDescent="0.25">
      <c r="A1671" s="52"/>
      <c r="B1671" s="93"/>
      <c r="C1671" s="53"/>
      <c r="D1671" s="53"/>
      <c r="E1671" s="53"/>
      <c r="F1671" s="94"/>
      <c r="G1671" s="96"/>
      <c r="H1671" s="51"/>
    </row>
    <row r="1672" spans="1:8" x14ac:dyDescent="0.25">
      <c r="A1672" s="52"/>
      <c r="B1672" s="93"/>
      <c r="C1672" s="53"/>
      <c r="D1672" s="53"/>
      <c r="E1672" s="53"/>
      <c r="F1672" s="94"/>
      <c r="G1672" s="96"/>
      <c r="H1672" s="51"/>
    </row>
    <row r="1673" spans="1:8" x14ac:dyDescent="0.25">
      <c r="A1673" s="52"/>
      <c r="B1673" s="93"/>
      <c r="C1673" s="53"/>
      <c r="D1673" s="53"/>
      <c r="E1673" s="53"/>
      <c r="F1673" s="94"/>
      <c r="G1673" s="96"/>
      <c r="H1673" s="51"/>
    </row>
    <row r="1674" spans="1:8" x14ac:dyDescent="0.25">
      <c r="A1674" s="52"/>
      <c r="B1674" s="93"/>
      <c r="C1674" s="53"/>
      <c r="D1674" s="53"/>
      <c r="E1674" s="53"/>
      <c r="F1674" s="94"/>
      <c r="G1674" s="96"/>
      <c r="H1674" s="51"/>
    </row>
    <row r="1675" spans="1:8" x14ac:dyDescent="0.25">
      <c r="A1675" s="52"/>
      <c r="B1675" s="93"/>
      <c r="C1675" s="53"/>
      <c r="D1675" s="53"/>
      <c r="E1675" s="53"/>
      <c r="F1675" s="94"/>
      <c r="G1675" s="96"/>
      <c r="H1675" s="51"/>
    </row>
    <row r="1676" spans="1:8" x14ac:dyDescent="0.25">
      <c r="A1676" s="52"/>
      <c r="B1676" s="93"/>
      <c r="C1676" s="53"/>
      <c r="D1676" s="53"/>
      <c r="E1676" s="53"/>
      <c r="F1676" s="94"/>
      <c r="G1676" s="96"/>
      <c r="H1676" s="51"/>
    </row>
    <row r="1677" spans="1:8" x14ac:dyDescent="0.25">
      <c r="A1677" s="52"/>
      <c r="B1677" s="93"/>
      <c r="C1677" s="53"/>
      <c r="D1677" s="53"/>
      <c r="E1677" s="53"/>
      <c r="F1677" s="94"/>
      <c r="G1677" s="96"/>
      <c r="H1677" s="51"/>
    </row>
    <row r="1678" spans="1:8" x14ac:dyDescent="0.25">
      <c r="A1678" s="52"/>
      <c r="B1678" s="93"/>
      <c r="C1678" s="53"/>
      <c r="D1678" s="53"/>
      <c r="E1678" s="53"/>
      <c r="F1678" s="94"/>
      <c r="G1678" s="96"/>
      <c r="H1678" s="51"/>
    </row>
    <row r="1679" spans="1:8" x14ac:dyDescent="0.25">
      <c r="A1679" s="52"/>
      <c r="B1679" s="93"/>
      <c r="C1679" s="53"/>
      <c r="D1679" s="53"/>
      <c r="E1679" s="53"/>
      <c r="F1679" s="94"/>
      <c r="G1679" s="96"/>
      <c r="H1679" s="51"/>
    </row>
    <row r="1680" spans="1:8" x14ac:dyDescent="0.25">
      <c r="A1680" s="52"/>
      <c r="B1680" s="93"/>
      <c r="C1680" s="53"/>
      <c r="D1680" s="53"/>
      <c r="E1680" s="53"/>
      <c r="F1680" s="94"/>
      <c r="G1680" s="96"/>
      <c r="H1680" s="51"/>
    </row>
    <row r="1681" spans="1:8" x14ac:dyDescent="0.25">
      <c r="A1681" s="52"/>
      <c r="B1681" s="93"/>
      <c r="C1681" s="53"/>
      <c r="D1681" s="53"/>
      <c r="E1681" s="53"/>
      <c r="F1681" s="94"/>
      <c r="G1681" s="96"/>
      <c r="H1681" s="51"/>
    </row>
    <row r="1682" spans="1:8" x14ac:dyDescent="0.25">
      <c r="A1682" s="52"/>
      <c r="B1682" s="93"/>
      <c r="C1682" s="53"/>
      <c r="D1682" s="53"/>
      <c r="E1682" s="53"/>
      <c r="F1682" s="94"/>
      <c r="G1682" s="96"/>
      <c r="H1682" s="51"/>
    </row>
    <row r="1683" spans="1:8" x14ac:dyDescent="0.25">
      <c r="A1683" s="52"/>
      <c r="B1683" s="93"/>
      <c r="C1683" s="53"/>
      <c r="D1683" s="53"/>
      <c r="E1683" s="53"/>
      <c r="F1683" s="94"/>
      <c r="G1683" s="96"/>
      <c r="H1683" s="51"/>
    </row>
    <row r="1684" spans="1:8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x14ac:dyDescent="0.25">
      <c r="A1685" s="100"/>
      <c r="B1685" s="100"/>
      <c r="C1685" s="155"/>
      <c r="D1685" s="100"/>
      <c r="E1685" s="100"/>
      <c r="F1685" s="100"/>
      <c r="G1685" s="100"/>
      <c r="H1685" s="100"/>
    </row>
    <row r="1686" spans="1:8" x14ac:dyDescent="0.25">
      <c r="A1686" s="44"/>
      <c r="B1686" s="45"/>
      <c r="C1686" s="45"/>
      <c r="D1686" s="45"/>
      <c r="E1686" s="45"/>
      <c r="F1686" s="45"/>
      <c r="G1686" s="45"/>
      <c r="H1686" s="46"/>
    </row>
    <row r="1687" spans="1:8" x14ac:dyDescent="0.25">
      <c r="A1687" s="52"/>
      <c r="B1687" s="53"/>
      <c r="C1687" s="53"/>
      <c r="D1687" s="53"/>
      <c r="E1687" s="53"/>
      <c r="F1687" s="53"/>
      <c r="G1687" s="53"/>
      <c r="H1687" s="51"/>
    </row>
    <row r="1688" spans="1:8" x14ac:dyDescent="0.25">
      <c r="A1688" s="153" t="s">
        <v>699</v>
      </c>
      <c r="B1688" s="48"/>
      <c r="C1688" s="49"/>
      <c r="D1688" s="122"/>
      <c r="E1688" s="49"/>
      <c r="F1688" s="50"/>
      <c r="G1688" s="50"/>
      <c r="H1688" s="133"/>
    </row>
    <row r="1689" spans="1:8" ht="16.5" thickBot="1" x14ac:dyDescent="0.3">
      <c r="A1689" s="52"/>
      <c r="B1689" s="53"/>
      <c r="C1689" s="53"/>
      <c r="D1689" s="53"/>
      <c r="E1689" s="53"/>
      <c r="F1689" s="65"/>
      <c r="G1689" s="54" t="s">
        <v>700</v>
      </c>
      <c r="H1689" s="51"/>
    </row>
    <row r="1690" spans="1:8" ht="16.5" thickBot="1" x14ac:dyDescent="0.3">
      <c r="A1690" s="400" t="s">
        <v>381</v>
      </c>
      <c r="B1690" s="401"/>
      <c r="C1690" s="402" t="s">
        <v>382</v>
      </c>
      <c r="D1690" s="401"/>
      <c r="E1690" s="55" t="s">
        <v>266</v>
      </c>
      <c r="F1690" s="65"/>
      <c r="G1690" s="54"/>
      <c r="H1690" s="51"/>
    </row>
    <row r="1691" spans="1:8" ht="16.5" thickBot="1" x14ac:dyDescent="0.3">
      <c r="A1691" s="403">
        <v>0</v>
      </c>
      <c r="B1691" s="404"/>
      <c r="C1691" s="403">
        <v>0</v>
      </c>
      <c r="D1691" s="404"/>
      <c r="E1691" s="56">
        <v>1</v>
      </c>
      <c r="F1691" s="65"/>
      <c r="G1691" s="53"/>
      <c r="H1691" s="51"/>
    </row>
    <row r="1692" spans="1:8" x14ac:dyDescent="0.25">
      <c r="A1692" s="52"/>
      <c r="B1692" s="58"/>
      <c r="C1692" s="58"/>
      <c r="D1692" s="58"/>
      <c r="E1692" s="58"/>
      <c r="F1692" s="58"/>
      <c r="G1692" s="53"/>
      <c r="H1692" s="83"/>
    </row>
    <row r="1693" spans="1:8" x14ac:dyDescent="0.25">
      <c r="A1693" s="59" t="s">
        <v>323</v>
      </c>
      <c r="B1693" s="59" t="s">
        <v>266</v>
      </c>
      <c r="C1693" s="59" t="s">
        <v>383</v>
      </c>
      <c r="D1693" s="59" t="s">
        <v>384</v>
      </c>
      <c r="E1693" s="59" t="s">
        <v>332</v>
      </c>
      <c r="F1693" s="59" t="s">
        <v>385</v>
      </c>
      <c r="G1693" s="59" t="s">
        <v>386</v>
      </c>
      <c r="H1693" s="59" t="s">
        <v>387</v>
      </c>
    </row>
    <row r="1694" spans="1:8" x14ac:dyDescent="0.25">
      <c r="A1694" s="134">
        <v>6901</v>
      </c>
      <c r="B1694" s="135">
        <f>1*E1691</f>
        <v>1</v>
      </c>
      <c r="C1694" s="135" t="s">
        <v>367</v>
      </c>
      <c r="D1694" s="61">
        <f>A1691-14</f>
        <v>-14</v>
      </c>
      <c r="E1694" s="135" t="s">
        <v>590</v>
      </c>
      <c r="F1694" s="136" t="s">
        <v>388</v>
      </c>
      <c r="G1694" s="63">
        <v>0.69199999999999995</v>
      </c>
      <c r="H1694" s="63">
        <f t="shared" ref="H1694:H1702" si="27">(D1694/1000)*B1694*G1694</f>
        <v>-9.6879999999999987E-3</v>
      </c>
    </row>
    <row r="1695" spans="1:8" x14ac:dyDescent="0.25">
      <c r="A1695" s="134">
        <v>6921</v>
      </c>
      <c r="B1695" s="135">
        <f>1*E1691</f>
        <v>1</v>
      </c>
      <c r="C1695" s="135" t="s">
        <v>367</v>
      </c>
      <c r="D1695" s="61">
        <f>A1691-14</f>
        <v>-14</v>
      </c>
      <c r="E1695" s="135" t="s">
        <v>590</v>
      </c>
      <c r="F1695" s="136" t="s">
        <v>591</v>
      </c>
      <c r="G1695" s="63">
        <v>0.60499999999999998</v>
      </c>
      <c r="H1695" s="63">
        <f t="shared" si="27"/>
        <v>-8.4700000000000001E-3</v>
      </c>
    </row>
    <row r="1696" spans="1:8" x14ac:dyDescent="0.25">
      <c r="A1696" s="134">
        <v>6903</v>
      </c>
      <c r="B1696" s="135">
        <f>2*E1691</f>
        <v>2</v>
      </c>
      <c r="C1696" s="135" t="s">
        <v>337</v>
      </c>
      <c r="D1696" s="61">
        <f>C1691</f>
        <v>0</v>
      </c>
      <c r="E1696" s="135" t="s">
        <v>590</v>
      </c>
      <c r="F1696" s="136" t="s">
        <v>83</v>
      </c>
      <c r="G1696" s="63">
        <v>0.55000000000000004</v>
      </c>
      <c r="H1696" s="63">
        <f t="shared" si="27"/>
        <v>0</v>
      </c>
    </row>
    <row r="1697" spans="1:8" x14ac:dyDescent="0.25">
      <c r="A1697" s="134">
        <v>6905</v>
      </c>
      <c r="B1697" s="135">
        <f>2*E1691</f>
        <v>2</v>
      </c>
      <c r="C1697" s="135" t="s">
        <v>685</v>
      </c>
      <c r="D1697" s="105">
        <f>C1691-44</f>
        <v>-44</v>
      </c>
      <c r="E1697" s="135" t="s">
        <v>590</v>
      </c>
      <c r="F1697" s="136" t="s">
        <v>391</v>
      </c>
      <c r="G1697" s="63">
        <v>0.54300000000000004</v>
      </c>
      <c r="H1697" s="63">
        <f t="shared" si="27"/>
        <v>-4.7784E-2</v>
      </c>
    </row>
    <row r="1698" spans="1:8" x14ac:dyDescent="0.25">
      <c r="A1698" s="134">
        <v>6906</v>
      </c>
      <c r="B1698" s="135">
        <f>2*E1691</f>
        <v>2</v>
      </c>
      <c r="C1698" s="135" t="s">
        <v>685</v>
      </c>
      <c r="D1698" s="61">
        <f>C1691-44</f>
        <v>-44</v>
      </c>
      <c r="E1698" s="135" t="s">
        <v>590</v>
      </c>
      <c r="F1698" s="136" t="s">
        <v>138</v>
      </c>
      <c r="G1698" s="63">
        <v>0.48</v>
      </c>
      <c r="H1698" s="63">
        <f t="shared" si="27"/>
        <v>-4.2239999999999993E-2</v>
      </c>
    </row>
    <row r="1699" spans="1:8" x14ac:dyDescent="0.25">
      <c r="A1699" s="134">
        <v>6906</v>
      </c>
      <c r="B1699" s="135">
        <f>2*E1691</f>
        <v>2</v>
      </c>
      <c r="C1699" s="135" t="s">
        <v>686</v>
      </c>
      <c r="D1699" s="61">
        <f>C1691-30</f>
        <v>-30</v>
      </c>
      <c r="E1699" s="135" t="s">
        <v>590</v>
      </c>
      <c r="F1699" s="136" t="s">
        <v>138</v>
      </c>
      <c r="G1699" s="63">
        <v>0.48</v>
      </c>
      <c r="H1699" s="63">
        <f t="shared" si="27"/>
        <v>-2.8799999999999999E-2</v>
      </c>
    </row>
    <row r="1700" spans="1:8" x14ac:dyDescent="0.25">
      <c r="A1700" s="134">
        <v>6907</v>
      </c>
      <c r="B1700" s="135">
        <f>2*E1691</f>
        <v>2</v>
      </c>
      <c r="C1700" s="135" t="s">
        <v>701</v>
      </c>
      <c r="D1700" s="105">
        <f>A1691/3-14</f>
        <v>-14</v>
      </c>
      <c r="E1700" s="135" t="s">
        <v>590</v>
      </c>
      <c r="F1700" s="136" t="s">
        <v>324</v>
      </c>
      <c r="G1700" s="63">
        <v>0.437</v>
      </c>
      <c r="H1700" s="63">
        <f t="shared" si="27"/>
        <v>-1.2236E-2</v>
      </c>
    </row>
    <row r="1701" spans="1:8" x14ac:dyDescent="0.25">
      <c r="A1701" s="134">
        <v>6908</v>
      </c>
      <c r="B1701" s="135">
        <f>2*E1691</f>
        <v>2</v>
      </c>
      <c r="C1701" s="135" t="s">
        <v>701</v>
      </c>
      <c r="D1701" s="105">
        <f>A1691/3-14</f>
        <v>-14</v>
      </c>
      <c r="E1701" s="135" t="s">
        <v>590</v>
      </c>
      <c r="F1701" s="136" t="s">
        <v>341</v>
      </c>
      <c r="G1701" s="63">
        <v>0.54300000000000004</v>
      </c>
      <c r="H1701" s="63">
        <f t="shared" si="27"/>
        <v>-1.5204000000000002E-2</v>
      </c>
    </row>
    <row r="1702" spans="1:8" x14ac:dyDescent="0.25">
      <c r="A1702" s="134">
        <v>6907</v>
      </c>
      <c r="B1702" s="135">
        <f>1*E1691</f>
        <v>1</v>
      </c>
      <c r="C1702" s="135" t="s">
        <v>702</v>
      </c>
      <c r="D1702" s="105">
        <f>A1691/3+28</f>
        <v>28</v>
      </c>
      <c r="E1702" s="135" t="s">
        <v>590</v>
      </c>
      <c r="F1702" s="136" t="s">
        <v>324</v>
      </c>
      <c r="G1702" s="63">
        <v>0.437</v>
      </c>
      <c r="H1702" s="63">
        <f t="shared" si="27"/>
        <v>1.2236E-2</v>
      </c>
    </row>
    <row r="1703" spans="1:8" x14ac:dyDescent="0.25">
      <c r="A1703" s="134">
        <v>6944</v>
      </c>
      <c r="B1703" s="135">
        <f>1*E1691</f>
        <v>1</v>
      </c>
      <c r="C1703" s="135" t="s">
        <v>702</v>
      </c>
      <c r="D1703" s="105">
        <f>A1692/3+28</f>
        <v>28</v>
      </c>
      <c r="E1703" s="135" t="s">
        <v>590</v>
      </c>
      <c r="F1703" s="136" t="s">
        <v>639</v>
      </c>
      <c r="G1703" s="63">
        <v>0.629</v>
      </c>
      <c r="H1703" s="63">
        <f>(D1703/1000)*B1703*G1703</f>
        <v>1.7611999999999999E-2</v>
      </c>
    </row>
    <row r="1704" spans="1:8" x14ac:dyDescent="0.25">
      <c r="A1704" s="64"/>
      <c r="B1704" s="65"/>
      <c r="C1704" s="65"/>
      <c r="D1704" s="65"/>
      <c r="E1704" s="65"/>
      <c r="F1704" s="65"/>
      <c r="G1704" s="63" t="s">
        <v>392</v>
      </c>
      <c r="H1704" s="63">
        <f>SUM(H1694:H1703)</f>
        <v>-0.134574</v>
      </c>
    </row>
    <row r="1705" spans="1:8" x14ac:dyDescent="0.25">
      <c r="A1705" s="64"/>
      <c r="B1705" s="65"/>
      <c r="C1705" s="65"/>
      <c r="D1705" s="65"/>
      <c r="E1705" s="65"/>
      <c r="F1705" s="65"/>
      <c r="G1705" s="66"/>
      <c r="H1705" s="67"/>
    </row>
    <row r="1706" spans="1:8" x14ac:dyDescent="0.25">
      <c r="A1706" s="64"/>
      <c r="B1706" s="65"/>
      <c r="C1706" s="65"/>
      <c r="D1706" s="65"/>
      <c r="E1706" s="65"/>
      <c r="F1706" s="65"/>
      <c r="G1706" s="68"/>
      <c r="H1706" s="67"/>
    </row>
    <row r="1707" spans="1:8" x14ac:dyDescent="0.25">
      <c r="A1707" s="69" t="s">
        <v>393</v>
      </c>
      <c r="B1707" s="70"/>
      <c r="C1707" s="70"/>
      <c r="D1707" s="71"/>
      <c r="E1707" s="59" t="s">
        <v>36</v>
      </c>
      <c r="F1707" s="59" t="s">
        <v>266</v>
      </c>
      <c r="G1707" s="52"/>
      <c r="H1707" s="72"/>
    </row>
    <row r="1708" spans="1:8" x14ac:dyDescent="0.25">
      <c r="A1708" s="139" t="s">
        <v>689</v>
      </c>
      <c r="B1708" s="74"/>
      <c r="C1708" s="70"/>
      <c r="D1708" s="71"/>
      <c r="E1708" s="114">
        <f>F1708*E1691</f>
        <v>2</v>
      </c>
      <c r="F1708" s="135">
        <v>2</v>
      </c>
      <c r="G1708" s="76"/>
      <c r="H1708" s="77"/>
    </row>
    <row r="1709" spans="1:8" x14ac:dyDescent="0.25">
      <c r="A1709" s="139" t="s">
        <v>690</v>
      </c>
      <c r="B1709" s="74"/>
      <c r="C1709" s="70"/>
      <c r="D1709" s="71"/>
      <c r="E1709" s="115">
        <f>F1709*E1691</f>
        <v>1</v>
      </c>
      <c r="F1709" s="135">
        <v>1</v>
      </c>
      <c r="G1709" s="76"/>
      <c r="H1709" s="77"/>
    </row>
    <row r="1710" spans="1:8" x14ac:dyDescent="0.25">
      <c r="A1710" s="139" t="s">
        <v>691</v>
      </c>
      <c r="B1710" s="74"/>
      <c r="C1710" s="70"/>
      <c r="D1710" s="71"/>
      <c r="E1710" s="115">
        <f>F1710*E1691</f>
        <v>1</v>
      </c>
      <c r="F1710" s="135">
        <v>1</v>
      </c>
      <c r="G1710" s="65"/>
      <c r="H1710" s="77"/>
    </row>
    <row r="1711" spans="1:8" x14ac:dyDescent="0.25">
      <c r="A1711" s="139" t="s">
        <v>605</v>
      </c>
      <c r="B1711" s="74"/>
      <c r="C1711" s="70"/>
      <c r="D1711" s="71"/>
      <c r="E1711" s="115">
        <f>3*(A1691/1000)+8*(C1691/1000)*E1691</f>
        <v>0</v>
      </c>
      <c r="F1711" s="135" t="s">
        <v>526</v>
      </c>
      <c r="G1711" s="64"/>
      <c r="H1711" s="77"/>
    </row>
    <row r="1712" spans="1:8" x14ac:dyDescent="0.25">
      <c r="A1712" s="139" t="s">
        <v>692</v>
      </c>
      <c r="B1712" s="74"/>
      <c r="C1712" s="70"/>
      <c r="D1712" s="71"/>
      <c r="E1712" s="115">
        <f>2*(A1691/1000)+6*(C1691/1000)*E1691</f>
        <v>0</v>
      </c>
      <c r="F1712" s="135" t="s">
        <v>424</v>
      </c>
      <c r="G1712" s="141"/>
      <c r="H1712" s="77"/>
    </row>
    <row r="1713" spans="1:8" x14ac:dyDescent="0.25">
      <c r="A1713" s="139" t="s">
        <v>643</v>
      </c>
      <c r="B1713" s="74"/>
      <c r="C1713" s="70"/>
      <c r="D1713" s="71"/>
      <c r="E1713" s="115">
        <f>F1713*E1691</f>
        <v>4</v>
      </c>
      <c r="F1713" s="135">
        <v>4</v>
      </c>
      <c r="G1713" s="64"/>
      <c r="H1713" s="77"/>
    </row>
    <row r="1714" spans="1:8" x14ac:dyDescent="0.25">
      <c r="A1714" s="139" t="s">
        <v>693</v>
      </c>
      <c r="B1714" s="74"/>
      <c r="C1714" s="70"/>
      <c r="D1714" s="71"/>
      <c r="E1714" s="115">
        <f>F1714*E1691</f>
        <v>2</v>
      </c>
      <c r="F1714" s="135">
        <v>2</v>
      </c>
      <c r="G1714" s="64"/>
      <c r="H1714" s="77"/>
    </row>
    <row r="1715" spans="1:8" x14ac:dyDescent="0.25">
      <c r="A1715" s="139" t="s">
        <v>404</v>
      </c>
      <c r="B1715" s="74"/>
      <c r="C1715" s="70"/>
      <c r="D1715" s="71"/>
      <c r="E1715" s="115">
        <f>F1715*E1691</f>
        <v>8</v>
      </c>
      <c r="F1715" s="135">
        <v>8</v>
      </c>
      <c r="G1715" s="76"/>
      <c r="H1715" s="77"/>
    </row>
    <row r="1716" spans="1:8" x14ac:dyDescent="0.25">
      <c r="A1716" s="139" t="s">
        <v>405</v>
      </c>
      <c r="B1716" s="74"/>
      <c r="C1716" s="70"/>
      <c r="D1716" s="71"/>
      <c r="E1716" s="115">
        <f>F1716*E1691</f>
        <v>12</v>
      </c>
      <c r="F1716" s="135">
        <v>12</v>
      </c>
      <c r="G1716" s="76"/>
      <c r="H1716" s="77"/>
    </row>
    <row r="1717" spans="1:8" x14ac:dyDescent="0.25">
      <c r="A1717" s="139" t="s">
        <v>610</v>
      </c>
      <c r="B1717" s="74"/>
      <c r="C1717" s="70"/>
      <c r="D1717" s="71"/>
      <c r="E1717" s="115">
        <f>F1717*E1691</f>
        <v>2</v>
      </c>
      <c r="F1717" s="135">
        <v>2</v>
      </c>
      <c r="G1717" s="76"/>
      <c r="H1717" s="77"/>
    </row>
    <row r="1718" spans="1:8" x14ac:dyDescent="0.25">
      <c r="A1718" s="142" t="s">
        <v>631</v>
      </c>
      <c r="B1718" s="74"/>
      <c r="C1718" s="70"/>
      <c r="D1718" s="71"/>
      <c r="E1718" s="115">
        <f>F1718*E1691</f>
        <v>2</v>
      </c>
      <c r="F1718" s="135">
        <v>2</v>
      </c>
      <c r="G1718" s="76"/>
      <c r="H1718" s="77"/>
    </row>
    <row r="1719" spans="1:8" x14ac:dyDescent="0.25">
      <c r="A1719" s="139" t="s">
        <v>694</v>
      </c>
      <c r="B1719" s="74"/>
      <c r="C1719" s="70"/>
      <c r="D1719" s="71"/>
      <c r="E1719" s="115">
        <f>F1719*E1691</f>
        <v>2</v>
      </c>
      <c r="F1719" s="135">
        <v>2</v>
      </c>
      <c r="G1719" s="76"/>
      <c r="H1719" s="77"/>
    </row>
    <row r="1720" spans="1:8" x14ac:dyDescent="0.25">
      <c r="A1720" s="139" t="s">
        <v>695</v>
      </c>
      <c r="B1720" s="74"/>
      <c r="C1720" s="70"/>
      <c r="D1720" s="71"/>
      <c r="E1720" s="115">
        <f>1*(A1691/1000)*E1691</f>
        <v>0</v>
      </c>
      <c r="F1720" s="135" t="s">
        <v>696</v>
      </c>
      <c r="G1720" s="76"/>
      <c r="H1720" s="77"/>
    </row>
    <row r="1721" spans="1:8" x14ac:dyDescent="0.25">
      <c r="A1721" s="142" t="s">
        <v>409</v>
      </c>
      <c r="B1721" s="74"/>
      <c r="C1721" s="70"/>
      <c r="D1721" s="71"/>
      <c r="E1721" s="115">
        <f>F1721*E1691</f>
        <v>4</v>
      </c>
      <c r="F1721" s="135">
        <v>4</v>
      </c>
      <c r="G1721" s="76"/>
      <c r="H1721" s="77"/>
    </row>
    <row r="1722" spans="1:8" x14ac:dyDescent="0.25">
      <c r="A1722" s="139" t="s">
        <v>611</v>
      </c>
      <c r="B1722" s="74"/>
      <c r="C1722" s="70"/>
      <c r="D1722" s="71"/>
      <c r="E1722" s="115">
        <f>F1722*E1691</f>
        <v>20</v>
      </c>
      <c r="F1722" s="135">
        <v>20</v>
      </c>
      <c r="G1722" s="76"/>
      <c r="H1722" s="77"/>
    </row>
    <row r="1723" spans="1:8" x14ac:dyDescent="0.25">
      <c r="A1723" s="52"/>
      <c r="B1723" s="53"/>
      <c r="C1723" s="53"/>
      <c r="D1723" s="53"/>
      <c r="E1723" s="53"/>
      <c r="F1723" s="53"/>
      <c r="G1723" s="53"/>
      <c r="H1723" s="83"/>
    </row>
    <row r="1724" spans="1:8" x14ac:dyDescent="0.25">
      <c r="A1724" s="52"/>
      <c r="B1724" s="53"/>
      <c r="C1724" s="53"/>
      <c r="D1724" s="53"/>
      <c r="E1724" s="53"/>
      <c r="F1724" s="53"/>
      <c r="G1724" s="53"/>
      <c r="H1724" s="83"/>
    </row>
    <row r="1725" spans="1:8" x14ac:dyDescent="0.25">
      <c r="A1725" s="59" t="s">
        <v>413</v>
      </c>
      <c r="B1725" s="84" t="s">
        <v>266</v>
      </c>
      <c r="C1725" s="84" t="s">
        <v>383</v>
      </c>
      <c r="D1725" s="405" t="s">
        <v>414</v>
      </c>
      <c r="E1725" s="406"/>
      <c r="F1725" s="85" t="s">
        <v>415</v>
      </c>
      <c r="G1725" s="59" t="s">
        <v>416</v>
      </c>
      <c r="H1725" s="86"/>
    </row>
    <row r="1726" spans="1:8" x14ac:dyDescent="0.25">
      <c r="A1726" s="61"/>
      <c r="B1726" s="89">
        <f>2*E1691</f>
        <v>2</v>
      </c>
      <c r="C1726" s="123" t="s">
        <v>703</v>
      </c>
      <c r="D1726" s="409">
        <f>A1691/3-55</f>
        <v>-55</v>
      </c>
      <c r="E1726" s="410"/>
      <c r="F1726" s="90">
        <f>C1691-120</f>
        <v>-120</v>
      </c>
      <c r="G1726" s="152">
        <f>B1726*(D1726/1000)*(F1726/1000)</f>
        <v>1.32E-2</v>
      </c>
      <c r="H1726" s="86"/>
    </row>
    <row r="1727" spans="1:8" x14ac:dyDescent="0.25">
      <c r="A1727" s="61"/>
      <c r="B1727" s="89">
        <f>1*E1691</f>
        <v>1</v>
      </c>
      <c r="C1727" s="124" t="s">
        <v>704</v>
      </c>
      <c r="D1727" s="409">
        <f>A1691/3-6</f>
        <v>-6</v>
      </c>
      <c r="E1727" s="410"/>
      <c r="F1727" s="90">
        <f>C1691-120</f>
        <v>-120</v>
      </c>
      <c r="G1727" s="156">
        <f>B1727*(D1727/1000)*(F1727/1000)</f>
        <v>7.1999999999999994E-4</v>
      </c>
      <c r="H1727" s="83"/>
    </row>
    <row r="1728" spans="1:8" x14ac:dyDescent="0.25">
      <c r="A1728" s="52"/>
      <c r="B1728" s="93"/>
      <c r="C1728" s="53"/>
      <c r="D1728" s="53"/>
      <c r="E1728" s="53"/>
      <c r="F1728" s="94" t="s">
        <v>418</v>
      </c>
      <c r="G1728" s="95">
        <f>SUM(G1726:G1727)</f>
        <v>1.392E-2</v>
      </c>
      <c r="H1728" s="51"/>
    </row>
    <row r="1729" spans="1:8" x14ac:dyDescent="0.25">
      <c r="A1729" s="52"/>
      <c r="B1729" s="93"/>
      <c r="C1729" s="53"/>
      <c r="D1729" s="53"/>
      <c r="E1729" s="53"/>
      <c r="F1729" s="94"/>
      <c r="G1729" s="96"/>
      <c r="H1729" s="51"/>
    </row>
    <row r="1730" spans="1:8" x14ac:dyDescent="0.25">
      <c r="A1730" s="52"/>
      <c r="B1730" s="93"/>
      <c r="C1730" s="53"/>
      <c r="D1730" s="53"/>
      <c r="E1730" s="53"/>
      <c r="F1730" s="94"/>
      <c r="G1730" s="96"/>
      <c r="H1730" s="51"/>
    </row>
    <row r="1731" spans="1:8" x14ac:dyDescent="0.25">
      <c r="A1731" s="52"/>
      <c r="B1731" s="93"/>
      <c r="C1731" s="53"/>
      <c r="D1731" s="53"/>
      <c r="E1731" s="53"/>
      <c r="F1731" s="94"/>
      <c r="G1731" s="96"/>
      <c r="H1731" s="51"/>
    </row>
    <row r="1732" spans="1:8" x14ac:dyDescent="0.25">
      <c r="A1732" s="52"/>
      <c r="B1732" s="93"/>
      <c r="C1732" s="53"/>
      <c r="D1732" s="53"/>
      <c r="E1732" s="53"/>
      <c r="F1732" s="94"/>
      <c r="G1732" s="96"/>
      <c r="H1732" s="51"/>
    </row>
    <row r="1733" spans="1:8" x14ac:dyDescent="0.25">
      <c r="A1733" s="52"/>
      <c r="B1733" s="93"/>
      <c r="C1733" s="53"/>
      <c r="D1733" s="53"/>
      <c r="E1733" s="53"/>
      <c r="F1733" s="94"/>
      <c r="G1733" s="96"/>
      <c r="H1733" s="51"/>
    </row>
    <row r="1734" spans="1:8" x14ac:dyDescent="0.25">
      <c r="A1734" s="52"/>
      <c r="B1734" s="93"/>
      <c r="C1734" s="53"/>
      <c r="D1734" s="53"/>
      <c r="E1734" s="53"/>
      <c r="F1734" s="94"/>
      <c r="G1734" s="96"/>
      <c r="H1734" s="51"/>
    </row>
    <row r="1735" spans="1:8" x14ac:dyDescent="0.25">
      <c r="A1735" s="52"/>
      <c r="B1735" s="93"/>
      <c r="C1735" s="53"/>
      <c r="D1735" s="53"/>
      <c r="E1735" s="53"/>
      <c r="F1735" s="94"/>
      <c r="G1735" s="96"/>
      <c r="H1735" s="51"/>
    </row>
    <row r="1736" spans="1:8" x14ac:dyDescent="0.25">
      <c r="A1736" s="52"/>
      <c r="B1736" s="93"/>
      <c r="C1736" s="53"/>
      <c r="D1736" s="53"/>
      <c r="E1736" s="53"/>
      <c r="F1736" s="94"/>
      <c r="G1736" s="96"/>
      <c r="H1736" s="51"/>
    </row>
    <row r="1737" spans="1:8" x14ac:dyDescent="0.25">
      <c r="A1737" s="52"/>
      <c r="B1737" s="93"/>
      <c r="C1737" s="53"/>
      <c r="D1737" s="53"/>
      <c r="E1737" s="53"/>
      <c r="F1737" s="94"/>
      <c r="G1737" s="96"/>
      <c r="H1737" s="51"/>
    </row>
    <row r="1738" spans="1:8" x14ac:dyDescent="0.25">
      <c r="A1738" s="52"/>
      <c r="B1738" s="93"/>
      <c r="C1738" s="53"/>
      <c r="D1738" s="53"/>
      <c r="E1738" s="53"/>
      <c r="F1738" s="94"/>
      <c r="G1738" s="96"/>
      <c r="H1738" s="51"/>
    </row>
    <row r="1739" spans="1:8" x14ac:dyDescent="0.25">
      <c r="A1739" s="52"/>
      <c r="B1739" s="93"/>
      <c r="C1739" s="53"/>
      <c r="D1739" s="53"/>
      <c r="E1739" s="53"/>
      <c r="F1739" s="94"/>
      <c r="G1739" s="96"/>
      <c r="H1739" s="51"/>
    </row>
    <row r="1740" spans="1:8" x14ac:dyDescent="0.25">
      <c r="A1740" s="52"/>
      <c r="B1740" s="93"/>
      <c r="C1740" s="53"/>
      <c r="D1740" s="53"/>
      <c r="E1740" s="53"/>
      <c r="F1740" s="94"/>
      <c r="G1740" s="96"/>
      <c r="H1740" s="51"/>
    </row>
    <row r="1741" spans="1:8" x14ac:dyDescent="0.25">
      <c r="A1741" s="52"/>
      <c r="B1741" s="93"/>
      <c r="C1741" s="53"/>
      <c r="D1741" s="53"/>
      <c r="E1741" s="53"/>
      <c r="F1741" s="94"/>
      <c r="G1741" s="96"/>
      <c r="H1741" s="51"/>
    </row>
    <row r="1742" spans="1:8" x14ac:dyDescent="0.25">
      <c r="A1742" s="52"/>
      <c r="B1742" s="93"/>
      <c r="C1742" s="53"/>
      <c r="D1742" s="53"/>
      <c r="E1742" s="53"/>
      <c r="F1742" s="94"/>
      <c r="G1742" s="96"/>
      <c r="H1742" s="51"/>
    </row>
    <row r="1743" spans="1:8" x14ac:dyDescent="0.25">
      <c r="A1743" s="52"/>
      <c r="B1743" s="93"/>
      <c r="C1743" s="53"/>
      <c r="D1743" s="53"/>
      <c r="E1743" s="53"/>
      <c r="F1743" s="94"/>
      <c r="G1743" s="96"/>
      <c r="H1743" s="51"/>
    </row>
    <row r="1744" spans="1:8" x14ac:dyDescent="0.25">
      <c r="A1744" s="52"/>
      <c r="B1744" s="93"/>
      <c r="C1744" s="53"/>
      <c r="D1744" s="53"/>
      <c r="E1744" s="53"/>
      <c r="F1744" s="94"/>
      <c r="G1744" s="96"/>
      <c r="H1744" s="51"/>
    </row>
    <row r="1745" spans="1:8" x14ac:dyDescent="0.25">
      <c r="A1745" s="52"/>
      <c r="B1745" s="93"/>
      <c r="C1745" s="53"/>
      <c r="D1745" s="53"/>
      <c r="E1745" s="53"/>
      <c r="F1745" s="94"/>
      <c r="G1745" s="96"/>
      <c r="H1745" s="51"/>
    </row>
    <row r="1746" spans="1:8" x14ac:dyDescent="0.25">
      <c r="A1746" s="52"/>
      <c r="B1746" s="93"/>
      <c r="C1746" s="53"/>
      <c r="D1746" s="53"/>
      <c r="E1746" s="53"/>
      <c r="F1746" s="94"/>
      <c r="G1746" s="96"/>
      <c r="H1746" s="51"/>
    </row>
    <row r="1747" spans="1:8" x14ac:dyDescent="0.25">
      <c r="A1747" s="45"/>
      <c r="B1747" s="45"/>
      <c r="C1747" s="45"/>
      <c r="D1747" s="45"/>
      <c r="E1747" s="45"/>
      <c r="F1747" s="45"/>
      <c r="G1747" s="45"/>
      <c r="H1747" s="45"/>
    </row>
    <row r="1748" spans="1:8" x14ac:dyDescent="0.25">
      <c r="A1748" s="100"/>
      <c r="B1748" s="100"/>
      <c r="C1748" s="109"/>
      <c r="D1748" s="100"/>
      <c r="E1748" s="100"/>
      <c r="F1748" s="100"/>
      <c r="G1748" s="100"/>
      <c r="H1748" s="100"/>
    </row>
    <row r="1749" spans="1:8" x14ac:dyDescent="0.25">
      <c r="A1749" s="44"/>
      <c r="B1749" s="45"/>
      <c r="C1749" s="45"/>
      <c r="D1749" s="45"/>
      <c r="E1749" s="45"/>
      <c r="F1749" s="45"/>
      <c r="G1749" s="45"/>
      <c r="H1749" s="46"/>
    </row>
    <row r="1750" spans="1:8" x14ac:dyDescent="0.25">
      <c r="A1750" s="132"/>
      <c r="B1750" s="53"/>
      <c r="C1750" s="53"/>
      <c r="D1750" s="53"/>
      <c r="E1750" s="53"/>
      <c r="F1750" s="53"/>
      <c r="G1750" s="53"/>
      <c r="H1750" s="51"/>
    </row>
    <row r="1751" spans="1:8" x14ac:dyDescent="0.25">
      <c r="A1751" s="153" t="s">
        <v>705</v>
      </c>
      <c r="B1751" s="48"/>
      <c r="C1751" s="49"/>
      <c r="D1751" s="122"/>
      <c r="E1751" s="49"/>
      <c r="F1751" s="50"/>
      <c r="G1751" s="50"/>
      <c r="H1751" s="133"/>
    </row>
    <row r="1752" spans="1:8" ht="16.5" thickBot="1" x14ac:dyDescent="0.3">
      <c r="A1752" s="52"/>
      <c r="B1752" s="53"/>
      <c r="C1752" s="53"/>
      <c r="D1752" s="53"/>
      <c r="E1752" s="53"/>
      <c r="F1752" s="65"/>
      <c r="G1752" s="54" t="s">
        <v>706</v>
      </c>
      <c r="H1752" s="51"/>
    </row>
    <row r="1753" spans="1:8" ht="16.5" thickBot="1" x14ac:dyDescent="0.3">
      <c r="A1753" s="400" t="s">
        <v>381</v>
      </c>
      <c r="B1753" s="401"/>
      <c r="C1753" s="402" t="s">
        <v>382</v>
      </c>
      <c r="D1753" s="401"/>
      <c r="E1753" s="55" t="s">
        <v>266</v>
      </c>
      <c r="F1753" s="65"/>
      <c r="G1753" s="54"/>
      <c r="H1753" s="51"/>
    </row>
    <row r="1754" spans="1:8" ht="16.5" thickBot="1" x14ac:dyDescent="0.3">
      <c r="A1754" s="403">
        <v>0</v>
      </c>
      <c r="B1754" s="404"/>
      <c r="C1754" s="403">
        <v>0</v>
      </c>
      <c r="D1754" s="404"/>
      <c r="E1754" s="56">
        <v>1</v>
      </c>
      <c r="F1754" s="65"/>
      <c r="G1754" s="53"/>
      <c r="H1754" s="51"/>
    </row>
    <row r="1755" spans="1:8" x14ac:dyDescent="0.25">
      <c r="A1755" s="52"/>
      <c r="B1755" s="58"/>
      <c r="C1755" s="58"/>
      <c r="D1755" s="58"/>
      <c r="E1755" s="58"/>
      <c r="F1755" s="58"/>
      <c r="G1755" s="53"/>
      <c r="H1755" s="83"/>
    </row>
    <row r="1756" spans="1:8" x14ac:dyDescent="0.25">
      <c r="A1756" s="59" t="s">
        <v>323</v>
      </c>
      <c r="B1756" s="59" t="s">
        <v>266</v>
      </c>
      <c r="C1756" s="59" t="s">
        <v>383</v>
      </c>
      <c r="D1756" s="59" t="s">
        <v>384</v>
      </c>
      <c r="E1756" s="59" t="s">
        <v>332</v>
      </c>
      <c r="F1756" s="59" t="s">
        <v>385</v>
      </c>
      <c r="G1756" s="59" t="s">
        <v>386</v>
      </c>
      <c r="H1756" s="59" t="s">
        <v>387</v>
      </c>
    </row>
    <row r="1757" spans="1:8" x14ac:dyDescent="0.25">
      <c r="A1757" s="134">
        <v>6901</v>
      </c>
      <c r="B1757" s="135">
        <f>1*E1754</f>
        <v>1</v>
      </c>
      <c r="C1757" s="135" t="s">
        <v>367</v>
      </c>
      <c r="D1757" s="61">
        <f>A1754-14</f>
        <v>-14</v>
      </c>
      <c r="E1757" s="135" t="s">
        <v>590</v>
      </c>
      <c r="F1757" s="136" t="s">
        <v>388</v>
      </c>
      <c r="G1757" s="63">
        <v>0.69199999999999995</v>
      </c>
      <c r="H1757" s="63">
        <f t="shared" ref="H1757:H1767" si="28">(D1757/1000)*B1757*G1757</f>
        <v>-9.6879999999999987E-3</v>
      </c>
    </row>
    <row r="1758" spans="1:8" x14ac:dyDescent="0.25">
      <c r="A1758" s="134">
        <v>6921</v>
      </c>
      <c r="B1758" s="135">
        <f>1*E1754</f>
        <v>1</v>
      </c>
      <c r="C1758" s="135" t="s">
        <v>367</v>
      </c>
      <c r="D1758" s="61">
        <f>A1754-14</f>
        <v>-14</v>
      </c>
      <c r="E1758" s="135" t="s">
        <v>590</v>
      </c>
      <c r="F1758" s="136" t="s">
        <v>591</v>
      </c>
      <c r="G1758" s="63">
        <v>0.60499999999999998</v>
      </c>
      <c r="H1758" s="63">
        <f t="shared" si="28"/>
        <v>-8.4700000000000001E-3</v>
      </c>
    </row>
    <row r="1759" spans="1:8" x14ac:dyDescent="0.25">
      <c r="A1759" s="134">
        <v>6954</v>
      </c>
      <c r="B1759" s="135">
        <f>1*E1754</f>
        <v>1</v>
      </c>
      <c r="C1759" s="135" t="s">
        <v>337</v>
      </c>
      <c r="D1759" s="105">
        <f>C1754</f>
        <v>0</v>
      </c>
      <c r="E1759" s="135" t="s">
        <v>590</v>
      </c>
      <c r="F1759" s="136" t="s">
        <v>684</v>
      </c>
      <c r="G1759" s="63">
        <v>0.42499999999999999</v>
      </c>
      <c r="H1759" s="63">
        <f t="shared" si="28"/>
        <v>0</v>
      </c>
    </row>
    <row r="1760" spans="1:8" x14ac:dyDescent="0.25">
      <c r="A1760" s="134">
        <v>6905</v>
      </c>
      <c r="B1760" s="135">
        <f>2*E1754</f>
        <v>2</v>
      </c>
      <c r="C1760" s="135" t="s">
        <v>685</v>
      </c>
      <c r="D1760" s="61">
        <f>C1754-44</f>
        <v>-44</v>
      </c>
      <c r="E1760" s="135" t="s">
        <v>590</v>
      </c>
      <c r="F1760" s="136" t="s">
        <v>391</v>
      </c>
      <c r="G1760" s="63">
        <v>0.54300000000000004</v>
      </c>
      <c r="H1760" s="63">
        <f t="shared" si="28"/>
        <v>-4.7784E-2</v>
      </c>
    </row>
    <row r="1761" spans="1:8" x14ac:dyDescent="0.25">
      <c r="A1761" s="134">
        <v>6906</v>
      </c>
      <c r="B1761" s="135">
        <f>2*E1754</f>
        <v>2</v>
      </c>
      <c r="C1761" s="135" t="s">
        <v>685</v>
      </c>
      <c r="D1761" s="61">
        <f>C1754-44</f>
        <v>-44</v>
      </c>
      <c r="E1761" s="135" t="s">
        <v>590</v>
      </c>
      <c r="F1761" s="136" t="s">
        <v>138</v>
      </c>
      <c r="G1761" s="63">
        <v>0.48</v>
      </c>
      <c r="H1761" s="63">
        <f t="shared" si="28"/>
        <v>-4.2239999999999993E-2</v>
      </c>
    </row>
    <row r="1762" spans="1:8" x14ac:dyDescent="0.25">
      <c r="A1762" s="134">
        <v>6906</v>
      </c>
      <c r="B1762" s="135">
        <f>2*E1754</f>
        <v>2</v>
      </c>
      <c r="C1762" s="135" t="s">
        <v>686</v>
      </c>
      <c r="D1762" s="105">
        <f>C1754-30</f>
        <v>-30</v>
      </c>
      <c r="E1762" s="135" t="s">
        <v>590</v>
      </c>
      <c r="F1762" s="136" t="s">
        <v>138</v>
      </c>
      <c r="G1762" s="63">
        <v>0.48</v>
      </c>
      <c r="H1762" s="63">
        <f t="shared" si="28"/>
        <v>-2.8799999999999999E-2</v>
      </c>
    </row>
    <row r="1763" spans="1:8" x14ac:dyDescent="0.25">
      <c r="A1763" s="134">
        <v>6955</v>
      </c>
      <c r="B1763" s="135">
        <f>2*E1754</f>
        <v>2</v>
      </c>
      <c r="C1763" s="135" t="s">
        <v>686</v>
      </c>
      <c r="D1763" s="105">
        <f>C1754-30</f>
        <v>-30</v>
      </c>
      <c r="E1763" s="135" t="s">
        <v>590</v>
      </c>
      <c r="F1763" s="136" t="s">
        <v>687</v>
      </c>
      <c r="G1763" s="63">
        <v>0.26600000000000001</v>
      </c>
      <c r="H1763" s="63">
        <f t="shared" si="28"/>
        <v>-1.5960000000000002E-2</v>
      </c>
    </row>
    <row r="1764" spans="1:8" x14ac:dyDescent="0.25">
      <c r="A1764" s="134">
        <v>6919</v>
      </c>
      <c r="B1764" s="135">
        <f>1*E1754</f>
        <v>1</v>
      </c>
      <c r="C1764" s="135" t="s">
        <v>685</v>
      </c>
      <c r="D1764" s="105">
        <f>C1754-44</f>
        <v>-44</v>
      </c>
      <c r="E1764" s="135" t="s">
        <v>590</v>
      </c>
      <c r="F1764" s="137" t="s">
        <v>431</v>
      </c>
      <c r="G1764" s="63">
        <v>0.27600000000000002</v>
      </c>
      <c r="H1764" s="63">
        <f t="shared" si="28"/>
        <v>-1.2144E-2</v>
      </c>
    </row>
    <row r="1765" spans="1:8" x14ac:dyDescent="0.25">
      <c r="A1765" s="134">
        <v>6907</v>
      </c>
      <c r="B1765" s="135">
        <f>2*E1754</f>
        <v>2</v>
      </c>
      <c r="C1765" s="135" t="s">
        <v>707</v>
      </c>
      <c r="D1765" s="105">
        <f>A1754/4-2</f>
        <v>-2</v>
      </c>
      <c r="E1765" s="135" t="s">
        <v>590</v>
      </c>
      <c r="F1765" s="136" t="s">
        <v>324</v>
      </c>
      <c r="G1765" s="63">
        <v>0.437</v>
      </c>
      <c r="H1765" s="63">
        <f t="shared" si="28"/>
        <v>-1.748E-3</v>
      </c>
    </row>
    <row r="1766" spans="1:8" x14ac:dyDescent="0.25">
      <c r="A1766" s="134">
        <v>6908</v>
      </c>
      <c r="B1766" s="135">
        <f>2*E1754</f>
        <v>2</v>
      </c>
      <c r="C1766" s="135" t="s">
        <v>707</v>
      </c>
      <c r="D1766" s="105">
        <f>A1754/4-2</f>
        <v>-2</v>
      </c>
      <c r="E1766" s="135" t="s">
        <v>590</v>
      </c>
      <c r="F1766" s="136" t="s">
        <v>341</v>
      </c>
      <c r="G1766" s="63">
        <v>0.54300000000000004</v>
      </c>
      <c r="H1766" s="63">
        <f t="shared" si="28"/>
        <v>-2.1720000000000003E-3</v>
      </c>
    </row>
    <row r="1767" spans="1:8" x14ac:dyDescent="0.25">
      <c r="A1767" s="134">
        <v>6907</v>
      </c>
      <c r="B1767" s="135">
        <f>4*E1754</f>
        <v>4</v>
      </c>
      <c r="C1767" s="135" t="s">
        <v>708</v>
      </c>
      <c r="D1767" s="105">
        <f>A1754/4+2</f>
        <v>2</v>
      </c>
      <c r="E1767" s="135" t="s">
        <v>590</v>
      </c>
      <c r="F1767" s="136" t="s">
        <v>324</v>
      </c>
      <c r="G1767" s="63">
        <v>0.437</v>
      </c>
      <c r="H1767" s="63">
        <f t="shared" si="28"/>
        <v>3.496E-3</v>
      </c>
    </row>
    <row r="1768" spans="1:8" x14ac:dyDescent="0.25">
      <c r="A1768" s="134">
        <v>6944</v>
      </c>
      <c r="B1768" s="135">
        <f>2*E1754</f>
        <v>2</v>
      </c>
      <c r="C1768" s="135" t="s">
        <v>708</v>
      </c>
      <c r="D1768" s="105">
        <f>A1755/4+2</f>
        <v>2</v>
      </c>
      <c r="E1768" s="135" t="s">
        <v>590</v>
      </c>
      <c r="F1768" s="136" t="s">
        <v>639</v>
      </c>
      <c r="G1768" s="63">
        <v>0.629</v>
      </c>
      <c r="H1768" s="63">
        <f>(D1768/1000)*B1768*G1768</f>
        <v>2.516E-3</v>
      </c>
    </row>
    <row r="1769" spans="1:8" x14ac:dyDescent="0.25">
      <c r="A1769" s="64"/>
      <c r="B1769" s="65"/>
      <c r="C1769" s="65"/>
      <c r="D1769" s="65"/>
      <c r="E1769" s="65"/>
      <c r="F1769" s="65"/>
      <c r="G1769" s="63" t="s">
        <v>392</v>
      </c>
      <c r="H1769" s="63">
        <f>SUM(H1757:H1768)</f>
        <v>-0.162994</v>
      </c>
    </row>
    <row r="1770" spans="1:8" x14ac:dyDescent="0.25">
      <c r="A1770" s="64"/>
      <c r="B1770" s="65"/>
      <c r="C1770" s="65"/>
      <c r="D1770" s="65"/>
      <c r="E1770" s="65"/>
      <c r="F1770" s="65"/>
      <c r="G1770" s="66"/>
      <c r="H1770" s="67"/>
    </row>
    <row r="1771" spans="1:8" x14ac:dyDescent="0.25">
      <c r="A1771" s="64"/>
      <c r="B1771" s="65"/>
      <c r="C1771" s="65"/>
      <c r="D1771" s="65"/>
      <c r="E1771" s="65"/>
      <c r="F1771" s="65"/>
      <c r="G1771" s="68"/>
      <c r="H1771" s="67"/>
    </row>
    <row r="1772" spans="1:8" x14ac:dyDescent="0.25">
      <c r="A1772" s="69" t="s">
        <v>393</v>
      </c>
      <c r="B1772" s="70"/>
      <c r="C1772" s="70"/>
      <c r="D1772" s="71"/>
      <c r="E1772" s="59" t="s">
        <v>36</v>
      </c>
      <c r="F1772" s="59" t="s">
        <v>266</v>
      </c>
      <c r="G1772" s="52"/>
      <c r="H1772" s="72"/>
    </row>
    <row r="1773" spans="1:8" x14ac:dyDescent="0.25">
      <c r="A1773" s="139" t="s">
        <v>689</v>
      </c>
      <c r="B1773" s="74"/>
      <c r="C1773" s="70"/>
      <c r="D1773" s="71"/>
      <c r="E1773" s="114">
        <f>F1773*E1754</f>
        <v>2</v>
      </c>
      <c r="F1773" s="135">
        <v>2</v>
      </c>
      <c r="G1773" s="76"/>
      <c r="H1773" s="77"/>
    </row>
    <row r="1774" spans="1:8" x14ac:dyDescent="0.25">
      <c r="A1774" s="139" t="s">
        <v>690</v>
      </c>
      <c r="B1774" s="74"/>
      <c r="C1774" s="70"/>
      <c r="D1774" s="71"/>
      <c r="E1774" s="115">
        <f>F1774*E1754</f>
        <v>1</v>
      </c>
      <c r="F1774" s="135">
        <v>1</v>
      </c>
      <c r="G1774" s="76"/>
      <c r="H1774" s="77"/>
    </row>
    <row r="1775" spans="1:8" x14ac:dyDescent="0.25">
      <c r="A1775" s="139" t="s">
        <v>691</v>
      </c>
      <c r="B1775" s="74"/>
      <c r="C1775" s="70"/>
      <c r="D1775" s="71"/>
      <c r="E1775" s="115">
        <f>F1775*E1754</f>
        <v>1</v>
      </c>
      <c r="F1775" s="135">
        <v>1</v>
      </c>
      <c r="G1775" s="65"/>
      <c r="H1775" s="77"/>
    </row>
    <row r="1776" spans="1:8" x14ac:dyDescent="0.25">
      <c r="A1776" s="139" t="s">
        <v>605</v>
      </c>
      <c r="B1776" s="74"/>
      <c r="C1776" s="70"/>
      <c r="D1776" s="71"/>
      <c r="E1776" s="115">
        <f>2*(A1754/1000)+6*(C1754/1000)*E1754</f>
        <v>0</v>
      </c>
      <c r="F1776" s="135" t="s">
        <v>424</v>
      </c>
      <c r="G1776" s="64"/>
      <c r="H1776" s="77"/>
    </row>
    <row r="1777" spans="1:8" x14ac:dyDescent="0.25">
      <c r="A1777" s="139" t="s">
        <v>692</v>
      </c>
      <c r="B1777" s="74"/>
      <c r="C1777" s="70"/>
      <c r="D1777" s="71"/>
      <c r="E1777" s="115">
        <f>2*(A1754/1000)+8*(C1754/1000)*E1754</f>
        <v>0</v>
      </c>
      <c r="F1777" s="135" t="s">
        <v>432</v>
      </c>
      <c r="G1777" s="64"/>
      <c r="H1777" s="77"/>
    </row>
    <row r="1778" spans="1:8" x14ac:dyDescent="0.25">
      <c r="A1778" s="139" t="s">
        <v>643</v>
      </c>
      <c r="B1778" s="74"/>
      <c r="C1778" s="70"/>
      <c r="D1778" s="71"/>
      <c r="E1778" s="115">
        <f>F1778*E1754</f>
        <v>4</v>
      </c>
      <c r="F1778" s="135">
        <v>4</v>
      </c>
      <c r="G1778" s="64"/>
      <c r="H1778" s="77"/>
    </row>
    <row r="1779" spans="1:8" x14ac:dyDescent="0.25">
      <c r="A1779" s="139" t="s">
        <v>693</v>
      </c>
      <c r="B1779" s="74"/>
      <c r="C1779" s="70"/>
      <c r="D1779" s="71"/>
      <c r="E1779" s="115">
        <f>F1779*E1754</f>
        <v>4</v>
      </c>
      <c r="F1779" s="135">
        <v>4</v>
      </c>
      <c r="G1779" s="64"/>
      <c r="H1779" s="77"/>
    </row>
    <row r="1780" spans="1:8" x14ac:dyDescent="0.25">
      <c r="A1780" s="139" t="s">
        <v>404</v>
      </c>
      <c r="B1780" s="74"/>
      <c r="C1780" s="70"/>
      <c r="D1780" s="71"/>
      <c r="E1780" s="115">
        <f>F1780*E1754</f>
        <v>8</v>
      </c>
      <c r="F1780" s="135">
        <v>8</v>
      </c>
      <c r="G1780" s="76"/>
      <c r="H1780" s="77"/>
    </row>
    <row r="1781" spans="1:8" x14ac:dyDescent="0.25">
      <c r="A1781" s="139" t="s">
        <v>405</v>
      </c>
      <c r="B1781" s="74"/>
      <c r="C1781" s="70"/>
      <c r="D1781" s="71"/>
      <c r="E1781" s="115">
        <f>F1781*E1754</f>
        <v>12</v>
      </c>
      <c r="F1781" s="135">
        <v>12</v>
      </c>
      <c r="G1781" s="76"/>
      <c r="H1781" s="77"/>
    </row>
    <row r="1782" spans="1:8" x14ac:dyDescent="0.25">
      <c r="A1782" s="139" t="s">
        <v>610</v>
      </c>
      <c r="B1782" s="74"/>
      <c r="C1782" s="70"/>
      <c r="D1782" s="71"/>
      <c r="E1782" s="115">
        <f>F1782*E1754</f>
        <v>1</v>
      </c>
      <c r="F1782" s="135">
        <v>1</v>
      </c>
      <c r="G1782" s="76"/>
      <c r="H1782" s="77"/>
    </row>
    <row r="1783" spans="1:8" x14ac:dyDescent="0.25">
      <c r="A1783" s="142" t="s">
        <v>631</v>
      </c>
      <c r="B1783" s="74"/>
      <c r="C1783" s="70"/>
      <c r="D1783" s="71"/>
      <c r="E1783" s="115">
        <f>F1783*E1754</f>
        <v>2</v>
      </c>
      <c r="F1783" s="135">
        <v>2</v>
      </c>
      <c r="G1783" s="76"/>
      <c r="H1783" s="77"/>
    </row>
    <row r="1784" spans="1:8" x14ac:dyDescent="0.25">
      <c r="A1784" s="139" t="s">
        <v>694</v>
      </c>
      <c r="B1784" s="74"/>
      <c r="C1784" s="70"/>
      <c r="D1784" s="71"/>
      <c r="E1784" s="115">
        <f>F1784*E1754</f>
        <v>2</v>
      </c>
      <c r="F1784" s="135">
        <v>2</v>
      </c>
      <c r="G1784" s="76"/>
      <c r="H1784" s="77"/>
    </row>
    <row r="1785" spans="1:8" x14ac:dyDescent="0.25">
      <c r="A1785" s="142" t="s">
        <v>695</v>
      </c>
      <c r="B1785" s="74"/>
      <c r="C1785" s="70"/>
      <c r="D1785" s="71"/>
      <c r="E1785" s="115">
        <f>1*(A1754/1000)*E1754</f>
        <v>0</v>
      </c>
      <c r="F1785" s="135" t="s">
        <v>696</v>
      </c>
      <c r="G1785" s="76"/>
      <c r="H1785" s="77"/>
    </row>
    <row r="1786" spans="1:8" x14ac:dyDescent="0.25">
      <c r="A1786" s="139" t="s">
        <v>611</v>
      </c>
      <c r="B1786" s="74"/>
      <c r="C1786" s="70"/>
      <c r="D1786" s="71"/>
      <c r="E1786" s="115">
        <f>F1786*E1754</f>
        <v>24</v>
      </c>
      <c r="F1786" s="135">
        <v>24</v>
      </c>
      <c r="G1786" s="76"/>
      <c r="H1786" s="77"/>
    </row>
    <row r="1787" spans="1:8" x14ac:dyDescent="0.25">
      <c r="A1787" s="52"/>
      <c r="B1787" s="53"/>
      <c r="C1787" s="53"/>
      <c r="D1787" s="53"/>
      <c r="E1787" s="53"/>
      <c r="F1787" s="53"/>
      <c r="G1787" s="53"/>
      <c r="H1787" s="83"/>
    </row>
    <row r="1788" spans="1:8" x14ac:dyDescent="0.25">
      <c r="A1788" s="52"/>
      <c r="B1788" s="53"/>
      <c r="C1788" s="53"/>
      <c r="D1788" s="53"/>
      <c r="E1788" s="53"/>
      <c r="F1788" s="53"/>
      <c r="G1788" s="53"/>
      <c r="H1788" s="83"/>
    </row>
    <row r="1789" spans="1:8" x14ac:dyDescent="0.25">
      <c r="A1789" s="59" t="s">
        <v>413</v>
      </c>
      <c r="B1789" s="84" t="s">
        <v>266</v>
      </c>
      <c r="C1789" s="84" t="s">
        <v>383</v>
      </c>
      <c r="D1789" s="405" t="s">
        <v>414</v>
      </c>
      <c r="E1789" s="406"/>
      <c r="F1789" s="85" t="s">
        <v>415</v>
      </c>
      <c r="G1789" s="59" t="s">
        <v>416</v>
      </c>
      <c r="H1789" s="86"/>
    </row>
    <row r="1790" spans="1:8" x14ac:dyDescent="0.25">
      <c r="A1790" s="61"/>
      <c r="B1790" s="89">
        <f>2*E1754</f>
        <v>2</v>
      </c>
      <c r="C1790" s="123" t="s">
        <v>709</v>
      </c>
      <c r="D1790" s="409">
        <f>A1754/4-45</f>
        <v>-45</v>
      </c>
      <c r="E1790" s="410"/>
      <c r="F1790" s="90">
        <f>C1754-120</f>
        <v>-120</v>
      </c>
      <c r="G1790" s="152">
        <f>B1790*(D1790/1000)*(F1790/1000)</f>
        <v>1.0799999999999999E-2</v>
      </c>
      <c r="H1790" s="86"/>
    </row>
    <row r="1791" spans="1:8" x14ac:dyDescent="0.25">
      <c r="A1791" s="61"/>
      <c r="B1791" s="89">
        <f>2*E1754</f>
        <v>2</v>
      </c>
      <c r="C1791" s="124" t="s">
        <v>710</v>
      </c>
      <c r="D1791" s="409">
        <f>A1754/4-20</f>
        <v>-20</v>
      </c>
      <c r="E1791" s="410"/>
      <c r="F1791" s="90">
        <f>C1754-95</f>
        <v>-95</v>
      </c>
      <c r="G1791" s="156">
        <f>B1791*(D1791/1000)*(F1791/1000)</f>
        <v>3.8E-3</v>
      </c>
      <c r="H1791" s="83"/>
    </row>
    <row r="1792" spans="1:8" x14ac:dyDescent="0.25">
      <c r="A1792" s="52"/>
      <c r="B1792" s="93"/>
      <c r="C1792" s="53"/>
      <c r="D1792" s="53"/>
      <c r="E1792" s="53"/>
      <c r="F1792" s="94" t="s">
        <v>418</v>
      </c>
      <c r="G1792" s="95">
        <f>SUM(G1790:G1791)</f>
        <v>1.4599999999999998E-2</v>
      </c>
      <c r="H1792" s="51"/>
    </row>
    <row r="1793" spans="1:8" x14ac:dyDescent="0.25">
      <c r="A1793" s="52"/>
      <c r="B1793" s="93"/>
      <c r="C1793" s="53"/>
      <c r="D1793" s="53"/>
      <c r="E1793" s="53"/>
      <c r="F1793" s="94"/>
      <c r="G1793" s="96"/>
      <c r="H1793" s="51"/>
    </row>
    <row r="1794" spans="1:8" x14ac:dyDescent="0.25">
      <c r="A1794" s="52"/>
      <c r="B1794" s="93"/>
      <c r="C1794" s="53"/>
      <c r="D1794" s="53"/>
      <c r="E1794" s="53"/>
      <c r="F1794" s="94"/>
      <c r="G1794" s="96"/>
      <c r="H1794" s="51"/>
    </row>
    <row r="1795" spans="1:8" x14ac:dyDescent="0.25">
      <c r="A1795" s="52"/>
      <c r="B1795" s="93"/>
      <c r="C1795" s="53"/>
      <c r="D1795" s="53"/>
      <c r="E1795" s="53"/>
      <c r="F1795" s="94"/>
      <c r="G1795" s="96"/>
      <c r="H1795" s="51"/>
    </row>
    <row r="1796" spans="1:8" x14ac:dyDescent="0.25">
      <c r="A1796" s="52"/>
      <c r="B1796" s="93"/>
      <c r="C1796" s="53"/>
      <c r="D1796" s="53"/>
      <c r="E1796" s="53"/>
      <c r="F1796" s="94"/>
      <c r="G1796" s="96"/>
      <c r="H1796" s="51"/>
    </row>
    <row r="1797" spans="1:8" x14ac:dyDescent="0.25">
      <c r="A1797" s="52"/>
      <c r="B1797" s="93"/>
      <c r="C1797" s="53"/>
      <c r="D1797" s="53"/>
      <c r="E1797" s="53"/>
      <c r="F1797" s="94"/>
      <c r="G1797" s="96"/>
      <c r="H1797" s="51"/>
    </row>
    <row r="1798" spans="1:8" x14ac:dyDescent="0.25">
      <c r="A1798" s="52"/>
      <c r="B1798" s="93"/>
      <c r="C1798" s="53"/>
      <c r="D1798" s="53"/>
      <c r="E1798" s="53"/>
      <c r="F1798" s="94"/>
      <c r="G1798" s="96"/>
      <c r="H1798" s="51"/>
    </row>
    <row r="1799" spans="1:8" x14ac:dyDescent="0.25">
      <c r="A1799" s="52"/>
      <c r="B1799" s="93"/>
      <c r="C1799" s="53"/>
      <c r="D1799" s="53"/>
      <c r="E1799" s="53"/>
      <c r="F1799" s="94"/>
      <c r="G1799" s="96"/>
      <c r="H1799" s="51"/>
    </row>
    <row r="1800" spans="1:8" x14ac:dyDescent="0.25">
      <c r="A1800" s="52"/>
      <c r="B1800" s="93"/>
      <c r="C1800" s="53"/>
      <c r="D1800" s="53"/>
      <c r="E1800" s="53"/>
      <c r="F1800" s="94"/>
      <c r="G1800" s="96"/>
      <c r="H1800" s="51"/>
    </row>
    <row r="1801" spans="1:8" x14ac:dyDescent="0.25">
      <c r="A1801" s="52"/>
      <c r="B1801" s="93"/>
      <c r="C1801" s="53"/>
      <c r="D1801" s="53"/>
      <c r="E1801" s="53"/>
      <c r="F1801" s="94"/>
      <c r="G1801" s="96"/>
      <c r="H1801" s="51"/>
    </row>
    <row r="1802" spans="1:8" x14ac:dyDescent="0.25">
      <c r="A1802" s="52"/>
      <c r="B1802" s="93"/>
      <c r="C1802" s="53"/>
      <c r="D1802" s="53"/>
      <c r="E1802" s="53"/>
      <c r="F1802" s="94"/>
      <c r="G1802" s="96"/>
      <c r="H1802" s="51"/>
    </row>
    <row r="1803" spans="1:8" x14ac:dyDescent="0.25">
      <c r="A1803" s="52"/>
      <c r="B1803" s="93"/>
      <c r="C1803" s="53"/>
      <c r="D1803" s="53"/>
      <c r="E1803" s="53"/>
      <c r="F1803" s="94"/>
      <c r="G1803" s="96"/>
      <c r="H1803" s="51"/>
    </row>
    <row r="1804" spans="1:8" x14ac:dyDescent="0.25">
      <c r="A1804" s="52"/>
      <c r="B1804" s="93"/>
      <c r="C1804" s="53"/>
      <c r="D1804" s="53"/>
      <c r="E1804" s="53"/>
      <c r="F1804" s="94"/>
      <c r="G1804" s="96"/>
      <c r="H1804" s="51"/>
    </row>
    <row r="1805" spans="1:8" x14ac:dyDescent="0.25">
      <c r="A1805" s="52"/>
      <c r="B1805" s="93"/>
      <c r="C1805" s="53"/>
      <c r="D1805" s="53"/>
      <c r="E1805" s="53"/>
      <c r="F1805" s="94"/>
      <c r="G1805" s="96"/>
      <c r="H1805" s="51"/>
    </row>
    <row r="1806" spans="1:8" x14ac:dyDescent="0.25">
      <c r="A1806" s="52"/>
      <c r="B1806" s="93"/>
      <c r="C1806" s="53"/>
      <c r="D1806" s="53"/>
      <c r="E1806" s="53"/>
      <c r="F1806" s="94"/>
      <c r="G1806" s="96"/>
      <c r="H1806" s="51"/>
    </row>
    <row r="1807" spans="1:8" x14ac:dyDescent="0.25">
      <c r="A1807" s="52"/>
      <c r="B1807" s="93"/>
      <c r="C1807" s="53"/>
      <c r="D1807" s="53"/>
      <c r="E1807" s="53"/>
      <c r="F1807" s="94"/>
      <c r="G1807" s="96"/>
      <c r="H1807" s="51"/>
    </row>
    <row r="1808" spans="1:8" x14ac:dyDescent="0.25">
      <c r="A1808" s="52"/>
      <c r="B1808" s="53"/>
      <c r="C1808" s="53"/>
      <c r="D1808" s="15"/>
      <c r="E1808" s="53"/>
      <c r="F1808" s="53"/>
      <c r="G1808" s="53"/>
      <c r="H1808" s="51"/>
    </row>
    <row r="1809" spans="1:8" x14ac:dyDescent="0.25">
      <c r="A1809" s="45"/>
      <c r="B1809" s="45"/>
      <c r="C1809" s="150"/>
      <c r="D1809" s="45"/>
      <c r="E1809" s="45"/>
      <c r="F1809" s="45"/>
      <c r="G1809" s="45"/>
      <c r="H1809" s="45"/>
    </row>
    <row r="1810" spans="1:8" x14ac:dyDescent="0.25">
      <c r="A1810" s="100"/>
      <c r="B1810" s="100"/>
      <c r="C1810" s="157"/>
      <c r="D1810" s="100"/>
      <c r="E1810" s="100"/>
      <c r="F1810" s="100"/>
      <c r="G1810" s="100"/>
      <c r="H1810" s="100"/>
    </row>
    <row r="1811" spans="1:8" x14ac:dyDescent="0.25">
      <c r="A1811" s="44"/>
      <c r="B1811" s="158"/>
      <c r="C1811" s="45"/>
      <c r="D1811" s="45"/>
      <c r="E1811" s="45"/>
      <c r="F1811" s="45"/>
      <c r="G1811" s="45"/>
      <c r="H1811" s="46"/>
    </row>
    <row r="1812" spans="1:8" x14ac:dyDescent="0.25">
      <c r="A1812" s="52"/>
      <c r="B1812" s="53"/>
      <c r="C1812" s="53"/>
      <c r="D1812" s="53"/>
      <c r="E1812" s="53"/>
      <c r="F1812" s="53"/>
      <c r="G1812" s="53"/>
      <c r="H1812" s="51"/>
    </row>
    <row r="1813" spans="1:8" x14ac:dyDescent="0.25">
      <c r="A1813" s="153" t="s">
        <v>711</v>
      </c>
      <c r="B1813" s="48"/>
      <c r="C1813" s="49"/>
      <c r="D1813" s="122"/>
      <c r="E1813" s="49"/>
      <c r="F1813" s="50"/>
      <c r="G1813" s="50"/>
      <c r="H1813" s="133"/>
    </row>
    <row r="1814" spans="1:8" ht="16.5" thickBot="1" x14ac:dyDescent="0.3">
      <c r="A1814" s="52"/>
      <c r="B1814" s="53"/>
      <c r="C1814" s="53"/>
      <c r="D1814" s="53"/>
      <c r="E1814" s="53"/>
      <c r="F1814" s="65"/>
      <c r="G1814" s="54" t="s">
        <v>712</v>
      </c>
      <c r="H1814" s="51"/>
    </row>
    <row r="1815" spans="1:8" ht="16.5" thickBot="1" x14ac:dyDescent="0.3">
      <c r="A1815" s="400" t="s">
        <v>381</v>
      </c>
      <c r="B1815" s="401"/>
      <c r="C1815" s="402" t="s">
        <v>382</v>
      </c>
      <c r="D1815" s="401"/>
      <c r="E1815" s="55" t="s">
        <v>266</v>
      </c>
      <c r="F1815" s="65"/>
      <c r="G1815" s="54"/>
      <c r="H1815" s="51"/>
    </row>
    <row r="1816" spans="1:8" ht="16.5" thickBot="1" x14ac:dyDescent="0.3">
      <c r="A1816" s="403">
        <v>0</v>
      </c>
      <c r="B1816" s="404"/>
      <c r="C1816" s="403">
        <v>0</v>
      </c>
      <c r="D1816" s="404"/>
      <c r="E1816" s="56">
        <v>1</v>
      </c>
      <c r="F1816" s="65"/>
      <c r="G1816" s="53"/>
      <c r="H1816" s="51"/>
    </row>
    <row r="1817" spans="1:8" x14ac:dyDescent="0.25">
      <c r="A1817" s="52"/>
      <c r="B1817" s="58"/>
      <c r="C1817" s="58"/>
      <c r="D1817" s="58"/>
      <c r="E1817" s="58"/>
      <c r="F1817" s="58"/>
      <c r="G1817" s="53"/>
      <c r="H1817" s="83"/>
    </row>
    <row r="1818" spans="1:8" x14ac:dyDescent="0.25">
      <c r="A1818" s="59" t="s">
        <v>323</v>
      </c>
      <c r="B1818" s="59" t="s">
        <v>266</v>
      </c>
      <c r="C1818" s="59" t="s">
        <v>383</v>
      </c>
      <c r="D1818" s="59" t="s">
        <v>384</v>
      </c>
      <c r="E1818" s="59" t="s">
        <v>332</v>
      </c>
      <c r="F1818" s="59" t="s">
        <v>385</v>
      </c>
      <c r="G1818" s="59" t="s">
        <v>386</v>
      </c>
      <c r="H1818" s="59" t="s">
        <v>387</v>
      </c>
    </row>
    <row r="1819" spans="1:8" x14ac:dyDescent="0.25">
      <c r="A1819" s="134">
        <v>6901</v>
      </c>
      <c r="B1819" s="135">
        <f>1*E1816</f>
        <v>1</v>
      </c>
      <c r="C1819" s="135" t="s">
        <v>367</v>
      </c>
      <c r="D1819" s="61">
        <f>A1816-14</f>
        <v>-14</v>
      </c>
      <c r="E1819" s="135" t="s">
        <v>590</v>
      </c>
      <c r="F1819" s="136" t="s">
        <v>388</v>
      </c>
      <c r="G1819" s="63">
        <v>0.69199999999999995</v>
      </c>
      <c r="H1819" s="63">
        <f t="shared" ref="H1819:H1831" si="29">(D1819/1000)*B1819*G1819</f>
        <v>-9.6879999999999987E-3</v>
      </c>
    </row>
    <row r="1820" spans="1:8" x14ac:dyDescent="0.25">
      <c r="A1820" s="134">
        <v>6921</v>
      </c>
      <c r="B1820" s="135">
        <f>1*E1816</f>
        <v>1</v>
      </c>
      <c r="C1820" s="135" t="s">
        <v>367</v>
      </c>
      <c r="D1820" s="61">
        <f>A1816-14</f>
        <v>-14</v>
      </c>
      <c r="E1820" s="135" t="s">
        <v>590</v>
      </c>
      <c r="F1820" s="136" t="s">
        <v>591</v>
      </c>
      <c r="G1820" s="63">
        <v>0.60499999999999998</v>
      </c>
      <c r="H1820" s="63">
        <f t="shared" si="29"/>
        <v>-8.4700000000000001E-3</v>
      </c>
    </row>
    <row r="1821" spans="1:8" x14ac:dyDescent="0.25">
      <c r="A1821" s="134">
        <v>6903</v>
      </c>
      <c r="B1821" s="135">
        <f>1*E1816</f>
        <v>1</v>
      </c>
      <c r="C1821" s="135" t="s">
        <v>337</v>
      </c>
      <c r="D1821" s="61">
        <f>C1816</f>
        <v>0</v>
      </c>
      <c r="E1821" s="135" t="s">
        <v>590</v>
      </c>
      <c r="F1821" s="136" t="s">
        <v>83</v>
      </c>
      <c r="G1821" s="63">
        <v>0.55000000000000004</v>
      </c>
      <c r="H1821" s="63">
        <f t="shared" si="29"/>
        <v>0</v>
      </c>
    </row>
    <row r="1822" spans="1:8" x14ac:dyDescent="0.25">
      <c r="A1822" s="134">
        <v>6954</v>
      </c>
      <c r="B1822" s="135">
        <f>1*E1816</f>
        <v>1</v>
      </c>
      <c r="C1822" s="135" t="s">
        <v>337</v>
      </c>
      <c r="D1822" s="105">
        <f>C1816</f>
        <v>0</v>
      </c>
      <c r="E1822" s="135" t="s">
        <v>590</v>
      </c>
      <c r="F1822" s="136" t="s">
        <v>684</v>
      </c>
      <c r="G1822" s="63">
        <v>0.42499999999999999</v>
      </c>
      <c r="H1822" s="63">
        <f t="shared" si="29"/>
        <v>0</v>
      </c>
    </row>
    <row r="1823" spans="1:8" x14ac:dyDescent="0.25">
      <c r="A1823" s="134">
        <v>6911</v>
      </c>
      <c r="B1823" s="135">
        <f>1*E1816</f>
        <v>1</v>
      </c>
      <c r="C1823" s="135" t="s">
        <v>638</v>
      </c>
      <c r="D1823" s="61">
        <f>C1816-42</f>
        <v>-42</v>
      </c>
      <c r="E1823" s="135" t="s">
        <v>590</v>
      </c>
      <c r="F1823" s="136" t="s">
        <v>600</v>
      </c>
      <c r="G1823" s="63">
        <v>0.86399999999999999</v>
      </c>
      <c r="H1823" s="63">
        <f t="shared" si="29"/>
        <v>-3.6288000000000001E-2</v>
      </c>
    </row>
    <row r="1824" spans="1:8" x14ac:dyDescent="0.25">
      <c r="A1824" s="134">
        <v>6912</v>
      </c>
      <c r="B1824" s="135">
        <f>1*E1816</f>
        <v>1</v>
      </c>
      <c r="C1824" s="135" t="s">
        <v>638</v>
      </c>
      <c r="D1824" s="61">
        <f>C1816-42</f>
        <v>-42</v>
      </c>
      <c r="E1824" s="135" t="s">
        <v>590</v>
      </c>
      <c r="F1824" s="136" t="s">
        <v>599</v>
      </c>
      <c r="G1824" s="63">
        <v>0.78900000000000003</v>
      </c>
      <c r="H1824" s="63">
        <f t="shared" si="29"/>
        <v>-3.3138000000000001E-2</v>
      </c>
    </row>
    <row r="1825" spans="1:8" x14ac:dyDescent="0.25">
      <c r="A1825" s="134">
        <v>6912</v>
      </c>
      <c r="B1825" s="135">
        <f>1*E1816</f>
        <v>1</v>
      </c>
      <c r="C1825" s="135" t="s">
        <v>713</v>
      </c>
      <c r="D1825" s="61">
        <f>C1816-29</f>
        <v>-29</v>
      </c>
      <c r="E1825" s="135" t="s">
        <v>590</v>
      </c>
      <c r="F1825" s="136" t="s">
        <v>599</v>
      </c>
      <c r="G1825" s="63">
        <v>0.78900000000000003</v>
      </c>
      <c r="H1825" s="63">
        <f t="shared" si="29"/>
        <v>-2.2881000000000002E-2</v>
      </c>
    </row>
    <row r="1826" spans="1:8" x14ac:dyDescent="0.25">
      <c r="A1826" s="134">
        <v>6943</v>
      </c>
      <c r="B1826" s="135">
        <f>1*E1816</f>
        <v>1</v>
      </c>
      <c r="C1826" s="135" t="s">
        <v>713</v>
      </c>
      <c r="D1826" s="61">
        <f>C1816-29</f>
        <v>-29</v>
      </c>
      <c r="E1826" s="135" t="s">
        <v>590</v>
      </c>
      <c r="F1826" s="136" t="s">
        <v>714</v>
      </c>
      <c r="G1826" s="63">
        <v>0.16</v>
      </c>
      <c r="H1826" s="63">
        <f t="shared" si="29"/>
        <v>-4.64E-3</v>
      </c>
    </row>
    <row r="1827" spans="1:8" x14ac:dyDescent="0.25">
      <c r="A1827" s="134">
        <v>6965</v>
      </c>
      <c r="B1827" s="135">
        <f>1*E1816</f>
        <v>1</v>
      </c>
      <c r="C1827" s="135" t="s">
        <v>713</v>
      </c>
      <c r="D1827" s="61">
        <f>C1816-29</f>
        <v>-29</v>
      </c>
      <c r="E1827" s="135" t="s">
        <v>590</v>
      </c>
      <c r="F1827" s="136" t="s">
        <v>715</v>
      </c>
      <c r="G1827" s="63">
        <v>0.24199999999999999</v>
      </c>
      <c r="H1827" s="63">
        <f t="shared" si="29"/>
        <v>-7.0179999999999999E-3</v>
      </c>
    </row>
    <row r="1828" spans="1:8" x14ac:dyDescent="0.25">
      <c r="A1828" s="134">
        <v>6909</v>
      </c>
      <c r="B1828" s="135">
        <f>1*E1816</f>
        <v>1</v>
      </c>
      <c r="C1828" s="135" t="s">
        <v>389</v>
      </c>
      <c r="D1828" s="61">
        <f>A1816/2-13</f>
        <v>-13</v>
      </c>
      <c r="E1828" s="135" t="s">
        <v>590</v>
      </c>
      <c r="F1828" s="136" t="s">
        <v>650</v>
      </c>
      <c r="G1828" s="63">
        <v>0.52</v>
      </c>
      <c r="H1828" s="63">
        <f t="shared" si="29"/>
        <v>-6.7599999999999995E-3</v>
      </c>
    </row>
    <row r="1829" spans="1:8" x14ac:dyDescent="0.25">
      <c r="A1829" s="134">
        <v>6910</v>
      </c>
      <c r="B1829" s="135">
        <f>1*E1816</f>
        <v>1</v>
      </c>
      <c r="C1829" s="135" t="s">
        <v>389</v>
      </c>
      <c r="D1829" s="105">
        <f>A1816/2-13</f>
        <v>-13</v>
      </c>
      <c r="E1829" s="135" t="s">
        <v>590</v>
      </c>
      <c r="F1829" s="136" t="s">
        <v>651</v>
      </c>
      <c r="G1829" s="63">
        <v>0.56899999999999995</v>
      </c>
      <c r="H1829" s="63">
        <f t="shared" si="29"/>
        <v>-7.3969999999999991E-3</v>
      </c>
    </row>
    <row r="1830" spans="1:8" x14ac:dyDescent="0.25">
      <c r="A1830" s="134">
        <v>6909</v>
      </c>
      <c r="B1830" s="135">
        <f>1*E1816</f>
        <v>1</v>
      </c>
      <c r="C1830" s="135" t="s">
        <v>716</v>
      </c>
      <c r="D1830" s="105">
        <f>A1816/2+7</f>
        <v>7</v>
      </c>
      <c r="E1830" s="135" t="s">
        <v>590</v>
      </c>
      <c r="F1830" s="136" t="s">
        <v>650</v>
      </c>
      <c r="G1830" s="63">
        <v>0.52</v>
      </c>
      <c r="H1830" s="63">
        <f t="shared" si="29"/>
        <v>3.64E-3</v>
      </c>
    </row>
    <row r="1831" spans="1:8" x14ac:dyDescent="0.25">
      <c r="A1831" s="134">
        <v>6910</v>
      </c>
      <c r="B1831" s="135">
        <f>1*E1816</f>
        <v>1</v>
      </c>
      <c r="C1831" s="135" t="s">
        <v>716</v>
      </c>
      <c r="D1831" s="105">
        <f>A1816/2+7</f>
        <v>7</v>
      </c>
      <c r="E1831" s="135" t="s">
        <v>590</v>
      </c>
      <c r="F1831" s="136" t="s">
        <v>651</v>
      </c>
      <c r="G1831" s="63">
        <v>0.56899999999999995</v>
      </c>
      <c r="H1831" s="63">
        <f t="shared" si="29"/>
        <v>3.9829999999999996E-3</v>
      </c>
    </row>
    <row r="1832" spans="1:8" x14ac:dyDescent="0.25">
      <c r="A1832" s="134">
        <v>6945</v>
      </c>
      <c r="B1832" s="135">
        <f>1*E1816</f>
        <v>1</v>
      </c>
      <c r="C1832" s="135" t="s">
        <v>716</v>
      </c>
      <c r="D1832" s="105">
        <f>A1816/2+7</f>
        <v>7</v>
      </c>
      <c r="E1832" s="135" t="s">
        <v>590</v>
      </c>
      <c r="F1832" s="136" t="s">
        <v>717</v>
      </c>
      <c r="G1832" s="63">
        <v>0.65400000000000003</v>
      </c>
      <c r="H1832" s="63">
        <f>(D1832/1000)*B1832*G1832</f>
        <v>4.5780000000000005E-3</v>
      </c>
    </row>
    <row r="1833" spans="1:8" x14ac:dyDescent="0.25">
      <c r="A1833" s="64"/>
      <c r="B1833" s="65"/>
      <c r="C1833" s="65"/>
      <c r="D1833" s="65"/>
      <c r="E1833" s="65"/>
      <c r="F1833" s="65"/>
      <c r="G1833" s="63" t="s">
        <v>392</v>
      </c>
      <c r="H1833" s="63">
        <f>SUM(H1819:H1832)</f>
        <v>-0.12407899999999999</v>
      </c>
    </row>
    <row r="1834" spans="1:8" x14ac:dyDescent="0.25">
      <c r="A1834" s="64"/>
      <c r="B1834" s="65"/>
      <c r="C1834" s="65"/>
      <c r="D1834" s="65"/>
      <c r="E1834" s="65"/>
      <c r="F1834" s="65"/>
      <c r="G1834" s="66"/>
      <c r="H1834" s="67"/>
    </row>
    <row r="1835" spans="1:8" x14ac:dyDescent="0.25">
      <c r="A1835" s="64"/>
      <c r="B1835" s="65"/>
      <c r="C1835" s="65"/>
      <c r="D1835" s="65"/>
      <c r="E1835" s="65"/>
      <c r="F1835" s="65"/>
      <c r="G1835" s="68"/>
      <c r="H1835" s="67"/>
    </row>
    <row r="1836" spans="1:8" x14ac:dyDescent="0.25">
      <c r="A1836" s="69" t="s">
        <v>393</v>
      </c>
      <c r="B1836" s="70"/>
      <c r="C1836" s="70"/>
      <c r="D1836" s="71"/>
      <c r="E1836" s="59" t="s">
        <v>36</v>
      </c>
      <c r="F1836" s="59" t="s">
        <v>266</v>
      </c>
      <c r="G1836" s="52"/>
      <c r="H1836" s="72"/>
    </row>
    <row r="1837" spans="1:8" x14ac:dyDescent="0.25">
      <c r="A1837" s="139" t="s">
        <v>689</v>
      </c>
      <c r="B1837" s="74"/>
      <c r="C1837" s="70"/>
      <c r="D1837" s="71"/>
      <c r="E1837" s="114">
        <f>F1837*E1816</f>
        <v>2</v>
      </c>
      <c r="F1837" s="135">
        <v>2</v>
      </c>
      <c r="G1837" s="76"/>
      <c r="H1837" s="77"/>
    </row>
    <row r="1838" spans="1:8" x14ac:dyDescent="0.25">
      <c r="A1838" s="139" t="s">
        <v>690</v>
      </c>
      <c r="B1838" s="74"/>
      <c r="C1838" s="70"/>
      <c r="D1838" s="71"/>
      <c r="E1838" s="115">
        <f>F1838*E1816</f>
        <v>1</v>
      </c>
      <c r="F1838" s="135">
        <v>1</v>
      </c>
      <c r="G1838" s="76"/>
      <c r="H1838" s="77"/>
    </row>
    <row r="1839" spans="1:8" x14ac:dyDescent="0.25">
      <c r="A1839" s="139" t="s">
        <v>691</v>
      </c>
      <c r="B1839" s="74"/>
      <c r="C1839" s="70"/>
      <c r="D1839" s="71"/>
      <c r="E1839" s="115">
        <f>F1839*E1816</f>
        <v>1</v>
      </c>
      <c r="F1839" s="135">
        <v>1</v>
      </c>
      <c r="G1839" s="65"/>
      <c r="H1839" s="77"/>
    </row>
    <row r="1840" spans="1:8" x14ac:dyDescent="0.25">
      <c r="A1840" s="139" t="s">
        <v>606</v>
      </c>
      <c r="B1840" s="74"/>
      <c r="C1840" s="70"/>
      <c r="D1840" s="71"/>
      <c r="E1840" s="115">
        <f>2*(A1816/1000)+4*(C1816/1000)*E1816</f>
        <v>0</v>
      </c>
      <c r="F1840" s="135" t="s">
        <v>402</v>
      </c>
      <c r="G1840" s="64"/>
      <c r="H1840" s="77"/>
    </row>
    <row r="1841" spans="1:8" x14ac:dyDescent="0.25">
      <c r="A1841" s="139" t="s">
        <v>692</v>
      </c>
      <c r="B1841" s="74"/>
      <c r="C1841" s="70"/>
      <c r="D1841" s="71"/>
      <c r="E1841" s="115">
        <f>2*(A1816/1000)+4*(C1816/1000)*E1816</f>
        <v>0</v>
      </c>
      <c r="F1841" s="135" t="s">
        <v>402</v>
      </c>
      <c r="G1841" s="64"/>
      <c r="H1841" s="77"/>
    </row>
    <row r="1842" spans="1:8" x14ac:dyDescent="0.25">
      <c r="A1842" s="139" t="s">
        <v>718</v>
      </c>
      <c r="B1842" s="74"/>
      <c r="C1842" s="70"/>
      <c r="D1842" s="71"/>
      <c r="E1842" s="115">
        <f>F1842*E1816</f>
        <v>2</v>
      </c>
      <c r="F1842" s="135">
        <v>2</v>
      </c>
      <c r="G1842" s="64"/>
      <c r="H1842" s="77"/>
    </row>
    <row r="1843" spans="1:8" x14ac:dyDescent="0.25">
      <c r="A1843" s="139" t="s">
        <v>693</v>
      </c>
      <c r="B1843" s="74"/>
      <c r="C1843" s="70"/>
      <c r="D1843" s="71"/>
      <c r="E1843" s="115">
        <f>F1843*E1816</f>
        <v>2</v>
      </c>
      <c r="F1843" s="135">
        <v>2</v>
      </c>
      <c r="G1843" s="64"/>
      <c r="H1843" s="77"/>
    </row>
    <row r="1844" spans="1:8" x14ac:dyDescent="0.25">
      <c r="A1844" s="139" t="s">
        <v>404</v>
      </c>
      <c r="B1844" s="74"/>
      <c r="C1844" s="70"/>
      <c r="D1844" s="71"/>
      <c r="E1844" s="115">
        <f>F1844*E1816</f>
        <v>4</v>
      </c>
      <c r="F1844" s="135">
        <v>4</v>
      </c>
      <c r="G1844" s="76"/>
      <c r="H1844" s="77"/>
    </row>
    <row r="1845" spans="1:8" x14ac:dyDescent="0.25">
      <c r="A1845" s="139" t="s">
        <v>405</v>
      </c>
      <c r="B1845" s="74"/>
      <c r="C1845" s="70"/>
      <c r="D1845" s="71"/>
      <c r="E1845" s="115">
        <f>F1845*E1816</f>
        <v>6</v>
      </c>
      <c r="F1845" s="135">
        <v>6</v>
      </c>
      <c r="G1845" s="76"/>
      <c r="H1845" s="77"/>
    </row>
    <row r="1846" spans="1:8" x14ac:dyDescent="0.25">
      <c r="A1846" s="139" t="s">
        <v>654</v>
      </c>
      <c r="B1846" s="74"/>
      <c r="C1846" s="70"/>
      <c r="D1846" s="71"/>
      <c r="E1846" s="115">
        <f>F1846*E1816</f>
        <v>1</v>
      </c>
      <c r="F1846" s="135">
        <v>1</v>
      </c>
      <c r="G1846" s="76"/>
      <c r="H1846" s="77"/>
    </row>
    <row r="1847" spans="1:8" x14ac:dyDescent="0.25">
      <c r="A1847" s="142" t="s">
        <v>631</v>
      </c>
      <c r="B1847" s="74"/>
      <c r="C1847" s="70"/>
      <c r="D1847" s="71"/>
      <c r="E1847" s="115">
        <f>F1847*E1816</f>
        <v>1</v>
      </c>
      <c r="F1847" s="135">
        <v>1</v>
      </c>
      <c r="G1847" s="76"/>
      <c r="H1847" s="77"/>
    </row>
    <row r="1848" spans="1:8" x14ac:dyDescent="0.25">
      <c r="A1848" s="139" t="s">
        <v>694</v>
      </c>
      <c r="B1848" s="74"/>
      <c r="C1848" s="70"/>
      <c r="D1848" s="71"/>
      <c r="E1848" s="115">
        <f>F1848*E1816</f>
        <v>1</v>
      </c>
      <c r="F1848" s="135">
        <v>1</v>
      </c>
      <c r="G1848" s="76"/>
      <c r="H1848" s="77"/>
    </row>
    <row r="1849" spans="1:8" x14ac:dyDescent="0.25">
      <c r="A1849" s="142" t="s">
        <v>655</v>
      </c>
      <c r="B1849" s="74"/>
      <c r="C1849" s="70"/>
      <c r="D1849" s="71"/>
      <c r="E1849" s="115">
        <f>F1849*E1816</f>
        <v>3</v>
      </c>
      <c r="F1849" s="135">
        <v>3</v>
      </c>
      <c r="G1849" s="76"/>
      <c r="H1849" s="77"/>
    </row>
    <row r="1850" spans="1:8" x14ac:dyDescent="0.25">
      <c r="A1850" s="139" t="s">
        <v>656</v>
      </c>
      <c r="B1850" s="74"/>
      <c r="C1850" s="70"/>
      <c r="D1850" s="71"/>
      <c r="E1850" s="115">
        <f>F1850*E1816</f>
        <v>3</v>
      </c>
      <c r="F1850" s="135">
        <v>3</v>
      </c>
      <c r="G1850" s="76"/>
      <c r="H1850" s="77"/>
    </row>
    <row r="1851" spans="1:8" x14ac:dyDescent="0.25">
      <c r="A1851" s="139" t="s">
        <v>657</v>
      </c>
      <c r="B1851" s="74"/>
      <c r="C1851" s="70"/>
      <c r="D1851" s="71"/>
      <c r="E1851" s="115">
        <f>F1851*E1816</f>
        <v>2</v>
      </c>
      <c r="F1851" s="135">
        <v>2</v>
      </c>
      <c r="G1851" s="76"/>
      <c r="H1851" s="77"/>
    </row>
    <row r="1852" spans="1:8" x14ac:dyDescent="0.25">
      <c r="A1852" s="139" t="s">
        <v>611</v>
      </c>
      <c r="B1852" s="70"/>
      <c r="C1852" s="70"/>
      <c r="D1852" s="71"/>
      <c r="E1852" s="87">
        <f>F1852*E1816</f>
        <v>16</v>
      </c>
      <c r="F1852" s="135">
        <v>16</v>
      </c>
      <c r="G1852" s="53"/>
      <c r="H1852" s="83"/>
    </row>
    <row r="1853" spans="1:8" x14ac:dyDescent="0.25">
      <c r="A1853" s="159"/>
      <c r="B1853" s="53"/>
      <c r="C1853" s="53"/>
      <c r="D1853" s="53"/>
      <c r="E1853" s="53"/>
      <c r="F1853" s="53"/>
      <c r="G1853" s="53"/>
      <c r="H1853" s="83"/>
    </row>
    <row r="1854" spans="1:8" x14ac:dyDescent="0.25">
      <c r="A1854" s="52"/>
      <c r="B1854" s="53"/>
      <c r="C1854" s="53"/>
      <c r="D1854" s="53"/>
      <c r="E1854" s="53"/>
      <c r="F1854" s="53"/>
      <c r="G1854" s="53"/>
      <c r="H1854" s="83"/>
    </row>
    <row r="1855" spans="1:8" x14ac:dyDescent="0.25">
      <c r="A1855" s="59" t="s">
        <v>413</v>
      </c>
      <c r="B1855" s="84" t="s">
        <v>266</v>
      </c>
      <c r="C1855" s="84" t="s">
        <v>383</v>
      </c>
      <c r="D1855" s="405" t="s">
        <v>414</v>
      </c>
      <c r="E1855" s="406"/>
      <c r="F1855" s="85" t="s">
        <v>415</v>
      </c>
      <c r="G1855" s="59" t="s">
        <v>416</v>
      </c>
      <c r="H1855" s="86"/>
    </row>
    <row r="1856" spans="1:8" x14ac:dyDescent="0.25">
      <c r="A1856" s="61"/>
      <c r="B1856" s="89">
        <f>1*E1816</f>
        <v>1</v>
      </c>
      <c r="C1856" s="89" t="s">
        <v>719</v>
      </c>
      <c r="D1856" s="409">
        <f>A1816/2-66</f>
        <v>-66</v>
      </c>
      <c r="E1856" s="410"/>
      <c r="F1856" s="90">
        <f>C1816-120</f>
        <v>-120</v>
      </c>
      <c r="G1856" s="152">
        <f>B1856*(D1856/1000)*(F1856/1000)</f>
        <v>7.92E-3</v>
      </c>
      <c r="H1856" s="86"/>
    </row>
    <row r="1857" spans="1:8" x14ac:dyDescent="0.25">
      <c r="A1857" s="61"/>
      <c r="B1857" s="89">
        <f>1*E1816</f>
        <v>1</v>
      </c>
      <c r="C1857" s="61" t="s">
        <v>720</v>
      </c>
      <c r="D1857" s="409">
        <f>A1816/2-26</f>
        <v>-26</v>
      </c>
      <c r="E1857" s="410"/>
      <c r="F1857" s="90">
        <f>C1816-120</f>
        <v>-120</v>
      </c>
      <c r="G1857" s="156">
        <f>B1857*(D1857/1000)*(F1857/1000)</f>
        <v>3.1199999999999999E-3</v>
      </c>
      <c r="H1857" s="83"/>
    </row>
    <row r="1858" spans="1:8" x14ac:dyDescent="0.25">
      <c r="A1858" s="52"/>
      <c r="B1858" s="93"/>
      <c r="C1858" s="53"/>
      <c r="D1858" s="53"/>
      <c r="E1858" s="53"/>
      <c r="F1858" s="94" t="s">
        <v>418</v>
      </c>
      <c r="G1858" s="95">
        <f>SUM(G1856:G1857)</f>
        <v>1.1039999999999999E-2</v>
      </c>
      <c r="H1858" s="51"/>
    </row>
    <row r="1859" spans="1:8" x14ac:dyDescent="0.25">
      <c r="A1859" s="52"/>
      <c r="B1859" s="93"/>
      <c r="C1859" s="53"/>
      <c r="D1859" s="53"/>
      <c r="E1859" s="53"/>
      <c r="F1859" s="94"/>
      <c r="G1859" s="96"/>
      <c r="H1859" s="51"/>
    </row>
    <row r="1860" spans="1:8" x14ac:dyDescent="0.25">
      <c r="A1860" s="52"/>
      <c r="B1860" s="93"/>
      <c r="C1860" s="53"/>
      <c r="D1860" s="53"/>
      <c r="E1860" s="53"/>
      <c r="F1860" s="94"/>
      <c r="G1860" s="96"/>
      <c r="H1860" s="51"/>
    </row>
    <row r="1861" spans="1:8" x14ac:dyDescent="0.25">
      <c r="A1861" s="52"/>
      <c r="B1861" s="93"/>
      <c r="C1861" s="53"/>
      <c r="D1861" s="53"/>
      <c r="E1861" s="53"/>
      <c r="F1861" s="94"/>
      <c r="G1861" s="96"/>
      <c r="H1861" s="51"/>
    </row>
    <row r="1862" spans="1:8" x14ac:dyDescent="0.25">
      <c r="A1862" s="52"/>
      <c r="B1862" s="93"/>
      <c r="C1862" s="53"/>
      <c r="D1862" s="53"/>
      <c r="E1862" s="53"/>
      <c r="F1862" s="94"/>
      <c r="G1862" s="96"/>
      <c r="H1862" s="51"/>
    </row>
    <row r="1863" spans="1:8" x14ac:dyDescent="0.25">
      <c r="A1863" s="52"/>
      <c r="B1863" s="93"/>
      <c r="C1863" s="53"/>
      <c r="D1863" s="53"/>
      <c r="E1863" s="53"/>
      <c r="F1863" s="94"/>
      <c r="G1863" s="96"/>
      <c r="H1863" s="51"/>
    </row>
    <row r="1864" spans="1:8" x14ac:dyDescent="0.25">
      <c r="A1864" s="52"/>
      <c r="B1864" s="93"/>
      <c r="C1864" s="53"/>
      <c r="D1864" s="53"/>
      <c r="E1864" s="53"/>
      <c r="F1864" s="94"/>
      <c r="G1864" s="96"/>
      <c r="H1864" s="51"/>
    </row>
    <row r="1865" spans="1:8" x14ac:dyDescent="0.25">
      <c r="A1865" s="52"/>
      <c r="B1865" s="93"/>
      <c r="C1865" s="53"/>
      <c r="D1865" s="53"/>
      <c r="E1865" s="53"/>
      <c r="F1865" s="94"/>
      <c r="G1865" s="96"/>
      <c r="H1865" s="51"/>
    </row>
    <row r="1866" spans="1:8" x14ac:dyDescent="0.25">
      <c r="A1866" s="52"/>
      <c r="B1866" s="93"/>
      <c r="C1866" s="53"/>
      <c r="D1866" s="53"/>
      <c r="E1866" s="53"/>
      <c r="F1866" s="94"/>
      <c r="G1866" s="96"/>
      <c r="H1866" s="51"/>
    </row>
    <row r="1867" spans="1:8" x14ac:dyDescent="0.25">
      <c r="A1867" s="52"/>
      <c r="B1867" s="93"/>
      <c r="C1867" s="53"/>
      <c r="D1867" s="53"/>
      <c r="E1867" s="53"/>
      <c r="F1867" s="94"/>
      <c r="G1867" s="96"/>
      <c r="H1867" s="51"/>
    </row>
    <row r="1868" spans="1:8" x14ac:dyDescent="0.25">
      <c r="A1868" s="52"/>
      <c r="B1868" s="93"/>
      <c r="C1868" s="53"/>
      <c r="D1868" s="53"/>
      <c r="E1868" s="53"/>
      <c r="F1868" s="94"/>
      <c r="G1868" s="96"/>
      <c r="H1868" s="51"/>
    </row>
    <row r="1869" spans="1:8" x14ac:dyDescent="0.25">
      <c r="A1869" s="52"/>
      <c r="B1869" s="93"/>
      <c r="C1869" s="53"/>
      <c r="D1869" s="53"/>
      <c r="E1869" s="53"/>
      <c r="F1869" s="94"/>
      <c r="G1869" s="96"/>
      <c r="H1869" s="51"/>
    </row>
    <row r="1870" spans="1:8" x14ac:dyDescent="0.25">
      <c r="A1870" s="52"/>
      <c r="B1870" s="144"/>
      <c r="C1870" s="53"/>
      <c r="D1870" s="53"/>
      <c r="E1870" s="53"/>
      <c r="F1870" s="53"/>
      <c r="G1870" s="53"/>
      <c r="H1870" s="51"/>
    </row>
    <row r="1871" spans="1:8" x14ac:dyDescent="0.25">
      <c r="A1871" s="52"/>
      <c r="B1871" s="144"/>
      <c r="C1871" s="53"/>
      <c r="D1871" s="53"/>
      <c r="E1871" s="53"/>
      <c r="F1871" s="53"/>
      <c r="G1871" s="53"/>
      <c r="H1871" s="51"/>
    </row>
    <row r="1872" spans="1:8" x14ac:dyDescent="0.25">
      <c r="A1872" s="45"/>
      <c r="B1872" s="160"/>
      <c r="C1872" s="45"/>
      <c r="D1872" s="45"/>
      <c r="E1872" s="45"/>
      <c r="F1872" s="45"/>
      <c r="G1872" s="45"/>
      <c r="H1872" s="45"/>
    </row>
    <row r="1873" spans="1:8" x14ac:dyDescent="0.25">
      <c r="A1873" s="100"/>
      <c r="B1873" s="100"/>
      <c r="C1873" s="100"/>
      <c r="D1873" s="100"/>
      <c r="E1873" s="100"/>
      <c r="F1873" s="100"/>
      <c r="G1873" s="100"/>
      <c r="H1873" s="100"/>
    </row>
    <row r="1874" spans="1:8" x14ac:dyDescent="0.25">
      <c r="A1874" s="44"/>
      <c r="B1874" s="45"/>
      <c r="C1874" s="45"/>
      <c r="D1874" s="45"/>
      <c r="E1874" s="45"/>
      <c r="F1874" s="45"/>
      <c r="G1874" s="45"/>
      <c r="H1874" s="46"/>
    </row>
    <row r="1875" spans="1:8" x14ac:dyDescent="0.25">
      <c r="A1875" s="132"/>
      <c r="B1875" s="53"/>
      <c r="C1875" s="53"/>
      <c r="D1875" s="53"/>
      <c r="E1875" s="53"/>
      <c r="F1875" s="53"/>
      <c r="G1875" s="53"/>
      <c r="H1875" s="51"/>
    </row>
    <row r="1876" spans="1:8" x14ac:dyDescent="0.25">
      <c r="A1876" s="153" t="s">
        <v>721</v>
      </c>
      <c r="B1876" s="48"/>
      <c r="C1876" s="49"/>
      <c r="D1876" s="122"/>
      <c r="E1876" s="49"/>
      <c r="F1876" s="50"/>
      <c r="G1876" s="50"/>
      <c r="H1876" s="133"/>
    </row>
    <row r="1877" spans="1:8" ht="16.5" thickBot="1" x14ac:dyDescent="0.3">
      <c r="A1877" s="52"/>
      <c r="B1877" s="53"/>
      <c r="C1877" s="53"/>
      <c r="D1877" s="53"/>
      <c r="E1877" s="53"/>
      <c r="F1877" s="65"/>
      <c r="G1877" s="54" t="s">
        <v>722</v>
      </c>
      <c r="H1877" s="51"/>
    </row>
    <row r="1878" spans="1:8" ht="16.5" thickBot="1" x14ac:dyDescent="0.3">
      <c r="A1878" s="400" t="s">
        <v>381</v>
      </c>
      <c r="B1878" s="401"/>
      <c r="C1878" s="402" t="s">
        <v>382</v>
      </c>
      <c r="D1878" s="401"/>
      <c r="E1878" s="55" t="s">
        <v>266</v>
      </c>
      <c r="F1878" s="65"/>
      <c r="G1878" s="54"/>
      <c r="H1878" s="51"/>
    </row>
    <row r="1879" spans="1:8" ht="16.5" thickBot="1" x14ac:dyDescent="0.3">
      <c r="A1879" s="403">
        <v>0</v>
      </c>
      <c r="B1879" s="404"/>
      <c r="C1879" s="403">
        <v>0</v>
      </c>
      <c r="D1879" s="404"/>
      <c r="E1879" s="56">
        <v>1</v>
      </c>
      <c r="F1879" s="65"/>
      <c r="G1879" s="53"/>
      <c r="H1879" s="51"/>
    </row>
    <row r="1880" spans="1:8" x14ac:dyDescent="0.25">
      <c r="A1880" s="52"/>
      <c r="B1880" s="58"/>
      <c r="C1880" s="58"/>
      <c r="D1880" s="58"/>
      <c r="E1880" s="58"/>
      <c r="F1880" s="58"/>
      <c r="G1880" s="53"/>
      <c r="H1880" s="83"/>
    </row>
    <row r="1881" spans="1:8" x14ac:dyDescent="0.25">
      <c r="A1881" s="59" t="s">
        <v>323</v>
      </c>
      <c r="B1881" s="59" t="s">
        <v>266</v>
      </c>
      <c r="C1881" s="59" t="s">
        <v>383</v>
      </c>
      <c r="D1881" s="59" t="s">
        <v>384</v>
      </c>
      <c r="E1881" s="59" t="s">
        <v>332</v>
      </c>
      <c r="F1881" s="59" t="s">
        <v>385</v>
      </c>
      <c r="G1881" s="59" t="s">
        <v>386</v>
      </c>
      <c r="H1881" s="59" t="s">
        <v>387</v>
      </c>
    </row>
    <row r="1882" spans="1:8" x14ac:dyDescent="0.25">
      <c r="A1882" s="134">
        <v>6901</v>
      </c>
      <c r="B1882" s="135">
        <f>1*E1879</f>
        <v>1</v>
      </c>
      <c r="C1882" s="135" t="s">
        <v>367</v>
      </c>
      <c r="D1882" s="61">
        <f>A1879-14</f>
        <v>-14</v>
      </c>
      <c r="E1882" s="135" t="s">
        <v>590</v>
      </c>
      <c r="F1882" s="136" t="s">
        <v>388</v>
      </c>
      <c r="G1882" s="63">
        <v>0.69199999999999995</v>
      </c>
      <c r="H1882" s="63">
        <f t="shared" ref="H1882:H1891" si="30">(D1882/1000)*B1882*G1882</f>
        <v>-9.6879999999999987E-3</v>
      </c>
    </row>
    <row r="1883" spans="1:8" x14ac:dyDescent="0.25">
      <c r="A1883" s="134">
        <v>6921</v>
      </c>
      <c r="B1883" s="135">
        <f>1*E1879</f>
        <v>1</v>
      </c>
      <c r="C1883" s="135" t="s">
        <v>367</v>
      </c>
      <c r="D1883" s="61">
        <f>A1879-14</f>
        <v>-14</v>
      </c>
      <c r="E1883" s="135" t="s">
        <v>590</v>
      </c>
      <c r="F1883" s="136" t="s">
        <v>591</v>
      </c>
      <c r="G1883" s="63">
        <v>0.60499999999999998</v>
      </c>
      <c r="H1883" s="63">
        <f t="shared" si="30"/>
        <v>-8.4700000000000001E-3</v>
      </c>
    </row>
    <row r="1884" spans="1:8" x14ac:dyDescent="0.25">
      <c r="A1884" s="134">
        <v>6903</v>
      </c>
      <c r="B1884" s="135">
        <f>2*E1879</f>
        <v>2</v>
      </c>
      <c r="C1884" s="135" t="s">
        <v>337</v>
      </c>
      <c r="D1884" s="61">
        <f>C1879</f>
        <v>0</v>
      </c>
      <c r="E1884" s="135" t="s">
        <v>590</v>
      </c>
      <c r="F1884" s="136" t="s">
        <v>83</v>
      </c>
      <c r="G1884" s="63">
        <v>0.55000000000000004</v>
      </c>
      <c r="H1884" s="63">
        <f t="shared" si="30"/>
        <v>0</v>
      </c>
    </row>
    <row r="1885" spans="1:8" x14ac:dyDescent="0.25">
      <c r="A1885" s="134">
        <v>6911</v>
      </c>
      <c r="B1885" s="135">
        <f>2*E1879</f>
        <v>2</v>
      </c>
      <c r="C1885" s="135" t="s">
        <v>638</v>
      </c>
      <c r="D1885" s="105">
        <f>C1879-42</f>
        <v>-42</v>
      </c>
      <c r="E1885" s="135" t="s">
        <v>590</v>
      </c>
      <c r="F1885" s="136" t="s">
        <v>600</v>
      </c>
      <c r="G1885" s="63">
        <v>0.86399999999999999</v>
      </c>
      <c r="H1885" s="63">
        <f t="shared" si="30"/>
        <v>-7.2576000000000002E-2</v>
      </c>
    </row>
    <row r="1886" spans="1:8" x14ac:dyDescent="0.25">
      <c r="A1886" s="134">
        <v>6912</v>
      </c>
      <c r="B1886" s="135">
        <f>2*E1879</f>
        <v>2</v>
      </c>
      <c r="C1886" s="135" t="s">
        <v>638</v>
      </c>
      <c r="D1886" s="61">
        <f>C1879-42</f>
        <v>-42</v>
      </c>
      <c r="E1886" s="135" t="s">
        <v>590</v>
      </c>
      <c r="F1886" s="136" t="s">
        <v>599</v>
      </c>
      <c r="G1886" s="63">
        <v>0.78900000000000003</v>
      </c>
      <c r="H1886" s="63">
        <f t="shared" si="30"/>
        <v>-6.6276000000000002E-2</v>
      </c>
    </row>
    <row r="1887" spans="1:8" x14ac:dyDescent="0.25">
      <c r="A1887" s="134">
        <v>6912</v>
      </c>
      <c r="B1887" s="135">
        <f>2*E1879</f>
        <v>2</v>
      </c>
      <c r="C1887" s="135" t="s">
        <v>713</v>
      </c>
      <c r="D1887" s="61">
        <f>C1879-29</f>
        <v>-29</v>
      </c>
      <c r="E1887" s="135" t="s">
        <v>590</v>
      </c>
      <c r="F1887" s="136" t="s">
        <v>599</v>
      </c>
      <c r="G1887" s="63">
        <v>0.78900000000000003</v>
      </c>
      <c r="H1887" s="63">
        <f t="shared" si="30"/>
        <v>-4.5762000000000004E-2</v>
      </c>
    </row>
    <row r="1888" spans="1:8" x14ac:dyDescent="0.25">
      <c r="A1888" s="134">
        <v>6909</v>
      </c>
      <c r="B1888" s="135">
        <f>2*E1879</f>
        <v>2</v>
      </c>
      <c r="C1888" s="135" t="s">
        <v>421</v>
      </c>
      <c r="D1888" s="105">
        <f>A1879/3-13</f>
        <v>-13</v>
      </c>
      <c r="E1888" s="135" t="s">
        <v>590</v>
      </c>
      <c r="F1888" s="136" t="s">
        <v>650</v>
      </c>
      <c r="G1888" s="63">
        <v>0.52</v>
      </c>
      <c r="H1888" s="63">
        <f t="shared" si="30"/>
        <v>-1.3519999999999999E-2</v>
      </c>
    </row>
    <row r="1889" spans="1:8" x14ac:dyDescent="0.25">
      <c r="A1889" s="134">
        <v>6910</v>
      </c>
      <c r="B1889" s="135">
        <f>2*E1879</f>
        <v>2</v>
      </c>
      <c r="C1889" s="135" t="s">
        <v>421</v>
      </c>
      <c r="D1889" s="105">
        <f>A1879/3-13</f>
        <v>-13</v>
      </c>
      <c r="E1889" s="135" t="s">
        <v>590</v>
      </c>
      <c r="F1889" s="136" t="s">
        <v>651</v>
      </c>
      <c r="G1889" s="63">
        <v>0.56899999999999995</v>
      </c>
      <c r="H1889" s="63">
        <f t="shared" si="30"/>
        <v>-1.4793999999999998E-2</v>
      </c>
    </row>
    <row r="1890" spans="1:8" x14ac:dyDescent="0.25">
      <c r="A1890" s="134">
        <v>6909</v>
      </c>
      <c r="B1890" s="135">
        <f>1*E1879</f>
        <v>1</v>
      </c>
      <c r="C1890" s="135" t="s">
        <v>723</v>
      </c>
      <c r="D1890" s="105">
        <f>A1879/3+38</f>
        <v>38</v>
      </c>
      <c r="E1890" s="135" t="s">
        <v>590</v>
      </c>
      <c r="F1890" s="136" t="s">
        <v>650</v>
      </c>
      <c r="G1890" s="63">
        <v>0.52</v>
      </c>
      <c r="H1890" s="63">
        <f t="shared" si="30"/>
        <v>1.976E-2</v>
      </c>
    </row>
    <row r="1891" spans="1:8" x14ac:dyDescent="0.25">
      <c r="A1891" s="134">
        <v>6945</v>
      </c>
      <c r="B1891" s="135">
        <f>1*E1879</f>
        <v>1</v>
      </c>
      <c r="C1891" s="135" t="s">
        <v>723</v>
      </c>
      <c r="D1891" s="105">
        <f>A1879/3+38</f>
        <v>38</v>
      </c>
      <c r="E1891" s="135" t="s">
        <v>590</v>
      </c>
      <c r="F1891" s="136" t="s">
        <v>724</v>
      </c>
      <c r="G1891" s="63">
        <v>0.65400000000000003</v>
      </c>
      <c r="H1891" s="63">
        <f t="shared" si="30"/>
        <v>2.4851999999999999E-2</v>
      </c>
    </row>
    <row r="1892" spans="1:8" x14ac:dyDescent="0.25">
      <c r="A1892" s="64"/>
      <c r="B1892" s="65"/>
      <c r="C1892" s="65"/>
      <c r="D1892" s="65"/>
      <c r="E1892" s="65"/>
      <c r="F1892" s="65"/>
      <c r="G1892" s="63" t="s">
        <v>392</v>
      </c>
      <c r="H1892" s="63">
        <f>SUM(H1882:H1891)</f>
        <v>-0.18647400000000003</v>
      </c>
    </row>
    <row r="1893" spans="1:8" x14ac:dyDescent="0.25">
      <c r="A1893" s="64"/>
      <c r="B1893" s="65"/>
      <c r="C1893" s="65"/>
      <c r="D1893" s="65"/>
      <c r="E1893" s="65"/>
      <c r="F1893" s="65"/>
      <c r="G1893" s="66"/>
      <c r="H1893" s="67"/>
    </row>
    <row r="1894" spans="1:8" x14ac:dyDescent="0.25">
      <c r="A1894" s="64"/>
      <c r="B1894" s="65"/>
      <c r="C1894" s="65"/>
      <c r="D1894" s="65"/>
      <c r="E1894" s="65"/>
      <c r="F1894" s="65"/>
      <c r="G1894" s="68"/>
      <c r="H1894" s="67"/>
    </row>
    <row r="1895" spans="1:8" x14ac:dyDescent="0.25">
      <c r="A1895" s="69" t="s">
        <v>393</v>
      </c>
      <c r="B1895" s="70"/>
      <c r="C1895" s="70"/>
      <c r="D1895" s="71"/>
      <c r="E1895" s="59" t="s">
        <v>36</v>
      </c>
      <c r="F1895" s="59" t="s">
        <v>266</v>
      </c>
      <c r="G1895" s="52"/>
      <c r="H1895" s="72"/>
    </row>
    <row r="1896" spans="1:8" x14ac:dyDescent="0.25">
      <c r="A1896" s="139" t="s">
        <v>689</v>
      </c>
      <c r="B1896" s="74"/>
      <c r="C1896" s="70"/>
      <c r="D1896" s="71"/>
      <c r="E1896" s="114">
        <f>F1896*E1879</f>
        <v>2</v>
      </c>
      <c r="F1896" s="135">
        <v>2</v>
      </c>
      <c r="G1896" s="76"/>
      <c r="H1896" s="77"/>
    </row>
    <row r="1897" spans="1:8" x14ac:dyDescent="0.25">
      <c r="A1897" s="139" t="s">
        <v>690</v>
      </c>
      <c r="B1897" s="74"/>
      <c r="C1897" s="70"/>
      <c r="D1897" s="71"/>
      <c r="E1897" s="115">
        <f>F1897*E1879</f>
        <v>1</v>
      </c>
      <c r="F1897" s="135">
        <v>1</v>
      </c>
      <c r="G1897" s="76"/>
      <c r="H1897" s="77"/>
    </row>
    <row r="1898" spans="1:8" x14ac:dyDescent="0.25">
      <c r="A1898" s="139" t="s">
        <v>691</v>
      </c>
      <c r="B1898" s="74"/>
      <c r="C1898" s="70"/>
      <c r="D1898" s="71"/>
      <c r="E1898" s="115">
        <f>F1898*E1879</f>
        <v>1</v>
      </c>
      <c r="F1898" s="135">
        <v>1</v>
      </c>
      <c r="G1898" s="65"/>
      <c r="H1898" s="77"/>
    </row>
    <row r="1899" spans="1:8" x14ac:dyDescent="0.25">
      <c r="A1899" s="139" t="s">
        <v>606</v>
      </c>
      <c r="B1899" s="74"/>
      <c r="C1899" s="70"/>
      <c r="D1899" s="71"/>
      <c r="E1899" s="115">
        <f>3*(A1879/1000)+8*(C1879/1000)*E1879</f>
        <v>0</v>
      </c>
      <c r="F1899" s="135" t="s">
        <v>526</v>
      </c>
      <c r="G1899" s="64"/>
      <c r="H1899" s="77"/>
    </row>
    <row r="1900" spans="1:8" x14ac:dyDescent="0.25">
      <c r="A1900" s="139" t="s">
        <v>692</v>
      </c>
      <c r="B1900" s="74"/>
      <c r="C1900" s="70"/>
      <c r="D1900" s="71"/>
      <c r="E1900" s="115">
        <f>2*(A1879/1000)+6*(C1879/1000)*E1879</f>
        <v>0</v>
      </c>
      <c r="F1900" s="135" t="s">
        <v>424</v>
      </c>
      <c r="G1900" s="64"/>
      <c r="H1900" s="77"/>
    </row>
    <row r="1901" spans="1:8" x14ac:dyDescent="0.25">
      <c r="A1901" s="139" t="s">
        <v>725</v>
      </c>
      <c r="B1901" s="74"/>
      <c r="C1901" s="70"/>
      <c r="D1901" s="71"/>
      <c r="E1901" s="115">
        <f>F1901*E1879</f>
        <v>4</v>
      </c>
      <c r="F1901" s="135">
        <v>4</v>
      </c>
      <c r="G1901" s="64"/>
      <c r="H1901" s="77"/>
    </row>
    <row r="1902" spans="1:8" x14ac:dyDescent="0.25">
      <c r="A1902" s="139" t="s">
        <v>693</v>
      </c>
      <c r="B1902" s="74"/>
      <c r="C1902" s="70"/>
      <c r="D1902" s="71"/>
      <c r="E1902" s="115">
        <f>F1902*E1879</f>
        <v>2</v>
      </c>
      <c r="F1902" s="135">
        <v>2</v>
      </c>
      <c r="G1902" s="64"/>
      <c r="H1902" s="77"/>
    </row>
    <row r="1903" spans="1:8" x14ac:dyDescent="0.25">
      <c r="A1903" s="139" t="s">
        <v>404</v>
      </c>
      <c r="B1903" s="74"/>
      <c r="C1903" s="70"/>
      <c r="D1903" s="71"/>
      <c r="E1903" s="115">
        <f>F1903*E1879</f>
        <v>8</v>
      </c>
      <c r="F1903" s="135">
        <v>8</v>
      </c>
      <c r="G1903" s="76"/>
      <c r="H1903" s="77"/>
    </row>
    <row r="1904" spans="1:8" x14ac:dyDescent="0.25">
      <c r="A1904" s="139" t="s">
        <v>405</v>
      </c>
      <c r="B1904" s="74"/>
      <c r="C1904" s="70"/>
      <c r="D1904" s="71"/>
      <c r="E1904" s="115">
        <f>F1904*E1879</f>
        <v>12</v>
      </c>
      <c r="F1904" s="135">
        <v>12</v>
      </c>
      <c r="G1904" s="76"/>
      <c r="H1904" s="77"/>
    </row>
    <row r="1905" spans="1:8" x14ac:dyDescent="0.25">
      <c r="A1905" s="139" t="s">
        <v>654</v>
      </c>
      <c r="B1905" s="74"/>
      <c r="C1905" s="70"/>
      <c r="D1905" s="71"/>
      <c r="E1905" s="115">
        <f>F1905*E1879</f>
        <v>2</v>
      </c>
      <c r="F1905" s="135">
        <v>2</v>
      </c>
      <c r="G1905" s="76"/>
      <c r="H1905" s="77"/>
    </row>
    <row r="1906" spans="1:8" x14ac:dyDescent="0.25">
      <c r="A1906" s="142" t="s">
        <v>631</v>
      </c>
      <c r="B1906" s="74"/>
      <c r="C1906" s="70"/>
      <c r="D1906" s="71"/>
      <c r="E1906" s="115">
        <f>F1906*E1879</f>
        <v>2</v>
      </c>
      <c r="F1906" s="135">
        <v>2</v>
      </c>
      <c r="G1906" s="76"/>
      <c r="H1906" s="77"/>
    </row>
    <row r="1907" spans="1:8" x14ac:dyDescent="0.25">
      <c r="A1907" s="139" t="s">
        <v>694</v>
      </c>
      <c r="B1907" s="74"/>
      <c r="C1907" s="70"/>
      <c r="D1907" s="71"/>
      <c r="E1907" s="115">
        <f>F1907*E1879</f>
        <v>2</v>
      </c>
      <c r="F1907" s="135">
        <v>2</v>
      </c>
      <c r="G1907" s="76"/>
      <c r="H1907" s="77"/>
    </row>
    <row r="1908" spans="1:8" x14ac:dyDescent="0.25">
      <c r="A1908" s="142" t="s">
        <v>655</v>
      </c>
      <c r="B1908" s="74"/>
      <c r="C1908" s="70"/>
      <c r="D1908" s="71"/>
      <c r="E1908" s="115">
        <f>F1908*E1879</f>
        <v>6</v>
      </c>
      <c r="F1908" s="135">
        <v>6</v>
      </c>
      <c r="G1908" s="76"/>
      <c r="H1908" s="77"/>
    </row>
    <row r="1909" spans="1:8" x14ac:dyDescent="0.25">
      <c r="A1909" s="139" t="s">
        <v>656</v>
      </c>
      <c r="B1909" s="74"/>
      <c r="C1909" s="70"/>
      <c r="D1909" s="71"/>
      <c r="E1909" s="115">
        <f>F1909*E1879</f>
        <v>6</v>
      </c>
      <c r="F1909" s="135">
        <v>6</v>
      </c>
      <c r="G1909" s="76"/>
      <c r="H1909" s="77"/>
    </row>
    <row r="1910" spans="1:8" x14ac:dyDescent="0.25">
      <c r="A1910" s="139" t="s">
        <v>657</v>
      </c>
      <c r="B1910" s="74"/>
      <c r="C1910" s="70"/>
      <c r="D1910" s="71"/>
      <c r="E1910" s="115">
        <f>F1910*E1879</f>
        <v>4</v>
      </c>
      <c r="F1910" s="135">
        <v>4</v>
      </c>
      <c r="G1910" s="76"/>
      <c r="H1910" s="77"/>
    </row>
    <row r="1911" spans="1:8" x14ac:dyDescent="0.25">
      <c r="A1911" s="139" t="s">
        <v>611</v>
      </c>
      <c r="B1911" s="74"/>
      <c r="C1911" s="70"/>
      <c r="D1911" s="71"/>
      <c r="E1911" s="115">
        <f>F1911*E1879</f>
        <v>20</v>
      </c>
      <c r="F1911" s="135">
        <v>20</v>
      </c>
      <c r="G1911" s="76"/>
      <c r="H1911" s="77"/>
    </row>
    <row r="1912" spans="1:8" x14ac:dyDescent="0.25">
      <c r="A1912" s="52"/>
      <c r="B1912" s="53"/>
      <c r="C1912" s="53"/>
      <c r="D1912" s="53"/>
      <c r="E1912" s="53"/>
      <c r="F1912" s="53"/>
      <c r="G1912" s="53"/>
      <c r="H1912" s="83"/>
    </row>
    <row r="1913" spans="1:8" x14ac:dyDescent="0.25">
      <c r="A1913" s="52"/>
      <c r="B1913" s="53"/>
      <c r="C1913" s="53"/>
      <c r="D1913" s="53"/>
      <c r="E1913" s="53"/>
      <c r="F1913" s="53"/>
      <c r="G1913" s="53"/>
      <c r="H1913" s="83"/>
    </row>
    <row r="1914" spans="1:8" x14ac:dyDescent="0.25">
      <c r="A1914" s="59" t="s">
        <v>413</v>
      </c>
      <c r="B1914" s="84" t="s">
        <v>266</v>
      </c>
      <c r="C1914" s="84" t="s">
        <v>383</v>
      </c>
      <c r="D1914" s="405" t="s">
        <v>414</v>
      </c>
      <c r="E1914" s="406"/>
      <c r="F1914" s="85" t="s">
        <v>415</v>
      </c>
      <c r="G1914" s="59" t="s">
        <v>416</v>
      </c>
      <c r="H1914" s="86"/>
    </row>
    <row r="1915" spans="1:8" x14ac:dyDescent="0.25">
      <c r="A1915" s="61"/>
      <c r="B1915" s="89">
        <f>2*E1879</f>
        <v>2</v>
      </c>
      <c r="C1915" s="123" t="s">
        <v>726</v>
      </c>
      <c r="D1915" s="409">
        <f>A1879/3-66</f>
        <v>-66</v>
      </c>
      <c r="E1915" s="410"/>
      <c r="F1915" s="90">
        <f>C1879-120</f>
        <v>-120</v>
      </c>
      <c r="G1915" s="152">
        <f>B1915*(D1915/1000)*(F1915/1000)</f>
        <v>1.584E-2</v>
      </c>
      <c r="H1915" s="86"/>
    </row>
    <row r="1916" spans="1:8" x14ac:dyDescent="0.25">
      <c r="A1916" s="61"/>
      <c r="B1916" s="89">
        <f>1*E1879</f>
        <v>1</v>
      </c>
      <c r="C1916" s="124" t="s">
        <v>727</v>
      </c>
      <c r="D1916" s="409">
        <f>A1879/3-18</f>
        <v>-18</v>
      </c>
      <c r="E1916" s="410"/>
      <c r="F1916" s="90">
        <f>C1879-120</f>
        <v>-120</v>
      </c>
      <c r="G1916" s="156">
        <f>B1916*(D1916/1000)*(F1916/1000)</f>
        <v>2.1599999999999996E-3</v>
      </c>
      <c r="H1916" s="83"/>
    </row>
    <row r="1917" spans="1:8" x14ac:dyDescent="0.25">
      <c r="A1917" s="52"/>
      <c r="B1917" s="93"/>
      <c r="C1917" s="53"/>
      <c r="D1917" s="53"/>
      <c r="E1917" s="53"/>
      <c r="F1917" s="94" t="s">
        <v>418</v>
      </c>
      <c r="G1917" s="95">
        <f>SUM(G1915:G1916)</f>
        <v>1.7999999999999999E-2</v>
      </c>
      <c r="H1917" s="51"/>
    </row>
    <row r="1918" spans="1:8" x14ac:dyDescent="0.25">
      <c r="A1918" s="52"/>
      <c r="B1918" s="93"/>
      <c r="C1918" s="53"/>
      <c r="D1918" s="53"/>
      <c r="E1918" s="53"/>
      <c r="F1918" s="94"/>
      <c r="G1918" s="96"/>
      <c r="H1918" s="51"/>
    </row>
    <row r="1919" spans="1:8" x14ac:dyDescent="0.25">
      <c r="A1919" s="52"/>
      <c r="B1919" s="93"/>
      <c r="C1919" s="53"/>
      <c r="D1919" s="53"/>
      <c r="E1919" s="53"/>
      <c r="F1919" s="94"/>
      <c r="G1919" s="96"/>
      <c r="H1919" s="51"/>
    </row>
    <row r="1920" spans="1:8" x14ac:dyDescent="0.25">
      <c r="A1920" s="52"/>
      <c r="B1920" s="93"/>
      <c r="C1920" s="53"/>
      <c r="D1920" s="53"/>
      <c r="E1920" s="53"/>
      <c r="F1920" s="94"/>
      <c r="G1920" s="96"/>
      <c r="H1920" s="51"/>
    </row>
    <row r="1921" spans="1:8" x14ac:dyDescent="0.25">
      <c r="A1921" s="52"/>
      <c r="B1921" s="93"/>
      <c r="C1921" s="53"/>
      <c r="D1921" s="53"/>
      <c r="E1921" s="53"/>
      <c r="F1921" s="94"/>
      <c r="G1921" s="96"/>
      <c r="H1921" s="51"/>
    </row>
    <row r="1922" spans="1:8" x14ac:dyDescent="0.25">
      <c r="A1922" s="52"/>
      <c r="B1922" s="93"/>
      <c r="C1922" s="53"/>
      <c r="D1922" s="53"/>
      <c r="E1922" s="53"/>
      <c r="F1922" s="94"/>
      <c r="G1922" s="96"/>
      <c r="H1922" s="51"/>
    </row>
    <row r="1923" spans="1:8" x14ac:dyDescent="0.25">
      <c r="A1923" s="52"/>
      <c r="B1923" s="93"/>
      <c r="C1923" s="53"/>
      <c r="D1923" s="53"/>
      <c r="E1923" s="53"/>
      <c r="F1923" s="94"/>
      <c r="G1923" s="96"/>
      <c r="H1923" s="51"/>
    </row>
    <row r="1924" spans="1:8" x14ac:dyDescent="0.25">
      <c r="A1924" s="52"/>
      <c r="B1924" s="93"/>
      <c r="C1924" s="53"/>
      <c r="D1924" s="53"/>
      <c r="E1924" s="53"/>
      <c r="F1924" s="94"/>
      <c r="G1924" s="96"/>
      <c r="H1924" s="51"/>
    </row>
    <row r="1925" spans="1:8" x14ac:dyDescent="0.25">
      <c r="A1925" s="52"/>
      <c r="B1925" s="93"/>
      <c r="C1925" s="53"/>
      <c r="D1925" s="53"/>
      <c r="E1925" s="53"/>
      <c r="F1925" s="94"/>
      <c r="G1925" s="96"/>
      <c r="H1925" s="51"/>
    </row>
    <row r="1926" spans="1:8" x14ac:dyDescent="0.25">
      <c r="A1926" s="52"/>
      <c r="B1926" s="93"/>
      <c r="C1926" s="53"/>
      <c r="D1926" s="53"/>
      <c r="E1926" s="53"/>
      <c r="F1926" s="94"/>
      <c r="G1926" s="96"/>
      <c r="H1926" s="51"/>
    </row>
    <row r="1927" spans="1:8" x14ac:dyDescent="0.25">
      <c r="A1927" s="52"/>
      <c r="B1927" s="93"/>
      <c r="C1927" s="53"/>
      <c r="D1927" s="53"/>
      <c r="E1927" s="53"/>
      <c r="F1927" s="94"/>
      <c r="G1927" s="96"/>
      <c r="H1927" s="51"/>
    </row>
    <row r="1928" spans="1:8" x14ac:dyDescent="0.25">
      <c r="A1928" s="52"/>
      <c r="B1928" s="93"/>
      <c r="C1928" s="53"/>
      <c r="D1928" s="53"/>
      <c r="E1928" s="53"/>
      <c r="F1928" s="94"/>
      <c r="G1928" s="96"/>
      <c r="H1928" s="51"/>
    </row>
    <row r="1929" spans="1:8" x14ac:dyDescent="0.25">
      <c r="A1929" s="52"/>
      <c r="B1929" s="93"/>
      <c r="C1929" s="53"/>
      <c r="D1929" s="53"/>
      <c r="E1929" s="53"/>
      <c r="F1929" s="94"/>
      <c r="G1929" s="96"/>
      <c r="H1929" s="51"/>
    </row>
    <row r="1930" spans="1:8" x14ac:dyDescent="0.25">
      <c r="A1930" s="52"/>
      <c r="B1930" s="93"/>
      <c r="C1930" s="53"/>
      <c r="D1930" s="53"/>
      <c r="E1930" s="53"/>
      <c r="F1930" s="94"/>
      <c r="G1930" s="96"/>
      <c r="H1930" s="51"/>
    </row>
    <row r="1931" spans="1:8" x14ac:dyDescent="0.25">
      <c r="A1931" s="52"/>
      <c r="B1931" s="93"/>
      <c r="C1931" s="53"/>
      <c r="D1931" s="53"/>
      <c r="E1931" s="53"/>
      <c r="F1931" s="94"/>
      <c r="G1931" s="96"/>
      <c r="H1931" s="51"/>
    </row>
    <row r="1932" spans="1:8" x14ac:dyDescent="0.25">
      <c r="A1932" s="52"/>
      <c r="B1932" s="93"/>
      <c r="C1932" s="53"/>
      <c r="D1932" s="53"/>
      <c r="E1932" s="53"/>
      <c r="F1932" s="94"/>
      <c r="G1932" s="96"/>
      <c r="H1932" s="51"/>
    </row>
    <row r="1933" spans="1:8" x14ac:dyDescent="0.25">
      <c r="A1933" s="52"/>
      <c r="B1933" s="144"/>
      <c r="C1933" s="53"/>
      <c r="D1933" s="53"/>
      <c r="E1933" s="53"/>
      <c r="F1933" s="53"/>
      <c r="G1933" s="53"/>
      <c r="H1933" s="51"/>
    </row>
    <row r="1934" spans="1:8" x14ac:dyDescent="0.25">
      <c r="A1934" s="45"/>
      <c r="B1934" s="160"/>
      <c r="C1934" s="45"/>
      <c r="D1934" s="45"/>
      <c r="E1934" s="45"/>
      <c r="F1934" s="45"/>
      <c r="G1934" s="45"/>
      <c r="H1934" s="45"/>
    </row>
    <row r="1935" spans="1:8" x14ac:dyDescent="0.25">
      <c r="A1935" s="100"/>
      <c r="B1935" s="100"/>
      <c r="C1935" s="100"/>
      <c r="D1935" s="100"/>
      <c r="E1935" s="100"/>
      <c r="F1935" s="100"/>
      <c r="G1935" s="100"/>
      <c r="H1935" s="100"/>
    </row>
    <row r="1936" spans="1:8" x14ac:dyDescent="0.25">
      <c r="A1936" s="44"/>
      <c r="B1936" s="45"/>
      <c r="C1936" s="45"/>
      <c r="D1936" s="45"/>
      <c r="E1936" s="45"/>
      <c r="F1936" s="45"/>
      <c r="G1936" s="45"/>
      <c r="H1936" s="46"/>
    </row>
    <row r="1937" spans="1:8" x14ac:dyDescent="0.25">
      <c r="A1937" s="132"/>
      <c r="B1937" s="53"/>
      <c r="C1937" s="53"/>
      <c r="D1937" s="53"/>
      <c r="E1937" s="53"/>
      <c r="F1937" s="53"/>
      <c r="G1937" s="53"/>
      <c r="H1937" s="51"/>
    </row>
    <row r="1938" spans="1:8" x14ac:dyDescent="0.25">
      <c r="A1938" s="153" t="s">
        <v>728</v>
      </c>
      <c r="B1938" s="48"/>
      <c r="C1938" s="49"/>
      <c r="D1938" s="122"/>
      <c r="E1938" s="49"/>
      <c r="F1938" s="50"/>
      <c r="G1938" s="50"/>
      <c r="H1938" s="133"/>
    </row>
    <row r="1939" spans="1:8" ht="16.5" thickBot="1" x14ac:dyDescent="0.3">
      <c r="A1939" s="52"/>
      <c r="B1939" s="53"/>
      <c r="C1939" s="53"/>
      <c r="D1939" s="53"/>
      <c r="E1939" s="53"/>
      <c r="F1939" s="65"/>
      <c r="G1939" s="54" t="s">
        <v>729</v>
      </c>
      <c r="H1939" s="51"/>
    </row>
    <row r="1940" spans="1:8" ht="16.5" thickBot="1" x14ac:dyDescent="0.3">
      <c r="A1940" s="400" t="s">
        <v>381</v>
      </c>
      <c r="B1940" s="401"/>
      <c r="C1940" s="402" t="s">
        <v>382</v>
      </c>
      <c r="D1940" s="401"/>
      <c r="E1940" s="55" t="s">
        <v>266</v>
      </c>
      <c r="F1940" s="65"/>
      <c r="G1940" s="54"/>
      <c r="H1940" s="51"/>
    </row>
    <row r="1941" spans="1:8" ht="16.5" thickBot="1" x14ac:dyDescent="0.3">
      <c r="A1941" s="403">
        <v>0</v>
      </c>
      <c r="B1941" s="404"/>
      <c r="C1941" s="403">
        <v>0</v>
      </c>
      <c r="D1941" s="404"/>
      <c r="E1941" s="56">
        <v>1</v>
      </c>
      <c r="F1941" s="65"/>
      <c r="G1941" s="53"/>
      <c r="H1941" s="51"/>
    </row>
    <row r="1942" spans="1:8" x14ac:dyDescent="0.25">
      <c r="A1942" s="52"/>
      <c r="B1942" s="58"/>
      <c r="C1942" s="58"/>
      <c r="D1942" s="58"/>
      <c r="E1942" s="58"/>
      <c r="F1942" s="58"/>
      <c r="G1942" s="53"/>
      <c r="H1942" s="83"/>
    </row>
    <row r="1943" spans="1:8" x14ac:dyDescent="0.25">
      <c r="A1943" s="59" t="s">
        <v>323</v>
      </c>
      <c r="B1943" s="59" t="s">
        <v>266</v>
      </c>
      <c r="C1943" s="59" t="s">
        <v>383</v>
      </c>
      <c r="D1943" s="59" t="s">
        <v>384</v>
      </c>
      <c r="E1943" s="59" t="s">
        <v>332</v>
      </c>
      <c r="F1943" s="59" t="s">
        <v>385</v>
      </c>
      <c r="G1943" s="59" t="s">
        <v>386</v>
      </c>
      <c r="H1943" s="59" t="s">
        <v>387</v>
      </c>
    </row>
    <row r="1944" spans="1:8" x14ac:dyDescent="0.25">
      <c r="A1944" s="134">
        <v>6901</v>
      </c>
      <c r="B1944" s="135">
        <f>1*E1941</f>
        <v>1</v>
      </c>
      <c r="C1944" s="135" t="s">
        <v>367</v>
      </c>
      <c r="D1944" s="61">
        <f>A1941-14</f>
        <v>-14</v>
      </c>
      <c r="E1944" s="135" t="s">
        <v>590</v>
      </c>
      <c r="F1944" s="136" t="s">
        <v>388</v>
      </c>
      <c r="G1944" s="63">
        <v>0.69199999999999995</v>
      </c>
      <c r="H1944" s="63">
        <f t="shared" ref="H1944:H1957" si="31">(D1944/1000)*B1944*G1944</f>
        <v>-9.6879999999999987E-3</v>
      </c>
    </row>
    <row r="1945" spans="1:8" x14ac:dyDescent="0.25">
      <c r="A1945" s="134">
        <v>6921</v>
      </c>
      <c r="B1945" s="135">
        <f>1*E1941</f>
        <v>1</v>
      </c>
      <c r="C1945" s="135" t="s">
        <v>367</v>
      </c>
      <c r="D1945" s="61">
        <f>A1941-14</f>
        <v>-14</v>
      </c>
      <c r="E1945" s="135" t="s">
        <v>590</v>
      </c>
      <c r="F1945" s="136" t="s">
        <v>591</v>
      </c>
      <c r="G1945" s="63">
        <v>0.60499999999999998</v>
      </c>
      <c r="H1945" s="63">
        <f t="shared" si="31"/>
        <v>-8.4700000000000001E-3</v>
      </c>
    </row>
    <row r="1946" spans="1:8" x14ac:dyDescent="0.25">
      <c r="A1946" s="134">
        <v>6945</v>
      </c>
      <c r="B1946" s="135">
        <f>1*E1941</f>
        <v>1</v>
      </c>
      <c r="C1946" s="135" t="s">
        <v>337</v>
      </c>
      <c r="D1946" s="61">
        <f>C1941</f>
        <v>0</v>
      </c>
      <c r="E1946" s="135" t="s">
        <v>590</v>
      </c>
      <c r="F1946" s="136" t="s">
        <v>83</v>
      </c>
      <c r="G1946" s="63">
        <v>0.65400000000000003</v>
      </c>
      <c r="H1946" s="63">
        <f t="shared" si="31"/>
        <v>0</v>
      </c>
    </row>
    <row r="1947" spans="1:8" x14ac:dyDescent="0.25">
      <c r="A1947" s="134">
        <v>6954</v>
      </c>
      <c r="B1947" s="135">
        <f>1*E1941</f>
        <v>1</v>
      </c>
      <c r="C1947" s="135" t="s">
        <v>337</v>
      </c>
      <c r="D1947" s="105">
        <f>C1941</f>
        <v>0</v>
      </c>
      <c r="E1947" s="135" t="s">
        <v>590</v>
      </c>
      <c r="F1947" s="136" t="s">
        <v>684</v>
      </c>
      <c r="G1947" s="63">
        <v>0.42499999999999999</v>
      </c>
      <c r="H1947" s="63">
        <f t="shared" si="31"/>
        <v>0</v>
      </c>
    </row>
    <row r="1948" spans="1:8" x14ac:dyDescent="0.25">
      <c r="A1948" s="134">
        <v>6911</v>
      </c>
      <c r="B1948" s="135">
        <f>2*E1941</f>
        <v>2</v>
      </c>
      <c r="C1948" s="135" t="s">
        <v>730</v>
      </c>
      <c r="D1948" s="61">
        <f>C1941-43</f>
        <v>-43</v>
      </c>
      <c r="E1948" s="135" t="s">
        <v>590</v>
      </c>
      <c r="F1948" s="136" t="s">
        <v>600</v>
      </c>
      <c r="G1948" s="63">
        <v>0.86399999999999999</v>
      </c>
      <c r="H1948" s="63">
        <f t="shared" si="31"/>
        <v>-7.4303999999999995E-2</v>
      </c>
    </row>
    <row r="1949" spans="1:8" x14ac:dyDescent="0.25">
      <c r="A1949" s="134">
        <v>6912</v>
      </c>
      <c r="B1949" s="135">
        <f>2*E1941</f>
        <v>2</v>
      </c>
      <c r="C1949" s="135" t="s">
        <v>730</v>
      </c>
      <c r="D1949" s="61">
        <f>C1941-43</f>
        <v>-43</v>
      </c>
      <c r="E1949" s="135" t="s">
        <v>590</v>
      </c>
      <c r="F1949" s="136" t="s">
        <v>599</v>
      </c>
      <c r="G1949" s="63">
        <v>0.78900000000000003</v>
      </c>
      <c r="H1949" s="63">
        <f t="shared" si="31"/>
        <v>-6.7853999999999998E-2</v>
      </c>
    </row>
    <row r="1950" spans="1:8" x14ac:dyDescent="0.25">
      <c r="A1950" s="134">
        <v>6912</v>
      </c>
      <c r="B1950" s="135">
        <f>2*E1941</f>
        <v>2</v>
      </c>
      <c r="C1950" s="135" t="s">
        <v>731</v>
      </c>
      <c r="D1950" s="61">
        <f>C1941-31</f>
        <v>-31</v>
      </c>
      <c r="E1950" s="135" t="s">
        <v>590</v>
      </c>
      <c r="F1950" s="136" t="s">
        <v>599</v>
      </c>
      <c r="G1950" s="63">
        <v>0.78900000000000003</v>
      </c>
      <c r="H1950" s="63">
        <f t="shared" si="31"/>
        <v>-4.8918000000000003E-2</v>
      </c>
    </row>
    <row r="1951" spans="1:8" x14ac:dyDescent="0.25">
      <c r="A1951" s="134">
        <v>6943</v>
      </c>
      <c r="B1951" s="135">
        <f>2*E1941</f>
        <v>2</v>
      </c>
      <c r="C1951" s="135" t="s">
        <v>732</v>
      </c>
      <c r="D1951" s="61">
        <f>C1941-137</f>
        <v>-137</v>
      </c>
      <c r="E1951" s="135" t="s">
        <v>590</v>
      </c>
      <c r="F1951" s="136" t="s">
        <v>714</v>
      </c>
      <c r="G1951" s="63">
        <v>0.16</v>
      </c>
      <c r="H1951" s="63">
        <f t="shared" si="31"/>
        <v>-4.3840000000000004E-2</v>
      </c>
    </row>
    <row r="1952" spans="1:8" x14ac:dyDescent="0.25">
      <c r="A1952" s="134">
        <v>6965</v>
      </c>
      <c r="B1952" s="135">
        <f>2*E1941</f>
        <v>2</v>
      </c>
      <c r="C1952" s="135" t="s">
        <v>731</v>
      </c>
      <c r="D1952" s="61">
        <f>C1941-31</f>
        <v>-31</v>
      </c>
      <c r="E1952" s="135" t="s">
        <v>590</v>
      </c>
      <c r="F1952" s="136" t="s">
        <v>715</v>
      </c>
      <c r="G1952" s="63">
        <v>0.24199999999999999</v>
      </c>
      <c r="H1952" s="63">
        <f t="shared" si="31"/>
        <v>-1.5004E-2</v>
      </c>
    </row>
    <row r="1953" spans="1:8" x14ac:dyDescent="0.25">
      <c r="A1953" s="134">
        <v>6909</v>
      </c>
      <c r="B1953" s="135">
        <f>2*E1941</f>
        <v>2</v>
      </c>
      <c r="C1953" s="135" t="s">
        <v>733</v>
      </c>
      <c r="D1953" s="61">
        <f>A1941/4+7</f>
        <v>7</v>
      </c>
      <c r="E1953" s="135" t="s">
        <v>590</v>
      </c>
      <c r="F1953" s="136" t="s">
        <v>650</v>
      </c>
      <c r="G1953" s="63">
        <v>0.52</v>
      </c>
      <c r="H1953" s="63">
        <f t="shared" si="31"/>
        <v>7.28E-3</v>
      </c>
    </row>
    <row r="1954" spans="1:8" x14ac:dyDescent="0.25">
      <c r="A1954" s="134">
        <v>6910</v>
      </c>
      <c r="B1954" s="135">
        <f>2*E1941</f>
        <v>2</v>
      </c>
      <c r="C1954" s="135" t="s">
        <v>733</v>
      </c>
      <c r="D1954" s="61">
        <f>A1941/4+7</f>
        <v>7</v>
      </c>
      <c r="E1954" s="135" t="s">
        <v>590</v>
      </c>
      <c r="F1954" s="136" t="s">
        <v>651</v>
      </c>
      <c r="G1954" s="63">
        <v>0.56899999999999995</v>
      </c>
      <c r="H1954" s="63">
        <f t="shared" si="31"/>
        <v>7.9659999999999991E-3</v>
      </c>
    </row>
    <row r="1955" spans="1:8" x14ac:dyDescent="0.25">
      <c r="A1955" s="134">
        <v>6909</v>
      </c>
      <c r="B1955" s="135">
        <f>2*E1941</f>
        <v>2</v>
      </c>
      <c r="C1955" s="135" t="s">
        <v>430</v>
      </c>
      <c r="D1955" s="105">
        <f>A1941/4-4</f>
        <v>-4</v>
      </c>
      <c r="E1955" s="135" t="s">
        <v>590</v>
      </c>
      <c r="F1955" s="136" t="s">
        <v>650</v>
      </c>
      <c r="G1955" s="63">
        <v>0.52</v>
      </c>
      <c r="H1955" s="63">
        <f t="shared" si="31"/>
        <v>-4.1600000000000005E-3</v>
      </c>
    </row>
    <row r="1956" spans="1:8" x14ac:dyDescent="0.25">
      <c r="A1956" s="134">
        <v>6945</v>
      </c>
      <c r="B1956" s="135">
        <f>2*E1941</f>
        <v>2</v>
      </c>
      <c r="C1956" s="135" t="s">
        <v>430</v>
      </c>
      <c r="D1956" s="105">
        <f>A1941/4-4</f>
        <v>-4</v>
      </c>
      <c r="E1956" s="135" t="s">
        <v>590</v>
      </c>
      <c r="F1956" s="136" t="s">
        <v>734</v>
      </c>
      <c r="G1956" s="63">
        <v>0.65400000000000003</v>
      </c>
      <c r="H1956" s="63">
        <f t="shared" si="31"/>
        <v>-5.2320000000000005E-3</v>
      </c>
    </row>
    <row r="1957" spans="1:8" x14ac:dyDescent="0.25">
      <c r="A1957" s="134">
        <v>6919</v>
      </c>
      <c r="B1957" s="135">
        <f>1*E1941</f>
        <v>1</v>
      </c>
      <c r="C1957" s="135" t="s">
        <v>730</v>
      </c>
      <c r="D1957" s="105">
        <f>C1941-43</f>
        <v>-43</v>
      </c>
      <c r="E1957" s="135" t="s">
        <v>590</v>
      </c>
      <c r="F1957" s="137" t="s">
        <v>431</v>
      </c>
      <c r="G1957" s="63">
        <v>0.27600000000000002</v>
      </c>
      <c r="H1957" s="63">
        <f t="shared" si="31"/>
        <v>-1.1868E-2</v>
      </c>
    </row>
    <row r="1958" spans="1:8" x14ac:dyDescent="0.25">
      <c r="A1958" s="64"/>
      <c r="B1958" s="65"/>
      <c r="C1958" s="65"/>
      <c r="D1958" s="65"/>
      <c r="E1958" s="65"/>
      <c r="F1958" s="65"/>
      <c r="G1958" s="63" t="s">
        <v>392</v>
      </c>
      <c r="H1958" s="63">
        <f>SUM(H1944:H1957)</f>
        <v>-0.274092</v>
      </c>
    </row>
    <row r="1959" spans="1:8" x14ac:dyDescent="0.25">
      <c r="A1959" s="64"/>
      <c r="B1959" s="65"/>
      <c r="C1959" s="65"/>
      <c r="D1959" s="65"/>
      <c r="E1959" s="65"/>
      <c r="F1959" s="65"/>
      <c r="G1959" s="66"/>
      <c r="H1959" s="67"/>
    </row>
    <row r="1960" spans="1:8" x14ac:dyDescent="0.25">
      <c r="A1960" s="64"/>
      <c r="B1960" s="65"/>
      <c r="C1960" s="65"/>
      <c r="D1960" s="65"/>
      <c r="E1960" s="65"/>
      <c r="F1960" s="65"/>
      <c r="G1960" s="68"/>
      <c r="H1960" s="67"/>
    </row>
    <row r="1961" spans="1:8" x14ac:dyDescent="0.25">
      <c r="A1961" s="69" t="s">
        <v>393</v>
      </c>
      <c r="B1961" s="70"/>
      <c r="C1961" s="70"/>
      <c r="D1961" s="71"/>
      <c r="E1961" s="59" t="s">
        <v>36</v>
      </c>
      <c r="F1961" s="59" t="s">
        <v>266</v>
      </c>
      <c r="G1961" s="52"/>
      <c r="H1961" s="72"/>
    </row>
    <row r="1962" spans="1:8" x14ac:dyDescent="0.25">
      <c r="A1962" s="139" t="s">
        <v>689</v>
      </c>
      <c r="B1962" s="74"/>
      <c r="C1962" s="70"/>
      <c r="D1962" s="71"/>
      <c r="E1962" s="114">
        <f>F1962*E1941</f>
        <v>2</v>
      </c>
      <c r="F1962" s="135">
        <v>2</v>
      </c>
      <c r="G1962" s="76"/>
      <c r="H1962" s="77"/>
    </row>
    <row r="1963" spans="1:8" x14ac:dyDescent="0.25">
      <c r="A1963" s="139" t="s">
        <v>690</v>
      </c>
      <c r="B1963" s="74"/>
      <c r="C1963" s="70"/>
      <c r="D1963" s="71"/>
      <c r="E1963" s="115">
        <f>F1963*E1941</f>
        <v>1</v>
      </c>
      <c r="F1963" s="135">
        <v>1</v>
      </c>
      <c r="G1963" s="76"/>
      <c r="H1963" s="77"/>
    </row>
    <row r="1964" spans="1:8" x14ac:dyDescent="0.25">
      <c r="A1964" s="139" t="s">
        <v>691</v>
      </c>
      <c r="B1964" s="74"/>
      <c r="C1964" s="70"/>
      <c r="D1964" s="71"/>
      <c r="E1964" s="115">
        <f>F1964*E1941</f>
        <v>1</v>
      </c>
      <c r="F1964" s="135">
        <v>1</v>
      </c>
      <c r="G1964" s="65"/>
      <c r="H1964" s="77"/>
    </row>
    <row r="1965" spans="1:8" x14ac:dyDescent="0.25">
      <c r="A1965" s="139" t="s">
        <v>606</v>
      </c>
      <c r="B1965" s="74"/>
      <c r="C1965" s="70"/>
      <c r="D1965" s="71"/>
      <c r="E1965" s="161">
        <f>3*(A1941/1000)+10*(C1941/1000)*E1941</f>
        <v>0</v>
      </c>
      <c r="F1965" s="135" t="s">
        <v>735</v>
      </c>
      <c r="G1965" s="64"/>
      <c r="H1965" s="77"/>
    </row>
    <row r="1966" spans="1:8" x14ac:dyDescent="0.25">
      <c r="A1966" s="139" t="s">
        <v>692</v>
      </c>
      <c r="B1966" s="74"/>
      <c r="C1966" s="70"/>
      <c r="D1966" s="71"/>
      <c r="E1966" s="161">
        <f>2*(A1941/1000)+8*(C1941/1000)*E1941</f>
        <v>0</v>
      </c>
      <c r="F1966" s="135" t="s">
        <v>432</v>
      </c>
      <c r="G1966" s="64"/>
      <c r="H1966" s="77"/>
    </row>
    <row r="1967" spans="1:8" x14ac:dyDescent="0.25">
      <c r="A1967" s="139" t="s">
        <v>725</v>
      </c>
      <c r="B1967" s="74"/>
      <c r="C1967" s="70"/>
      <c r="D1967" s="71"/>
      <c r="E1967" s="115">
        <f>F1967*E1941</f>
        <v>4</v>
      </c>
      <c r="F1967" s="135">
        <v>4</v>
      </c>
      <c r="G1967" s="64"/>
      <c r="H1967" s="77"/>
    </row>
    <row r="1968" spans="1:8" x14ac:dyDescent="0.25">
      <c r="A1968" s="139" t="s">
        <v>693</v>
      </c>
      <c r="B1968" s="74"/>
      <c r="C1968" s="70"/>
      <c r="D1968" s="71"/>
      <c r="E1968" s="115">
        <f>F1968*E1941</f>
        <v>4</v>
      </c>
      <c r="F1968" s="135">
        <v>4</v>
      </c>
      <c r="G1968" s="64"/>
      <c r="H1968" s="77"/>
    </row>
    <row r="1969" spans="1:8" x14ac:dyDescent="0.25">
      <c r="A1969" s="139" t="s">
        <v>404</v>
      </c>
      <c r="B1969" s="74"/>
      <c r="C1969" s="70"/>
      <c r="D1969" s="71"/>
      <c r="E1969" s="115">
        <f>F1969*E1941</f>
        <v>8</v>
      </c>
      <c r="F1969" s="135">
        <v>8</v>
      </c>
      <c r="G1969" s="76"/>
      <c r="H1969" s="77"/>
    </row>
    <row r="1970" spans="1:8" x14ac:dyDescent="0.25">
      <c r="A1970" s="139" t="s">
        <v>405</v>
      </c>
      <c r="B1970" s="74"/>
      <c r="C1970" s="70"/>
      <c r="D1970" s="71"/>
      <c r="E1970" s="115">
        <f>F1970*E1941</f>
        <v>10</v>
      </c>
      <c r="F1970" s="135">
        <v>10</v>
      </c>
      <c r="G1970" s="76"/>
      <c r="H1970" s="77"/>
    </row>
    <row r="1971" spans="1:8" x14ac:dyDescent="0.25">
      <c r="A1971" s="139" t="s">
        <v>654</v>
      </c>
      <c r="B1971" s="74"/>
      <c r="C1971" s="70"/>
      <c r="D1971" s="71"/>
      <c r="E1971" s="115">
        <f>F1971*E1941</f>
        <v>1</v>
      </c>
      <c r="F1971" s="135">
        <v>1</v>
      </c>
      <c r="G1971" s="76"/>
      <c r="H1971" s="77"/>
    </row>
    <row r="1972" spans="1:8" x14ac:dyDescent="0.25">
      <c r="A1972" s="142" t="s">
        <v>631</v>
      </c>
      <c r="B1972" s="74"/>
      <c r="C1972" s="70"/>
      <c r="D1972" s="71"/>
      <c r="E1972" s="115">
        <f>F1972*E1941</f>
        <v>2</v>
      </c>
      <c r="F1972" s="135">
        <v>2</v>
      </c>
      <c r="G1972" s="76"/>
      <c r="H1972" s="77"/>
    </row>
    <row r="1973" spans="1:8" x14ac:dyDescent="0.25">
      <c r="A1973" s="139" t="s">
        <v>694</v>
      </c>
      <c r="B1973" s="74"/>
      <c r="C1973" s="70"/>
      <c r="D1973" s="71"/>
      <c r="E1973" s="115">
        <f>F1973*E1941</f>
        <v>2</v>
      </c>
      <c r="F1973" s="135">
        <v>2</v>
      </c>
      <c r="G1973" s="76"/>
      <c r="H1973" s="77"/>
    </row>
    <row r="1974" spans="1:8" x14ac:dyDescent="0.25">
      <c r="A1974" s="142" t="s">
        <v>655</v>
      </c>
      <c r="B1974" s="74"/>
      <c r="C1974" s="70"/>
      <c r="D1974" s="71"/>
      <c r="E1974" s="115">
        <f>F1974*E1941</f>
        <v>6</v>
      </c>
      <c r="F1974" s="135">
        <v>6</v>
      </c>
      <c r="G1974" s="76"/>
      <c r="H1974" s="77"/>
    </row>
    <row r="1975" spans="1:8" x14ac:dyDescent="0.25">
      <c r="A1975" s="139" t="s">
        <v>656</v>
      </c>
      <c r="B1975" s="74"/>
      <c r="C1975" s="70"/>
      <c r="D1975" s="71"/>
      <c r="E1975" s="115">
        <f>F1975*E1941</f>
        <v>6</v>
      </c>
      <c r="F1975" s="135">
        <v>6</v>
      </c>
      <c r="G1975" s="76"/>
      <c r="H1975" s="77"/>
    </row>
    <row r="1976" spans="1:8" x14ac:dyDescent="0.25">
      <c r="A1976" s="139" t="s">
        <v>611</v>
      </c>
      <c r="B1976" s="74"/>
      <c r="C1976" s="70"/>
      <c r="D1976" s="71"/>
      <c r="E1976" s="115">
        <f>F1976*E1941</f>
        <v>24</v>
      </c>
      <c r="F1976" s="135">
        <v>24</v>
      </c>
      <c r="G1976" s="76"/>
      <c r="H1976" s="77"/>
    </row>
    <row r="1977" spans="1:8" x14ac:dyDescent="0.25">
      <c r="A1977" s="139" t="s">
        <v>736</v>
      </c>
      <c r="B1977" s="74"/>
      <c r="C1977" s="70"/>
      <c r="D1977" s="71"/>
      <c r="E1977" s="115">
        <f>F1977*E1941</f>
        <v>5</v>
      </c>
      <c r="F1977" s="135">
        <v>5</v>
      </c>
      <c r="G1977" s="76"/>
      <c r="H1977" s="77"/>
    </row>
    <row r="1978" spans="1:8" x14ac:dyDescent="0.25">
      <c r="A1978" s="139" t="s">
        <v>656</v>
      </c>
      <c r="B1978" s="74"/>
      <c r="C1978" s="70"/>
      <c r="D1978" s="71"/>
      <c r="E1978" s="115">
        <f>F1978*E1941</f>
        <v>5</v>
      </c>
      <c r="F1978" s="135">
        <v>5</v>
      </c>
      <c r="G1978" s="76"/>
      <c r="H1978" s="77"/>
    </row>
    <row r="1979" spans="1:8" x14ac:dyDescent="0.25">
      <c r="A1979" s="139" t="s">
        <v>737</v>
      </c>
      <c r="B1979" s="74"/>
      <c r="C1979" s="70"/>
      <c r="D1979" s="71"/>
      <c r="E1979" s="115">
        <f>F1979*E1941</f>
        <v>2</v>
      </c>
      <c r="F1979" s="135">
        <v>2</v>
      </c>
      <c r="G1979" s="76"/>
      <c r="H1979" s="77"/>
    </row>
    <row r="1980" spans="1:8" x14ac:dyDescent="0.25">
      <c r="A1980" s="52"/>
      <c r="B1980" s="53"/>
      <c r="C1980" s="53"/>
      <c r="D1980" s="53"/>
      <c r="E1980" s="53"/>
      <c r="F1980" s="53"/>
      <c r="G1980" s="53"/>
      <c r="H1980" s="83"/>
    </row>
    <row r="1981" spans="1:8" x14ac:dyDescent="0.25">
      <c r="A1981" s="52"/>
      <c r="B1981" s="53"/>
      <c r="C1981" s="53"/>
      <c r="D1981" s="53"/>
      <c r="E1981" s="53"/>
      <c r="F1981" s="53"/>
      <c r="G1981" s="53"/>
      <c r="H1981" s="83"/>
    </row>
    <row r="1982" spans="1:8" x14ac:dyDescent="0.25">
      <c r="A1982" s="59" t="s">
        <v>413</v>
      </c>
      <c r="B1982" s="84" t="s">
        <v>266</v>
      </c>
      <c r="C1982" s="84" t="s">
        <v>383</v>
      </c>
      <c r="D1982" s="405" t="s">
        <v>414</v>
      </c>
      <c r="E1982" s="406"/>
      <c r="F1982" s="85" t="s">
        <v>415</v>
      </c>
      <c r="G1982" s="59" t="s">
        <v>416</v>
      </c>
      <c r="H1982" s="86"/>
    </row>
    <row r="1983" spans="1:8" x14ac:dyDescent="0.25">
      <c r="A1983" s="61"/>
      <c r="B1983" s="89">
        <f>2*E1941</f>
        <v>2</v>
      </c>
      <c r="C1983" s="123" t="s">
        <v>738</v>
      </c>
      <c r="D1983" s="409">
        <f>A1941/4-60</f>
        <v>-60</v>
      </c>
      <c r="E1983" s="410"/>
      <c r="F1983" s="90">
        <f>C1941-120</f>
        <v>-120</v>
      </c>
      <c r="G1983" s="152">
        <f>B1983*(D1983/1000)*(F1983/1000)</f>
        <v>1.44E-2</v>
      </c>
      <c r="H1983" s="86"/>
    </row>
    <row r="1984" spans="1:8" x14ac:dyDescent="0.25">
      <c r="A1984" s="61"/>
      <c r="B1984" s="89">
        <f>2*E1941</f>
        <v>2</v>
      </c>
      <c r="C1984" s="124" t="s">
        <v>739</v>
      </c>
      <c r="D1984" s="409">
        <f>A1941/4-26</f>
        <v>-26</v>
      </c>
      <c r="E1984" s="410"/>
      <c r="F1984" s="90">
        <f>C1941-120</f>
        <v>-120</v>
      </c>
      <c r="G1984" s="156">
        <f>B1984*(D1984/1000)*(F1984/1000)</f>
        <v>6.2399999999999999E-3</v>
      </c>
      <c r="H1984" s="83"/>
    </row>
    <row r="1985" spans="1:8" x14ac:dyDescent="0.25">
      <c r="A1985" s="52"/>
      <c r="B1985" s="93"/>
      <c r="C1985" s="53"/>
      <c r="D1985" s="53"/>
      <c r="E1985" s="53"/>
      <c r="F1985" s="94" t="s">
        <v>418</v>
      </c>
      <c r="G1985" s="95">
        <f>SUM(G1983:G1984)</f>
        <v>2.0639999999999999E-2</v>
      </c>
      <c r="H1985" s="51"/>
    </row>
    <row r="1986" spans="1:8" x14ac:dyDescent="0.25">
      <c r="A1986" s="52"/>
      <c r="B1986" s="93"/>
      <c r="C1986" s="53"/>
      <c r="D1986" s="53"/>
      <c r="E1986" s="53"/>
      <c r="F1986" s="94"/>
      <c r="G1986" s="96"/>
      <c r="H1986" s="51"/>
    </row>
    <row r="1987" spans="1:8" x14ac:dyDescent="0.25">
      <c r="A1987" s="52"/>
      <c r="B1987" s="93"/>
      <c r="C1987" s="53"/>
      <c r="D1987" s="53"/>
      <c r="E1987" s="53"/>
      <c r="F1987" s="94"/>
      <c r="G1987" s="96"/>
      <c r="H1987" s="51"/>
    </row>
    <row r="1988" spans="1:8" x14ac:dyDescent="0.25">
      <c r="A1988" s="52"/>
      <c r="B1988" s="93"/>
      <c r="C1988" s="53"/>
      <c r="D1988" s="53"/>
      <c r="E1988" s="53"/>
      <c r="F1988" s="94"/>
      <c r="G1988" s="96"/>
      <c r="H1988" s="51"/>
    </row>
    <row r="1989" spans="1:8" x14ac:dyDescent="0.25">
      <c r="A1989" s="52"/>
      <c r="B1989" s="93"/>
      <c r="C1989" s="53"/>
      <c r="D1989" s="53"/>
      <c r="E1989" s="53"/>
      <c r="F1989" s="94"/>
      <c r="G1989" s="96"/>
      <c r="H1989" s="51"/>
    </row>
    <row r="1990" spans="1:8" x14ac:dyDescent="0.25">
      <c r="A1990" s="52"/>
      <c r="B1990" s="93"/>
      <c r="C1990" s="53"/>
      <c r="D1990" s="53"/>
      <c r="E1990" s="53"/>
      <c r="F1990" s="94"/>
      <c r="G1990" s="96"/>
      <c r="H1990" s="51"/>
    </row>
    <row r="1991" spans="1:8" x14ac:dyDescent="0.25">
      <c r="A1991" s="52"/>
      <c r="B1991" s="93"/>
      <c r="C1991" s="53"/>
      <c r="D1991" s="53"/>
      <c r="E1991" s="53"/>
      <c r="F1991" s="94"/>
      <c r="G1991" s="96"/>
      <c r="H1991" s="51"/>
    </row>
    <row r="1992" spans="1:8" x14ac:dyDescent="0.25">
      <c r="A1992" s="52"/>
      <c r="B1992" s="93"/>
      <c r="C1992" s="53"/>
      <c r="D1992" s="53"/>
      <c r="E1992" s="53"/>
      <c r="F1992" s="94"/>
      <c r="G1992" s="96"/>
      <c r="H1992" s="51"/>
    </row>
    <row r="1993" spans="1:8" x14ac:dyDescent="0.25">
      <c r="A1993" s="52"/>
      <c r="B1993" s="93"/>
      <c r="C1993" s="53"/>
      <c r="D1993" s="53"/>
      <c r="E1993" s="53"/>
      <c r="F1993" s="94"/>
      <c r="G1993" s="96"/>
      <c r="H1993" s="51"/>
    </row>
    <row r="1994" spans="1:8" x14ac:dyDescent="0.25">
      <c r="A1994" s="52"/>
      <c r="B1994" s="93"/>
      <c r="C1994" s="53"/>
      <c r="D1994" s="53"/>
      <c r="E1994" s="53"/>
      <c r="F1994" s="94"/>
      <c r="G1994" s="96"/>
      <c r="H1994" s="51"/>
    </row>
    <row r="1995" spans="1:8" x14ac:dyDescent="0.25">
      <c r="A1995" s="52"/>
      <c r="B1995" s="93"/>
      <c r="C1995" s="53"/>
      <c r="D1995" s="53"/>
      <c r="E1995" s="53"/>
      <c r="F1995" s="94"/>
      <c r="G1995" s="96"/>
      <c r="H1995" s="51"/>
    </row>
    <row r="1996" spans="1:8" x14ac:dyDescent="0.25">
      <c r="A1996" s="52"/>
      <c r="B1996" s="93"/>
      <c r="C1996" s="53"/>
      <c r="D1996" s="53"/>
      <c r="E1996" s="53"/>
      <c r="F1996" s="94"/>
      <c r="G1996" s="96"/>
      <c r="H1996" s="51"/>
    </row>
    <row r="1997" spans="1:8" x14ac:dyDescent="0.25">
      <c r="A1997" s="52"/>
      <c r="B1997" s="93"/>
      <c r="C1997" s="53"/>
      <c r="D1997" s="53"/>
      <c r="E1997" s="53"/>
      <c r="F1997" s="94"/>
      <c r="G1997" s="96"/>
      <c r="H1997" s="51"/>
    </row>
    <row r="1998" spans="1:8" x14ac:dyDescent="0.25">
      <c r="A1998" s="52"/>
      <c r="B1998" s="93"/>
      <c r="C1998" s="53"/>
      <c r="D1998" s="53"/>
      <c r="E1998" s="53"/>
      <c r="F1998" s="94"/>
      <c r="G1998" s="96"/>
      <c r="H1998" s="51"/>
    </row>
    <row r="1999" spans="1:8" x14ac:dyDescent="0.25">
      <c r="A1999" s="45"/>
      <c r="B1999" s="97"/>
      <c r="C1999" s="45"/>
      <c r="D1999" s="45"/>
      <c r="E1999" s="45"/>
      <c r="F1999" s="98"/>
      <c r="G1999" s="99"/>
      <c r="H1999" s="45"/>
    </row>
    <row r="2000" spans="1:8" x14ac:dyDescent="0.25">
      <c r="A2000" s="100"/>
      <c r="B2000" s="100"/>
      <c r="C2000" s="155"/>
      <c r="D2000" s="100"/>
      <c r="E2000" s="100"/>
      <c r="F2000" s="100"/>
      <c r="G2000" s="100"/>
      <c r="H2000" s="100"/>
    </row>
    <row r="2001" spans="1:8" x14ac:dyDescent="0.25">
      <c r="A2001" s="44"/>
      <c r="B2001" s="45"/>
      <c r="C2001" s="45"/>
      <c r="D2001" s="45"/>
      <c r="E2001" s="45"/>
      <c r="F2001" s="45"/>
      <c r="G2001" s="45"/>
      <c r="H2001" s="46"/>
    </row>
    <row r="2002" spans="1:8" x14ac:dyDescent="0.25">
      <c r="A2002" s="147"/>
      <c r="B2002" s="53"/>
      <c r="C2002" s="53"/>
      <c r="D2002" s="53"/>
      <c r="E2002" s="53"/>
      <c r="F2002" s="53"/>
      <c r="G2002" s="53"/>
      <c r="H2002" s="51"/>
    </row>
    <row r="2003" spans="1:8" x14ac:dyDescent="0.25">
      <c r="A2003" s="52"/>
      <c r="B2003" s="53"/>
      <c r="C2003" s="53"/>
      <c r="D2003" s="53"/>
      <c r="E2003" s="53"/>
      <c r="F2003" s="53"/>
      <c r="G2003" s="53"/>
      <c r="H2003" s="51"/>
    </row>
    <row r="2004" spans="1:8" x14ac:dyDescent="0.25">
      <c r="A2004" s="47" t="s">
        <v>740</v>
      </c>
      <c r="B2004" s="48"/>
      <c r="C2004" s="49"/>
      <c r="D2004" s="122"/>
      <c r="E2004" s="49"/>
      <c r="F2004" s="50"/>
      <c r="G2004" s="50"/>
      <c r="H2004" s="133"/>
    </row>
    <row r="2005" spans="1:8" ht="16.5" thickBot="1" x14ac:dyDescent="0.3">
      <c r="A2005" s="52"/>
      <c r="B2005" s="53"/>
      <c r="C2005" s="53"/>
      <c r="D2005" s="53"/>
      <c r="E2005" s="53"/>
      <c r="F2005" s="65"/>
      <c r="G2005" s="54" t="s">
        <v>741</v>
      </c>
      <c r="H2005" s="51"/>
    </row>
    <row r="2006" spans="1:8" ht="16.5" thickBot="1" x14ac:dyDescent="0.3">
      <c r="A2006" s="400" t="s">
        <v>381</v>
      </c>
      <c r="B2006" s="401"/>
      <c r="C2006" s="402" t="s">
        <v>382</v>
      </c>
      <c r="D2006" s="401"/>
      <c r="E2006" s="55" t="s">
        <v>266</v>
      </c>
      <c r="F2006" s="65"/>
      <c r="G2006" s="54"/>
      <c r="H2006" s="51"/>
    </row>
    <row r="2007" spans="1:8" ht="16.5" thickBot="1" x14ac:dyDescent="0.3">
      <c r="A2007" s="403">
        <v>0</v>
      </c>
      <c r="B2007" s="404"/>
      <c r="C2007" s="403">
        <v>0</v>
      </c>
      <c r="D2007" s="404"/>
      <c r="E2007" s="56">
        <v>1</v>
      </c>
      <c r="F2007" s="65"/>
      <c r="G2007" s="53"/>
      <c r="H2007" s="51"/>
    </row>
    <row r="2008" spans="1:8" x14ac:dyDescent="0.25">
      <c r="A2008" s="52"/>
      <c r="B2008" s="58"/>
      <c r="C2008" s="58"/>
      <c r="D2008" s="58"/>
      <c r="E2008" s="58"/>
      <c r="F2008" s="58"/>
      <c r="G2008" s="53"/>
      <c r="H2008" s="83"/>
    </row>
    <row r="2009" spans="1:8" x14ac:dyDescent="0.25">
      <c r="A2009" s="59" t="s">
        <v>323</v>
      </c>
      <c r="B2009" s="59" t="s">
        <v>266</v>
      </c>
      <c r="C2009" s="59" t="s">
        <v>383</v>
      </c>
      <c r="D2009" s="59" t="s">
        <v>384</v>
      </c>
      <c r="E2009" s="59" t="s">
        <v>332</v>
      </c>
      <c r="F2009" s="59" t="s">
        <v>385</v>
      </c>
      <c r="G2009" s="59" t="s">
        <v>386</v>
      </c>
      <c r="H2009" s="59" t="s">
        <v>387</v>
      </c>
    </row>
    <row r="2010" spans="1:8" x14ac:dyDescent="0.25">
      <c r="A2010" s="60">
        <v>6959</v>
      </c>
      <c r="B2010" s="61">
        <f>1*E2007</f>
        <v>1</v>
      </c>
      <c r="C2010" s="61" t="s">
        <v>367</v>
      </c>
      <c r="D2010" s="61">
        <f>A2007-14</f>
        <v>-14</v>
      </c>
      <c r="E2010" s="61" t="s">
        <v>590</v>
      </c>
      <c r="F2010" s="110" t="s">
        <v>742</v>
      </c>
      <c r="G2010" s="63">
        <v>0.98599999999999999</v>
      </c>
      <c r="H2010" s="63">
        <f t="shared" ref="H2010:H2021" si="32">(D2010/1000)*B2010*G2010</f>
        <v>-1.3804E-2</v>
      </c>
    </row>
    <row r="2011" spans="1:8" x14ac:dyDescent="0.25">
      <c r="A2011" s="60">
        <v>6958</v>
      </c>
      <c r="B2011" s="61">
        <f>1*E2007</f>
        <v>1</v>
      </c>
      <c r="C2011" s="61" t="s">
        <v>367</v>
      </c>
      <c r="D2011" s="61">
        <f>A2007-14</f>
        <v>-14</v>
      </c>
      <c r="E2011" s="61" t="s">
        <v>590</v>
      </c>
      <c r="F2011" s="110" t="s">
        <v>743</v>
      </c>
      <c r="G2011" s="63">
        <v>1.0169999999999999</v>
      </c>
      <c r="H2011" s="63">
        <f t="shared" si="32"/>
        <v>-1.4237999999999999E-2</v>
      </c>
    </row>
    <row r="2012" spans="1:8" x14ac:dyDescent="0.25">
      <c r="A2012" s="60">
        <v>6960</v>
      </c>
      <c r="B2012" s="61">
        <f>2*E2007</f>
        <v>2</v>
      </c>
      <c r="C2012" s="61" t="s">
        <v>337</v>
      </c>
      <c r="D2012" s="61">
        <f>C2007</f>
        <v>0</v>
      </c>
      <c r="E2012" s="61" t="s">
        <v>590</v>
      </c>
      <c r="F2012" s="104" t="s">
        <v>744</v>
      </c>
      <c r="G2012" s="63">
        <v>0.753</v>
      </c>
      <c r="H2012" s="63">
        <f t="shared" si="32"/>
        <v>0</v>
      </c>
    </row>
    <row r="2013" spans="1:8" x14ac:dyDescent="0.25">
      <c r="A2013" s="60">
        <v>6911</v>
      </c>
      <c r="B2013" s="61">
        <f>2*E2007</f>
        <v>2</v>
      </c>
      <c r="C2013" s="61" t="s">
        <v>470</v>
      </c>
      <c r="D2013" s="105">
        <f>C2007-38</f>
        <v>-38</v>
      </c>
      <c r="E2013" s="61" t="s">
        <v>590</v>
      </c>
      <c r="F2013" s="104" t="s">
        <v>600</v>
      </c>
      <c r="G2013" s="63">
        <v>0.86399999999999999</v>
      </c>
      <c r="H2013" s="63">
        <f t="shared" si="32"/>
        <v>-6.5664E-2</v>
      </c>
    </row>
    <row r="2014" spans="1:8" x14ac:dyDescent="0.25">
      <c r="A2014" s="60">
        <v>6912</v>
      </c>
      <c r="B2014" s="61">
        <f>3*E2007</f>
        <v>3</v>
      </c>
      <c r="C2014" s="61" t="s">
        <v>470</v>
      </c>
      <c r="D2014" s="61">
        <f>C2007-38</f>
        <v>-38</v>
      </c>
      <c r="E2014" s="61" t="s">
        <v>590</v>
      </c>
      <c r="F2014" s="104" t="s">
        <v>599</v>
      </c>
      <c r="G2014" s="63">
        <v>0.78900000000000003</v>
      </c>
      <c r="H2014" s="63">
        <f t="shared" si="32"/>
        <v>-8.9945999999999998E-2</v>
      </c>
    </row>
    <row r="2015" spans="1:8" x14ac:dyDescent="0.25">
      <c r="A2015" s="60">
        <v>6999</v>
      </c>
      <c r="B2015" s="61">
        <f>1*E2007</f>
        <v>1</v>
      </c>
      <c r="C2015" s="61" t="s">
        <v>470</v>
      </c>
      <c r="D2015" s="61">
        <f>C2007-38</f>
        <v>-38</v>
      </c>
      <c r="E2015" s="61" t="s">
        <v>590</v>
      </c>
      <c r="F2015" s="104" t="s">
        <v>745</v>
      </c>
      <c r="G2015" s="63">
        <v>0.61099999999999999</v>
      </c>
      <c r="H2015" s="63">
        <f t="shared" si="32"/>
        <v>-2.3217999999999999E-2</v>
      </c>
    </row>
    <row r="2016" spans="1:8" x14ac:dyDescent="0.25">
      <c r="A2016" s="60">
        <v>6909</v>
      </c>
      <c r="B2016" s="61">
        <f>1*E2007</f>
        <v>1</v>
      </c>
      <c r="C2016" s="61" t="s">
        <v>746</v>
      </c>
      <c r="D2016" s="105">
        <f>A2007/3+34</f>
        <v>34</v>
      </c>
      <c r="E2016" s="61" t="s">
        <v>590</v>
      </c>
      <c r="F2016" s="110" t="s">
        <v>747</v>
      </c>
      <c r="G2016" s="63">
        <v>0.52</v>
      </c>
      <c r="H2016" s="63">
        <f t="shared" si="32"/>
        <v>1.7680000000000001E-2</v>
      </c>
    </row>
    <row r="2017" spans="1:8" x14ac:dyDescent="0.25">
      <c r="A2017" s="60">
        <v>6910</v>
      </c>
      <c r="B2017" s="61">
        <f>1*E2007</f>
        <v>1</v>
      </c>
      <c r="C2017" s="61" t="s">
        <v>746</v>
      </c>
      <c r="D2017" s="105">
        <f>A2007/3+34</f>
        <v>34</v>
      </c>
      <c r="E2017" s="61" t="s">
        <v>590</v>
      </c>
      <c r="F2017" s="110" t="s">
        <v>748</v>
      </c>
      <c r="G2017" s="63">
        <v>0.56899999999999995</v>
      </c>
      <c r="H2017" s="63">
        <f t="shared" si="32"/>
        <v>1.9345999999999999E-2</v>
      </c>
    </row>
    <row r="2018" spans="1:8" x14ac:dyDescent="0.25">
      <c r="A2018" s="60">
        <v>6909</v>
      </c>
      <c r="B2018" s="61">
        <f>1*E2007</f>
        <v>1</v>
      </c>
      <c r="C2018" s="61" t="s">
        <v>749</v>
      </c>
      <c r="D2018" s="105">
        <f>A2007/3+5</f>
        <v>5</v>
      </c>
      <c r="E2018" s="61" t="s">
        <v>590</v>
      </c>
      <c r="F2018" s="110" t="s">
        <v>750</v>
      </c>
      <c r="G2018" s="63">
        <v>0.52</v>
      </c>
      <c r="H2018" s="63">
        <f t="shared" si="32"/>
        <v>2.6000000000000003E-3</v>
      </c>
    </row>
    <row r="2019" spans="1:8" x14ac:dyDescent="0.25">
      <c r="A2019" s="60">
        <v>6910</v>
      </c>
      <c r="B2019" s="61">
        <f>1*E2007</f>
        <v>1</v>
      </c>
      <c r="C2019" s="61" t="s">
        <v>749</v>
      </c>
      <c r="D2019" s="105">
        <f>A2007/3+5</f>
        <v>5</v>
      </c>
      <c r="E2019" s="61" t="s">
        <v>590</v>
      </c>
      <c r="F2019" s="110" t="s">
        <v>751</v>
      </c>
      <c r="G2019" s="63">
        <v>0.56899999999999995</v>
      </c>
      <c r="H2019" s="63">
        <f t="shared" si="32"/>
        <v>2.8449999999999999E-3</v>
      </c>
    </row>
    <row r="2020" spans="1:8" x14ac:dyDescent="0.25">
      <c r="A2020" s="60">
        <v>6909</v>
      </c>
      <c r="B2020" s="61">
        <f>1*E2007</f>
        <v>1</v>
      </c>
      <c r="C2020" s="61" t="s">
        <v>752</v>
      </c>
      <c r="D2020" s="105">
        <f>A2007/3-28</f>
        <v>-28</v>
      </c>
      <c r="E2020" s="61" t="s">
        <v>590</v>
      </c>
      <c r="F2020" s="110" t="s">
        <v>753</v>
      </c>
      <c r="G2020" s="63">
        <v>0.52</v>
      </c>
      <c r="H2020" s="63">
        <f t="shared" si="32"/>
        <v>-1.456E-2</v>
      </c>
    </row>
    <row r="2021" spans="1:8" x14ac:dyDescent="0.25">
      <c r="A2021" s="60">
        <v>6910</v>
      </c>
      <c r="B2021" s="61">
        <f>1*E2007</f>
        <v>1</v>
      </c>
      <c r="C2021" s="61" t="s">
        <v>752</v>
      </c>
      <c r="D2021" s="105">
        <f>A2007/3-28</f>
        <v>-28</v>
      </c>
      <c r="E2021" s="61" t="s">
        <v>590</v>
      </c>
      <c r="F2021" s="110" t="s">
        <v>754</v>
      </c>
      <c r="G2021" s="63">
        <v>0.56899999999999995</v>
      </c>
      <c r="H2021" s="63">
        <f t="shared" si="32"/>
        <v>-1.5931999999999998E-2</v>
      </c>
    </row>
    <row r="2022" spans="1:8" x14ac:dyDescent="0.25">
      <c r="A2022" s="64"/>
      <c r="B2022" s="65"/>
      <c r="C2022" s="65"/>
      <c r="D2022" s="65"/>
      <c r="E2022" s="65"/>
      <c r="F2022" s="65"/>
      <c r="G2022" s="63" t="s">
        <v>392</v>
      </c>
      <c r="H2022" s="63">
        <f>SUM(H2010:H2021)</f>
        <v>-0.19489099999999998</v>
      </c>
    </row>
    <row r="2023" spans="1:8" x14ac:dyDescent="0.25">
      <c r="A2023" s="64"/>
      <c r="B2023" s="65"/>
      <c r="C2023" s="65"/>
      <c r="D2023" s="65"/>
      <c r="E2023" s="65"/>
      <c r="F2023" s="65"/>
      <c r="G2023" s="66"/>
      <c r="H2023" s="67"/>
    </row>
    <row r="2024" spans="1:8" x14ac:dyDescent="0.25">
      <c r="A2024" s="64"/>
      <c r="B2024" s="65"/>
      <c r="C2024" s="65"/>
      <c r="D2024" s="65"/>
      <c r="E2024" s="65"/>
      <c r="F2024" s="65"/>
      <c r="G2024" s="68"/>
      <c r="H2024" s="67"/>
    </row>
    <row r="2025" spans="1:8" x14ac:dyDescent="0.25">
      <c r="A2025" s="69" t="s">
        <v>393</v>
      </c>
      <c r="B2025" s="70"/>
      <c r="C2025" s="70"/>
      <c r="D2025" s="71"/>
      <c r="E2025" s="59" t="s">
        <v>36</v>
      </c>
      <c r="F2025" s="59" t="s">
        <v>266</v>
      </c>
      <c r="G2025" s="52"/>
      <c r="H2025" s="72"/>
    </row>
    <row r="2026" spans="1:8" x14ac:dyDescent="0.25">
      <c r="A2026" s="162" t="s">
        <v>755</v>
      </c>
      <c r="B2026" s="74"/>
      <c r="C2026" s="70"/>
      <c r="D2026" s="71"/>
      <c r="E2026" s="114">
        <f>F2026*E2007</f>
        <v>2</v>
      </c>
      <c r="F2026" s="61">
        <v>2</v>
      </c>
      <c r="G2026" s="76"/>
      <c r="H2026" s="77"/>
    </row>
    <row r="2027" spans="1:8" x14ac:dyDescent="0.25">
      <c r="A2027" s="162" t="s">
        <v>756</v>
      </c>
      <c r="B2027" s="74"/>
      <c r="C2027" s="70"/>
      <c r="D2027" s="71"/>
      <c r="E2027" s="115">
        <f>F2027*E2007</f>
        <v>1</v>
      </c>
      <c r="F2027" s="61">
        <v>1</v>
      </c>
      <c r="G2027" s="76"/>
      <c r="H2027" s="77"/>
    </row>
    <row r="2028" spans="1:8" x14ac:dyDescent="0.25">
      <c r="A2028" s="162" t="s">
        <v>757</v>
      </c>
      <c r="B2028" s="74"/>
      <c r="C2028" s="70"/>
      <c r="D2028" s="71"/>
      <c r="E2028" s="115">
        <f>F2028*E2007</f>
        <v>1</v>
      </c>
      <c r="F2028" s="61">
        <v>1</v>
      </c>
      <c r="G2028" s="65"/>
      <c r="H2028" s="77"/>
    </row>
    <row r="2029" spans="1:8" x14ac:dyDescent="0.25">
      <c r="A2029" s="162" t="s">
        <v>758</v>
      </c>
      <c r="B2029" s="74"/>
      <c r="C2029" s="70"/>
      <c r="D2029" s="71"/>
      <c r="E2029" s="163">
        <f>4*(A2007/1000)+8*(C2007/1000)*E2007</f>
        <v>0</v>
      </c>
      <c r="F2029" s="61" t="s">
        <v>481</v>
      </c>
      <c r="G2029" s="64"/>
      <c r="H2029" s="77"/>
    </row>
    <row r="2030" spans="1:8" x14ac:dyDescent="0.25">
      <c r="A2030" s="162" t="s">
        <v>759</v>
      </c>
      <c r="B2030" s="74"/>
      <c r="C2030" s="70"/>
      <c r="D2030" s="71"/>
      <c r="E2030" s="163">
        <f>2*(A2007/1000)+6*(C2007/1000)*E2007</f>
        <v>0</v>
      </c>
      <c r="F2030" s="61" t="s">
        <v>424</v>
      </c>
      <c r="G2030" s="64"/>
      <c r="H2030" s="77"/>
    </row>
    <row r="2031" spans="1:8" x14ac:dyDescent="0.25">
      <c r="A2031" s="162" t="s">
        <v>666</v>
      </c>
      <c r="B2031" s="74"/>
      <c r="C2031" s="70"/>
      <c r="D2031" s="71"/>
      <c r="E2031" s="115">
        <f>F2031*E2007</f>
        <v>6</v>
      </c>
      <c r="F2031" s="61">
        <v>6</v>
      </c>
      <c r="G2031" s="64"/>
      <c r="H2031" s="77"/>
    </row>
    <row r="2032" spans="1:8" x14ac:dyDescent="0.25">
      <c r="A2032" s="162" t="s">
        <v>404</v>
      </c>
      <c r="B2032" s="74"/>
      <c r="C2032" s="70"/>
      <c r="D2032" s="71"/>
      <c r="E2032" s="115">
        <f>F2032*E2007</f>
        <v>8</v>
      </c>
      <c r="F2032" s="61">
        <v>8</v>
      </c>
      <c r="G2032" s="64"/>
      <c r="H2032" s="77"/>
    </row>
    <row r="2033" spans="1:8" x14ac:dyDescent="0.25">
      <c r="A2033" s="162" t="s">
        <v>405</v>
      </c>
      <c r="B2033" s="74"/>
      <c r="C2033" s="70"/>
      <c r="D2033" s="71"/>
      <c r="E2033" s="115">
        <f>F2033*E2007</f>
        <v>8</v>
      </c>
      <c r="F2033" s="61">
        <v>8</v>
      </c>
      <c r="G2033" s="76"/>
      <c r="H2033" s="77"/>
    </row>
    <row r="2034" spans="1:8" x14ac:dyDescent="0.25">
      <c r="A2034" s="162" t="s">
        <v>532</v>
      </c>
      <c r="B2034" s="74"/>
      <c r="C2034" s="70"/>
      <c r="D2034" s="71"/>
      <c r="E2034" s="115">
        <f>F2034*E2007</f>
        <v>1</v>
      </c>
      <c r="F2034" s="61">
        <v>1</v>
      </c>
      <c r="G2034" s="76"/>
      <c r="H2034" s="77"/>
    </row>
    <row r="2035" spans="1:8" x14ac:dyDescent="0.25">
      <c r="A2035" s="162" t="s">
        <v>760</v>
      </c>
      <c r="B2035" s="74"/>
      <c r="C2035" s="70"/>
      <c r="D2035" s="71"/>
      <c r="E2035" s="115">
        <f>F2035*E2007</f>
        <v>1</v>
      </c>
      <c r="F2035" s="61">
        <v>1</v>
      </c>
      <c r="G2035" s="76"/>
      <c r="H2035" s="77"/>
    </row>
    <row r="2036" spans="1:8" x14ac:dyDescent="0.25">
      <c r="A2036" s="162" t="s">
        <v>761</v>
      </c>
      <c r="B2036" s="74"/>
      <c r="C2036" s="70"/>
      <c r="D2036" s="71"/>
      <c r="E2036" s="115">
        <f>F2036*E2007</f>
        <v>1</v>
      </c>
      <c r="F2036" s="61">
        <v>1</v>
      </c>
      <c r="G2036" s="76"/>
      <c r="H2036" s="77"/>
    </row>
    <row r="2037" spans="1:8" x14ac:dyDescent="0.25">
      <c r="A2037" s="162" t="s">
        <v>762</v>
      </c>
      <c r="B2037" s="74"/>
      <c r="C2037" s="70"/>
      <c r="D2037" s="71"/>
      <c r="E2037" s="115">
        <f>F2037*E2007</f>
        <v>1</v>
      </c>
      <c r="F2037" s="61">
        <v>1</v>
      </c>
      <c r="G2037" s="76"/>
      <c r="H2037" s="77"/>
    </row>
    <row r="2038" spans="1:8" x14ac:dyDescent="0.25">
      <c r="A2038" s="162" t="s">
        <v>504</v>
      </c>
      <c r="B2038" s="74"/>
      <c r="C2038" s="70"/>
      <c r="D2038" s="71"/>
      <c r="E2038" s="115">
        <f>F2038*E2007</f>
        <v>2</v>
      </c>
      <c r="F2038" s="61">
        <v>2</v>
      </c>
      <c r="G2038" s="76"/>
      <c r="H2038" s="77"/>
    </row>
    <row r="2039" spans="1:8" x14ac:dyDescent="0.25">
      <c r="A2039" s="162" t="s">
        <v>763</v>
      </c>
      <c r="B2039" s="74"/>
      <c r="C2039" s="70"/>
      <c r="D2039" s="71"/>
      <c r="E2039" s="115">
        <f>F2039*E2007</f>
        <v>2</v>
      </c>
      <c r="F2039" s="61">
        <v>2</v>
      </c>
      <c r="G2039" s="76"/>
      <c r="H2039" s="77"/>
    </row>
    <row r="2040" spans="1:8" x14ac:dyDescent="0.25">
      <c r="A2040" s="73" t="s">
        <v>764</v>
      </c>
      <c r="B2040" s="74"/>
      <c r="C2040" s="70"/>
      <c r="D2040" s="71"/>
      <c r="E2040" s="115">
        <f>F2040*E2007</f>
        <v>2</v>
      </c>
      <c r="F2040" s="61">
        <v>2</v>
      </c>
      <c r="G2040" s="76"/>
      <c r="H2040" s="77"/>
    </row>
    <row r="2041" spans="1:8" x14ac:dyDescent="0.25">
      <c r="A2041" s="162" t="s">
        <v>765</v>
      </c>
      <c r="B2041" s="74"/>
      <c r="C2041" s="70"/>
      <c r="D2041" s="71"/>
      <c r="E2041" s="115">
        <f>F2041*E2007</f>
        <v>2</v>
      </c>
      <c r="F2041" s="61">
        <v>2</v>
      </c>
      <c r="G2041" s="76"/>
      <c r="H2041" s="77"/>
    </row>
    <row r="2042" spans="1:8" x14ac:dyDescent="0.25">
      <c r="A2042" s="73" t="s">
        <v>766</v>
      </c>
      <c r="B2042" s="74"/>
      <c r="C2042" s="70"/>
      <c r="D2042" s="71"/>
      <c r="E2042" s="115">
        <f>F2042*E2007</f>
        <v>4</v>
      </c>
      <c r="F2042" s="61">
        <v>4</v>
      </c>
      <c r="G2042" s="76"/>
      <c r="H2042" s="77"/>
    </row>
    <row r="2043" spans="1:8" x14ac:dyDescent="0.25">
      <c r="A2043" s="162" t="s">
        <v>611</v>
      </c>
      <c r="B2043" s="74"/>
      <c r="C2043" s="70"/>
      <c r="D2043" s="71"/>
      <c r="E2043" s="115">
        <f>F2043*E2007</f>
        <v>24</v>
      </c>
      <c r="F2043" s="61">
        <v>24</v>
      </c>
      <c r="G2043" s="76"/>
      <c r="H2043" s="77"/>
    </row>
    <row r="2044" spans="1:8" x14ac:dyDescent="0.25">
      <c r="A2044" s="162" t="s">
        <v>736</v>
      </c>
      <c r="B2044" s="74"/>
      <c r="C2044" s="70"/>
      <c r="D2044" s="71"/>
      <c r="E2044" s="115">
        <f>F2044*E2007</f>
        <v>5</v>
      </c>
      <c r="F2044" s="61">
        <v>5</v>
      </c>
      <c r="G2044" s="76"/>
      <c r="H2044" s="77"/>
    </row>
    <row r="2045" spans="1:8" x14ac:dyDescent="0.25">
      <c r="A2045" s="162" t="s">
        <v>656</v>
      </c>
      <c r="B2045" s="74"/>
      <c r="C2045" s="70"/>
      <c r="D2045" s="71"/>
      <c r="E2045" s="115">
        <f>F2045*E2007</f>
        <v>5</v>
      </c>
      <c r="F2045" s="61">
        <v>5</v>
      </c>
      <c r="G2045" s="76"/>
      <c r="H2045" s="77"/>
    </row>
    <row r="2046" spans="1:8" x14ac:dyDescent="0.25">
      <c r="A2046" s="162" t="s">
        <v>737</v>
      </c>
      <c r="B2046" s="74"/>
      <c r="C2046" s="70"/>
      <c r="D2046" s="71"/>
      <c r="E2046" s="115">
        <f>F2046*E2007</f>
        <v>2</v>
      </c>
      <c r="F2046" s="61">
        <v>2</v>
      </c>
      <c r="G2046" s="76"/>
      <c r="H2046" s="77"/>
    </row>
    <row r="2047" spans="1:8" x14ac:dyDescent="0.25">
      <c r="A2047" s="52"/>
      <c r="B2047" s="53"/>
      <c r="C2047" s="53"/>
      <c r="D2047" s="53"/>
      <c r="E2047" s="53"/>
      <c r="F2047" s="53"/>
      <c r="G2047" s="53"/>
      <c r="H2047" s="83"/>
    </row>
    <row r="2048" spans="1:8" x14ac:dyDescent="0.25">
      <c r="A2048" s="52"/>
      <c r="B2048" s="53"/>
      <c r="C2048" s="53"/>
      <c r="D2048" s="53"/>
      <c r="E2048" s="53"/>
      <c r="F2048" s="53"/>
      <c r="G2048" s="53"/>
      <c r="H2048" s="83"/>
    </row>
    <row r="2049" spans="1:8" x14ac:dyDescent="0.25">
      <c r="A2049" s="59" t="s">
        <v>413</v>
      </c>
      <c r="B2049" s="84" t="s">
        <v>266</v>
      </c>
      <c r="C2049" s="84" t="s">
        <v>383</v>
      </c>
      <c r="D2049" s="405" t="s">
        <v>414</v>
      </c>
      <c r="E2049" s="406"/>
      <c r="F2049" s="85" t="s">
        <v>415</v>
      </c>
      <c r="G2049" s="59" t="s">
        <v>416</v>
      </c>
      <c r="H2049" s="86"/>
    </row>
    <row r="2050" spans="1:8" x14ac:dyDescent="0.25">
      <c r="A2050" s="87" t="s">
        <v>767</v>
      </c>
      <c r="B2050" s="89">
        <f>1*E2007</f>
        <v>1</v>
      </c>
      <c r="C2050" s="89" t="s">
        <v>768</v>
      </c>
      <c r="D2050" s="409">
        <f>A2007/3-23</f>
        <v>-23</v>
      </c>
      <c r="E2050" s="410"/>
      <c r="F2050" s="90">
        <f>C2007-116</f>
        <v>-116</v>
      </c>
      <c r="G2050" s="152">
        <f>B2050*(D2050/1000)*(F2050/1000)</f>
        <v>2.6680000000000002E-3</v>
      </c>
      <c r="H2050" s="86"/>
    </row>
    <row r="2051" spans="1:8" x14ac:dyDescent="0.25">
      <c r="A2051" s="87" t="s">
        <v>769</v>
      </c>
      <c r="B2051" s="89">
        <f>1*E2007</f>
        <v>1</v>
      </c>
      <c r="C2051" s="89" t="s">
        <v>770</v>
      </c>
      <c r="D2051" s="409">
        <f>A2007/3-52</f>
        <v>-52</v>
      </c>
      <c r="E2051" s="410"/>
      <c r="F2051" s="90">
        <f>C2007-116</f>
        <v>-116</v>
      </c>
      <c r="G2051" s="152">
        <f>B2051*(D2051/1000)*(F2051/1000)</f>
        <v>6.032E-3</v>
      </c>
      <c r="H2051" s="83"/>
    </row>
    <row r="2052" spans="1:8" x14ac:dyDescent="0.25">
      <c r="A2052" s="87" t="s">
        <v>771</v>
      </c>
      <c r="B2052" s="89">
        <f>1*E2007</f>
        <v>1</v>
      </c>
      <c r="C2052" s="61" t="s">
        <v>772</v>
      </c>
      <c r="D2052" s="409">
        <f>A2007/3-82</f>
        <v>-82</v>
      </c>
      <c r="E2052" s="410"/>
      <c r="F2052" s="90">
        <f>C2007-116</f>
        <v>-116</v>
      </c>
      <c r="G2052" s="152">
        <f>B2052*(D2052/1000)*(F2052/1000)</f>
        <v>9.5120000000000014E-3</v>
      </c>
      <c r="H2052" s="51"/>
    </row>
    <row r="2053" spans="1:8" x14ac:dyDescent="0.25">
      <c r="A2053" s="52"/>
      <c r="B2053" s="93"/>
      <c r="C2053" s="53"/>
      <c r="D2053" s="53"/>
      <c r="E2053" s="53"/>
      <c r="F2053" s="94" t="s">
        <v>418</v>
      </c>
      <c r="G2053" s="95">
        <f>SUM(G2050:G2052)</f>
        <v>1.8211999999999999E-2</v>
      </c>
      <c r="H2053" s="51"/>
    </row>
    <row r="2054" spans="1:8" x14ac:dyDescent="0.25">
      <c r="A2054" s="52"/>
      <c r="B2054" s="93"/>
      <c r="C2054" s="53"/>
      <c r="D2054" s="53"/>
      <c r="E2054" s="53"/>
      <c r="F2054" s="94"/>
      <c r="G2054" s="96"/>
      <c r="H2054" s="51"/>
    </row>
    <row r="2055" spans="1:8" x14ac:dyDescent="0.25">
      <c r="A2055" s="52"/>
      <c r="B2055" s="93"/>
      <c r="C2055" s="53"/>
      <c r="D2055" s="53"/>
      <c r="E2055" s="53"/>
      <c r="F2055" s="94"/>
      <c r="G2055" s="96"/>
      <c r="H2055" s="51"/>
    </row>
    <row r="2056" spans="1:8" x14ac:dyDescent="0.25">
      <c r="A2056" s="52"/>
      <c r="B2056" s="93"/>
      <c r="C2056" s="53"/>
      <c r="D2056" s="53"/>
      <c r="E2056" s="53"/>
      <c r="F2056" s="94"/>
      <c r="G2056" s="96"/>
      <c r="H2056" s="51"/>
    </row>
    <row r="2057" spans="1:8" x14ac:dyDescent="0.25">
      <c r="A2057" s="52"/>
      <c r="B2057" s="93"/>
      <c r="C2057" s="53"/>
      <c r="D2057" s="53"/>
      <c r="E2057" s="53"/>
      <c r="F2057" s="94"/>
      <c r="G2057" s="96"/>
      <c r="H2057" s="51"/>
    </row>
    <row r="2058" spans="1:8" x14ac:dyDescent="0.25">
      <c r="A2058" s="52"/>
      <c r="B2058" s="93"/>
      <c r="C2058" s="53"/>
      <c r="D2058" s="53"/>
      <c r="E2058" s="53"/>
      <c r="F2058" s="94"/>
      <c r="G2058" s="96"/>
      <c r="H2058" s="51"/>
    </row>
    <row r="2059" spans="1:8" x14ac:dyDescent="0.25">
      <c r="A2059" s="52"/>
      <c r="B2059" s="93"/>
      <c r="C2059" s="53"/>
      <c r="D2059" s="53"/>
      <c r="E2059" s="53"/>
      <c r="F2059" s="94"/>
      <c r="G2059" s="96"/>
      <c r="H2059" s="51"/>
    </row>
    <row r="2060" spans="1:8" x14ac:dyDescent="0.25">
      <c r="A2060" s="52"/>
      <c r="B2060" s="93"/>
      <c r="C2060" s="53"/>
      <c r="D2060" s="53"/>
      <c r="E2060" s="53"/>
      <c r="F2060" s="94"/>
      <c r="G2060" s="96"/>
      <c r="H2060" s="51"/>
    </row>
    <row r="2061" spans="1:8" x14ac:dyDescent="0.25">
      <c r="A2061" s="52"/>
      <c r="B2061" s="93"/>
      <c r="C2061" s="53"/>
      <c r="D2061" s="53"/>
      <c r="E2061" s="53"/>
      <c r="F2061" s="94"/>
      <c r="G2061" s="96"/>
      <c r="H2061" s="51"/>
    </row>
    <row r="2062" spans="1:8" x14ac:dyDescent="0.25">
      <c r="A2062" s="52"/>
      <c r="B2062" s="93"/>
      <c r="C2062" s="53"/>
      <c r="D2062" s="53"/>
      <c r="E2062" s="53"/>
      <c r="F2062" s="94"/>
      <c r="G2062" s="96"/>
      <c r="H2062" s="51"/>
    </row>
    <row r="2063" spans="1:8" x14ac:dyDescent="0.25">
      <c r="A2063" s="52"/>
      <c r="B2063" s="93"/>
      <c r="C2063" s="53"/>
      <c r="D2063" s="53"/>
      <c r="E2063" s="53"/>
      <c r="F2063" s="94"/>
      <c r="G2063" s="96"/>
      <c r="H2063" s="51"/>
    </row>
    <row r="2064" spans="1:8" x14ac:dyDescent="0.25">
      <c r="A2064" s="45"/>
      <c r="B2064" s="97"/>
      <c r="C2064" s="45"/>
      <c r="D2064" s="45"/>
      <c r="E2064" s="45"/>
      <c r="F2064" s="98"/>
      <c r="G2064" s="99"/>
      <c r="H2064" s="45"/>
    </row>
    <row r="2065" spans="1:8" x14ac:dyDescent="0.25">
      <c r="A2065" s="100"/>
      <c r="B2065" s="109"/>
      <c r="C2065" s="100"/>
      <c r="D2065" s="100"/>
      <c r="E2065" s="100"/>
      <c r="F2065" s="164"/>
      <c r="G2065" s="165"/>
      <c r="H2065" s="100"/>
    </row>
    <row r="2066" spans="1:8" x14ac:dyDescent="0.25">
      <c r="A2066" s="52"/>
      <c r="B2066" s="93"/>
      <c r="C2066" s="53"/>
      <c r="D2066" s="53"/>
      <c r="E2066" s="53"/>
      <c r="F2066" s="94"/>
      <c r="G2066" s="96"/>
      <c r="H2066" s="51"/>
    </row>
    <row r="2067" spans="1:8" x14ac:dyDescent="0.25">
      <c r="A2067" s="47" t="s">
        <v>773</v>
      </c>
      <c r="B2067" s="48"/>
      <c r="C2067" s="49"/>
      <c r="D2067" s="122"/>
      <c r="E2067" s="49"/>
      <c r="F2067" s="50"/>
      <c r="G2067" s="50"/>
      <c r="H2067" s="133"/>
    </row>
    <row r="2068" spans="1:8" ht="16.5" thickBot="1" x14ac:dyDescent="0.3">
      <c r="A2068" s="52"/>
      <c r="B2068" s="53"/>
      <c r="C2068" s="53"/>
      <c r="D2068" s="53"/>
      <c r="E2068" s="53"/>
      <c r="F2068" s="65"/>
      <c r="G2068" s="54" t="s">
        <v>774</v>
      </c>
      <c r="H2068" s="51"/>
    </row>
    <row r="2069" spans="1:8" ht="16.5" thickBot="1" x14ac:dyDescent="0.3">
      <c r="A2069" s="400" t="s">
        <v>381</v>
      </c>
      <c r="B2069" s="401"/>
      <c r="C2069" s="402" t="s">
        <v>382</v>
      </c>
      <c r="D2069" s="401"/>
      <c r="E2069" s="55" t="s">
        <v>266</v>
      </c>
      <c r="F2069" s="65"/>
      <c r="G2069" s="54"/>
      <c r="H2069" s="51"/>
    </row>
    <row r="2070" spans="1:8" ht="16.5" thickBot="1" x14ac:dyDescent="0.3">
      <c r="A2070" s="403">
        <v>0</v>
      </c>
      <c r="B2070" s="404"/>
      <c r="C2070" s="403">
        <v>0</v>
      </c>
      <c r="D2070" s="404"/>
      <c r="E2070" s="56">
        <v>1</v>
      </c>
      <c r="F2070" s="65"/>
      <c r="G2070" s="53"/>
      <c r="H2070" s="51"/>
    </row>
    <row r="2071" spans="1:8" x14ac:dyDescent="0.25">
      <c r="A2071" s="52"/>
      <c r="B2071" s="58"/>
      <c r="C2071" s="58"/>
      <c r="D2071" s="58"/>
      <c r="E2071" s="58"/>
      <c r="F2071" s="58"/>
      <c r="G2071" s="53"/>
      <c r="H2071" s="83"/>
    </row>
    <row r="2072" spans="1:8" x14ac:dyDescent="0.25">
      <c r="A2072" s="59" t="s">
        <v>323</v>
      </c>
      <c r="B2072" s="59" t="s">
        <v>266</v>
      </c>
      <c r="C2072" s="59" t="s">
        <v>383</v>
      </c>
      <c r="D2072" s="59" t="s">
        <v>384</v>
      </c>
      <c r="E2072" s="59" t="s">
        <v>332</v>
      </c>
      <c r="F2072" s="59" t="s">
        <v>385</v>
      </c>
      <c r="G2072" s="59" t="s">
        <v>386</v>
      </c>
      <c r="H2072" s="59" t="s">
        <v>387</v>
      </c>
    </row>
    <row r="2073" spans="1:8" x14ac:dyDescent="0.25">
      <c r="A2073" s="60">
        <v>6959</v>
      </c>
      <c r="B2073" s="61">
        <f>1*E2070</f>
        <v>1</v>
      </c>
      <c r="C2073" s="61" t="s">
        <v>367</v>
      </c>
      <c r="D2073" s="61">
        <f>A2070-14</f>
        <v>-14</v>
      </c>
      <c r="E2073" s="61" t="s">
        <v>590</v>
      </c>
      <c r="F2073" s="104" t="s">
        <v>742</v>
      </c>
      <c r="G2073" s="63">
        <v>0.98599999999999999</v>
      </c>
      <c r="H2073" s="63">
        <f t="shared" ref="H2073:H2084" si="33">(D2073/1000)*B2073*G2073</f>
        <v>-1.3804E-2</v>
      </c>
    </row>
    <row r="2074" spans="1:8" x14ac:dyDescent="0.25">
      <c r="A2074" s="60">
        <v>6958</v>
      </c>
      <c r="B2074" s="61">
        <f>1*E2070</f>
        <v>1</v>
      </c>
      <c r="C2074" s="61" t="s">
        <v>367</v>
      </c>
      <c r="D2074" s="61">
        <f>A2070-14</f>
        <v>-14</v>
      </c>
      <c r="E2074" s="61" t="s">
        <v>590</v>
      </c>
      <c r="F2074" s="104" t="s">
        <v>743</v>
      </c>
      <c r="G2074" s="63">
        <v>1.0169999999999999</v>
      </c>
      <c r="H2074" s="63">
        <f t="shared" si="33"/>
        <v>-1.4237999999999999E-2</v>
      </c>
    </row>
    <row r="2075" spans="1:8" x14ac:dyDescent="0.25">
      <c r="A2075" s="60">
        <v>6960</v>
      </c>
      <c r="B2075" s="61">
        <f>2*E2070</f>
        <v>2</v>
      </c>
      <c r="C2075" s="61" t="s">
        <v>337</v>
      </c>
      <c r="D2075" s="61">
        <f>C2070</f>
        <v>0</v>
      </c>
      <c r="E2075" s="61" t="s">
        <v>590</v>
      </c>
      <c r="F2075" s="104" t="s">
        <v>744</v>
      </c>
      <c r="G2075" s="63">
        <v>0.753</v>
      </c>
      <c r="H2075" s="63">
        <f t="shared" si="33"/>
        <v>0</v>
      </c>
    </row>
    <row r="2076" spans="1:8" x14ac:dyDescent="0.25">
      <c r="A2076" s="60">
        <v>6916</v>
      </c>
      <c r="B2076" s="61">
        <f>2*E2070</f>
        <v>2</v>
      </c>
      <c r="C2076" s="61" t="s">
        <v>470</v>
      </c>
      <c r="D2076" s="61">
        <f>C2070-38</f>
        <v>-38</v>
      </c>
      <c r="E2076" s="61" t="s">
        <v>590</v>
      </c>
      <c r="F2076" s="104" t="s">
        <v>600</v>
      </c>
      <c r="G2076" s="63">
        <v>0.86399999999999999</v>
      </c>
      <c r="H2076" s="63">
        <f t="shared" si="33"/>
        <v>-6.5664E-2</v>
      </c>
    </row>
    <row r="2077" spans="1:8" x14ac:dyDescent="0.25">
      <c r="A2077" s="60">
        <v>6917</v>
      </c>
      <c r="B2077" s="61">
        <f>3*E2070</f>
        <v>3</v>
      </c>
      <c r="C2077" s="61" t="s">
        <v>470</v>
      </c>
      <c r="D2077" s="61">
        <f>C2070-38</f>
        <v>-38</v>
      </c>
      <c r="E2077" s="61" t="s">
        <v>590</v>
      </c>
      <c r="F2077" s="104" t="s">
        <v>599</v>
      </c>
      <c r="G2077" s="63">
        <v>0.78900000000000003</v>
      </c>
      <c r="H2077" s="63">
        <f t="shared" si="33"/>
        <v>-8.9945999999999998E-2</v>
      </c>
    </row>
    <row r="2078" spans="1:8" x14ac:dyDescent="0.25">
      <c r="A2078" s="60">
        <v>6914</v>
      </c>
      <c r="B2078" s="61">
        <f>1*E2070</f>
        <v>1</v>
      </c>
      <c r="C2078" s="61" t="s">
        <v>470</v>
      </c>
      <c r="D2078" s="61">
        <f>C2070-38</f>
        <v>-38</v>
      </c>
      <c r="E2078" s="61" t="s">
        <v>590</v>
      </c>
      <c r="F2078" s="104" t="s">
        <v>775</v>
      </c>
      <c r="G2078" s="63">
        <v>0.57299999999999995</v>
      </c>
      <c r="H2078" s="63">
        <f t="shared" si="33"/>
        <v>-2.1773999999999998E-2</v>
      </c>
    </row>
    <row r="2079" spans="1:8" x14ac:dyDescent="0.25">
      <c r="A2079" s="60">
        <v>6946</v>
      </c>
      <c r="B2079" s="61">
        <f>1*E2070</f>
        <v>1</v>
      </c>
      <c r="C2079" s="61" t="s">
        <v>746</v>
      </c>
      <c r="D2079" s="105">
        <f>A2070/3+34</f>
        <v>34</v>
      </c>
      <c r="E2079" s="61" t="s">
        <v>590</v>
      </c>
      <c r="F2079" s="110" t="s">
        <v>747</v>
      </c>
      <c r="G2079" s="63">
        <v>0.65400000000000003</v>
      </c>
      <c r="H2079" s="63">
        <f t="shared" si="33"/>
        <v>2.2236000000000002E-2</v>
      </c>
    </row>
    <row r="2080" spans="1:8" x14ac:dyDescent="0.25">
      <c r="A2080" s="60">
        <v>6946</v>
      </c>
      <c r="B2080" s="61">
        <f>1*E2070</f>
        <v>1</v>
      </c>
      <c r="C2080" s="61" t="s">
        <v>746</v>
      </c>
      <c r="D2080" s="105">
        <f>A2070/3+34</f>
        <v>34</v>
      </c>
      <c r="E2080" s="61" t="s">
        <v>590</v>
      </c>
      <c r="F2080" s="110" t="s">
        <v>748</v>
      </c>
      <c r="G2080" s="63">
        <v>0.65400000000000003</v>
      </c>
      <c r="H2080" s="63">
        <f t="shared" si="33"/>
        <v>2.2236000000000002E-2</v>
      </c>
    </row>
    <row r="2081" spans="1:8" x14ac:dyDescent="0.25">
      <c r="A2081" s="60">
        <v>6946</v>
      </c>
      <c r="B2081" s="61">
        <f>1*E2070</f>
        <v>1</v>
      </c>
      <c r="C2081" s="61" t="s">
        <v>749</v>
      </c>
      <c r="D2081" s="105">
        <f>A2070/3+5</f>
        <v>5</v>
      </c>
      <c r="E2081" s="61" t="s">
        <v>590</v>
      </c>
      <c r="F2081" s="110" t="s">
        <v>750</v>
      </c>
      <c r="G2081" s="63">
        <v>0.65400000000000003</v>
      </c>
      <c r="H2081" s="63">
        <f t="shared" si="33"/>
        <v>3.2700000000000003E-3</v>
      </c>
    </row>
    <row r="2082" spans="1:8" x14ac:dyDescent="0.25">
      <c r="A2082" s="60">
        <v>6946</v>
      </c>
      <c r="B2082" s="61">
        <f>1*E2070</f>
        <v>1</v>
      </c>
      <c r="C2082" s="61" t="s">
        <v>749</v>
      </c>
      <c r="D2082" s="105">
        <f>A2070/3+5</f>
        <v>5</v>
      </c>
      <c r="E2082" s="61" t="s">
        <v>590</v>
      </c>
      <c r="F2082" s="110" t="s">
        <v>751</v>
      </c>
      <c r="G2082" s="63">
        <v>0.65400000000000003</v>
      </c>
      <c r="H2082" s="63">
        <f t="shared" si="33"/>
        <v>3.2700000000000003E-3</v>
      </c>
    </row>
    <row r="2083" spans="1:8" x14ac:dyDescent="0.25">
      <c r="A2083" s="60">
        <v>6946</v>
      </c>
      <c r="B2083" s="61">
        <f>1*E2070</f>
        <v>1</v>
      </c>
      <c r="C2083" s="61" t="s">
        <v>752</v>
      </c>
      <c r="D2083" s="105">
        <f>A2070/3-28</f>
        <v>-28</v>
      </c>
      <c r="E2083" s="61" t="s">
        <v>590</v>
      </c>
      <c r="F2083" s="110" t="s">
        <v>753</v>
      </c>
      <c r="G2083" s="63">
        <v>0.65400000000000003</v>
      </c>
      <c r="H2083" s="63">
        <f t="shared" si="33"/>
        <v>-1.8312000000000002E-2</v>
      </c>
    </row>
    <row r="2084" spans="1:8" x14ac:dyDescent="0.25">
      <c r="A2084" s="60">
        <v>6946</v>
      </c>
      <c r="B2084" s="61">
        <f>1*E2070</f>
        <v>1</v>
      </c>
      <c r="C2084" s="61" t="s">
        <v>752</v>
      </c>
      <c r="D2084" s="105">
        <f>A2070/3-28</f>
        <v>-28</v>
      </c>
      <c r="E2084" s="61" t="s">
        <v>590</v>
      </c>
      <c r="F2084" s="110" t="s">
        <v>754</v>
      </c>
      <c r="G2084" s="63">
        <v>0.65400000000000003</v>
      </c>
      <c r="H2084" s="63">
        <f t="shared" si="33"/>
        <v>-1.8312000000000002E-2</v>
      </c>
    </row>
    <row r="2085" spans="1:8" x14ac:dyDescent="0.25">
      <c r="A2085" s="64"/>
      <c r="B2085" s="65"/>
      <c r="C2085" s="65"/>
      <c r="D2085" s="65"/>
      <c r="E2085" s="65"/>
      <c r="F2085" s="65"/>
      <c r="G2085" s="63" t="s">
        <v>392</v>
      </c>
      <c r="H2085" s="63">
        <f>SUM(H2073:H2084)</f>
        <v>-0.19103799999999996</v>
      </c>
    </row>
    <row r="2086" spans="1:8" x14ac:dyDescent="0.25">
      <c r="A2086" s="166"/>
      <c r="B2086" s="167"/>
      <c r="C2086" s="168"/>
      <c r="D2086" s="168"/>
      <c r="E2086" s="168"/>
      <c r="F2086" s="169"/>
      <c r="G2086" s="170"/>
      <c r="H2086" s="171"/>
    </row>
    <row r="2087" spans="1:8" x14ac:dyDescent="0.25">
      <c r="A2087" s="166"/>
      <c r="B2087" s="167"/>
      <c r="C2087" s="168"/>
      <c r="D2087" s="168"/>
      <c r="E2087" s="168"/>
      <c r="F2087" s="169"/>
      <c r="G2087" s="170"/>
      <c r="H2087" s="171"/>
    </row>
    <row r="2088" spans="1:8" x14ac:dyDescent="0.25">
      <c r="A2088" s="69" t="s">
        <v>393</v>
      </c>
      <c r="B2088" s="70"/>
      <c r="C2088" s="70"/>
      <c r="D2088" s="71"/>
      <c r="E2088" s="59" t="s">
        <v>36</v>
      </c>
      <c r="F2088" s="59" t="s">
        <v>266</v>
      </c>
      <c r="G2088" s="52"/>
      <c r="H2088" s="72"/>
    </row>
    <row r="2089" spans="1:8" x14ac:dyDescent="0.25">
      <c r="A2089" s="162" t="s">
        <v>755</v>
      </c>
      <c r="B2089" s="74"/>
      <c r="C2089" s="70"/>
      <c r="D2089" s="71"/>
      <c r="E2089" s="114">
        <f>F2089*E2070</f>
        <v>2</v>
      </c>
      <c r="F2089" s="61">
        <v>2</v>
      </c>
      <c r="G2089" s="76"/>
      <c r="H2089" s="77"/>
    </row>
    <row r="2090" spans="1:8" x14ac:dyDescent="0.25">
      <c r="A2090" s="162" t="s">
        <v>756</v>
      </c>
      <c r="B2090" s="74"/>
      <c r="C2090" s="70"/>
      <c r="D2090" s="71"/>
      <c r="E2090" s="115">
        <f>F2090*E2070</f>
        <v>1</v>
      </c>
      <c r="F2090" s="61">
        <v>1</v>
      </c>
      <c r="G2090" s="76"/>
      <c r="H2090" s="77"/>
    </row>
    <row r="2091" spans="1:8" x14ac:dyDescent="0.25">
      <c r="A2091" s="162" t="s">
        <v>757</v>
      </c>
      <c r="B2091" s="74"/>
      <c r="C2091" s="70"/>
      <c r="D2091" s="71"/>
      <c r="E2091" s="115">
        <f>F2091*E2070</f>
        <v>1</v>
      </c>
      <c r="F2091" s="61">
        <v>1</v>
      </c>
      <c r="G2091" s="65"/>
      <c r="H2091" s="77"/>
    </row>
    <row r="2092" spans="1:8" x14ac:dyDescent="0.25">
      <c r="A2092" s="162" t="s">
        <v>758</v>
      </c>
      <c r="B2092" s="74"/>
      <c r="C2092" s="70"/>
      <c r="D2092" s="71"/>
      <c r="E2092" s="163">
        <f>4*(A2070/1000)+8*(C2070/1000)*E2070</f>
        <v>0</v>
      </c>
      <c r="F2092" s="61" t="s">
        <v>481</v>
      </c>
      <c r="G2092" s="64"/>
      <c r="H2092" s="77"/>
    </row>
    <row r="2093" spans="1:8" x14ac:dyDescent="0.25">
      <c r="A2093" s="162" t="s">
        <v>759</v>
      </c>
      <c r="B2093" s="74"/>
      <c r="C2093" s="70"/>
      <c r="D2093" s="71"/>
      <c r="E2093" s="163">
        <f>2*(A2070/1000)+6*(C2070/1000)*E2070</f>
        <v>0</v>
      </c>
      <c r="F2093" s="61" t="s">
        <v>424</v>
      </c>
      <c r="G2093" s="64"/>
      <c r="H2093" s="77"/>
    </row>
    <row r="2094" spans="1:8" x14ac:dyDescent="0.25">
      <c r="A2094" s="162" t="s">
        <v>776</v>
      </c>
      <c r="B2094" s="74"/>
      <c r="C2094" s="70"/>
      <c r="D2094" s="71"/>
      <c r="E2094" s="115">
        <f>F2094*E2070</f>
        <v>6</v>
      </c>
      <c r="F2094" s="61">
        <v>6</v>
      </c>
      <c r="G2094" s="64"/>
      <c r="H2094" s="77"/>
    </row>
    <row r="2095" spans="1:8" x14ac:dyDescent="0.25">
      <c r="A2095" s="162" t="s">
        <v>404</v>
      </c>
      <c r="B2095" s="74"/>
      <c r="C2095" s="70"/>
      <c r="D2095" s="71"/>
      <c r="E2095" s="115">
        <f>F2095*E2070</f>
        <v>8</v>
      </c>
      <c r="F2095" s="61">
        <v>8</v>
      </c>
      <c r="G2095" s="64"/>
      <c r="H2095" s="77"/>
    </row>
    <row r="2096" spans="1:8" x14ac:dyDescent="0.25">
      <c r="A2096" s="162" t="s">
        <v>405</v>
      </c>
      <c r="B2096" s="74"/>
      <c r="C2096" s="70"/>
      <c r="D2096" s="71"/>
      <c r="E2096" s="115">
        <f>F2096*E2070</f>
        <v>12</v>
      </c>
      <c r="F2096" s="61">
        <v>12</v>
      </c>
      <c r="G2096" s="76"/>
      <c r="H2096" s="77"/>
    </row>
    <row r="2097" spans="1:8" x14ac:dyDescent="0.25">
      <c r="A2097" s="162" t="s">
        <v>532</v>
      </c>
      <c r="B2097" s="74"/>
      <c r="C2097" s="70"/>
      <c r="D2097" s="71"/>
      <c r="E2097" s="115">
        <f>F2097*E2070</f>
        <v>1</v>
      </c>
      <c r="F2097" s="61">
        <v>1</v>
      </c>
      <c r="G2097" s="76"/>
      <c r="H2097" s="77"/>
    </row>
    <row r="2098" spans="1:8" x14ac:dyDescent="0.25">
      <c r="A2098" s="162" t="s">
        <v>760</v>
      </c>
      <c r="B2098" s="74"/>
      <c r="C2098" s="70"/>
      <c r="D2098" s="71"/>
      <c r="E2098" s="115">
        <f>F2098*E2070</f>
        <v>1</v>
      </c>
      <c r="F2098" s="61">
        <v>1</v>
      </c>
      <c r="G2098" s="76"/>
      <c r="H2098" s="77"/>
    </row>
    <row r="2099" spans="1:8" x14ac:dyDescent="0.25">
      <c r="A2099" s="162" t="s">
        <v>761</v>
      </c>
      <c r="B2099" s="74"/>
      <c r="C2099" s="70"/>
      <c r="D2099" s="71"/>
      <c r="E2099" s="115">
        <f>F2099*E2070</f>
        <v>1</v>
      </c>
      <c r="F2099" s="61">
        <v>1</v>
      </c>
      <c r="G2099" s="76"/>
      <c r="H2099" s="77"/>
    </row>
    <row r="2100" spans="1:8" x14ac:dyDescent="0.25">
      <c r="A2100" s="162" t="s">
        <v>762</v>
      </c>
      <c r="B2100" s="74"/>
      <c r="C2100" s="70"/>
      <c r="D2100" s="71"/>
      <c r="E2100" s="115">
        <f>F2100*E2070</f>
        <v>1</v>
      </c>
      <c r="F2100" s="61">
        <v>1</v>
      </c>
      <c r="G2100" s="76"/>
      <c r="H2100" s="77"/>
    </row>
    <row r="2101" spans="1:8" x14ac:dyDescent="0.25">
      <c r="A2101" s="162" t="s">
        <v>504</v>
      </c>
      <c r="B2101" s="74"/>
      <c r="C2101" s="70"/>
      <c r="D2101" s="71"/>
      <c r="E2101" s="115">
        <f>F2101*E2070</f>
        <v>2</v>
      </c>
      <c r="F2101" s="61">
        <v>2</v>
      </c>
      <c r="G2101" s="76"/>
      <c r="H2101" s="77"/>
    </row>
    <row r="2102" spans="1:8" x14ac:dyDescent="0.25">
      <c r="A2102" s="162" t="s">
        <v>763</v>
      </c>
      <c r="B2102" s="74"/>
      <c r="C2102" s="70"/>
      <c r="D2102" s="71"/>
      <c r="E2102" s="115">
        <f>F2102*E2070</f>
        <v>2</v>
      </c>
      <c r="F2102" s="61">
        <v>2</v>
      </c>
      <c r="G2102" s="76"/>
      <c r="H2102" s="77"/>
    </row>
    <row r="2103" spans="1:8" x14ac:dyDescent="0.25">
      <c r="A2103" s="73" t="s">
        <v>764</v>
      </c>
      <c r="B2103" s="74"/>
      <c r="C2103" s="70"/>
      <c r="D2103" s="71"/>
      <c r="E2103" s="115">
        <f>F2103*E2070</f>
        <v>2</v>
      </c>
      <c r="F2103" s="61">
        <v>2</v>
      </c>
      <c r="G2103" s="76"/>
      <c r="H2103" s="77"/>
    </row>
    <row r="2104" spans="1:8" x14ac:dyDescent="0.25">
      <c r="A2104" s="162" t="s">
        <v>765</v>
      </c>
      <c r="B2104" s="74"/>
      <c r="C2104" s="70"/>
      <c r="D2104" s="71"/>
      <c r="E2104" s="115">
        <f>F2104*E2070</f>
        <v>2</v>
      </c>
      <c r="F2104" s="61">
        <v>2</v>
      </c>
      <c r="G2104" s="76"/>
      <c r="H2104" s="77"/>
    </row>
    <row r="2105" spans="1:8" x14ac:dyDescent="0.25">
      <c r="A2105" s="73" t="s">
        <v>766</v>
      </c>
      <c r="B2105" s="74"/>
      <c r="C2105" s="70"/>
      <c r="D2105" s="71"/>
      <c r="E2105" s="115">
        <f>F2105*E2070</f>
        <v>4</v>
      </c>
      <c r="F2105" s="61">
        <v>4</v>
      </c>
      <c r="G2105" s="76"/>
      <c r="H2105" s="77"/>
    </row>
    <row r="2106" spans="1:8" x14ac:dyDescent="0.25">
      <c r="A2106" s="162" t="s">
        <v>611</v>
      </c>
      <c r="B2106" s="74"/>
      <c r="C2106" s="70"/>
      <c r="D2106" s="71"/>
      <c r="E2106" s="115">
        <f>F2106*E2070</f>
        <v>24</v>
      </c>
      <c r="F2106" s="61">
        <v>24</v>
      </c>
      <c r="G2106" s="76"/>
      <c r="H2106" s="77"/>
    </row>
    <row r="2107" spans="1:8" x14ac:dyDescent="0.25">
      <c r="A2107" s="162" t="s">
        <v>505</v>
      </c>
      <c r="B2107" s="74"/>
      <c r="C2107" s="70"/>
      <c r="D2107" s="71"/>
      <c r="E2107" s="115">
        <f>F2107*E2070</f>
        <v>5</v>
      </c>
      <c r="F2107" s="61">
        <v>5</v>
      </c>
      <c r="G2107" s="76"/>
      <c r="H2107" s="77"/>
    </row>
    <row r="2108" spans="1:8" x14ac:dyDescent="0.25">
      <c r="A2108" s="162" t="s">
        <v>506</v>
      </c>
      <c r="B2108" s="74"/>
      <c r="C2108" s="70"/>
      <c r="D2108" s="71"/>
      <c r="E2108" s="115">
        <f>F2108*E2070</f>
        <v>5</v>
      </c>
      <c r="F2108" s="61">
        <v>5</v>
      </c>
      <c r="G2108" s="76"/>
      <c r="H2108" s="77"/>
    </row>
    <row r="2109" spans="1:8" x14ac:dyDescent="0.25">
      <c r="A2109" s="162" t="s">
        <v>737</v>
      </c>
      <c r="B2109" s="74"/>
      <c r="C2109" s="70"/>
      <c r="D2109" s="71"/>
      <c r="E2109" s="115">
        <f>F2109*E2070</f>
        <v>2</v>
      </c>
      <c r="F2109" s="61">
        <v>2</v>
      </c>
      <c r="G2109" s="76"/>
      <c r="H2109" s="77"/>
    </row>
    <row r="2110" spans="1:8" x14ac:dyDescent="0.25">
      <c r="A2110" s="166"/>
      <c r="B2110" s="167"/>
      <c r="C2110" s="168"/>
      <c r="D2110" s="168"/>
      <c r="E2110" s="168"/>
      <c r="F2110" s="169"/>
      <c r="G2110" s="170"/>
      <c r="H2110" s="171"/>
    </row>
    <row r="2111" spans="1:8" x14ac:dyDescent="0.25">
      <c r="A2111" s="166"/>
      <c r="B2111" s="167"/>
      <c r="C2111" s="168"/>
      <c r="D2111" s="168"/>
      <c r="E2111" s="168"/>
      <c r="F2111" s="169"/>
      <c r="G2111" s="170"/>
      <c r="H2111" s="171"/>
    </row>
    <row r="2112" spans="1:8" x14ac:dyDescent="0.25">
      <c r="A2112" s="59" t="s">
        <v>413</v>
      </c>
      <c r="B2112" s="84" t="s">
        <v>266</v>
      </c>
      <c r="C2112" s="84" t="s">
        <v>383</v>
      </c>
      <c r="D2112" s="405" t="s">
        <v>414</v>
      </c>
      <c r="E2112" s="406"/>
      <c r="F2112" s="85" t="s">
        <v>415</v>
      </c>
      <c r="G2112" s="59" t="s">
        <v>416</v>
      </c>
      <c r="H2112" s="86"/>
    </row>
    <row r="2113" spans="1:8" x14ac:dyDescent="0.25">
      <c r="A2113" s="87" t="s">
        <v>767</v>
      </c>
      <c r="B2113" s="89">
        <f>1*E2070</f>
        <v>1</v>
      </c>
      <c r="C2113" s="89" t="s">
        <v>777</v>
      </c>
      <c r="D2113" s="409">
        <f>A2070/3-21</f>
        <v>-21</v>
      </c>
      <c r="E2113" s="410"/>
      <c r="F2113" s="90">
        <f>C2070-114</f>
        <v>-114</v>
      </c>
      <c r="G2113" s="152">
        <f>B2113*(D2113/1000)*(F2113/1000)</f>
        <v>2.3940000000000003E-3</v>
      </c>
      <c r="H2113" s="86"/>
    </row>
    <row r="2114" spans="1:8" x14ac:dyDescent="0.25">
      <c r="A2114" s="87" t="s">
        <v>769</v>
      </c>
      <c r="B2114" s="89">
        <f>1*E2070</f>
        <v>1</v>
      </c>
      <c r="C2114" s="89" t="s">
        <v>778</v>
      </c>
      <c r="D2114" s="409">
        <f>A2070/3-50</f>
        <v>-50</v>
      </c>
      <c r="E2114" s="410"/>
      <c r="F2114" s="90">
        <f>C2070-114</f>
        <v>-114</v>
      </c>
      <c r="G2114" s="152">
        <f>B2114*(D2114/1000)*(F2114/1000)</f>
        <v>5.7000000000000002E-3</v>
      </c>
      <c r="H2114" s="83"/>
    </row>
    <row r="2115" spans="1:8" x14ac:dyDescent="0.25">
      <c r="A2115" s="87" t="s">
        <v>771</v>
      </c>
      <c r="B2115" s="89">
        <f>1*E2070</f>
        <v>1</v>
      </c>
      <c r="C2115" s="61" t="s">
        <v>779</v>
      </c>
      <c r="D2115" s="409">
        <f>A2070/3-80</f>
        <v>-80</v>
      </c>
      <c r="E2115" s="410"/>
      <c r="F2115" s="90">
        <f>C2070-114</f>
        <v>-114</v>
      </c>
      <c r="G2115" s="152">
        <f>B2115*(D2115/1000)*(F2115/1000)</f>
        <v>9.1200000000000014E-3</v>
      </c>
      <c r="H2115" s="51"/>
    </row>
    <row r="2116" spans="1:8" x14ac:dyDescent="0.25">
      <c r="A2116" s="52"/>
      <c r="B2116" s="93"/>
      <c r="C2116" s="53"/>
      <c r="D2116" s="53"/>
      <c r="E2116" s="53"/>
      <c r="F2116" s="94"/>
      <c r="G2116" s="95">
        <f>SUM(G2113:G2115)</f>
        <v>1.7214E-2</v>
      </c>
      <c r="H2116" s="51"/>
    </row>
    <row r="2117" spans="1:8" x14ac:dyDescent="0.25">
      <c r="A2117" s="52"/>
      <c r="B2117" s="93"/>
      <c r="C2117" s="53"/>
      <c r="D2117" s="53"/>
      <c r="E2117" s="53"/>
      <c r="F2117" s="94"/>
      <c r="G2117" s="96"/>
      <c r="H2117" s="51"/>
    </row>
    <row r="2118" spans="1:8" x14ac:dyDescent="0.25">
      <c r="A2118" s="166"/>
      <c r="B2118" s="167"/>
      <c r="C2118" s="168"/>
      <c r="D2118" s="168"/>
      <c r="E2118" s="168"/>
      <c r="F2118" s="169"/>
      <c r="G2118" s="170"/>
      <c r="H2118" s="171"/>
    </row>
    <row r="2119" spans="1:8" x14ac:dyDescent="0.25">
      <c r="A2119" s="166"/>
      <c r="B2119" s="167"/>
      <c r="C2119" s="168"/>
      <c r="D2119" s="168"/>
      <c r="E2119" s="168"/>
      <c r="F2119" s="169"/>
      <c r="G2119" s="170"/>
      <c r="H2119" s="171"/>
    </row>
    <row r="2120" spans="1:8" x14ac:dyDescent="0.25">
      <c r="A2120" s="166"/>
      <c r="B2120" s="167"/>
      <c r="C2120" s="168"/>
      <c r="D2120" s="168"/>
      <c r="E2120" s="168"/>
      <c r="F2120" s="169"/>
      <c r="G2120" s="170"/>
      <c r="H2120" s="171"/>
    </row>
    <row r="2121" spans="1:8" x14ac:dyDescent="0.25">
      <c r="A2121" s="166"/>
      <c r="B2121" s="167"/>
      <c r="C2121" s="168"/>
      <c r="D2121" s="168"/>
      <c r="E2121" s="168"/>
      <c r="F2121" s="169"/>
      <c r="G2121" s="170"/>
      <c r="H2121" s="171"/>
    </row>
    <row r="2122" spans="1:8" x14ac:dyDescent="0.25">
      <c r="A2122" s="166"/>
      <c r="B2122" s="167"/>
      <c r="C2122" s="168"/>
      <c r="D2122" s="168"/>
      <c r="E2122" s="168"/>
      <c r="F2122" s="169"/>
      <c r="G2122" s="170"/>
      <c r="H2122" s="171"/>
    </row>
    <row r="2123" spans="1:8" x14ac:dyDescent="0.25">
      <c r="A2123" s="166"/>
      <c r="B2123" s="167"/>
      <c r="C2123" s="168"/>
      <c r="D2123" s="168"/>
      <c r="E2123" s="168"/>
      <c r="F2123" s="169"/>
      <c r="G2123" s="170"/>
      <c r="H2123" s="171"/>
    </row>
    <row r="2124" spans="1:8" x14ac:dyDescent="0.25">
      <c r="A2124" s="166"/>
      <c r="B2124" s="167"/>
      <c r="C2124" s="168"/>
      <c r="D2124" s="168"/>
      <c r="E2124" s="168"/>
      <c r="F2124" s="169"/>
      <c r="G2124" s="170"/>
      <c r="H2124" s="171"/>
    </row>
    <row r="2125" spans="1:8" x14ac:dyDescent="0.25">
      <c r="A2125" s="166"/>
      <c r="B2125" s="167"/>
      <c r="C2125" s="168"/>
      <c r="D2125" s="168"/>
      <c r="E2125" s="168"/>
      <c r="F2125" s="169"/>
      <c r="G2125" s="170"/>
      <c r="H2125" s="171"/>
    </row>
    <row r="2126" spans="1:8" x14ac:dyDescent="0.25">
      <c r="A2126" s="45"/>
      <c r="B2126" s="97"/>
      <c r="C2126" s="45"/>
      <c r="D2126" s="45"/>
      <c r="E2126" s="45"/>
      <c r="F2126" s="98"/>
      <c r="G2126" s="99"/>
      <c r="H2126" s="45"/>
    </row>
    <row r="2127" spans="1:8" x14ac:dyDescent="0.25">
      <c r="A2127" s="100"/>
      <c r="B2127" s="109"/>
      <c r="C2127" s="100"/>
      <c r="D2127" s="100"/>
      <c r="E2127" s="100"/>
      <c r="F2127" s="164"/>
      <c r="G2127" s="165"/>
      <c r="H2127" s="100"/>
    </row>
    <row r="2128" spans="1:8" x14ac:dyDescent="0.25">
      <c r="A2128" s="52"/>
      <c r="B2128" s="93"/>
      <c r="C2128" s="53"/>
      <c r="D2128" s="53"/>
      <c r="E2128" s="53"/>
      <c r="F2128" s="94"/>
      <c r="G2128" s="96"/>
      <c r="H2128" s="51"/>
    </row>
    <row r="2129" spans="1:8" x14ac:dyDescent="0.25">
      <c r="A2129" s="172" t="s">
        <v>780</v>
      </c>
      <c r="B2129" s="48"/>
      <c r="C2129" s="49"/>
      <c r="D2129" s="122"/>
      <c r="E2129" s="49"/>
      <c r="F2129" s="50"/>
      <c r="G2129" s="50"/>
      <c r="H2129" s="133"/>
    </row>
    <row r="2130" spans="1:8" ht="16.5" thickBot="1" x14ac:dyDescent="0.3">
      <c r="A2130" s="52"/>
      <c r="B2130" s="53"/>
      <c r="C2130" s="53"/>
      <c r="D2130" s="53"/>
      <c r="E2130" s="53"/>
      <c r="F2130" s="53"/>
      <c r="G2130" s="173" t="s">
        <v>781</v>
      </c>
      <c r="H2130" s="51"/>
    </row>
    <row r="2131" spans="1:8" ht="16.5" thickBot="1" x14ac:dyDescent="0.3">
      <c r="A2131" s="400" t="s">
        <v>381</v>
      </c>
      <c r="B2131" s="401"/>
      <c r="C2131" s="402" t="s">
        <v>382</v>
      </c>
      <c r="D2131" s="401"/>
      <c r="E2131" s="55" t="s">
        <v>266</v>
      </c>
      <c r="F2131" s="65"/>
      <c r="G2131" s="54"/>
      <c r="H2131" s="51"/>
    </row>
    <row r="2132" spans="1:8" ht="16.5" thickBot="1" x14ac:dyDescent="0.3">
      <c r="A2132" s="403">
        <v>0</v>
      </c>
      <c r="B2132" s="404"/>
      <c r="C2132" s="403">
        <v>0</v>
      </c>
      <c r="D2132" s="404"/>
      <c r="E2132" s="56">
        <v>1</v>
      </c>
      <c r="F2132" s="65"/>
      <c r="G2132" s="53"/>
      <c r="H2132" s="51"/>
    </row>
    <row r="2133" spans="1:8" x14ac:dyDescent="0.25">
      <c r="A2133" s="52"/>
      <c r="B2133" s="58"/>
      <c r="C2133" s="58"/>
      <c r="D2133" s="58"/>
      <c r="E2133" s="58"/>
      <c r="F2133" s="58"/>
      <c r="G2133" s="53"/>
      <c r="H2133" s="83"/>
    </row>
    <row r="2134" spans="1:8" x14ac:dyDescent="0.25">
      <c r="A2134" s="59" t="s">
        <v>323</v>
      </c>
      <c r="B2134" s="59" t="s">
        <v>266</v>
      </c>
      <c r="C2134" s="59" t="s">
        <v>383</v>
      </c>
      <c r="D2134" s="59" t="s">
        <v>384</v>
      </c>
      <c r="E2134" s="59" t="s">
        <v>332</v>
      </c>
      <c r="F2134" s="59" t="s">
        <v>385</v>
      </c>
      <c r="G2134" s="59" t="s">
        <v>386</v>
      </c>
      <c r="H2134" s="59" t="s">
        <v>387</v>
      </c>
    </row>
    <row r="2135" spans="1:8" x14ac:dyDescent="0.25">
      <c r="A2135" s="60">
        <v>6959</v>
      </c>
      <c r="B2135" s="61">
        <f>1*E2132</f>
        <v>1</v>
      </c>
      <c r="C2135" s="61" t="s">
        <v>367</v>
      </c>
      <c r="D2135" s="61">
        <f>A2132-14</f>
        <v>-14</v>
      </c>
      <c r="E2135" s="61" t="s">
        <v>590</v>
      </c>
      <c r="F2135" s="110" t="s">
        <v>742</v>
      </c>
      <c r="G2135" s="63">
        <v>0.98599999999999999</v>
      </c>
      <c r="H2135" s="63">
        <f t="shared" ref="H2135:H2146" si="34">(D2135/1000)*B2135*G2135</f>
        <v>-1.3804E-2</v>
      </c>
    </row>
    <row r="2136" spans="1:8" x14ac:dyDescent="0.25">
      <c r="A2136" s="60">
        <v>6958</v>
      </c>
      <c r="B2136" s="61">
        <f>1*E2132</f>
        <v>1</v>
      </c>
      <c r="C2136" s="61" t="s">
        <v>367</v>
      </c>
      <c r="D2136" s="61">
        <f>A2132-14</f>
        <v>-14</v>
      </c>
      <c r="E2136" s="61" t="s">
        <v>590</v>
      </c>
      <c r="F2136" s="110" t="s">
        <v>743</v>
      </c>
      <c r="G2136" s="63">
        <v>1.0169999999999999</v>
      </c>
      <c r="H2136" s="63">
        <f t="shared" si="34"/>
        <v>-1.4237999999999999E-2</v>
      </c>
    </row>
    <row r="2137" spans="1:8" x14ac:dyDescent="0.25">
      <c r="A2137" s="60">
        <v>6960</v>
      </c>
      <c r="B2137" s="61">
        <f>2*E2132</f>
        <v>2</v>
      </c>
      <c r="C2137" s="61" t="s">
        <v>337</v>
      </c>
      <c r="D2137" s="61">
        <f>C2132</f>
        <v>0</v>
      </c>
      <c r="E2137" s="61" t="s">
        <v>590</v>
      </c>
      <c r="F2137" s="104" t="s">
        <v>744</v>
      </c>
      <c r="G2137" s="63">
        <v>0.753</v>
      </c>
      <c r="H2137" s="63">
        <f t="shared" si="34"/>
        <v>0</v>
      </c>
    </row>
    <row r="2138" spans="1:8" x14ac:dyDescent="0.25">
      <c r="A2138" s="60">
        <v>6937</v>
      </c>
      <c r="B2138" s="61">
        <f>2*E2132</f>
        <v>2</v>
      </c>
      <c r="C2138" s="61" t="s">
        <v>470</v>
      </c>
      <c r="D2138" s="105">
        <f>C2132-38</f>
        <v>-38</v>
      </c>
      <c r="E2138" s="61" t="s">
        <v>590</v>
      </c>
      <c r="F2138" s="104" t="s">
        <v>782</v>
      </c>
      <c r="G2138" s="63">
        <v>0.89400000000000002</v>
      </c>
      <c r="H2138" s="63">
        <f t="shared" si="34"/>
        <v>-6.7944000000000004E-2</v>
      </c>
    </row>
    <row r="2139" spans="1:8" x14ac:dyDescent="0.25">
      <c r="A2139" s="60">
        <v>6912</v>
      </c>
      <c r="B2139" s="61">
        <f>3*E2132</f>
        <v>3</v>
      </c>
      <c r="C2139" s="61" t="s">
        <v>470</v>
      </c>
      <c r="D2139" s="61">
        <f>C2132-38</f>
        <v>-38</v>
      </c>
      <c r="E2139" s="61" t="s">
        <v>590</v>
      </c>
      <c r="F2139" s="104" t="s">
        <v>599</v>
      </c>
      <c r="G2139" s="63">
        <v>0.78900000000000003</v>
      </c>
      <c r="H2139" s="63">
        <f t="shared" si="34"/>
        <v>-8.9945999999999998E-2</v>
      </c>
    </row>
    <row r="2140" spans="1:8" x14ac:dyDescent="0.25">
      <c r="A2140" s="60">
        <v>6999</v>
      </c>
      <c r="B2140" s="61">
        <f>1*E2132</f>
        <v>1</v>
      </c>
      <c r="C2140" s="61" t="s">
        <v>470</v>
      </c>
      <c r="D2140" s="61">
        <f>C2132-38</f>
        <v>-38</v>
      </c>
      <c r="E2140" s="61" t="s">
        <v>590</v>
      </c>
      <c r="F2140" s="104" t="s">
        <v>745</v>
      </c>
      <c r="G2140" s="63">
        <v>0.61099999999999999</v>
      </c>
      <c r="H2140" s="63">
        <f t="shared" si="34"/>
        <v>-2.3217999999999999E-2</v>
      </c>
    </row>
    <row r="2141" spans="1:8" x14ac:dyDescent="0.25">
      <c r="A2141" s="60">
        <v>6909</v>
      </c>
      <c r="B2141" s="61">
        <f>1*E2132</f>
        <v>1</v>
      </c>
      <c r="C2141" s="61" t="s">
        <v>783</v>
      </c>
      <c r="D2141" s="105">
        <f>A2132/3+30</f>
        <v>30</v>
      </c>
      <c r="E2141" s="61" t="s">
        <v>590</v>
      </c>
      <c r="F2141" s="110" t="s">
        <v>747</v>
      </c>
      <c r="G2141" s="63">
        <v>0.52</v>
      </c>
      <c r="H2141" s="63">
        <f t="shared" si="34"/>
        <v>1.5599999999999999E-2</v>
      </c>
    </row>
    <row r="2142" spans="1:8" x14ac:dyDescent="0.25">
      <c r="A2142" s="60">
        <v>6910</v>
      </c>
      <c r="B2142" s="61">
        <f>1*E2132</f>
        <v>1</v>
      </c>
      <c r="C2142" s="61" t="s">
        <v>783</v>
      </c>
      <c r="D2142" s="105">
        <f>A2132/3+30</f>
        <v>30</v>
      </c>
      <c r="E2142" s="61" t="s">
        <v>590</v>
      </c>
      <c r="F2142" s="110" t="s">
        <v>748</v>
      </c>
      <c r="G2142" s="63">
        <v>0.56899999999999995</v>
      </c>
      <c r="H2142" s="63">
        <f t="shared" si="34"/>
        <v>1.7069999999999998E-2</v>
      </c>
    </row>
    <row r="2143" spans="1:8" x14ac:dyDescent="0.25">
      <c r="A2143" s="60">
        <v>6909</v>
      </c>
      <c r="B2143" s="61">
        <f>1*E2132</f>
        <v>1</v>
      </c>
      <c r="C2143" s="61" t="s">
        <v>749</v>
      </c>
      <c r="D2143" s="105">
        <f>A2132/3+5</f>
        <v>5</v>
      </c>
      <c r="E2143" s="61" t="s">
        <v>590</v>
      </c>
      <c r="F2143" s="110" t="s">
        <v>750</v>
      </c>
      <c r="G2143" s="63">
        <v>0.52</v>
      </c>
      <c r="H2143" s="63">
        <f t="shared" si="34"/>
        <v>2.6000000000000003E-3</v>
      </c>
    </row>
    <row r="2144" spans="1:8" x14ac:dyDescent="0.25">
      <c r="A2144" s="60">
        <v>6910</v>
      </c>
      <c r="B2144" s="61">
        <f>1*E2132</f>
        <v>1</v>
      </c>
      <c r="C2144" s="61" t="s">
        <v>749</v>
      </c>
      <c r="D2144" s="105">
        <f>A2132/3+5</f>
        <v>5</v>
      </c>
      <c r="E2144" s="61" t="s">
        <v>590</v>
      </c>
      <c r="F2144" s="110" t="s">
        <v>751</v>
      </c>
      <c r="G2144" s="63">
        <v>0.56899999999999995</v>
      </c>
      <c r="H2144" s="63">
        <f t="shared" si="34"/>
        <v>2.8449999999999999E-3</v>
      </c>
    </row>
    <row r="2145" spans="1:8" x14ac:dyDescent="0.25">
      <c r="A2145" s="60">
        <v>6909</v>
      </c>
      <c r="B2145" s="61">
        <f>1*E2132</f>
        <v>1</v>
      </c>
      <c r="C2145" s="61" t="s">
        <v>752</v>
      </c>
      <c r="D2145" s="105">
        <f>A2132/3-28</f>
        <v>-28</v>
      </c>
      <c r="E2145" s="61" t="s">
        <v>590</v>
      </c>
      <c r="F2145" s="110" t="s">
        <v>753</v>
      </c>
      <c r="G2145" s="63">
        <v>0.52</v>
      </c>
      <c r="H2145" s="63">
        <f t="shared" si="34"/>
        <v>-1.456E-2</v>
      </c>
    </row>
    <row r="2146" spans="1:8" x14ac:dyDescent="0.25">
      <c r="A2146" s="60">
        <v>6910</v>
      </c>
      <c r="B2146" s="61">
        <f>1*E2132</f>
        <v>1</v>
      </c>
      <c r="C2146" s="61" t="s">
        <v>752</v>
      </c>
      <c r="D2146" s="105">
        <f>A2132/3-28</f>
        <v>-28</v>
      </c>
      <c r="E2146" s="61" t="s">
        <v>590</v>
      </c>
      <c r="F2146" s="110" t="s">
        <v>754</v>
      </c>
      <c r="G2146" s="63">
        <v>0.56899999999999995</v>
      </c>
      <c r="H2146" s="63">
        <f t="shared" si="34"/>
        <v>-1.5931999999999998E-2</v>
      </c>
    </row>
    <row r="2147" spans="1:8" x14ac:dyDescent="0.25">
      <c r="A2147" s="64"/>
      <c r="B2147" s="65"/>
      <c r="C2147" s="65"/>
      <c r="D2147" s="65"/>
      <c r="E2147" s="65"/>
      <c r="F2147" s="65"/>
      <c r="G2147" s="63" t="s">
        <v>392</v>
      </c>
      <c r="H2147" s="63">
        <f>SUM(H2135:H2146)</f>
        <v>-0.20152699999999998</v>
      </c>
    </row>
    <row r="2148" spans="1:8" x14ac:dyDescent="0.25">
      <c r="A2148" s="64"/>
      <c r="B2148" s="65"/>
      <c r="C2148" s="65"/>
      <c r="D2148" s="65"/>
      <c r="E2148" s="65"/>
      <c r="F2148" s="65"/>
      <c r="G2148" s="66"/>
      <c r="H2148" s="67"/>
    </row>
    <row r="2149" spans="1:8" x14ac:dyDescent="0.25">
      <c r="A2149" s="64"/>
      <c r="B2149" s="65"/>
      <c r="C2149" s="65"/>
      <c r="D2149" s="65"/>
      <c r="E2149" s="65"/>
      <c r="F2149" s="65"/>
      <c r="G2149" s="68"/>
      <c r="H2149" s="67"/>
    </row>
    <row r="2150" spans="1:8" x14ac:dyDescent="0.25">
      <c r="A2150" s="69" t="s">
        <v>393</v>
      </c>
      <c r="B2150" s="70"/>
      <c r="C2150" s="70"/>
      <c r="D2150" s="71"/>
      <c r="E2150" s="59" t="s">
        <v>36</v>
      </c>
      <c r="F2150" s="59" t="s">
        <v>266</v>
      </c>
      <c r="G2150" s="52"/>
      <c r="H2150" s="72"/>
    </row>
    <row r="2151" spans="1:8" x14ac:dyDescent="0.25">
      <c r="A2151" s="162" t="s">
        <v>755</v>
      </c>
      <c r="B2151" s="74"/>
      <c r="C2151" s="70"/>
      <c r="D2151" s="71"/>
      <c r="E2151" s="114">
        <f>F2151*E2132</f>
        <v>2</v>
      </c>
      <c r="F2151" s="61">
        <v>2</v>
      </c>
      <c r="G2151" s="76"/>
      <c r="H2151" s="77"/>
    </row>
    <row r="2152" spans="1:8" x14ac:dyDescent="0.25">
      <c r="A2152" s="162" t="s">
        <v>756</v>
      </c>
      <c r="B2152" s="74"/>
      <c r="C2152" s="70"/>
      <c r="D2152" s="71"/>
      <c r="E2152" s="115">
        <f>F2152*E2132</f>
        <v>1</v>
      </c>
      <c r="F2152" s="61">
        <v>1</v>
      </c>
      <c r="G2152" s="76"/>
      <c r="H2152" s="77"/>
    </row>
    <row r="2153" spans="1:8" x14ac:dyDescent="0.25">
      <c r="A2153" s="162" t="s">
        <v>757</v>
      </c>
      <c r="B2153" s="74"/>
      <c r="C2153" s="70"/>
      <c r="D2153" s="71"/>
      <c r="E2153" s="115">
        <f>F2153*E2132</f>
        <v>1</v>
      </c>
      <c r="F2153" s="61">
        <v>1</v>
      </c>
      <c r="G2153" s="65"/>
      <c r="H2153" s="77"/>
    </row>
    <row r="2154" spans="1:8" x14ac:dyDescent="0.25">
      <c r="A2154" s="162" t="s">
        <v>758</v>
      </c>
      <c r="B2154" s="74"/>
      <c r="C2154" s="70"/>
      <c r="D2154" s="71"/>
      <c r="E2154" s="163">
        <f>4*(A2132/1000)+8*(C2132/1000)*E2132</f>
        <v>0</v>
      </c>
      <c r="F2154" s="61" t="s">
        <v>481</v>
      </c>
      <c r="G2154" s="64"/>
      <c r="H2154" s="77"/>
    </row>
    <row r="2155" spans="1:8" x14ac:dyDescent="0.25">
      <c r="A2155" s="162" t="s">
        <v>759</v>
      </c>
      <c r="B2155" s="74"/>
      <c r="C2155" s="70"/>
      <c r="D2155" s="71"/>
      <c r="E2155" s="163">
        <f>2*(A2132/1000)+6*(C2132/1000)*E2132</f>
        <v>0</v>
      </c>
      <c r="F2155" s="61" t="s">
        <v>424</v>
      </c>
      <c r="G2155" s="64"/>
      <c r="H2155" s="77"/>
    </row>
    <row r="2156" spans="1:8" x14ac:dyDescent="0.25">
      <c r="A2156" s="162" t="s">
        <v>776</v>
      </c>
      <c r="B2156" s="74"/>
      <c r="C2156" s="70"/>
      <c r="D2156" s="71"/>
      <c r="E2156" s="115">
        <f>F2156*E2132</f>
        <v>6</v>
      </c>
      <c r="F2156" s="61">
        <v>6</v>
      </c>
      <c r="G2156" s="64"/>
      <c r="H2156" s="77"/>
    </row>
    <row r="2157" spans="1:8" x14ac:dyDescent="0.25">
      <c r="A2157" s="162" t="s">
        <v>404</v>
      </c>
      <c r="B2157" s="74"/>
      <c r="C2157" s="70"/>
      <c r="D2157" s="71"/>
      <c r="E2157" s="115">
        <f>F2157*E2132</f>
        <v>8</v>
      </c>
      <c r="F2157" s="61">
        <v>8</v>
      </c>
      <c r="G2157" s="64"/>
      <c r="H2157" s="77"/>
    </row>
    <row r="2158" spans="1:8" x14ac:dyDescent="0.25">
      <c r="A2158" s="162" t="s">
        <v>405</v>
      </c>
      <c r="B2158" s="74"/>
      <c r="C2158" s="70"/>
      <c r="D2158" s="71"/>
      <c r="E2158" s="115">
        <f>F2158*E2132</f>
        <v>12</v>
      </c>
      <c r="F2158" s="61">
        <v>12</v>
      </c>
      <c r="G2158" s="76"/>
      <c r="H2158" s="77"/>
    </row>
    <row r="2159" spans="1:8" x14ac:dyDescent="0.25">
      <c r="A2159" s="162" t="s">
        <v>532</v>
      </c>
      <c r="B2159" s="74"/>
      <c r="C2159" s="70"/>
      <c r="D2159" s="71"/>
      <c r="E2159" s="115">
        <f>F2159*E2132</f>
        <v>1</v>
      </c>
      <c r="F2159" s="61">
        <v>1</v>
      </c>
      <c r="G2159" s="76"/>
      <c r="H2159" s="77"/>
    </row>
    <row r="2160" spans="1:8" x14ac:dyDescent="0.25">
      <c r="A2160" s="162" t="s">
        <v>784</v>
      </c>
      <c r="B2160" s="74"/>
      <c r="C2160" s="70"/>
      <c r="D2160" s="71"/>
      <c r="E2160" s="115">
        <f>F2160*E2132</f>
        <v>1</v>
      </c>
      <c r="F2160" s="61">
        <v>1</v>
      </c>
      <c r="G2160" s="76"/>
      <c r="H2160" s="77"/>
    </row>
    <row r="2161" spans="1:8" x14ac:dyDescent="0.25">
      <c r="A2161" s="162" t="s">
        <v>761</v>
      </c>
      <c r="B2161" s="74"/>
      <c r="C2161" s="70"/>
      <c r="D2161" s="71"/>
      <c r="E2161" s="115">
        <f>F2161*E2132</f>
        <v>2</v>
      </c>
      <c r="F2161" s="61">
        <v>2</v>
      </c>
      <c r="G2161" s="76"/>
      <c r="H2161" s="77"/>
    </row>
    <row r="2162" spans="1:8" x14ac:dyDescent="0.25">
      <c r="A2162" s="162" t="s">
        <v>762</v>
      </c>
      <c r="B2162" s="74"/>
      <c r="C2162" s="70"/>
      <c r="D2162" s="71"/>
      <c r="E2162" s="115">
        <f>F2162*E2132</f>
        <v>1</v>
      </c>
      <c r="F2162" s="61">
        <v>1</v>
      </c>
      <c r="G2162" s="76"/>
      <c r="H2162" s="77"/>
    </row>
    <row r="2163" spans="1:8" x14ac:dyDescent="0.25">
      <c r="A2163" s="162" t="s">
        <v>504</v>
      </c>
      <c r="B2163" s="74"/>
      <c r="C2163" s="70"/>
      <c r="D2163" s="71"/>
      <c r="E2163" s="115">
        <f>F2163*E2132</f>
        <v>2</v>
      </c>
      <c r="F2163" s="61">
        <v>2</v>
      </c>
      <c r="G2163" s="76"/>
      <c r="H2163" s="77"/>
    </row>
    <row r="2164" spans="1:8" x14ac:dyDescent="0.25">
      <c r="A2164" s="162" t="s">
        <v>763</v>
      </c>
      <c r="B2164" s="74"/>
      <c r="C2164" s="70"/>
      <c r="D2164" s="71"/>
      <c r="E2164" s="115">
        <f>F2164*E2132</f>
        <v>2</v>
      </c>
      <c r="F2164" s="61">
        <v>2</v>
      </c>
      <c r="G2164" s="76"/>
      <c r="H2164" s="77"/>
    </row>
    <row r="2165" spans="1:8" x14ac:dyDescent="0.25">
      <c r="A2165" s="73" t="s">
        <v>764</v>
      </c>
      <c r="B2165" s="74"/>
      <c r="C2165" s="70"/>
      <c r="D2165" s="71"/>
      <c r="E2165" s="115">
        <f>F2165*E2132</f>
        <v>2</v>
      </c>
      <c r="F2165" s="61">
        <v>2</v>
      </c>
      <c r="G2165" s="76"/>
      <c r="H2165" s="77"/>
    </row>
    <row r="2166" spans="1:8" x14ac:dyDescent="0.25">
      <c r="A2166" s="162" t="s">
        <v>765</v>
      </c>
      <c r="B2166" s="74"/>
      <c r="C2166" s="70"/>
      <c r="D2166" s="71"/>
      <c r="E2166" s="115">
        <f>F2166*E2132</f>
        <v>2</v>
      </c>
      <c r="F2166" s="61">
        <v>2</v>
      </c>
      <c r="G2166" s="76"/>
      <c r="H2166" s="77"/>
    </row>
    <row r="2167" spans="1:8" x14ac:dyDescent="0.25">
      <c r="A2167" s="73" t="s">
        <v>766</v>
      </c>
      <c r="B2167" s="74"/>
      <c r="C2167" s="70"/>
      <c r="D2167" s="71"/>
      <c r="E2167" s="115">
        <f>F2167*E2132</f>
        <v>4</v>
      </c>
      <c r="F2167" s="61">
        <v>4</v>
      </c>
      <c r="G2167" s="76"/>
      <c r="H2167" s="77"/>
    </row>
    <row r="2168" spans="1:8" x14ac:dyDescent="0.25">
      <c r="A2168" s="162" t="s">
        <v>611</v>
      </c>
      <c r="B2168" s="74"/>
      <c r="C2168" s="70"/>
      <c r="D2168" s="71"/>
      <c r="E2168" s="115">
        <f>F2168*E2132</f>
        <v>24</v>
      </c>
      <c r="F2168" s="61">
        <v>24</v>
      </c>
      <c r="G2168" s="76"/>
      <c r="H2168" s="77"/>
    </row>
    <row r="2169" spans="1:8" x14ac:dyDescent="0.25">
      <c r="A2169" s="162" t="s">
        <v>736</v>
      </c>
      <c r="B2169" s="74"/>
      <c r="C2169" s="70"/>
      <c r="D2169" s="71"/>
      <c r="E2169" s="115">
        <f>F2169*E2132</f>
        <v>5</v>
      </c>
      <c r="F2169" s="61">
        <v>5</v>
      </c>
      <c r="G2169" s="76"/>
      <c r="H2169" s="77"/>
    </row>
    <row r="2170" spans="1:8" x14ac:dyDescent="0.25">
      <c r="A2170" s="162" t="s">
        <v>656</v>
      </c>
      <c r="B2170" s="74"/>
      <c r="C2170" s="70"/>
      <c r="D2170" s="71"/>
      <c r="E2170" s="115">
        <f>F2170*E2132</f>
        <v>5</v>
      </c>
      <c r="F2170" s="61">
        <v>5</v>
      </c>
      <c r="G2170" s="76"/>
      <c r="H2170" s="77"/>
    </row>
    <row r="2171" spans="1:8" x14ac:dyDescent="0.25">
      <c r="A2171" s="162" t="s">
        <v>737</v>
      </c>
      <c r="B2171" s="74"/>
      <c r="C2171" s="70"/>
      <c r="D2171" s="71"/>
      <c r="E2171" s="115">
        <f>F2171*E2132</f>
        <v>6</v>
      </c>
      <c r="F2171" s="61">
        <v>6</v>
      </c>
      <c r="G2171" s="76"/>
      <c r="H2171" s="77"/>
    </row>
    <row r="2172" spans="1:8" x14ac:dyDescent="0.25">
      <c r="A2172" s="52"/>
      <c r="B2172" s="53"/>
      <c r="C2172" s="53"/>
      <c r="D2172" s="53"/>
      <c r="E2172" s="53"/>
      <c r="F2172" s="53"/>
      <c r="G2172" s="53"/>
      <c r="H2172" s="83"/>
    </row>
    <row r="2173" spans="1:8" x14ac:dyDescent="0.25">
      <c r="A2173" s="52"/>
      <c r="B2173" s="53"/>
      <c r="C2173" s="53"/>
      <c r="D2173" s="53"/>
      <c r="E2173" s="53"/>
      <c r="F2173" s="53"/>
      <c r="G2173" s="53"/>
      <c r="H2173" s="83"/>
    </row>
    <row r="2174" spans="1:8" x14ac:dyDescent="0.25">
      <c r="A2174" s="59" t="s">
        <v>413</v>
      </c>
      <c r="B2174" s="84" t="s">
        <v>266</v>
      </c>
      <c r="C2174" s="84" t="s">
        <v>383</v>
      </c>
      <c r="D2174" s="405" t="s">
        <v>414</v>
      </c>
      <c r="E2174" s="406"/>
      <c r="F2174" s="85" t="s">
        <v>415</v>
      </c>
      <c r="G2174" s="59" t="s">
        <v>416</v>
      </c>
      <c r="H2174" s="86"/>
    </row>
    <row r="2175" spans="1:8" x14ac:dyDescent="0.25">
      <c r="A2175" s="87" t="s">
        <v>767</v>
      </c>
      <c r="B2175" s="89">
        <f>1*E2132</f>
        <v>1</v>
      </c>
      <c r="C2175" s="89" t="s">
        <v>785</v>
      </c>
      <c r="D2175" s="409">
        <f>A2132/3-27</f>
        <v>-27</v>
      </c>
      <c r="E2175" s="410"/>
      <c r="F2175" s="90">
        <f>C2132-116</f>
        <v>-116</v>
      </c>
      <c r="G2175" s="152">
        <f>B2175*(D2175/1000)*(F2175/1000)</f>
        <v>3.1320000000000002E-3</v>
      </c>
      <c r="H2175" s="86"/>
    </row>
    <row r="2176" spans="1:8" x14ac:dyDescent="0.25">
      <c r="A2176" s="87" t="s">
        <v>769</v>
      </c>
      <c r="B2176" s="89">
        <f>1*E2132</f>
        <v>1</v>
      </c>
      <c r="C2176" s="89" t="s">
        <v>770</v>
      </c>
      <c r="D2176" s="409">
        <f>A2132/3-52</f>
        <v>-52</v>
      </c>
      <c r="E2176" s="410"/>
      <c r="F2176" s="90">
        <f>C2132-116</f>
        <v>-116</v>
      </c>
      <c r="G2176" s="152">
        <f>B2176*(D2176/1000)*(F2176/1000)</f>
        <v>6.032E-3</v>
      </c>
      <c r="H2176" s="83"/>
    </row>
    <row r="2177" spans="1:8" x14ac:dyDescent="0.25">
      <c r="A2177" s="87" t="s">
        <v>771</v>
      </c>
      <c r="B2177" s="89">
        <f>1*E2132</f>
        <v>1</v>
      </c>
      <c r="C2177" s="61" t="s">
        <v>772</v>
      </c>
      <c r="D2177" s="409">
        <f>A2132/3-82</f>
        <v>-82</v>
      </c>
      <c r="E2177" s="410"/>
      <c r="F2177" s="90">
        <f>C2132-116</f>
        <v>-116</v>
      </c>
      <c r="G2177" s="152">
        <f>B2177*(D2177/1000)*(F2177/1000)</f>
        <v>9.5120000000000014E-3</v>
      </c>
      <c r="H2177" s="51"/>
    </row>
    <row r="2178" spans="1:8" x14ac:dyDescent="0.25">
      <c r="A2178" s="52"/>
      <c r="B2178" s="93"/>
      <c r="C2178" s="53"/>
      <c r="D2178" s="53"/>
      <c r="E2178" s="53"/>
      <c r="F2178" s="94" t="s">
        <v>418</v>
      </c>
      <c r="G2178" s="95">
        <f>SUM(G2175:G2177)</f>
        <v>1.8676000000000002E-2</v>
      </c>
      <c r="H2178" s="51"/>
    </row>
    <row r="2179" spans="1:8" x14ac:dyDescent="0.25">
      <c r="A2179" s="52"/>
      <c r="B2179" s="93"/>
      <c r="C2179" s="53"/>
      <c r="D2179" s="53"/>
      <c r="E2179" s="53"/>
      <c r="F2179" s="94"/>
      <c r="G2179" s="96"/>
      <c r="H2179" s="51"/>
    </row>
    <row r="2180" spans="1:8" x14ac:dyDescent="0.25">
      <c r="A2180" s="52"/>
      <c r="B2180" s="93"/>
      <c r="C2180" s="53"/>
      <c r="D2180" s="53"/>
      <c r="E2180" s="53"/>
      <c r="F2180" s="94"/>
      <c r="G2180" s="96"/>
      <c r="H2180" s="51"/>
    </row>
    <row r="2181" spans="1:8" x14ac:dyDescent="0.25">
      <c r="A2181" s="52"/>
      <c r="B2181" s="93"/>
      <c r="C2181" s="53"/>
      <c r="D2181" s="53"/>
      <c r="E2181" s="53"/>
      <c r="F2181" s="94"/>
      <c r="G2181" s="96"/>
      <c r="H2181" s="51"/>
    </row>
    <row r="2182" spans="1:8" x14ac:dyDescent="0.25">
      <c r="A2182" s="52"/>
      <c r="B2182" s="93"/>
      <c r="C2182" s="53"/>
      <c r="D2182" s="53"/>
      <c r="E2182" s="53"/>
      <c r="F2182" s="94"/>
      <c r="G2182" s="96"/>
      <c r="H2182" s="51"/>
    </row>
    <row r="2183" spans="1:8" x14ac:dyDescent="0.25">
      <c r="A2183" s="52"/>
      <c r="B2183" s="93"/>
      <c r="C2183" s="53"/>
      <c r="D2183" s="53"/>
      <c r="E2183" s="53"/>
      <c r="F2183" s="94"/>
      <c r="G2183" s="96"/>
      <c r="H2183" s="51"/>
    </row>
    <row r="2184" spans="1:8" x14ac:dyDescent="0.25">
      <c r="A2184" s="52"/>
      <c r="B2184" s="93"/>
      <c r="C2184" s="53"/>
      <c r="D2184" s="53"/>
      <c r="E2184" s="53"/>
      <c r="F2184" s="94"/>
      <c r="G2184" s="96"/>
      <c r="H2184" s="51"/>
    </row>
    <row r="2185" spans="1:8" x14ac:dyDescent="0.25">
      <c r="A2185" s="52"/>
      <c r="B2185" s="93"/>
      <c r="C2185" s="53"/>
      <c r="D2185" s="53"/>
      <c r="E2185" s="53"/>
      <c r="F2185" s="94"/>
      <c r="G2185" s="96"/>
      <c r="H2185" s="51"/>
    </row>
    <row r="2186" spans="1:8" x14ac:dyDescent="0.25">
      <c r="A2186" s="52"/>
      <c r="B2186" s="93"/>
      <c r="C2186" s="53"/>
      <c r="D2186" s="53"/>
      <c r="E2186" s="53"/>
      <c r="F2186" s="94"/>
      <c r="G2186" s="96"/>
      <c r="H2186" s="51"/>
    </row>
    <row r="2187" spans="1:8" x14ac:dyDescent="0.25">
      <c r="A2187" s="52"/>
      <c r="B2187" s="93"/>
      <c r="C2187" s="53"/>
      <c r="D2187" s="53"/>
      <c r="E2187" s="53"/>
      <c r="F2187" s="94"/>
      <c r="G2187" s="96"/>
      <c r="H2187" s="51"/>
    </row>
    <row r="2188" spans="1:8" x14ac:dyDescent="0.25">
      <c r="A2188" s="52"/>
      <c r="B2188" s="93"/>
      <c r="C2188" s="53"/>
      <c r="D2188" s="53"/>
      <c r="E2188" s="53"/>
      <c r="F2188" s="94"/>
      <c r="G2188" s="96"/>
      <c r="H2188" s="51"/>
    </row>
    <row r="2189" spans="1:8" x14ac:dyDescent="0.25">
      <c r="A2189" s="52"/>
      <c r="B2189" s="93"/>
      <c r="C2189" s="53"/>
      <c r="D2189" s="53"/>
      <c r="E2189" s="53"/>
      <c r="F2189" s="94"/>
      <c r="G2189" s="96"/>
      <c r="H2189" s="51"/>
    </row>
    <row r="2190" spans="1:8" x14ac:dyDescent="0.25">
      <c r="A2190" s="52"/>
      <c r="B2190" s="93"/>
      <c r="C2190" s="53"/>
      <c r="D2190" s="53"/>
      <c r="E2190" s="53"/>
      <c r="F2190" s="94"/>
      <c r="G2190" s="96"/>
      <c r="H2190" s="51"/>
    </row>
    <row r="2191" spans="1:8" x14ac:dyDescent="0.25">
      <c r="A2191" s="45"/>
      <c r="B2191" s="97"/>
      <c r="C2191" s="45"/>
      <c r="D2191" s="45"/>
      <c r="E2191" s="45"/>
      <c r="F2191" s="98"/>
      <c r="G2191" s="99"/>
      <c r="H2191" s="45"/>
    </row>
    <row r="2192" spans="1:8" x14ac:dyDescent="0.25">
      <c r="A2192" s="100"/>
      <c r="B2192" s="109"/>
      <c r="C2192" s="100"/>
      <c r="D2192" s="100"/>
      <c r="E2192" s="100"/>
      <c r="F2192" s="164"/>
      <c r="G2192" s="165"/>
      <c r="H2192" s="100"/>
    </row>
    <row r="2193" spans="1:8" x14ac:dyDescent="0.25">
      <c r="A2193" s="52"/>
      <c r="B2193" s="93"/>
      <c r="C2193" s="53"/>
      <c r="D2193" s="53"/>
      <c r="E2193" s="53"/>
      <c r="F2193" s="94"/>
      <c r="G2193" s="96"/>
      <c r="H2193" s="51"/>
    </row>
    <row r="2194" spans="1:8" x14ac:dyDescent="0.25">
      <c r="A2194" s="153" t="s">
        <v>786</v>
      </c>
      <c r="B2194" s="48"/>
      <c r="C2194" s="49"/>
      <c r="D2194" s="122"/>
      <c r="E2194" s="49"/>
      <c r="F2194" s="50"/>
      <c r="G2194" s="50"/>
      <c r="H2194" s="133"/>
    </row>
    <row r="2195" spans="1:8" ht="16.5" thickBot="1" x14ac:dyDescent="0.3">
      <c r="A2195" s="52"/>
      <c r="B2195" s="53"/>
      <c r="C2195" s="53"/>
      <c r="D2195" s="53"/>
      <c r="E2195" s="53"/>
      <c r="F2195" s="65"/>
      <c r="G2195" s="54" t="s">
        <v>774</v>
      </c>
      <c r="H2195" s="51"/>
    </row>
    <row r="2196" spans="1:8" ht="16.5" thickBot="1" x14ac:dyDescent="0.3">
      <c r="A2196" s="400" t="s">
        <v>381</v>
      </c>
      <c r="B2196" s="401"/>
      <c r="C2196" s="402" t="s">
        <v>382</v>
      </c>
      <c r="D2196" s="401"/>
      <c r="E2196" s="55" t="s">
        <v>266</v>
      </c>
      <c r="F2196" s="65"/>
      <c r="G2196" s="54"/>
      <c r="H2196" s="51"/>
    </row>
    <row r="2197" spans="1:8" ht="16.5" thickBot="1" x14ac:dyDescent="0.3">
      <c r="A2197" s="403">
        <v>0</v>
      </c>
      <c r="B2197" s="404"/>
      <c r="C2197" s="403">
        <v>0</v>
      </c>
      <c r="D2197" s="404"/>
      <c r="E2197" s="56">
        <v>1</v>
      </c>
      <c r="F2197" s="65"/>
      <c r="G2197" s="53"/>
      <c r="H2197" s="51"/>
    </row>
    <row r="2198" spans="1:8" x14ac:dyDescent="0.25">
      <c r="A2198" s="52"/>
      <c r="B2198" s="58"/>
      <c r="C2198" s="58"/>
      <c r="D2198" s="58"/>
      <c r="E2198" s="58"/>
      <c r="F2198" s="58"/>
      <c r="G2198" s="53"/>
      <c r="H2198" s="83"/>
    </row>
    <row r="2199" spans="1:8" x14ac:dyDescent="0.25">
      <c r="A2199" s="59" t="s">
        <v>323</v>
      </c>
      <c r="B2199" s="59" t="s">
        <v>266</v>
      </c>
      <c r="C2199" s="59" t="s">
        <v>383</v>
      </c>
      <c r="D2199" s="59" t="s">
        <v>384</v>
      </c>
      <c r="E2199" s="59" t="s">
        <v>332</v>
      </c>
      <c r="F2199" s="59" t="s">
        <v>385</v>
      </c>
      <c r="G2199" s="59" t="s">
        <v>386</v>
      </c>
      <c r="H2199" s="59" t="s">
        <v>387</v>
      </c>
    </row>
    <row r="2200" spans="1:8" x14ac:dyDescent="0.25">
      <c r="A2200" s="60">
        <v>6959</v>
      </c>
      <c r="B2200" s="61">
        <f>1*E2197</f>
        <v>1</v>
      </c>
      <c r="C2200" s="61" t="s">
        <v>367</v>
      </c>
      <c r="D2200" s="61">
        <f>A2197-14</f>
        <v>-14</v>
      </c>
      <c r="E2200" s="61" t="s">
        <v>590</v>
      </c>
      <c r="F2200" s="110" t="s">
        <v>742</v>
      </c>
      <c r="G2200" s="63">
        <v>0.98599999999999999</v>
      </c>
      <c r="H2200" s="63">
        <f t="shared" ref="H2200:H2211" si="35">(D2200/1000)*B2200*G2200</f>
        <v>-1.3804E-2</v>
      </c>
    </row>
    <row r="2201" spans="1:8" x14ac:dyDescent="0.25">
      <c r="A2201" s="60">
        <v>6958</v>
      </c>
      <c r="B2201" s="61">
        <f>1*E2197</f>
        <v>1</v>
      </c>
      <c r="C2201" s="61" t="s">
        <v>367</v>
      </c>
      <c r="D2201" s="61">
        <f>A2197-14</f>
        <v>-14</v>
      </c>
      <c r="E2201" s="61" t="s">
        <v>590</v>
      </c>
      <c r="F2201" s="110" t="s">
        <v>743</v>
      </c>
      <c r="G2201" s="63">
        <v>1.0169999999999999</v>
      </c>
      <c r="H2201" s="63">
        <f t="shared" si="35"/>
        <v>-1.4237999999999999E-2</v>
      </c>
    </row>
    <row r="2202" spans="1:8" x14ac:dyDescent="0.25">
      <c r="A2202" s="60">
        <v>6960</v>
      </c>
      <c r="B2202" s="61">
        <f>2*E2197</f>
        <v>2</v>
      </c>
      <c r="C2202" s="61" t="s">
        <v>337</v>
      </c>
      <c r="D2202" s="61">
        <f>C2197</f>
        <v>0</v>
      </c>
      <c r="E2202" s="61" t="s">
        <v>590</v>
      </c>
      <c r="F2202" s="104" t="s">
        <v>744</v>
      </c>
      <c r="G2202" s="63">
        <v>0.753</v>
      </c>
      <c r="H2202" s="63">
        <f t="shared" si="35"/>
        <v>0</v>
      </c>
    </row>
    <row r="2203" spans="1:8" x14ac:dyDescent="0.25">
      <c r="A2203" s="60">
        <v>6938</v>
      </c>
      <c r="B2203" s="61">
        <f>2*E2197</f>
        <v>2</v>
      </c>
      <c r="C2203" s="61" t="s">
        <v>470</v>
      </c>
      <c r="D2203" s="105">
        <f>C2197-38</f>
        <v>-38</v>
      </c>
      <c r="E2203" s="61" t="s">
        <v>590</v>
      </c>
      <c r="F2203" s="104" t="s">
        <v>787</v>
      </c>
      <c r="G2203" s="63">
        <v>0.85</v>
      </c>
      <c r="H2203" s="63">
        <f t="shared" si="35"/>
        <v>-6.4599999999999991E-2</v>
      </c>
    </row>
    <row r="2204" spans="1:8" x14ac:dyDescent="0.25">
      <c r="A2204" s="60">
        <v>6917</v>
      </c>
      <c r="B2204" s="61">
        <f>3*E2197</f>
        <v>3</v>
      </c>
      <c r="C2204" s="61" t="s">
        <v>470</v>
      </c>
      <c r="D2204" s="61">
        <f>C2197-38</f>
        <v>-38</v>
      </c>
      <c r="E2204" s="61" t="s">
        <v>590</v>
      </c>
      <c r="F2204" s="104" t="s">
        <v>788</v>
      </c>
      <c r="G2204" s="63">
        <v>0.751</v>
      </c>
      <c r="H2204" s="63">
        <f t="shared" si="35"/>
        <v>-8.5613999999999996E-2</v>
      </c>
    </row>
    <row r="2205" spans="1:8" x14ac:dyDescent="0.25">
      <c r="A2205" s="60">
        <v>6914</v>
      </c>
      <c r="B2205" s="61">
        <f>1*E2197</f>
        <v>1</v>
      </c>
      <c r="C2205" s="61" t="s">
        <v>470</v>
      </c>
      <c r="D2205" s="61">
        <f>C2197-38</f>
        <v>-38</v>
      </c>
      <c r="E2205" s="61" t="s">
        <v>590</v>
      </c>
      <c r="F2205" s="104" t="s">
        <v>789</v>
      </c>
      <c r="G2205" s="63">
        <v>0.57299999999999995</v>
      </c>
      <c r="H2205" s="63">
        <f t="shared" si="35"/>
        <v>-2.1773999999999998E-2</v>
      </c>
    </row>
    <row r="2206" spans="1:8" x14ac:dyDescent="0.25">
      <c r="A2206" s="60">
        <v>6946</v>
      </c>
      <c r="B2206" s="61">
        <f>1*E2197</f>
        <v>1</v>
      </c>
      <c r="C2206" s="61" t="s">
        <v>783</v>
      </c>
      <c r="D2206" s="105">
        <f>A2197/3+30</f>
        <v>30</v>
      </c>
      <c r="E2206" s="61" t="s">
        <v>590</v>
      </c>
      <c r="F2206" s="110" t="s">
        <v>747</v>
      </c>
      <c r="G2206" s="63">
        <v>0.65400000000000003</v>
      </c>
      <c r="H2206" s="63">
        <f t="shared" si="35"/>
        <v>1.9619999999999999E-2</v>
      </c>
    </row>
    <row r="2207" spans="1:8" x14ac:dyDescent="0.25">
      <c r="A2207" s="60">
        <v>6946</v>
      </c>
      <c r="B2207" s="61">
        <f>1*E2197</f>
        <v>1</v>
      </c>
      <c r="C2207" s="61" t="s">
        <v>783</v>
      </c>
      <c r="D2207" s="105">
        <f>A2197/3+30</f>
        <v>30</v>
      </c>
      <c r="E2207" s="61" t="s">
        <v>590</v>
      </c>
      <c r="F2207" s="110" t="s">
        <v>748</v>
      </c>
      <c r="G2207" s="63">
        <v>0.65400000000000003</v>
      </c>
      <c r="H2207" s="63">
        <f t="shared" si="35"/>
        <v>1.9619999999999999E-2</v>
      </c>
    </row>
    <row r="2208" spans="1:8" x14ac:dyDescent="0.25">
      <c r="A2208" s="60">
        <v>6946</v>
      </c>
      <c r="B2208" s="61">
        <f>1*E2197</f>
        <v>1</v>
      </c>
      <c r="C2208" s="61" t="s">
        <v>749</v>
      </c>
      <c r="D2208" s="105">
        <f>A2197/3+5</f>
        <v>5</v>
      </c>
      <c r="E2208" s="61" t="s">
        <v>590</v>
      </c>
      <c r="F2208" s="110" t="s">
        <v>750</v>
      </c>
      <c r="G2208" s="63">
        <v>0.65400000000000003</v>
      </c>
      <c r="H2208" s="63">
        <f t="shared" si="35"/>
        <v>3.2700000000000003E-3</v>
      </c>
    </row>
    <row r="2209" spans="1:8" x14ac:dyDescent="0.25">
      <c r="A2209" s="60">
        <v>6946</v>
      </c>
      <c r="B2209" s="61">
        <f>1*E2197</f>
        <v>1</v>
      </c>
      <c r="C2209" s="61" t="s">
        <v>749</v>
      </c>
      <c r="D2209" s="105">
        <f>A2197/3+5</f>
        <v>5</v>
      </c>
      <c r="E2209" s="61" t="s">
        <v>590</v>
      </c>
      <c r="F2209" s="110" t="s">
        <v>751</v>
      </c>
      <c r="G2209" s="63">
        <v>0.65400000000000003</v>
      </c>
      <c r="H2209" s="63">
        <f t="shared" si="35"/>
        <v>3.2700000000000003E-3</v>
      </c>
    </row>
    <row r="2210" spans="1:8" x14ac:dyDescent="0.25">
      <c r="A2210" s="60">
        <v>6946</v>
      </c>
      <c r="B2210" s="61">
        <f>1*E2197</f>
        <v>1</v>
      </c>
      <c r="C2210" s="61" t="s">
        <v>752</v>
      </c>
      <c r="D2210" s="105">
        <f>A2197/3-28</f>
        <v>-28</v>
      </c>
      <c r="E2210" s="61" t="s">
        <v>590</v>
      </c>
      <c r="F2210" s="110" t="s">
        <v>753</v>
      </c>
      <c r="G2210" s="63">
        <v>0.65400000000000003</v>
      </c>
      <c r="H2210" s="63">
        <f t="shared" si="35"/>
        <v>-1.8312000000000002E-2</v>
      </c>
    </row>
    <row r="2211" spans="1:8" x14ac:dyDescent="0.25">
      <c r="A2211" s="60">
        <v>6946</v>
      </c>
      <c r="B2211" s="61">
        <f>1*E2197</f>
        <v>1</v>
      </c>
      <c r="C2211" s="61" t="s">
        <v>752</v>
      </c>
      <c r="D2211" s="105">
        <f>A2197/3-28</f>
        <v>-28</v>
      </c>
      <c r="E2211" s="61" t="s">
        <v>590</v>
      </c>
      <c r="F2211" s="110" t="s">
        <v>754</v>
      </c>
      <c r="G2211" s="63">
        <v>0.65400000000000003</v>
      </c>
      <c r="H2211" s="63">
        <f t="shared" si="35"/>
        <v>-1.8312000000000002E-2</v>
      </c>
    </row>
    <row r="2212" spans="1:8" x14ac:dyDescent="0.25">
      <c r="A2212" s="64"/>
      <c r="B2212" s="65"/>
      <c r="C2212" s="65"/>
      <c r="D2212" s="65"/>
      <c r="E2212" s="65"/>
      <c r="F2212" s="65"/>
      <c r="G2212" s="63" t="s">
        <v>392</v>
      </c>
      <c r="H2212" s="63">
        <f>SUM(H2200:H2211)</f>
        <v>-0.19087399999999996</v>
      </c>
    </row>
    <row r="2213" spans="1:8" x14ac:dyDescent="0.25">
      <c r="A2213" s="64"/>
      <c r="B2213" s="65"/>
      <c r="C2213" s="65"/>
      <c r="D2213" s="65"/>
      <c r="E2213" s="65"/>
      <c r="F2213" s="65"/>
      <c r="G2213" s="66"/>
      <c r="H2213" s="67"/>
    </row>
    <row r="2214" spans="1:8" x14ac:dyDescent="0.25">
      <c r="A2214" s="64"/>
      <c r="B2214" s="65"/>
      <c r="C2214" s="65"/>
      <c r="D2214" s="65"/>
      <c r="E2214" s="65"/>
      <c r="F2214" s="65"/>
      <c r="G2214" s="68"/>
      <c r="H2214" s="67"/>
    </row>
    <row r="2215" spans="1:8" x14ac:dyDescent="0.25">
      <c r="A2215" s="69" t="s">
        <v>393</v>
      </c>
      <c r="B2215" s="70"/>
      <c r="C2215" s="70"/>
      <c r="D2215" s="71"/>
      <c r="E2215" s="59" t="s">
        <v>36</v>
      </c>
      <c r="F2215" s="59" t="s">
        <v>266</v>
      </c>
      <c r="G2215" s="52"/>
      <c r="H2215" s="72"/>
    </row>
    <row r="2216" spans="1:8" x14ac:dyDescent="0.25">
      <c r="A2216" s="162" t="s">
        <v>755</v>
      </c>
      <c r="B2216" s="74"/>
      <c r="C2216" s="70"/>
      <c r="D2216" s="71"/>
      <c r="E2216" s="114">
        <f>F2216*E2197</f>
        <v>2</v>
      </c>
      <c r="F2216" s="61">
        <v>2</v>
      </c>
      <c r="G2216" s="76"/>
      <c r="H2216" s="77"/>
    </row>
    <row r="2217" spans="1:8" x14ac:dyDescent="0.25">
      <c r="A2217" s="162" t="s">
        <v>756</v>
      </c>
      <c r="B2217" s="74"/>
      <c r="C2217" s="70"/>
      <c r="D2217" s="71"/>
      <c r="E2217" s="115">
        <f>F2217*E2197</f>
        <v>1</v>
      </c>
      <c r="F2217" s="61">
        <v>1</v>
      </c>
      <c r="G2217" s="76"/>
      <c r="H2217" s="77"/>
    </row>
    <row r="2218" spans="1:8" x14ac:dyDescent="0.25">
      <c r="A2218" s="162" t="s">
        <v>757</v>
      </c>
      <c r="B2218" s="74"/>
      <c r="C2218" s="70"/>
      <c r="D2218" s="71"/>
      <c r="E2218" s="115">
        <f>F2218*E2197</f>
        <v>1</v>
      </c>
      <c r="F2218" s="61">
        <v>1</v>
      </c>
      <c r="G2218" s="65"/>
      <c r="H2218" s="77"/>
    </row>
    <row r="2219" spans="1:8" x14ac:dyDescent="0.25">
      <c r="A2219" s="162" t="s">
        <v>758</v>
      </c>
      <c r="B2219" s="74"/>
      <c r="C2219" s="70"/>
      <c r="D2219" s="71"/>
      <c r="E2219" s="163">
        <f>4*(A2197/1000)+8*(C2197/1000)*E2197</f>
        <v>0</v>
      </c>
      <c r="F2219" s="61" t="s">
        <v>481</v>
      </c>
      <c r="G2219" s="64"/>
      <c r="H2219" s="77"/>
    </row>
    <row r="2220" spans="1:8" x14ac:dyDescent="0.25">
      <c r="A2220" s="162" t="s">
        <v>759</v>
      </c>
      <c r="B2220" s="74"/>
      <c r="C2220" s="70"/>
      <c r="D2220" s="71"/>
      <c r="E2220" s="163">
        <f>2*(A2197/1000)+6*(C2197/1000)*E2197</f>
        <v>0</v>
      </c>
      <c r="F2220" s="61" t="s">
        <v>424</v>
      </c>
      <c r="G2220" s="64"/>
      <c r="H2220" s="77"/>
    </row>
    <row r="2221" spans="1:8" x14ac:dyDescent="0.25">
      <c r="A2221" s="162" t="s">
        <v>776</v>
      </c>
      <c r="B2221" s="74"/>
      <c r="C2221" s="70"/>
      <c r="D2221" s="71"/>
      <c r="E2221" s="115">
        <f>F2221*E2197</f>
        <v>6</v>
      </c>
      <c r="F2221" s="61">
        <v>6</v>
      </c>
      <c r="G2221" s="64"/>
      <c r="H2221" s="77"/>
    </row>
    <row r="2222" spans="1:8" x14ac:dyDescent="0.25">
      <c r="A2222" s="162" t="s">
        <v>404</v>
      </c>
      <c r="B2222" s="74"/>
      <c r="C2222" s="70"/>
      <c r="D2222" s="71"/>
      <c r="E2222" s="115">
        <f>F2222*E2197</f>
        <v>8</v>
      </c>
      <c r="F2222" s="61">
        <v>8</v>
      </c>
      <c r="G2222" s="64"/>
      <c r="H2222" s="77"/>
    </row>
    <row r="2223" spans="1:8" x14ac:dyDescent="0.25">
      <c r="A2223" s="162" t="s">
        <v>405</v>
      </c>
      <c r="B2223" s="74"/>
      <c r="C2223" s="70"/>
      <c r="D2223" s="71"/>
      <c r="E2223" s="115">
        <f>F2223*E2197</f>
        <v>12</v>
      </c>
      <c r="F2223" s="61">
        <v>12</v>
      </c>
      <c r="G2223" s="76"/>
      <c r="H2223" s="77"/>
    </row>
    <row r="2224" spans="1:8" x14ac:dyDescent="0.25">
      <c r="A2224" s="162" t="s">
        <v>532</v>
      </c>
      <c r="B2224" s="74"/>
      <c r="C2224" s="70"/>
      <c r="D2224" s="71"/>
      <c r="E2224" s="115">
        <f>F2224*E2197</f>
        <v>1</v>
      </c>
      <c r="F2224" s="61">
        <v>1</v>
      </c>
      <c r="G2224" s="76"/>
      <c r="H2224" s="77"/>
    </row>
    <row r="2225" spans="1:8" x14ac:dyDescent="0.25">
      <c r="A2225" s="162" t="s">
        <v>784</v>
      </c>
      <c r="B2225" s="74"/>
      <c r="C2225" s="70"/>
      <c r="D2225" s="71"/>
      <c r="E2225" s="115">
        <f>F2225*E2197</f>
        <v>1</v>
      </c>
      <c r="F2225" s="61">
        <v>1</v>
      </c>
      <c r="G2225" s="76"/>
      <c r="H2225" s="77"/>
    </row>
    <row r="2226" spans="1:8" x14ac:dyDescent="0.25">
      <c r="A2226" s="162" t="s">
        <v>761</v>
      </c>
      <c r="B2226" s="74"/>
      <c r="C2226" s="70"/>
      <c r="D2226" s="71"/>
      <c r="E2226" s="115">
        <f>F2226*E2197</f>
        <v>2</v>
      </c>
      <c r="F2226" s="61">
        <v>2</v>
      </c>
      <c r="G2226" s="76"/>
      <c r="H2226" s="77"/>
    </row>
    <row r="2227" spans="1:8" x14ac:dyDescent="0.25">
      <c r="A2227" s="162" t="s">
        <v>762</v>
      </c>
      <c r="B2227" s="74"/>
      <c r="C2227" s="70"/>
      <c r="D2227" s="71"/>
      <c r="E2227" s="115">
        <f>F2227*E2197</f>
        <v>1</v>
      </c>
      <c r="F2227" s="61">
        <v>1</v>
      </c>
      <c r="G2227" s="76"/>
      <c r="H2227" s="77"/>
    </row>
    <row r="2228" spans="1:8" x14ac:dyDescent="0.25">
      <c r="A2228" s="162" t="s">
        <v>504</v>
      </c>
      <c r="B2228" s="74"/>
      <c r="C2228" s="70"/>
      <c r="D2228" s="71"/>
      <c r="E2228" s="115">
        <f>F2228*E2197</f>
        <v>2</v>
      </c>
      <c r="F2228" s="61">
        <v>2</v>
      </c>
      <c r="G2228" s="76"/>
      <c r="H2228" s="77"/>
    </row>
    <row r="2229" spans="1:8" x14ac:dyDescent="0.25">
      <c r="A2229" s="162" t="s">
        <v>763</v>
      </c>
      <c r="B2229" s="74"/>
      <c r="C2229" s="70"/>
      <c r="D2229" s="71"/>
      <c r="E2229" s="115">
        <f>F2229*E2197</f>
        <v>2</v>
      </c>
      <c r="F2229" s="61">
        <v>2</v>
      </c>
      <c r="G2229" s="76"/>
      <c r="H2229" s="77"/>
    </row>
    <row r="2230" spans="1:8" x14ac:dyDescent="0.25">
      <c r="A2230" s="73" t="s">
        <v>764</v>
      </c>
      <c r="B2230" s="74"/>
      <c r="C2230" s="70"/>
      <c r="D2230" s="71"/>
      <c r="E2230" s="115">
        <f>F2230*E2197</f>
        <v>2</v>
      </c>
      <c r="F2230" s="61">
        <v>2</v>
      </c>
      <c r="G2230" s="76"/>
      <c r="H2230" s="77"/>
    </row>
    <row r="2231" spans="1:8" x14ac:dyDescent="0.25">
      <c r="A2231" s="162" t="s">
        <v>765</v>
      </c>
      <c r="B2231" s="74"/>
      <c r="C2231" s="70"/>
      <c r="D2231" s="71"/>
      <c r="E2231" s="115">
        <f>F2231*E2197</f>
        <v>2</v>
      </c>
      <c r="F2231" s="61">
        <v>2</v>
      </c>
      <c r="G2231" s="76"/>
      <c r="H2231" s="77"/>
    </row>
    <row r="2232" spans="1:8" x14ac:dyDescent="0.25">
      <c r="A2232" s="73" t="s">
        <v>766</v>
      </c>
      <c r="B2232" s="74"/>
      <c r="C2232" s="70"/>
      <c r="D2232" s="71"/>
      <c r="E2232" s="115">
        <f>F2232*E2197</f>
        <v>4</v>
      </c>
      <c r="F2232" s="61">
        <v>4</v>
      </c>
      <c r="G2232" s="76"/>
      <c r="H2232" s="77"/>
    </row>
    <row r="2233" spans="1:8" x14ac:dyDescent="0.25">
      <c r="A2233" s="162" t="s">
        <v>611</v>
      </c>
      <c r="B2233" s="74"/>
      <c r="C2233" s="70"/>
      <c r="D2233" s="71"/>
      <c r="E2233" s="115">
        <f>F2233*E2197</f>
        <v>24</v>
      </c>
      <c r="F2233" s="61">
        <v>24</v>
      </c>
      <c r="G2233" s="76"/>
      <c r="H2233" s="77"/>
    </row>
    <row r="2234" spans="1:8" x14ac:dyDescent="0.25">
      <c r="A2234" s="162" t="s">
        <v>736</v>
      </c>
      <c r="B2234" s="74"/>
      <c r="C2234" s="70"/>
      <c r="D2234" s="71"/>
      <c r="E2234" s="115">
        <f>F2234*E2197</f>
        <v>5</v>
      </c>
      <c r="F2234" s="61">
        <v>5</v>
      </c>
      <c r="G2234" s="76"/>
      <c r="H2234" s="77"/>
    </row>
    <row r="2235" spans="1:8" x14ac:dyDescent="0.25">
      <c r="A2235" s="162" t="s">
        <v>656</v>
      </c>
      <c r="B2235" s="74"/>
      <c r="C2235" s="70"/>
      <c r="D2235" s="71"/>
      <c r="E2235" s="115">
        <f>F2235*E2197</f>
        <v>5</v>
      </c>
      <c r="F2235" s="61">
        <v>5</v>
      </c>
      <c r="G2235" s="76"/>
      <c r="H2235" s="77"/>
    </row>
    <row r="2236" spans="1:8" x14ac:dyDescent="0.25">
      <c r="A2236" s="162" t="s">
        <v>737</v>
      </c>
      <c r="B2236" s="74"/>
      <c r="C2236" s="70"/>
      <c r="D2236" s="71"/>
      <c r="E2236" s="115">
        <f>F2236*E2197</f>
        <v>6</v>
      </c>
      <c r="F2236" s="61">
        <v>6</v>
      </c>
      <c r="G2236" s="76"/>
      <c r="H2236" s="77"/>
    </row>
    <row r="2237" spans="1:8" x14ac:dyDescent="0.25">
      <c r="A2237" s="52"/>
      <c r="B2237" s="53"/>
      <c r="C2237" s="53"/>
      <c r="D2237" s="53"/>
      <c r="E2237" s="53"/>
      <c r="F2237" s="53"/>
      <c r="G2237" s="53"/>
      <c r="H2237" s="83"/>
    </row>
    <row r="2238" spans="1:8" x14ac:dyDescent="0.25">
      <c r="A2238" s="52"/>
      <c r="B2238" s="53"/>
      <c r="C2238" s="53"/>
      <c r="D2238" s="53"/>
      <c r="E2238" s="53"/>
      <c r="F2238" s="53"/>
      <c r="G2238" s="53"/>
      <c r="H2238" s="83"/>
    </row>
    <row r="2239" spans="1:8" x14ac:dyDescent="0.25">
      <c r="A2239" s="59" t="s">
        <v>413</v>
      </c>
      <c r="B2239" s="84" t="s">
        <v>266</v>
      </c>
      <c r="C2239" s="84" t="s">
        <v>383</v>
      </c>
      <c r="D2239" s="405" t="s">
        <v>414</v>
      </c>
      <c r="E2239" s="406"/>
      <c r="F2239" s="85" t="s">
        <v>415</v>
      </c>
      <c r="G2239" s="59" t="s">
        <v>416</v>
      </c>
      <c r="H2239" s="86"/>
    </row>
    <row r="2240" spans="1:8" x14ac:dyDescent="0.25">
      <c r="A2240" s="87" t="s">
        <v>767</v>
      </c>
      <c r="B2240" s="89">
        <f>1*E2197</f>
        <v>1</v>
      </c>
      <c r="C2240" s="89" t="s">
        <v>790</v>
      </c>
      <c r="D2240" s="409">
        <f>A2197/3-25</f>
        <v>-25</v>
      </c>
      <c r="E2240" s="410"/>
      <c r="F2240" s="90">
        <f>C2197-114</f>
        <v>-114</v>
      </c>
      <c r="G2240" s="152">
        <f>B2240*(D2240/1000)*(F2240/1000)</f>
        <v>2.8500000000000001E-3</v>
      </c>
      <c r="H2240" s="86"/>
    </row>
    <row r="2241" spans="1:8" x14ac:dyDescent="0.25">
      <c r="A2241" s="87" t="s">
        <v>769</v>
      </c>
      <c r="B2241" s="89">
        <f>1*E2197</f>
        <v>1</v>
      </c>
      <c r="C2241" s="89" t="s">
        <v>778</v>
      </c>
      <c r="D2241" s="409">
        <f>A2197/3-50</f>
        <v>-50</v>
      </c>
      <c r="E2241" s="410"/>
      <c r="F2241" s="90">
        <f>C2197-114</f>
        <v>-114</v>
      </c>
      <c r="G2241" s="152">
        <f>B2241*(D2241/1000)*(F2241/1000)</f>
        <v>5.7000000000000002E-3</v>
      </c>
      <c r="H2241" s="83"/>
    </row>
    <row r="2242" spans="1:8" x14ac:dyDescent="0.25">
      <c r="A2242" s="87" t="s">
        <v>771</v>
      </c>
      <c r="B2242" s="89">
        <f>1*E2197</f>
        <v>1</v>
      </c>
      <c r="C2242" s="61" t="s">
        <v>779</v>
      </c>
      <c r="D2242" s="409">
        <f>A2197/3-80</f>
        <v>-80</v>
      </c>
      <c r="E2242" s="410"/>
      <c r="F2242" s="90">
        <f>C2197-114</f>
        <v>-114</v>
      </c>
      <c r="G2242" s="152">
        <f>B2242*(D2242/1000)*(F2242/1000)</f>
        <v>9.1200000000000014E-3</v>
      </c>
      <c r="H2242" s="51"/>
    </row>
    <row r="2243" spans="1:8" x14ac:dyDescent="0.25">
      <c r="A2243" s="52"/>
      <c r="B2243" s="93"/>
      <c r="C2243" s="53"/>
      <c r="D2243" s="53"/>
      <c r="E2243" s="53"/>
      <c r="F2243" s="94" t="s">
        <v>418</v>
      </c>
      <c r="G2243" s="95">
        <f>SUM(G2240:G2242)</f>
        <v>1.7670000000000002E-2</v>
      </c>
      <c r="H2243" s="51"/>
    </row>
    <row r="2244" spans="1:8" x14ac:dyDescent="0.25">
      <c r="A2244" s="52"/>
      <c r="B2244" s="93"/>
      <c r="C2244" s="53"/>
      <c r="D2244" s="53"/>
      <c r="E2244" s="53"/>
      <c r="F2244" s="94"/>
      <c r="G2244" s="96"/>
      <c r="H2244" s="51"/>
    </row>
    <row r="2245" spans="1:8" x14ac:dyDescent="0.25">
      <c r="A2245" s="52"/>
      <c r="B2245" s="93"/>
      <c r="C2245" s="53"/>
      <c r="D2245" s="53"/>
      <c r="E2245" s="53"/>
      <c r="F2245" s="94"/>
      <c r="G2245" s="96"/>
      <c r="H2245" s="51"/>
    </row>
    <row r="2246" spans="1:8" x14ac:dyDescent="0.25">
      <c r="A2246" s="52"/>
      <c r="B2246" s="93"/>
      <c r="C2246" s="53"/>
      <c r="D2246" s="53"/>
      <c r="E2246" s="53"/>
      <c r="F2246" s="94"/>
      <c r="G2246" s="96"/>
      <c r="H2246" s="51"/>
    </row>
    <row r="2247" spans="1:8" x14ac:dyDescent="0.25">
      <c r="A2247" s="52"/>
      <c r="B2247" s="93"/>
      <c r="C2247" s="53"/>
      <c r="D2247" s="53"/>
      <c r="E2247" s="53"/>
      <c r="F2247" s="94"/>
      <c r="G2247" s="96"/>
      <c r="H2247" s="51"/>
    </row>
    <row r="2248" spans="1:8" x14ac:dyDescent="0.25">
      <c r="A2248" s="52"/>
      <c r="B2248" s="93"/>
      <c r="C2248" s="53"/>
      <c r="D2248" s="53"/>
      <c r="E2248" s="53"/>
      <c r="F2248" s="94"/>
      <c r="G2248" s="96"/>
      <c r="H2248" s="51"/>
    </row>
    <row r="2249" spans="1:8" x14ac:dyDescent="0.25">
      <c r="A2249" s="52"/>
      <c r="B2249" s="93"/>
      <c r="C2249" s="53"/>
      <c r="D2249" s="53"/>
      <c r="E2249" s="53"/>
      <c r="F2249" s="94"/>
      <c r="G2249" s="96"/>
      <c r="H2249" s="51"/>
    </row>
    <row r="2250" spans="1:8" x14ac:dyDescent="0.25">
      <c r="A2250" s="52"/>
      <c r="B2250" s="93"/>
      <c r="C2250" s="53"/>
      <c r="D2250" s="53"/>
      <c r="E2250" s="53"/>
      <c r="F2250" s="94"/>
      <c r="G2250" s="96"/>
      <c r="H2250" s="51"/>
    </row>
    <row r="2251" spans="1:8" x14ac:dyDescent="0.25">
      <c r="A2251" s="52"/>
      <c r="B2251" s="93"/>
      <c r="C2251" s="53"/>
      <c r="D2251" s="53"/>
      <c r="E2251" s="53"/>
      <c r="F2251" s="94"/>
      <c r="G2251" s="96"/>
      <c r="H2251" s="51"/>
    </row>
    <row r="2252" spans="1:8" x14ac:dyDescent="0.25">
      <c r="A2252" s="52"/>
      <c r="B2252" s="93"/>
      <c r="C2252" s="53"/>
      <c r="D2252" s="53"/>
      <c r="E2252" s="53"/>
      <c r="F2252" s="94"/>
      <c r="G2252" s="96"/>
      <c r="H2252" s="51"/>
    </row>
    <row r="2253" spans="1:8" x14ac:dyDescent="0.25">
      <c r="A2253" s="52"/>
      <c r="B2253" s="53"/>
      <c r="C2253" s="53"/>
      <c r="D2253" s="53"/>
      <c r="E2253" s="53"/>
      <c r="F2253" s="53"/>
      <c r="G2253" s="53"/>
      <c r="H2253" s="51"/>
    </row>
    <row r="2254" spans="1:8" x14ac:dyDescent="0.25">
      <c r="A2254" s="52"/>
      <c r="B2254" s="53"/>
      <c r="C2254" s="53"/>
      <c r="D2254" s="53"/>
      <c r="E2254" s="53"/>
      <c r="F2254" s="53"/>
      <c r="G2254" s="53"/>
      <c r="H2254" s="51"/>
    </row>
    <row r="2255" spans="1:8" x14ac:dyDescent="0.25">
      <c r="A2255" s="45"/>
      <c r="B2255" s="45"/>
      <c r="C2255" s="45"/>
      <c r="D2255" s="45"/>
      <c r="E2255" s="45"/>
      <c r="F2255" s="45"/>
      <c r="G2255" s="45"/>
      <c r="H2255" s="45"/>
    </row>
    <row r="2256" spans="1:8" x14ac:dyDescent="0.25">
      <c r="A2256" s="53"/>
      <c r="B2256" s="53"/>
      <c r="C2256" s="53"/>
      <c r="D2256" s="53"/>
      <c r="E2256" s="53"/>
      <c r="F2256" s="53"/>
      <c r="G2256" s="53"/>
      <c r="H2256" s="53"/>
    </row>
    <row r="2257" spans="1:8" x14ac:dyDescent="0.25">
      <c r="A2257" s="174"/>
      <c r="B2257" s="45"/>
      <c r="C2257" s="45"/>
      <c r="D2257" s="45"/>
      <c r="E2257" s="45"/>
      <c r="F2257" s="45"/>
      <c r="G2257" s="45"/>
      <c r="H2257" s="46"/>
    </row>
    <row r="2258" spans="1:8" x14ac:dyDescent="0.25">
      <c r="A2258" s="147"/>
      <c r="B2258" s="53"/>
      <c r="C2258" s="53"/>
      <c r="D2258" s="53"/>
      <c r="E2258" s="53"/>
      <c r="F2258" s="53"/>
      <c r="G2258" s="53"/>
      <c r="H2258" s="51"/>
    </row>
    <row r="2259" spans="1:8" x14ac:dyDescent="0.25">
      <c r="A2259" s="153" t="s">
        <v>791</v>
      </c>
      <c r="B2259" s="48"/>
      <c r="C2259" s="49"/>
      <c r="D2259" s="122"/>
      <c r="E2259" s="49"/>
      <c r="F2259" s="50"/>
      <c r="G2259" s="50"/>
      <c r="H2259" s="133"/>
    </row>
    <row r="2260" spans="1:8" ht="16.5" thickBot="1" x14ac:dyDescent="0.3">
      <c r="A2260" s="52"/>
      <c r="B2260" s="53"/>
      <c r="C2260" s="53"/>
      <c r="D2260" s="53"/>
      <c r="E2260" s="53"/>
      <c r="F2260" s="65"/>
      <c r="G2260" s="54" t="s">
        <v>792</v>
      </c>
      <c r="H2260" s="51"/>
    </row>
    <row r="2261" spans="1:8" ht="16.5" thickBot="1" x14ac:dyDescent="0.3">
      <c r="A2261" s="400" t="s">
        <v>381</v>
      </c>
      <c r="B2261" s="401"/>
      <c r="C2261" s="402" t="s">
        <v>382</v>
      </c>
      <c r="D2261" s="401"/>
      <c r="E2261" s="55" t="s">
        <v>266</v>
      </c>
      <c r="F2261" s="65"/>
      <c r="G2261" s="53"/>
      <c r="H2261" s="51"/>
    </row>
    <row r="2262" spans="1:8" ht="16.5" thickBot="1" x14ac:dyDescent="0.3">
      <c r="A2262" s="403">
        <v>0</v>
      </c>
      <c r="B2262" s="404"/>
      <c r="C2262" s="403">
        <v>0</v>
      </c>
      <c r="D2262" s="404"/>
      <c r="E2262" s="56">
        <v>1</v>
      </c>
      <c r="F2262" s="65"/>
      <c r="G2262" s="53"/>
      <c r="H2262" s="51"/>
    </row>
    <row r="2263" spans="1:8" x14ac:dyDescent="0.25">
      <c r="A2263" s="52"/>
      <c r="B2263" s="58"/>
      <c r="C2263" s="58"/>
      <c r="D2263" s="58"/>
      <c r="E2263" s="58"/>
      <c r="F2263" s="58"/>
      <c r="G2263" s="53"/>
      <c r="H2263" s="83"/>
    </row>
    <row r="2264" spans="1:8" x14ac:dyDescent="0.25">
      <c r="A2264" s="59" t="s">
        <v>323</v>
      </c>
      <c r="B2264" s="59" t="s">
        <v>266</v>
      </c>
      <c r="C2264" s="59" t="s">
        <v>383</v>
      </c>
      <c r="D2264" s="59" t="s">
        <v>384</v>
      </c>
      <c r="E2264" s="59" t="s">
        <v>332</v>
      </c>
      <c r="F2264" s="59" t="s">
        <v>385</v>
      </c>
      <c r="G2264" s="59" t="s">
        <v>386</v>
      </c>
      <c r="H2264" s="59" t="s">
        <v>387</v>
      </c>
    </row>
    <row r="2265" spans="1:8" x14ac:dyDescent="0.25">
      <c r="A2265" s="134">
        <v>6901</v>
      </c>
      <c r="B2265" s="135">
        <f>1*E2262</f>
        <v>1</v>
      </c>
      <c r="C2265" s="135" t="s">
        <v>367</v>
      </c>
      <c r="D2265" s="61">
        <f>A2262-14</f>
        <v>-14</v>
      </c>
      <c r="E2265" s="135" t="s">
        <v>590</v>
      </c>
      <c r="F2265" s="136" t="s">
        <v>388</v>
      </c>
      <c r="G2265" s="63">
        <v>0.69199999999999995</v>
      </c>
      <c r="H2265" s="63">
        <f t="shared" ref="H2265:H2274" si="36">(D2265/1000)*B2265*G2265</f>
        <v>-9.6879999999999987E-3</v>
      </c>
    </row>
    <row r="2266" spans="1:8" x14ac:dyDescent="0.25">
      <c r="A2266" s="134">
        <v>6921</v>
      </c>
      <c r="B2266" s="135">
        <f>1*E2262</f>
        <v>1</v>
      </c>
      <c r="C2266" s="135" t="s">
        <v>367</v>
      </c>
      <c r="D2266" s="61">
        <f>A2262-14</f>
        <v>-14</v>
      </c>
      <c r="E2266" s="135" t="s">
        <v>590</v>
      </c>
      <c r="F2266" s="136" t="s">
        <v>591</v>
      </c>
      <c r="G2266" s="63">
        <v>0.60499999999999998</v>
      </c>
      <c r="H2266" s="63">
        <f t="shared" si="36"/>
        <v>-8.4700000000000001E-3</v>
      </c>
    </row>
    <row r="2267" spans="1:8" x14ac:dyDescent="0.25">
      <c r="A2267" s="134">
        <v>6903</v>
      </c>
      <c r="B2267" s="135">
        <f>1*E2262</f>
        <v>1</v>
      </c>
      <c r="C2267" s="135" t="s">
        <v>337</v>
      </c>
      <c r="D2267" s="61">
        <f>C2262</f>
        <v>0</v>
      </c>
      <c r="E2267" s="135" t="s">
        <v>590</v>
      </c>
      <c r="F2267" s="136" t="s">
        <v>83</v>
      </c>
      <c r="G2267" s="63">
        <v>0.55000000000000004</v>
      </c>
      <c r="H2267" s="63">
        <f t="shared" si="36"/>
        <v>0</v>
      </c>
    </row>
    <row r="2268" spans="1:8" x14ac:dyDescent="0.25">
      <c r="A2268" s="134">
        <v>6954</v>
      </c>
      <c r="B2268" s="135">
        <f>1*E2262</f>
        <v>1</v>
      </c>
      <c r="C2268" s="135" t="s">
        <v>337</v>
      </c>
      <c r="D2268" s="105">
        <f>C2262</f>
        <v>0</v>
      </c>
      <c r="E2268" s="135" t="s">
        <v>590</v>
      </c>
      <c r="F2268" s="136" t="s">
        <v>684</v>
      </c>
      <c r="G2268" s="63">
        <v>0.42499999999999999</v>
      </c>
      <c r="H2268" s="63">
        <f t="shared" si="36"/>
        <v>0</v>
      </c>
    </row>
    <row r="2269" spans="1:8" x14ac:dyDescent="0.25">
      <c r="A2269" s="134">
        <v>6913</v>
      </c>
      <c r="B2269" s="135">
        <f>1*E2262</f>
        <v>1</v>
      </c>
      <c r="C2269" s="135" t="s">
        <v>730</v>
      </c>
      <c r="D2269" s="61">
        <f>C2262-43</f>
        <v>-43</v>
      </c>
      <c r="E2269" s="135" t="s">
        <v>590</v>
      </c>
      <c r="F2269" s="137" t="s">
        <v>673</v>
      </c>
      <c r="G2269" s="63">
        <v>0.65500000000000003</v>
      </c>
      <c r="H2269" s="63">
        <f t="shared" si="36"/>
        <v>-2.8164999999999999E-2</v>
      </c>
    </row>
    <row r="2270" spans="1:8" x14ac:dyDescent="0.25">
      <c r="A2270" s="134">
        <v>6914</v>
      </c>
      <c r="B2270" s="135">
        <f>1*E2262</f>
        <v>1</v>
      </c>
      <c r="C2270" s="135" t="s">
        <v>730</v>
      </c>
      <c r="D2270" s="61">
        <f>C2262-43</f>
        <v>-43</v>
      </c>
      <c r="E2270" s="135" t="s">
        <v>590</v>
      </c>
      <c r="F2270" s="136" t="s">
        <v>674</v>
      </c>
      <c r="G2270" s="63">
        <v>0.57299999999999995</v>
      </c>
      <c r="H2270" s="63">
        <f t="shared" si="36"/>
        <v>-2.4638999999999998E-2</v>
      </c>
    </row>
    <row r="2271" spans="1:8" x14ac:dyDescent="0.25">
      <c r="A2271" s="134">
        <v>6914</v>
      </c>
      <c r="B2271" s="135">
        <f>1*E2262</f>
        <v>1</v>
      </c>
      <c r="C2271" s="135" t="s">
        <v>731</v>
      </c>
      <c r="D2271" s="61">
        <f>C2262-31</f>
        <v>-31</v>
      </c>
      <c r="E2271" s="135" t="s">
        <v>590</v>
      </c>
      <c r="F2271" s="136" t="s">
        <v>674</v>
      </c>
      <c r="G2271" s="63">
        <v>0.57299999999999995</v>
      </c>
      <c r="H2271" s="63">
        <f t="shared" si="36"/>
        <v>-1.7762999999999998E-2</v>
      </c>
    </row>
    <row r="2272" spans="1:8" x14ac:dyDescent="0.25">
      <c r="A2272" s="134">
        <v>6965</v>
      </c>
      <c r="B2272" s="135">
        <f>1*E2262</f>
        <v>1</v>
      </c>
      <c r="C2272" s="135" t="s">
        <v>731</v>
      </c>
      <c r="D2272" s="61">
        <f>C2262-31</f>
        <v>-31</v>
      </c>
      <c r="E2272" s="135" t="s">
        <v>590</v>
      </c>
      <c r="F2272" s="136" t="s">
        <v>715</v>
      </c>
      <c r="G2272" s="63">
        <v>0.24199999999999999</v>
      </c>
      <c r="H2272" s="63">
        <f t="shared" si="36"/>
        <v>-7.502E-3</v>
      </c>
    </row>
    <row r="2273" spans="1:8" x14ac:dyDescent="0.25">
      <c r="A2273" s="134">
        <v>6915</v>
      </c>
      <c r="B2273" s="135">
        <f>2*E2262</f>
        <v>2</v>
      </c>
      <c r="C2273" s="135" t="s">
        <v>389</v>
      </c>
      <c r="D2273" s="61">
        <f>A2262/2-13</f>
        <v>-13</v>
      </c>
      <c r="E2273" s="135" t="s">
        <v>590</v>
      </c>
      <c r="F2273" s="137" t="s">
        <v>620</v>
      </c>
      <c r="G2273" s="63">
        <v>0.56899999999999995</v>
      </c>
      <c r="H2273" s="63">
        <f t="shared" si="36"/>
        <v>-1.4793999999999998E-2</v>
      </c>
    </row>
    <row r="2274" spans="1:8" x14ac:dyDescent="0.25">
      <c r="A2274" s="134">
        <v>6915</v>
      </c>
      <c r="B2274" s="135">
        <f>1*E2262</f>
        <v>1</v>
      </c>
      <c r="C2274" s="135" t="s">
        <v>716</v>
      </c>
      <c r="D2274" s="61">
        <f>A2262/2+7</f>
        <v>7</v>
      </c>
      <c r="E2274" s="135" t="s">
        <v>590</v>
      </c>
      <c r="F2274" s="137" t="s">
        <v>620</v>
      </c>
      <c r="G2274" s="63">
        <v>0.56899999999999995</v>
      </c>
      <c r="H2274" s="63">
        <f t="shared" si="36"/>
        <v>3.9829999999999996E-3</v>
      </c>
    </row>
    <row r="2275" spans="1:8" x14ac:dyDescent="0.25">
      <c r="A2275" s="134">
        <v>6946</v>
      </c>
      <c r="B2275" s="135">
        <f>1*E2262</f>
        <v>1</v>
      </c>
      <c r="C2275" s="135" t="s">
        <v>716</v>
      </c>
      <c r="D2275" s="61">
        <f>A2263/2+7</f>
        <v>7</v>
      </c>
      <c r="E2275" s="135" t="s">
        <v>590</v>
      </c>
      <c r="F2275" s="137" t="s">
        <v>793</v>
      </c>
      <c r="G2275" s="63">
        <v>0.65400000000000003</v>
      </c>
      <c r="H2275" s="63">
        <f>(D2275/1000)*B2275*G2275</f>
        <v>4.5780000000000005E-3</v>
      </c>
    </row>
    <row r="2276" spans="1:8" x14ac:dyDescent="0.25">
      <c r="A2276" s="64"/>
      <c r="B2276" s="65"/>
      <c r="C2276" s="65"/>
      <c r="D2276" s="65"/>
      <c r="E2276" s="65"/>
      <c r="F2276" s="65"/>
      <c r="G2276" s="63" t="s">
        <v>392</v>
      </c>
      <c r="H2276" s="63">
        <f>SUM(H2265:H2275)</f>
        <v>-0.10246</v>
      </c>
    </row>
    <row r="2277" spans="1:8" x14ac:dyDescent="0.25">
      <c r="A2277" s="64"/>
      <c r="B2277" s="65"/>
      <c r="C2277" s="65"/>
      <c r="D2277" s="65"/>
      <c r="E2277" s="65"/>
      <c r="F2277" s="65"/>
      <c r="G2277" s="66"/>
      <c r="H2277" s="67"/>
    </row>
    <row r="2278" spans="1:8" x14ac:dyDescent="0.25">
      <c r="A2278" s="64"/>
      <c r="B2278" s="65"/>
      <c r="C2278" s="65"/>
      <c r="D2278" s="65"/>
      <c r="E2278" s="65"/>
      <c r="F2278" s="65"/>
      <c r="G2278" s="68"/>
      <c r="H2278" s="67"/>
    </row>
    <row r="2279" spans="1:8" x14ac:dyDescent="0.25">
      <c r="A2279" s="69" t="s">
        <v>393</v>
      </c>
      <c r="B2279" s="70"/>
      <c r="C2279" s="70"/>
      <c r="D2279" s="71"/>
      <c r="E2279" s="59" t="s">
        <v>36</v>
      </c>
      <c r="F2279" s="59" t="s">
        <v>266</v>
      </c>
      <c r="G2279" s="52"/>
      <c r="H2279" s="72"/>
    </row>
    <row r="2280" spans="1:8" x14ac:dyDescent="0.25">
      <c r="A2280" s="139" t="s">
        <v>652</v>
      </c>
      <c r="B2280" s="74"/>
      <c r="C2280" s="70"/>
      <c r="D2280" s="71"/>
      <c r="E2280" s="114">
        <f>F2280*E2262</f>
        <v>2</v>
      </c>
      <c r="F2280" s="135">
        <v>2</v>
      </c>
      <c r="G2280" s="76"/>
      <c r="H2280" s="77"/>
    </row>
    <row r="2281" spans="1:8" x14ac:dyDescent="0.25">
      <c r="A2281" s="139" t="s">
        <v>690</v>
      </c>
      <c r="B2281" s="74"/>
      <c r="C2281" s="70"/>
      <c r="D2281" s="71"/>
      <c r="E2281" s="115">
        <f>F2281*E2262</f>
        <v>1</v>
      </c>
      <c r="F2281" s="135">
        <v>1</v>
      </c>
      <c r="G2281" s="76"/>
      <c r="H2281" s="77"/>
    </row>
    <row r="2282" spans="1:8" x14ac:dyDescent="0.25">
      <c r="A2282" s="139" t="s">
        <v>691</v>
      </c>
      <c r="B2282" s="74"/>
      <c r="C2282" s="70"/>
      <c r="D2282" s="71"/>
      <c r="E2282" s="115">
        <f>F2282*E2262</f>
        <v>1</v>
      </c>
      <c r="F2282" s="135">
        <v>1</v>
      </c>
      <c r="G2282" s="65"/>
      <c r="H2282" s="77"/>
    </row>
    <row r="2283" spans="1:8" x14ac:dyDescent="0.25">
      <c r="A2283" s="139" t="s">
        <v>606</v>
      </c>
      <c r="B2283" s="74"/>
      <c r="C2283" s="70"/>
      <c r="D2283" s="71"/>
      <c r="E2283" s="161">
        <f>4*(A2262/1000)+4*(C2262/1000)*E2262</f>
        <v>0</v>
      </c>
      <c r="F2283" s="135" t="s">
        <v>398</v>
      </c>
      <c r="G2283" s="64"/>
      <c r="H2283" s="77"/>
    </row>
    <row r="2284" spans="1:8" x14ac:dyDescent="0.25">
      <c r="A2284" s="139" t="s">
        <v>794</v>
      </c>
      <c r="B2284" s="74"/>
      <c r="C2284" s="70"/>
      <c r="D2284" s="71"/>
      <c r="E2284" s="161">
        <f>2*(A2262/1000)+4*(C2262/1000)*E2262</f>
        <v>0</v>
      </c>
      <c r="F2284" s="135" t="s">
        <v>402</v>
      </c>
      <c r="G2284" s="64"/>
      <c r="H2284" s="77"/>
    </row>
    <row r="2285" spans="1:8" x14ac:dyDescent="0.25">
      <c r="A2285" s="139" t="s">
        <v>776</v>
      </c>
      <c r="B2285" s="74"/>
      <c r="C2285" s="70"/>
      <c r="D2285" s="71"/>
      <c r="E2285" s="115">
        <f>F2285*E2262</f>
        <v>2</v>
      </c>
      <c r="F2285" s="135">
        <v>2</v>
      </c>
      <c r="G2285" s="64"/>
      <c r="H2285" s="77"/>
    </row>
    <row r="2286" spans="1:8" x14ac:dyDescent="0.25">
      <c r="A2286" s="139" t="s">
        <v>404</v>
      </c>
      <c r="B2286" s="74"/>
      <c r="C2286" s="70"/>
      <c r="D2286" s="71"/>
      <c r="E2286" s="115">
        <f>F2286*E2262</f>
        <v>4</v>
      </c>
      <c r="F2286" s="135">
        <v>4</v>
      </c>
      <c r="G2286" s="64"/>
      <c r="H2286" s="77"/>
    </row>
    <row r="2287" spans="1:8" x14ac:dyDescent="0.25">
      <c r="A2287" s="139" t="s">
        <v>405</v>
      </c>
      <c r="B2287" s="74"/>
      <c r="C2287" s="70"/>
      <c r="D2287" s="71"/>
      <c r="E2287" s="115">
        <f>F2287*E2262</f>
        <v>6</v>
      </c>
      <c r="F2287" s="135">
        <v>6</v>
      </c>
      <c r="G2287" s="76"/>
      <c r="H2287" s="77"/>
    </row>
    <row r="2288" spans="1:8" x14ac:dyDescent="0.25">
      <c r="A2288" s="139" t="s">
        <v>795</v>
      </c>
      <c r="B2288" s="74"/>
      <c r="C2288" s="70"/>
      <c r="D2288" s="71"/>
      <c r="E2288" s="115">
        <f>F2288*E2262</f>
        <v>1</v>
      </c>
      <c r="F2288" s="135">
        <v>1</v>
      </c>
      <c r="G2288" s="76"/>
      <c r="H2288" s="77"/>
    </row>
    <row r="2289" spans="1:8" x14ac:dyDescent="0.25">
      <c r="A2289" s="142" t="s">
        <v>631</v>
      </c>
      <c r="B2289" s="74"/>
      <c r="C2289" s="70"/>
      <c r="D2289" s="71"/>
      <c r="E2289" s="115">
        <f>F2289*E2262</f>
        <v>1</v>
      </c>
      <c r="F2289" s="135">
        <v>1</v>
      </c>
      <c r="G2289" s="76"/>
      <c r="H2289" s="77"/>
    </row>
    <row r="2290" spans="1:8" x14ac:dyDescent="0.25">
      <c r="A2290" s="139" t="s">
        <v>694</v>
      </c>
      <c r="B2290" s="74"/>
      <c r="C2290" s="70"/>
      <c r="D2290" s="71"/>
      <c r="E2290" s="115">
        <f>F2290*E2262</f>
        <v>1</v>
      </c>
      <c r="F2290" s="135">
        <v>1</v>
      </c>
      <c r="G2290" s="76"/>
      <c r="H2290" s="77"/>
    </row>
    <row r="2291" spans="1:8" x14ac:dyDescent="0.25">
      <c r="A2291" s="142" t="s">
        <v>657</v>
      </c>
      <c r="B2291" s="74"/>
      <c r="C2291" s="70"/>
      <c r="D2291" s="71"/>
      <c r="E2291" s="115">
        <f>F2291*E2262</f>
        <v>2</v>
      </c>
      <c r="F2291" s="135">
        <v>2</v>
      </c>
      <c r="G2291" s="76"/>
      <c r="H2291" s="77"/>
    </row>
    <row r="2292" spans="1:8" x14ac:dyDescent="0.25">
      <c r="A2292" s="139" t="s">
        <v>693</v>
      </c>
      <c r="B2292" s="74"/>
      <c r="C2292" s="70"/>
      <c r="D2292" s="71"/>
      <c r="E2292" s="115">
        <f>F2292*E2262</f>
        <v>2</v>
      </c>
      <c r="F2292" s="135">
        <v>2</v>
      </c>
      <c r="G2292" s="76"/>
      <c r="H2292" s="77"/>
    </row>
    <row r="2293" spans="1:8" x14ac:dyDescent="0.25">
      <c r="A2293" s="139" t="s">
        <v>611</v>
      </c>
      <c r="B2293" s="70"/>
      <c r="C2293" s="70"/>
      <c r="D2293" s="71"/>
      <c r="E2293" s="87">
        <f>F2293*E2262</f>
        <v>16</v>
      </c>
      <c r="F2293" s="135">
        <v>16</v>
      </c>
      <c r="G2293" s="53"/>
      <c r="H2293" s="83"/>
    </row>
    <row r="2294" spans="1:8" x14ac:dyDescent="0.25">
      <c r="A2294" s="159"/>
      <c r="B2294" s="53"/>
      <c r="C2294" s="53"/>
      <c r="D2294" s="53"/>
      <c r="E2294" s="53"/>
      <c r="F2294" s="175"/>
      <c r="G2294" s="53"/>
      <c r="H2294" s="83"/>
    </row>
    <row r="2295" spans="1:8" x14ac:dyDescent="0.25">
      <c r="A2295" s="52"/>
      <c r="B2295" s="53"/>
      <c r="C2295" s="53"/>
      <c r="D2295" s="53"/>
      <c r="E2295" s="53"/>
      <c r="F2295" s="53"/>
      <c r="G2295" s="53"/>
      <c r="H2295" s="83"/>
    </row>
    <row r="2296" spans="1:8" x14ac:dyDescent="0.25">
      <c r="A2296" s="59" t="s">
        <v>413</v>
      </c>
      <c r="B2296" s="84" t="s">
        <v>266</v>
      </c>
      <c r="C2296" s="84" t="s">
        <v>383</v>
      </c>
      <c r="D2296" s="405" t="s">
        <v>414</v>
      </c>
      <c r="E2296" s="406"/>
      <c r="F2296" s="85" t="s">
        <v>415</v>
      </c>
      <c r="G2296" s="59" t="s">
        <v>416</v>
      </c>
      <c r="H2296" s="86"/>
    </row>
    <row r="2297" spans="1:8" x14ac:dyDescent="0.25">
      <c r="A2297" s="61"/>
      <c r="B2297" s="89">
        <f>1*E2262</f>
        <v>1</v>
      </c>
      <c r="C2297" s="61" t="s">
        <v>796</v>
      </c>
      <c r="D2297" s="409">
        <f>A2262/2-66</f>
        <v>-66</v>
      </c>
      <c r="E2297" s="410"/>
      <c r="F2297" s="90">
        <f>C2262-129</f>
        <v>-129</v>
      </c>
      <c r="G2297" s="152">
        <f>B2297*(D2297/1000)*(F2297/1000)</f>
        <v>8.5140000000000007E-3</v>
      </c>
      <c r="H2297" s="86"/>
    </row>
    <row r="2298" spans="1:8" x14ac:dyDescent="0.25">
      <c r="A2298" s="61"/>
      <c r="B2298" s="89">
        <f>1*E2262</f>
        <v>1</v>
      </c>
      <c r="C2298" s="61" t="s">
        <v>797</v>
      </c>
      <c r="D2298" s="409">
        <f>A2262/2-26</f>
        <v>-26</v>
      </c>
      <c r="E2298" s="410"/>
      <c r="F2298" s="90">
        <f>C2262-129</f>
        <v>-129</v>
      </c>
      <c r="G2298" s="91">
        <f>B2298*(D2298/1000)*(F2298/1000)</f>
        <v>3.3539999999999998E-3</v>
      </c>
      <c r="H2298" s="83"/>
    </row>
    <row r="2299" spans="1:8" x14ac:dyDescent="0.25">
      <c r="A2299" s="52"/>
      <c r="B2299" s="93"/>
      <c r="C2299" s="53"/>
      <c r="D2299" s="53"/>
      <c r="E2299" s="53"/>
      <c r="F2299" s="94" t="s">
        <v>418</v>
      </c>
      <c r="G2299" s="95">
        <f>SUM(G2297:G2298)</f>
        <v>1.1868E-2</v>
      </c>
      <c r="H2299" s="51"/>
    </row>
    <row r="2300" spans="1:8" x14ac:dyDescent="0.25">
      <c r="A2300" s="52"/>
      <c r="B2300" s="93"/>
      <c r="C2300" s="53"/>
      <c r="D2300" s="53"/>
      <c r="E2300" s="53"/>
      <c r="F2300" s="94"/>
      <c r="G2300" s="96"/>
      <c r="H2300" s="51"/>
    </row>
    <row r="2301" spans="1:8" x14ac:dyDescent="0.25">
      <c r="A2301" s="52"/>
      <c r="B2301" s="93"/>
      <c r="C2301" s="53"/>
      <c r="D2301" s="53"/>
      <c r="E2301" s="53"/>
      <c r="F2301" s="94"/>
      <c r="G2301" s="96"/>
      <c r="H2301" s="51"/>
    </row>
    <row r="2302" spans="1:8" x14ac:dyDescent="0.25">
      <c r="A2302" s="52"/>
      <c r="B2302" s="93"/>
      <c r="C2302" s="53"/>
      <c r="D2302" s="53"/>
      <c r="E2302" s="53"/>
      <c r="F2302" s="94"/>
      <c r="G2302" s="96"/>
      <c r="H2302" s="51"/>
    </row>
    <row r="2303" spans="1:8" x14ac:dyDescent="0.25">
      <c r="A2303" s="52"/>
      <c r="B2303" s="93"/>
      <c r="C2303" s="53"/>
      <c r="D2303" s="53"/>
      <c r="E2303" s="53"/>
      <c r="F2303" s="94"/>
      <c r="G2303" s="96"/>
      <c r="H2303" s="51"/>
    </row>
    <row r="2304" spans="1:8" x14ac:dyDescent="0.25">
      <c r="A2304" s="52"/>
      <c r="B2304" s="93"/>
      <c r="C2304" s="53"/>
      <c r="D2304" s="53"/>
      <c r="E2304" s="53"/>
      <c r="F2304" s="94"/>
      <c r="G2304" s="96"/>
      <c r="H2304" s="51"/>
    </row>
    <row r="2305" spans="1:8" x14ac:dyDescent="0.25">
      <c r="A2305" s="52"/>
      <c r="B2305" s="93"/>
      <c r="C2305" s="53"/>
      <c r="D2305" s="53"/>
      <c r="E2305" s="53"/>
      <c r="F2305" s="94"/>
      <c r="G2305" s="96"/>
      <c r="H2305" s="51"/>
    </row>
    <row r="2306" spans="1:8" x14ac:dyDescent="0.25">
      <c r="A2306" s="52"/>
      <c r="B2306" s="93"/>
      <c r="C2306" s="53"/>
      <c r="D2306" s="53"/>
      <c r="E2306" s="53"/>
      <c r="F2306" s="94"/>
      <c r="G2306" s="96"/>
      <c r="H2306" s="51"/>
    </row>
    <row r="2307" spans="1:8" x14ac:dyDescent="0.25">
      <c r="A2307" s="52"/>
      <c r="B2307" s="93"/>
      <c r="C2307" s="53"/>
      <c r="D2307" s="53"/>
      <c r="E2307" s="53"/>
      <c r="F2307" s="94"/>
      <c r="G2307" s="96"/>
      <c r="H2307" s="51"/>
    </row>
    <row r="2308" spans="1:8" x14ac:dyDescent="0.25">
      <c r="A2308" s="52"/>
      <c r="B2308" s="93"/>
      <c r="C2308" s="53"/>
      <c r="D2308" s="53"/>
      <c r="E2308" s="53"/>
      <c r="F2308" s="94"/>
      <c r="G2308" s="96"/>
      <c r="H2308" s="51"/>
    </row>
    <row r="2309" spans="1:8" x14ac:dyDescent="0.25">
      <c r="A2309" s="52"/>
      <c r="B2309" s="93"/>
      <c r="C2309" s="53"/>
      <c r="D2309" s="53"/>
      <c r="E2309" s="53"/>
      <c r="F2309" s="94"/>
      <c r="G2309" s="96"/>
      <c r="H2309" s="51"/>
    </row>
    <row r="2310" spans="1:8" x14ac:dyDescent="0.25">
      <c r="A2310" s="52"/>
      <c r="B2310" s="93"/>
      <c r="C2310" s="53"/>
      <c r="D2310" s="53"/>
      <c r="E2310" s="53"/>
      <c r="F2310" s="94"/>
      <c r="G2310" s="96"/>
      <c r="H2310" s="51"/>
    </row>
    <row r="2311" spans="1:8" x14ac:dyDescent="0.25">
      <c r="A2311" s="52"/>
      <c r="B2311" s="93"/>
      <c r="C2311" s="53"/>
      <c r="D2311" s="53"/>
      <c r="E2311" s="53"/>
      <c r="F2311" s="94"/>
      <c r="G2311" s="96"/>
      <c r="H2311" s="51"/>
    </row>
    <row r="2312" spans="1:8" x14ac:dyDescent="0.25">
      <c r="A2312" s="52"/>
      <c r="B2312" s="93"/>
      <c r="C2312" s="53"/>
      <c r="D2312" s="53"/>
      <c r="E2312" s="53"/>
      <c r="F2312" s="94"/>
      <c r="G2312" s="96"/>
      <c r="H2312" s="51"/>
    </row>
    <row r="2313" spans="1:8" x14ac:dyDescent="0.25">
      <c r="A2313" s="52"/>
      <c r="B2313" s="93"/>
      <c r="C2313" s="53"/>
      <c r="D2313" s="53"/>
      <c r="E2313" s="53"/>
      <c r="F2313" s="94"/>
      <c r="G2313" s="96"/>
      <c r="H2313" s="51"/>
    </row>
    <row r="2314" spans="1:8" x14ac:dyDescent="0.25">
      <c r="A2314" s="52"/>
      <c r="B2314" s="93"/>
      <c r="C2314" s="53"/>
      <c r="D2314" s="53"/>
      <c r="E2314" s="53"/>
      <c r="F2314" s="94"/>
      <c r="G2314" s="96"/>
      <c r="H2314" s="51"/>
    </row>
    <row r="2315" spans="1:8" x14ac:dyDescent="0.25">
      <c r="A2315" s="52"/>
      <c r="B2315" s="93"/>
      <c r="C2315" s="53"/>
      <c r="D2315" s="53"/>
      <c r="E2315" s="53"/>
      <c r="F2315" s="94"/>
      <c r="G2315" s="96"/>
      <c r="H2315" s="51"/>
    </row>
    <row r="2316" spans="1:8" x14ac:dyDescent="0.25">
      <c r="A2316" s="52"/>
      <c r="B2316" s="93"/>
      <c r="C2316" s="53"/>
      <c r="D2316" s="53"/>
      <c r="E2316" s="53"/>
      <c r="F2316" s="94"/>
      <c r="G2316" s="96"/>
      <c r="H2316" s="51"/>
    </row>
    <row r="2317" spans="1:8" x14ac:dyDescent="0.25">
      <c r="A2317" s="52"/>
      <c r="B2317" s="53"/>
      <c r="C2317" s="53"/>
      <c r="D2317" s="53"/>
      <c r="E2317" s="53"/>
      <c r="F2317" s="53"/>
      <c r="G2317" s="53"/>
      <c r="H2317" s="51"/>
    </row>
    <row r="2318" spans="1:8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x14ac:dyDescent="0.25">
      <c r="A2319" s="100"/>
      <c r="B2319" s="100"/>
      <c r="C2319" s="155"/>
      <c r="D2319" s="100"/>
      <c r="E2319" s="100"/>
      <c r="F2319" s="100"/>
      <c r="G2319" s="100"/>
      <c r="H2319" s="100"/>
    </row>
    <row r="2320" spans="1:8" x14ac:dyDescent="0.25">
      <c r="A2320" s="44"/>
      <c r="B2320" s="45"/>
      <c r="C2320" s="160"/>
      <c r="D2320" s="45"/>
      <c r="E2320" s="45"/>
      <c r="F2320" s="45"/>
      <c r="G2320" s="45"/>
      <c r="H2320" s="46"/>
    </row>
    <row r="2321" spans="1:8" x14ac:dyDescent="0.25">
      <c r="A2321" s="52"/>
      <c r="B2321" s="53"/>
      <c r="C2321" s="53"/>
      <c r="D2321" s="53"/>
      <c r="E2321" s="53"/>
      <c r="F2321" s="53"/>
      <c r="G2321" s="53"/>
      <c r="H2321" s="51"/>
    </row>
    <row r="2322" spans="1:8" x14ac:dyDescent="0.25">
      <c r="A2322" s="153" t="s">
        <v>798</v>
      </c>
      <c r="B2322" s="48"/>
      <c r="C2322" s="49"/>
      <c r="D2322" s="122"/>
      <c r="E2322" s="49"/>
      <c r="F2322" s="50"/>
      <c r="G2322" s="50"/>
      <c r="H2322" s="133"/>
    </row>
    <row r="2323" spans="1:8" ht="16.5" thickBot="1" x14ac:dyDescent="0.3">
      <c r="A2323" s="52"/>
      <c r="B2323" s="53"/>
      <c r="C2323" s="53"/>
      <c r="D2323" s="53"/>
      <c r="E2323" s="53"/>
      <c r="F2323" s="65"/>
      <c r="G2323" s="54" t="s">
        <v>799</v>
      </c>
      <c r="H2323" s="51"/>
    </row>
    <row r="2324" spans="1:8" ht="16.5" thickBot="1" x14ac:dyDescent="0.3">
      <c r="A2324" s="400" t="s">
        <v>381</v>
      </c>
      <c r="B2324" s="401"/>
      <c r="C2324" s="402" t="s">
        <v>382</v>
      </c>
      <c r="D2324" s="401"/>
      <c r="E2324" s="55" t="s">
        <v>266</v>
      </c>
      <c r="F2324" s="65"/>
      <c r="G2324" s="53"/>
      <c r="H2324" s="51"/>
    </row>
    <row r="2325" spans="1:8" ht="16.5" thickBot="1" x14ac:dyDescent="0.3">
      <c r="A2325" s="411">
        <v>0</v>
      </c>
      <c r="B2325" s="412"/>
      <c r="C2325" s="411">
        <v>0</v>
      </c>
      <c r="D2325" s="412"/>
      <c r="E2325" s="176">
        <v>1</v>
      </c>
      <c r="F2325" s="65"/>
      <c r="G2325" s="53"/>
      <c r="H2325" s="51"/>
    </row>
    <row r="2326" spans="1:8" x14ac:dyDescent="0.25">
      <c r="A2326" s="52"/>
      <c r="B2326" s="58"/>
      <c r="C2326" s="58"/>
      <c r="D2326" s="58"/>
      <c r="E2326" s="58"/>
      <c r="F2326" s="58"/>
      <c r="G2326" s="53"/>
      <c r="H2326" s="83"/>
    </row>
    <row r="2327" spans="1:8" x14ac:dyDescent="0.25">
      <c r="A2327" s="59" t="s">
        <v>323</v>
      </c>
      <c r="B2327" s="59" t="s">
        <v>266</v>
      </c>
      <c r="C2327" s="59" t="s">
        <v>383</v>
      </c>
      <c r="D2327" s="59" t="s">
        <v>384</v>
      </c>
      <c r="E2327" s="59" t="s">
        <v>332</v>
      </c>
      <c r="F2327" s="59" t="s">
        <v>385</v>
      </c>
      <c r="G2327" s="59" t="s">
        <v>386</v>
      </c>
      <c r="H2327" s="59" t="s">
        <v>387</v>
      </c>
    </row>
    <row r="2328" spans="1:8" x14ac:dyDescent="0.25">
      <c r="A2328" s="134">
        <v>6901</v>
      </c>
      <c r="B2328" s="135">
        <f>1*E2325</f>
        <v>1</v>
      </c>
      <c r="C2328" s="135" t="s">
        <v>367</v>
      </c>
      <c r="D2328" s="61">
        <f>A2325-14</f>
        <v>-14</v>
      </c>
      <c r="E2328" s="135" t="s">
        <v>590</v>
      </c>
      <c r="F2328" s="136" t="s">
        <v>388</v>
      </c>
      <c r="G2328" s="63">
        <v>0.69199999999999995</v>
      </c>
      <c r="H2328" s="63">
        <f t="shared" ref="H2328:H2336" si="37">(D2328/1000)*B2328*G2328</f>
        <v>-9.6879999999999987E-3</v>
      </c>
    </row>
    <row r="2329" spans="1:8" x14ac:dyDescent="0.25">
      <c r="A2329" s="134">
        <v>6921</v>
      </c>
      <c r="B2329" s="135">
        <f>1*E2325</f>
        <v>1</v>
      </c>
      <c r="C2329" s="135" t="s">
        <v>367</v>
      </c>
      <c r="D2329" s="61">
        <f>A2325-14</f>
        <v>-14</v>
      </c>
      <c r="E2329" s="135" t="s">
        <v>590</v>
      </c>
      <c r="F2329" s="136" t="s">
        <v>591</v>
      </c>
      <c r="G2329" s="63">
        <v>0.60499999999999998</v>
      </c>
      <c r="H2329" s="63">
        <f t="shared" si="37"/>
        <v>-8.4700000000000001E-3</v>
      </c>
    </row>
    <row r="2330" spans="1:8" x14ac:dyDescent="0.25">
      <c r="A2330" s="134">
        <v>6903</v>
      </c>
      <c r="B2330" s="135">
        <f>2*E2325</f>
        <v>2</v>
      </c>
      <c r="C2330" s="135" t="s">
        <v>337</v>
      </c>
      <c r="D2330" s="61">
        <f>C2325</f>
        <v>0</v>
      </c>
      <c r="E2330" s="135" t="s">
        <v>590</v>
      </c>
      <c r="F2330" s="136" t="s">
        <v>83</v>
      </c>
      <c r="G2330" s="63">
        <v>0.55000000000000004</v>
      </c>
      <c r="H2330" s="63">
        <f t="shared" si="37"/>
        <v>0</v>
      </c>
    </row>
    <row r="2331" spans="1:8" x14ac:dyDescent="0.25">
      <c r="A2331" s="134">
        <v>6913</v>
      </c>
      <c r="B2331" s="135">
        <f>2*E2325</f>
        <v>2</v>
      </c>
      <c r="C2331" s="135" t="s">
        <v>730</v>
      </c>
      <c r="D2331" s="105">
        <f>C2325-43</f>
        <v>-43</v>
      </c>
      <c r="E2331" s="135" t="s">
        <v>590</v>
      </c>
      <c r="F2331" s="137" t="s">
        <v>673</v>
      </c>
      <c r="G2331" s="63">
        <v>0.65500000000000003</v>
      </c>
      <c r="H2331" s="63">
        <f t="shared" si="37"/>
        <v>-5.6329999999999998E-2</v>
      </c>
    </row>
    <row r="2332" spans="1:8" x14ac:dyDescent="0.25">
      <c r="A2332" s="134">
        <v>6914</v>
      </c>
      <c r="B2332" s="135">
        <f>2*E2325</f>
        <v>2</v>
      </c>
      <c r="C2332" s="135" t="s">
        <v>730</v>
      </c>
      <c r="D2332" s="61">
        <f>C2325-43</f>
        <v>-43</v>
      </c>
      <c r="E2332" s="135" t="s">
        <v>590</v>
      </c>
      <c r="F2332" s="136" t="s">
        <v>674</v>
      </c>
      <c r="G2332" s="63">
        <v>0.57299999999999995</v>
      </c>
      <c r="H2332" s="63">
        <f t="shared" si="37"/>
        <v>-4.9277999999999995E-2</v>
      </c>
    </row>
    <row r="2333" spans="1:8" x14ac:dyDescent="0.25">
      <c r="A2333" s="134">
        <v>6914</v>
      </c>
      <c r="B2333" s="135">
        <f>2*E2325</f>
        <v>2</v>
      </c>
      <c r="C2333" s="135" t="s">
        <v>731</v>
      </c>
      <c r="D2333" s="61">
        <f>C2325-31</f>
        <v>-31</v>
      </c>
      <c r="E2333" s="135" t="s">
        <v>590</v>
      </c>
      <c r="F2333" s="136" t="s">
        <v>674</v>
      </c>
      <c r="G2333" s="63">
        <v>0.57299999999999995</v>
      </c>
      <c r="H2333" s="63">
        <f t="shared" si="37"/>
        <v>-3.5525999999999995E-2</v>
      </c>
    </row>
    <row r="2334" spans="1:8" x14ac:dyDescent="0.25">
      <c r="A2334" s="134">
        <v>6915</v>
      </c>
      <c r="B2334" s="135">
        <f>4*E2325</f>
        <v>4</v>
      </c>
      <c r="C2334" s="135" t="s">
        <v>421</v>
      </c>
      <c r="D2334" s="105">
        <f>A2325/3-13</f>
        <v>-13</v>
      </c>
      <c r="E2334" s="135" t="s">
        <v>590</v>
      </c>
      <c r="F2334" s="137" t="s">
        <v>620</v>
      </c>
      <c r="G2334" s="63">
        <v>0.56899999999999995</v>
      </c>
      <c r="H2334" s="63">
        <f t="shared" si="37"/>
        <v>-2.9587999999999996E-2</v>
      </c>
    </row>
    <row r="2335" spans="1:8" x14ac:dyDescent="0.25">
      <c r="A2335" s="134">
        <v>6915</v>
      </c>
      <c r="B2335" s="135">
        <f>2*E2325</f>
        <v>2</v>
      </c>
      <c r="C2335" s="135" t="s">
        <v>746</v>
      </c>
      <c r="D2335" s="105">
        <f>A2325/3+34</f>
        <v>34</v>
      </c>
      <c r="E2335" s="135" t="s">
        <v>590</v>
      </c>
      <c r="F2335" s="137" t="s">
        <v>620</v>
      </c>
      <c r="G2335" s="63">
        <v>0.56899999999999995</v>
      </c>
      <c r="H2335" s="63">
        <f t="shared" si="37"/>
        <v>3.8691999999999997E-2</v>
      </c>
    </row>
    <row r="2336" spans="1:8" x14ac:dyDescent="0.25">
      <c r="A2336" s="134">
        <v>6946</v>
      </c>
      <c r="B2336" s="135">
        <f>1*E2325</f>
        <v>1</v>
      </c>
      <c r="C2336" s="135" t="s">
        <v>746</v>
      </c>
      <c r="D2336" s="61">
        <f>A2325/2+34</f>
        <v>34</v>
      </c>
      <c r="E2336" s="135" t="s">
        <v>590</v>
      </c>
      <c r="F2336" s="137" t="s">
        <v>793</v>
      </c>
      <c r="G2336" s="63">
        <v>0.65400000000000003</v>
      </c>
      <c r="H2336" s="63">
        <f t="shared" si="37"/>
        <v>2.2236000000000002E-2</v>
      </c>
    </row>
    <row r="2337" spans="1:8" x14ac:dyDescent="0.25">
      <c r="A2337" s="64"/>
      <c r="B2337" s="65"/>
      <c r="C2337" s="65"/>
      <c r="D2337" s="65"/>
      <c r="E2337" s="65"/>
      <c r="F2337" s="65"/>
      <c r="G2337" s="63" t="s">
        <v>392</v>
      </c>
      <c r="H2337" s="63">
        <f>SUM(H2328:H2335)</f>
        <v>-0.15018799999999999</v>
      </c>
    </row>
    <row r="2338" spans="1:8" x14ac:dyDescent="0.25">
      <c r="A2338" s="64"/>
      <c r="B2338" s="65"/>
      <c r="C2338" s="65"/>
      <c r="D2338" s="65"/>
      <c r="E2338" s="65"/>
      <c r="F2338" s="65"/>
      <c r="G2338" s="66"/>
      <c r="H2338" s="67"/>
    </row>
    <row r="2339" spans="1:8" x14ac:dyDescent="0.25">
      <c r="A2339" s="64"/>
      <c r="B2339" s="65"/>
      <c r="C2339" s="65"/>
      <c r="D2339" s="65"/>
      <c r="E2339" s="65"/>
      <c r="F2339" s="65"/>
      <c r="G2339" s="68"/>
      <c r="H2339" s="67"/>
    </row>
    <row r="2340" spans="1:8" x14ac:dyDescent="0.25">
      <c r="A2340" s="69" t="s">
        <v>393</v>
      </c>
      <c r="B2340" s="70"/>
      <c r="C2340" s="70"/>
      <c r="D2340" s="71"/>
      <c r="E2340" s="59" t="s">
        <v>36</v>
      </c>
      <c r="F2340" s="59" t="s">
        <v>266</v>
      </c>
      <c r="G2340" s="52"/>
      <c r="H2340" s="72"/>
    </row>
    <row r="2341" spans="1:8" x14ac:dyDescent="0.25">
      <c r="A2341" s="139" t="s">
        <v>652</v>
      </c>
      <c r="B2341" s="74"/>
      <c r="C2341" s="70"/>
      <c r="D2341" s="71"/>
      <c r="E2341" s="114">
        <f>F2341*E2325</f>
        <v>2</v>
      </c>
      <c r="F2341" s="135">
        <v>2</v>
      </c>
      <c r="G2341" s="76"/>
      <c r="H2341" s="77"/>
    </row>
    <row r="2342" spans="1:8" x14ac:dyDescent="0.25">
      <c r="A2342" s="139" t="s">
        <v>690</v>
      </c>
      <c r="B2342" s="74"/>
      <c r="C2342" s="70"/>
      <c r="D2342" s="71"/>
      <c r="E2342" s="115">
        <f>F2342*E2325</f>
        <v>1</v>
      </c>
      <c r="F2342" s="135">
        <v>1</v>
      </c>
      <c r="G2342" s="76"/>
      <c r="H2342" s="77"/>
    </row>
    <row r="2343" spans="1:8" x14ac:dyDescent="0.25">
      <c r="A2343" s="139" t="s">
        <v>691</v>
      </c>
      <c r="B2343" s="74"/>
      <c r="C2343" s="70"/>
      <c r="D2343" s="71"/>
      <c r="E2343" s="115">
        <f>F2343*E2325</f>
        <v>1</v>
      </c>
      <c r="F2343" s="135">
        <v>1</v>
      </c>
      <c r="G2343" s="65"/>
      <c r="H2343" s="77"/>
    </row>
    <row r="2344" spans="1:8" x14ac:dyDescent="0.25">
      <c r="A2344" s="139" t="s">
        <v>606</v>
      </c>
      <c r="B2344" s="74"/>
      <c r="C2344" s="70"/>
      <c r="D2344" s="71"/>
      <c r="E2344" s="161">
        <f>4*(A2325/1000)+8*(C2325/1000)*E2325</f>
        <v>0</v>
      </c>
      <c r="F2344" s="135" t="s">
        <v>481</v>
      </c>
      <c r="G2344" s="141"/>
      <c r="H2344" s="77"/>
    </row>
    <row r="2345" spans="1:8" x14ac:dyDescent="0.25">
      <c r="A2345" s="139" t="s">
        <v>794</v>
      </c>
      <c r="B2345" s="74"/>
      <c r="C2345" s="70"/>
      <c r="D2345" s="71"/>
      <c r="E2345" s="161">
        <f>2*(A2325/1000)+6*(C2325/1000)*E2325</f>
        <v>0</v>
      </c>
      <c r="F2345" s="135" t="s">
        <v>424</v>
      </c>
      <c r="G2345" s="64"/>
      <c r="H2345" s="77"/>
    </row>
    <row r="2346" spans="1:8" x14ac:dyDescent="0.25">
      <c r="A2346" s="139" t="s">
        <v>609</v>
      </c>
      <c r="B2346" s="74"/>
      <c r="C2346" s="70"/>
      <c r="D2346" s="71"/>
      <c r="E2346" s="115">
        <f>F2346*E2325</f>
        <v>4</v>
      </c>
      <c r="F2346" s="135">
        <v>4</v>
      </c>
      <c r="G2346" s="64"/>
      <c r="H2346" s="77"/>
    </row>
    <row r="2347" spans="1:8" x14ac:dyDescent="0.25">
      <c r="A2347" s="139" t="s">
        <v>404</v>
      </c>
      <c r="B2347" s="74"/>
      <c r="C2347" s="70"/>
      <c r="D2347" s="71"/>
      <c r="E2347" s="115">
        <f>F2347*E2325</f>
        <v>8</v>
      </c>
      <c r="F2347" s="135">
        <v>8</v>
      </c>
      <c r="G2347" s="64"/>
      <c r="H2347" s="77"/>
    </row>
    <row r="2348" spans="1:8" x14ac:dyDescent="0.25">
      <c r="A2348" s="139" t="s">
        <v>405</v>
      </c>
      <c r="B2348" s="74"/>
      <c r="C2348" s="70"/>
      <c r="D2348" s="71"/>
      <c r="E2348" s="115">
        <f>F2348*E2325</f>
        <v>12</v>
      </c>
      <c r="F2348" s="135">
        <v>12</v>
      </c>
      <c r="G2348" s="76"/>
      <c r="H2348" s="77"/>
    </row>
    <row r="2349" spans="1:8" x14ac:dyDescent="0.25">
      <c r="A2349" s="139" t="s">
        <v>795</v>
      </c>
      <c r="B2349" s="74"/>
      <c r="C2349" s="70"/>
      <c r="D2349" s="71"/>
      <c r="E2349" s="115">
        <f>F2349*E2325</f>
        <v>2</v>
      </c>
      <c r="F2349" s="135">
        <v>2</v>
      </c>
      <c r="G2349" s="76"/>
      <c r="H2349" s="77"/>
    </row>
    <row r="2350" spans="1:8" x14ac:dyDescent="0.25">
      <c r="A2350" s="142" t="s">
        <v>631</v>
      </c>
      <c r="B2350" s="74"/>
      <c r="C2350" s="70"/>
      <c r="D2350" s="71"/>
      <c r="E2350" s="115">
        <f>F2350*E2325</f>
        <v>2</v>
      </c>
      <c r="F2350" s="135">
        <v>2</v>
      </c>
      <c r="G2350" s="76"/>
      <c r="H2350" s="77"/>
    </row>
    <row r="2351" spans="1:8" x14ac:dyDescent="0.25">
      <c r="A2351" s="139" t="s">
        <v>694</v>
      </c>
      <c r="B2351" s="74"/>
      <c r="C2351" s="70"/>
      <c r="D2351" s="71"/>
      <c r="E2351" s="115">
        <f>F2351*E2325</f>
        <v>2</v>
      </c>
      <c r="F2351" s="135">
        <v>2</v>
      </c>
      <c r="G2351" s="76"/>
      <c r="H2351" s="77"/>
    </row>
    <row r="2352" spans="1:8" x14ac:dyDescent="0.25">
      <c r="A2352" s="142" t="s">
        <v>657</v>
      </c>
      <c r="B2352" s="74"/>
      <c r="C2352" s="70"/>
      <c r="D2352" s="71"/>
      <c r="E2352" s="115">
        <f>F2352*E2325</f>
        <v>4</v>
      </c>
      <c r="F2352" s="135">
        <v>4</v>
      </c>
      <c r="G2352" s="76"/>
      <c r="H2352" s="77"/>
    </row>
    <row r="2353" spans="1:8" x14ac:dyDescent="0.25">
      <c r="A2353" s="139" t="s">
        <v>693</v>
      </c>
      <c r="B2353" s="74"/>
      <c r="C2353" s="70"/>
      <c r="D2353" s="71"/>
      <c r="E2353" s="115">
        <f>F2353*E2325</f>
        <v>2</v>
      </c>
      <c r="F2353" s="135">
        <v>2</v>
      </c>
      <c r="G2353" s="76"/>
      <c r="H2353" s="77"/>
    </row>
    <row r="2354" spans="1:8" x14ac:dyDescent="0.25">
      <c r="A2354" s="139" t="s">
        <v>611</v>
      </c>
      <c r="B2354" s="70"/>
      <c r="C2354" s="70"/>
      <c r="D2354" s="71"/>
      <c r="E2354" s="87">
        <f>F2354*E2325</f>
        <v>20</v>
      </c>
      <c r="F2354" s="135">
        <v>20</v>
      </c>
      <c r="G2354" s="53"/>
      <c r="H2354" s="83"/>
    </row>
    <row r="2355" spans="1:8" x14ac:dyDescent="0.25">
      <c r="A2355" s="52"/>
      <c r="B2355" s="53"/>
      <c r="C2355" s="53"/>
      <c r="D2355" s="53"/>
      <c r="E2355" s="53"/>
      <c r="F2355" s="53"/>
      <c r="G2355" s="53"/>
      <c r="H2355" s="83"/>
    </row>
    <row r="2356" spans="1:8" x14ac:dyDescent="0.25">
      <c r="A2356" s="59" t="s">
        <v>413</v>
      </c>
      <c r="B2356" s="84" t="s">
        <v>266</v>
      </c>
      <c r="C2356" s="84" t="s">
        <v>383</v>
      </c>
      <c r="D2356" s="405" t="s">
        <v>414</v>
      </c>
      <c r="E2356" s="406"/>
      <c r="F2356" s="85" t="s">
        <v>415</v>
      </c>
      <c r="G2356" s="59" t="s">
        <v>416</v>
      </c>
      <c r="H2356" s="86"/>
    </row>
    <row r="2357" spans="1:8" x14ac:dyDescent="0.25">
      <c r="A2357" s="61"/>
      <c r="B2357" s="89">
        <f>2*E2325</f>
        <v>2</v>
      </c>
      <c r="C2357" s="124" t="s">
        <v>800</v>
      </c>
      <c r="D2357" s="409">
        <f>A2325/3-66</f>
        <v>-66</v>
      </c>
      <c r="E2357" s="410"/>
      <c r="F2357" s="90">
        <f>C2325-129</f>
        <v>-129</v>
      </c>
      <c r="G2357" s="152">
        <f>B2357*(D2357/1000)*(F2357/1000)</f>
        <v>1.7028000000000001E-2</v>
      </c>
      <c r="H2357" s="86"/>
    </row>
    <row r="2358" spans="1:8" x14ac:dyDescent="0.25">
      <c r="A2358" s="61"/>
      <c r="B2358" s="89">
        <f>1*E2325</f>
        <v>1</v>
      </c>
      <c r="C2358" s="124" t="s">
        <v>801</v>
      </c>
      <c r="D2358" s="409">
        <f>A2325/3-18</f>
        <v>-18</v>
      </c>
      <c r="E2358" s="410"/>
      <c r="F2358" s="90">
        <f>C2325-129</f>
        <v>-129</v>
      </c>
      <c r="G2358" s="156">
        <f>B2358*(D2358/1000)*(F2358/1000)</f>
        <v>2.3219999999999998E-3</v>
      </c>
      <c r="H2358" s="83"/>
    </row>
    <row r="2359" spans="1:8" x14ac:dyDescent="0.25">
      <c r="A2359" s="52"/>
      <c r="B2359" s="93"/>
      <c r="C2359" s="53"/>
      <c r="D2359" s="53"/>
      <c r="E2359" s="53"/>
      <c r="F2359" s="94" t="s">
        <v>418</v>
      </c>
      <c r="G2359" s="95">
        <f>SUM(G2357:G2358)</f>
        <v>1.9350000000000003E-2</v>
      </c>
      <c r="H2359" s="51"/>
    </row>
    <row r="2360" spans="1:8" x14ac:dyDescent="0.25">
      <c r="A2360" s="52"/>
      <c r="B2360" s="93"/>
      <c r="C2360" s="53"/>
      <c r="D2360" s="53"/>
      <c r="E2360" s="53"/>
      <c r="F2360" s="94"/>
      <c r="G2360" s="96"/>
      <c r="H2360" s="51"/>
    </row>
    <row r="2361" spans="1:8" x14ac:dyDescent="0.25">
      <c r="A2361" s="52"/>
      <c r="B2361" s="93"/>
      <c r="C2361" s="53"/>
      <c r="D2361" s="53"/>
      <c r="E2361" s="53"/>
      <c r="F2361" s="94"/>
      <c r="G2361" s="96"/>
      <c r="H2361" s="51"/>
    </row>
    <row r="2362" spans="1:8" x14ac:dyDescent="0.25">
      <c r="A2362" s="52"/>
      <c r="B2362" s="93"/>
      <c r="C2362" s="53"/>
      <c r="D2362" s="53"/>
      <c r="E2362" s="53"/>
      <c r="F2362" s="94"/>
      <c r="G2362" s="96"/>
      <c r="H2362" s="51"/>
    </row>
    <row r="2363" spans="1:8" x14ac:dyDescent="0.25">
      <c r="A2363" s="52"/>
      <c r="B2363" s="93"/>
      <c r="C2363" s="53"/>
      <c r="D2363" s="53"/>
      <c r="E2363" s="53"/>
      <c r="F2363" s="94"/>
      <c r="G2363" s="96"/>
      <c r="H2363" s="51"/>
    </row>
    <row r="2364" spans="1:8" x14ac:dyDescent="0.25">
      <c r="A2364" s="52"/>
      <c r="B2364" s="93"/>
      <c r="C2364" s="53"/>
      <c r="D2364" s="53"/>
      <c r="E2364" s="53"/>
      <c r="F2364" s="94"/>
      <c r="G2364" s="96"/>
      <c r="H2364" s="51"/>
    </row>
    <row r="2365" spans="1:8" x14ac:dyDescent="0.25">
      <c r="A2365" s="52"/>
      <c r="B2365" s="93"/>
      <c r="C2365" s="53"/>
      <c r="D2365" s="53"/>
      <c r="E2365" s="53"/>
      <c r="F2365" s="94"/>
      <c r="G2365" s="96"/>
      <c r="H2365" s="51"/>
    </row>
    <row r="2366" spans="1:8" x14ac:dyDescent="0.25">
      <c r="A2366" s="52"/>
      <c r="B2366" s="93"/>
      <c r="C2366" s="53"/>
      <c r="D2366" s="53"/>
      <c r="E2366" s="53"/>
      <c r="F2366" s="94"/>
      <c r="G2366" s="96"/>
      <c r="H2366" s="51"/>
    </row>
    <row r="2367" spans="1:8" x14ac:dyDescent="0.25">
      <c r="A2367" s="52"/>
      <c r="B2367" s="93"/>
      <c r="C2367" s="53"/>
      <c r="D2367" s="53"/>
      <c r="E2367" s="53"/>
      <c r="F2367" s="94"/>
      <c r="G2367" s="96"/>
      <c r="H2367" s="51"/>
    </row>
    <row r="2368" spans="1:8" x14ac:dyDescent="0.25">
      <c r="A2368" s="52"/>
      <c r="B2368" s="93"/>
      <c r="C2368" s="53"/>
      <c r="D2368" s="53"/>
      <c r="E2368" s="53"/>
      <c r="F2368" s="94"/>
      <c r="G2368" s="96"/>
      <c r="H2368" s="51"/>
    </row>
    <row r="2369" spans="1:8" x14ac:dyDescent="0.25">
      <c r="A2369" s="52"/>
      <c r="B2369" s="93"/>
      <c r="C2369" s="53"/>
      <c r="D2369" s="53"/>
      <c r="E2369" s="53"/>
      <c r="F2369" s="94"/>
      <c r="G2369" s="96"/>
      <c r="H2369" s="51"/>
    </row>
    <row r="2370" spans="1:8" x14ac:dyDescent="0.25">
      <c r="A2370" s="52"/>
      <c r="B2370" s="93"/>
      <c r="C2370" s="53"/>
      <c r="D2370" s="53"/>
      <c r="E2370" s="53"/>
      <c r="F2370" s="94"/>
      <c r="G2370" s="96"/>
      <c r="H2370" s="51"/>
    </row>
    <row r="2371" spans="1:8" x14ac:dyDescent="0.25">
      <c r="A2371" s="52"/>
      <c r="B2371" s="93"/>
      <c r="C2371" s="53"/>
      <c r="D2371" s="53"/>
      <c r="E2371" s="53"/>
      <c r="F2371" s="94"/>
      <c r="G2371" s="96"/>
      <c r="H2371" s="51"/>
    </row>
    <row r="2372" spans="1:8" x14ac:dyDescent="0.25">
      <c r="A2372" s="52"/>
      <c r="B2372" s="93"/>
      <c r="C2372" s="53"/>
      <c r="D2372" s="53"/>
      <c r="E2372" s="53"/>
      <c r="F2372" s="94"/>
      <c r="G2372" s="96"/>
      <c r="H2372" s="51"/>
    </row>
    <row r="2373" spans="1:8" x14ac:dyDescent="0.25">
      <c r="A2373" s="52"/>
      <c r="B2373" s="93"/>
      <c r="C2373" s="53"/>
      <c r="D2373" s="53"/>
      <c r="E2373" s="53"/>
      <c r="F2373" s="94"/>
      <c r="G2373" s="96"/>
      <c r="H2373" s="51"/>
    </row>
    <row r="2374" spans="1:8" x14ac:dyDescent="0.25">
      <c r="A2374" s="52"/>
      <c r="B2374" s="93"/>
      <c r="C2374" s="53"/>
      <c r="D2374" s="53"/>
      <c r="E2374" s="53"/>
      <c r="F2374" s="94"/>
      <c r="G2374" s="96"/>
      <c r="H2374" s="51"/>
    </row>
    <row r="2375" spans="1:8" x14ac:dyDescent="0.25">
      <c r="A2375" s="52"/>
      <c r="B2375" s="93"/>
      <c r="C2375" s="53"/>
      <c r="D2375" s="53"/>
      <c r="E2375" s="53"/>
      <c r="F2375" s="94"/>
      <c r="G2375" s="96"/>
      <c r="H2375" s="51"/>
    </row>
    <row r="2376" spans="1:8" x14ac:dyDescent="0.25">
      <c r="A2376" s="52"/>
      <c r="B2376" s="93"/>
      <c r="C2376" s="53"/>
      <c r="D2376" s="53"/>
      <c r="E2376" s="53"/>
      <c r="F2376" s="94"/>
      <c r="G2376" s="96"/>
      <c r="H2376" s="51"/>
    </row>
    <row r="2377" spans="1:8" x14ac:dyDescent="0.25">
      <c r="A2377" s="52"/>
      <c r="B2377" s="93"/>
      <c r="C2377" s="53"/>
      <c r="D2377" s="53"/>
      <c r="E2377" s="53"/>
      <c r="F2377" s="94"/>
      <c r="G2377" s="96"/>
      <c r="H2377" s="51"/>
    </row>
    <row r="2378" spans="1:8" x14ac:dyDescent="0.25">
      <c r="A2378" s="52"/>
      <c r="B2378" s="93"/>
      <c r="C2378" s="53"/>
      <c r="D2378" s="53"/>
      <c r="E2378" s="53"/>
      <c r="F2378" s="94"/>
      <c r="G2378" s="96"/>
      <c r="H2378" s="51"/>
    </row>
    <row r="2379" spans="1:8" x14ac:dyDescent="0.25">
      <c r="A2379" s="52"/>
      <c r="B2379" s="93"/>
      <c r="C2379" s="53"/>
      <c r="D2379" s="53"/>
      <c r="E2379" s="53"/>
      <c r="F2379" s="94"/>
      <c r="G2379" s="96"/>
      <c r="H2379" s="51"/>
    </row>
    <row r="2380" spans="1:8" x14ac:dyDescent="0.25">
      <c r="A2380" s="52"/>
      <c r="B2380" s="53"/>
      <c r="C2380" s="53"/>
      <c r="D2380" s="53"/>
      <c r="E2380" s="53"/>
      <c r="F2380" s="53"/>
      <c r="G2380" s="53"/>
      <c r="H2380" s="51"/>
    </row>
    <row r="2381" spans="1:8" x14ac:dyDescent="0.25">
      <c r="A2381" s="45"/>
      <c r="B2381" s="45"/>
      <c r="C2381" s="150"/>
      <c r="D2381" s="45"/>
      <c r="E2381" s="45"/>
      <c r="F2381" s="45"/>
      <c r="G2381" s="45"/>
      <c r="H2381" s="45"/>
    </row>
    <row r="2382" spans="1:8" x14ac:dyDescent="0.25">
      <c r="A2382" s="100"/>
      <c r="B2382" s="100"/>
      <c r="C2382" s="157"/>
      <c r="D2382" s="100"/>
      <c r="E2382" s="100"/>
      <c r="F2382" s="100"/>
      <c r="G2382" s="100"/>
      <c r="H2382" s="100"/>
    </row>
    <row r="2383" spans="1:8" x14ac:dyDescent="0.25">
      <c r="A2383" s="44"/>
      <c r="B2383" s="45"/>
      <c r="C2383" s="45"/>
      <c r="D2383" s="45"/>
      <c r="E2383" s="45"/>
      <c r="F2383" s="45"/>
      <c r="G2383" s="45"/>
      <c r="H2383" s="46"/>
    </row>
    <row r="2384" spans="1:8" x14ac:dyDescent="0.25">
      <c r="A2384" s="132"/>
      <c r="B2384" s="53"/>
      <c r="C2384" s="53"/>
      <c r="D2384" s="53"/>
      <c r="E2384" s="53"/>
      <c r="F2384" s="53"/>
      <c r="G2384" s="53"/>
      <c r="H2384" s="51"/>
    </row>
    <row r="2385" spans="1:8" x14ac:dyDescent="0.25">
      <c r="A2385" s="153" t="s">
        <v>802</v>
      </c>
      <c r="B2385" s="48"/>
      <c r="C2385" s="49"/>
      <c r="D2385" s="122"/>
      <c r="E2385" s="49"/>
      <c r="F2385" s="50"/>
      <c r="G2385" s="50"/>
      <c r="H2385" s="133"/>
    </row>
    <row r="2386" spans="1:8" ht="16.5" thickBot="1" x14ac:dyDescent="0.3">
      <c r="A2386" s="52"/>
      <c r="B2386" s="53"/>
      <c r="C2386" s="53"/>
      <c r="D2386" s="53"/>
      <c r="E2386" s="53"/>
      <c r="F2386" s="65"/>
      <c r="G2386" s="54" t="s">
        <v>803</v>
      </c>
      <c r="H2386" s="51"/>
    </row>
    <row r="2387" spans="1:8" ht="16.5" thickBot="1" x14ac:dyDescent="0.3">
      <c r="A2387" s="400" t="s">
        <v>381</v>
      </c>
      <c r="B2387" s="401"/>
      <c r="C2387" s="402" t="s">
        <v>382</v>
      </c>
      <c r="D2387" s="401"/>
      <c r="E2387" s="55" t="s">
        <v>266</v>
      </c>
      <c r="F2387" s="65"/>
      <c r="G2387" s="53"/>
      <c r="H2387" s="72"/>
    </row>
    <row r="2388" spans="1:8" ht="16.5" thickBot="1" x14ac:dyDescent="0.3">
      <c r="A2388" s="411">
        <v>0</v>
      </c>
      <c r="B2388" s="412"/>
      <c r="C2388" s="411">
        <v>0</v>
      </c>
      <c r="D2388" s="412"/>
      <c r="E2388" s="176">
        <v>1</v>
      </c>
      <c r="F2388" s="65"/>
      <c r="G2388" s="53"/>
      <c r="H2388" s="51"/>
    </row>
    <row r="2389" spans="1:8" x14ac:dyDescent="0.25">
      <c r="A2389" s="52"/>
      <c r="B2389" s="58"/>
      <c r="C2389" s="58"/>
      <c r="D2389" s="58"/>
      <c r="E2389" s="58"/>
      <c r="F2389" s="58"/>
      <c r="G2389" s="53"/>
      <c r="H2389" s="83"/>
    </row>
    <row r="2390" spans="1:8" x14ac:dyDescent="0.25">
      <c r="A2390" s="59" t="s">
        <v>323</v>
      </c>
      <c r="B2390" s="59" t="s">
        <v>266</v>
      </c>
      <c r="C2390" s="59" t="s">
        <v>383</v>
      </c>
      <c r="D2390" s="59" t="s">
        <v>384</v>
      </c>
      <c r="E2390" s="59" t="s">
        <v>332</v>
      </c>
      <c r="F2390" s="59" t="s">
        <v>385</v>
      </c>
      <c r="G2390" s="59" t="s">
        <v>386</v>
      </c>
      <c r="H2390" s="59" t="s">
        <v>387</v>
      </c>
    </row>
    <row r="2391" spans="1:8" x14ac:dyDescent="0.25">
      <c r="A2391" s="134">
        <v>6901</v>
      </c>
      <c r="B2391" s="135">
        <f>1*E2388</f>
        <v>1</v>
      </c>
      <c r="C2391" s="135" t="s">
        <v>367</v>
      </c>
      <c r="D2391" s="105">
        <f>A2388-14</f>
        <v>-14</v>
      </c>
      <c r="E2391" s="135" t="s">
        <v>590</v>
      </c>
      <c r="F2391" s="136" t="s">
        <v>388</v>
      </c>
      <c r="G2391" s="63">
        <v>0.69199999999999995</v>
      </c>
      <c r="H2391" s="63">
        <f t="shared" ref="H2391:H2400" si="38">(D2391/1000)*B2391*G2391</f>
        <v>-9.6879999999999987E-3</v>
      </c>
    </row>
    <row r="2392" spans="1:8" x14ac:dyDescent="0.25">
      <c r="A2392" s="134">
        <v>6921</v>
      </c>
      <c r="B2392" s="135">
        <f>1*E2388</f>
        <v>1</v>
      </c>
      <c r="C2392" s="135" t="s">
        <v>367</v>
      </c>
      <c r="D2392" s="105">
        <f>A2388-14</f>
        <v>-14</v>
      </c>
      <c r="E2392" s="135" t="s">
        <v>590</v>
      </c>
      <c r="F2392" s="136" t="s">
        <v>591</v>
      </c>
      <c r="G2392" s="63">
        <v>0.60499999999999998</v>
      </c>
      <c r="H2392" s="63">
        <f t="shared" si="38"/>
        <v>-8.4700000000000001E-3</v>
      </c>
    </row>
    <row r="2393" spans="1:8" x14ac:dyDescent="0.25">
      <c r="A2393" s="134">
        <v>6954</v>
      </c>
      <c r="B2393" s="135">
        <f>2*E2388</f>
        <v>2</v>
      </c>
      <c r="C2393" s="135" t="s">
        <v>337</v>
      </c>
      <c r="D2393" s="105">
        <f>C2388</f>
        <v>0</v>
      </c>
      <c r="E2393" s="135" t="s">
        <v>590</v>
      </c>
      <c r="F2393" s="136" t="s">
        <v>684</v>
      </c>
      <c r="G2393" s="63">
        <v>0.42499999999999999</v>
      </c>
      <c r="H2393" s="63">
        <f t="shared" si="38"/>
        <v>0</v>
      </c>
    </row>
    <row r="2394" spans="1:8" x14ac:dyDescent="0.25">
      <c r="A2394" s="134">
        <v>6965</v>
      </c>
      <c r="B2394" s="135">
        <f>2*E2388</f>
        <v>2</v>
      </c>
      <c r="C2394" s="135" t="s">
        <v>713</v>
      </c>
      <c r="D2394" s="105">
        <f>C2388-29</f>
        <v>-29</v>
      </c>
      <c r="E2394" s="135" t="s">
        <v>590</v>
      </c>
      <c r="F2394" s="136" t="s">
        <v>715</v>
      </c>
      <c r="G2394" s="63">
        <v>0.24199999999999999</v>
      </c>
      <c r="H2394" s="63">
        <f t="shared" si="38"/>
        <v>-1.4036E-2</v>
      </c>
    </row>
    <row r="2395" spans="1:8" x14ac:dyDescent="0.25">
      <c r="A2395" s="134">
        <v>6914</v>
      </c>
      <c r="B2395" s="135">
        <f>2*E2388</f>
        <v>2</v>
      </c>
      <c r="C2395" s="135" t="s">
        <v>713</v>
      </c>
      <c r="D2395" s="105">
        <f>C2388-29</f>
        <v>-29</v>
      </c>
      <c r="E2395" s="135" t="s">
        <v>590</v>
      </c>
      <c r="F2395" s="136" t="s">
        <v>674</v>
      </c>
      <c r="G2395" s="63">
        <v>0.57299999999999995</v>
      </c>
      <c r="H2395" s="63">
        <f t="shared" si="38"/>
        <v>-3.3234E-2</v>
      </c>
    </row>
    <row r="2396" spans="1:8" x14ac:dyDescent="0.25">
      <c r="A2396" s="134">
        <v>6914</v>
      </c>
      <c r="B2396" s="135">
        <f>2*E2388</f>
        <v>2</v>
      </c>
      <c r="C2396" s="135" t="s">
        <v>730</v>
      </c>
      <c r="D2396" s="105">
        <f>C2388-43</f>
        <v>-43</v>
      </c>
      <c r="E2396" s="135" t="s">
        <v>590</v>
      </c>
      <c r="F2396" s="136" t="s">
        <v>674</v>
      </c>
      <c r="G2396" s="63">
        <v>0.57299999999999995</v>
      </c>
      <c r="H2396" s="63">
        <f t="shared" si="38"/>
        <v>-4.9277999999999995E-2</v>
      </c>
    </row>
    <row r="2397" spans="1:8" x14ac:dyDescent="0.25">
      <c r="A2397" s="134">
        <v>6913</v>
      </c>
      <c r="B2397" s="135">
        <f>2*E2388</f>
        <v>2</v>
      </c>
      <c r="C2397" s="135" t="s">
        <v>730</v>
      </c>
      <c r="D2397" s="105">
        <f>C2388-43</f>
        <v>-43</v>
      </c>
      <c r="E2397" s="135" t="s">
        <v>590</v>
      </c>
      <c r="F2397" s="137" t="s">
        <v>673</v>
      </c>
      <c r="G2397" s="63">
        <v>0.65500000000000003</v>
      </c>
      <c r="H2397" s="63">
        <f t="shared" si="38"/>
        <v>-5.6329999999999998E-2</v>
      </c>
    </row>
    <row r="2398" spans="1:8" x14ac:dyDescent="0.25">
      <c r="A2398" s="134">
        <v>6919</v>
      </c>
      <c r="B2398" s="135">
        <f>1*E2388</f>
        <v>1</v>
      </c>
      <c r="C2398" s="135" t="s">
        <v>730</v>
      </c>
      <c r="D2398" s="105">
        <f>C2388-43</f>
        <v>-43</v>
      </c>
      <c r="E2398" s="135" t="s">
        <v>590</v>
      </c>
      <c r="F2398" s="137" t="s">
        <v>431</v>
      </c>
      <c r="G2398" s="63">
        <v>0.27600000000000002</v>
      </c>
      <c r="H2398" s="63">
        <f t="shared" si="38"/>
        <v>-1.1868E-2</v>
      </c>
    </row>
    <row r="2399" spans="1:8" x14ac:dyDescent="0.25">
      <c r="A2399" s="134">
        <v>6915</v>
      </c>
      <c r="B2399" s="135">
        <f>4*E2388</f>
        <v>4</v>
      </c>
      <c r="C2399" s="135" t="s">
        <v>733</v>
      </c>
      <c r="D2399" s="105">
        <f>A2388/4+7</f>
        <v>7</v>
      </c>
      <c r="E2399" s="135" t="s">
        <v>590</v>
      </c>
      <c r="F2399" s="137" t="s">
        <v>620</v>
      </c>
      <c r="G2399" s="63">
        <v>0.56899999999999995</v>
      </c>
      <c r="H2399" s="63">
        <f t="shared" si="38"/>
        <v>1.5931999999999998E-2</v>
      </c>
    </row>
    <row r="2400" spans="1:8" x14ac:dyDescent="0.25">
      <c r="A2400" s="134">
        <v>6945</v>
      </c>
      <c r="B2400" s="135">
        <f>4*E2388</f>
        <v>4</v>
      </c>
      <c r="C2400" s="135" t="s">
        <v>430</v>
      </c>
      <c r="D2400" s="105">
        <f>A2388/4-4</f>
        <v>-4</v>
      </c>
      <c r="E2400" s="135" t="s">
        <v>590</v>
      </c>
      <c r="F2400" s="137" t="s">
        <v>804</v>
      </c>
      <c r="G2400" s="63">
        <v>0.65400000000000003</v>
      </c>
      <c r="H2400" s="63">
        <f t="shared" si="38"/>
        <v>-1.0464000000000001E-2</v>
      </c>
    </row>
    <row r="2401" spans="1:8" x14ac:dyDescent="0.25">
      <c r="A2401" s="64"/>
      <c r="B2401" s="65"/>
      <c r="C2401" s="65"/>
      <c r="D2401" s="65"/>
      <c r="E2401" s="65"/>
      <c r="F2401" s="65"/>
      <c r="G2401" s="63" t="s">
        <v>392</v>
      </c>
      <c r="H2401" s="63">
        <f>SUM(H2391:H2400)</f>
        <v>-0.17743599999999998</v>
      </c>
    </row>
    <row r="2402" spans="1:8" x14ac:dyDescent="0.25">
      <c r="A2402" s="64"/>
      <c r="B2402" s="65"/>
      <c r="C2402" s="65"/>
      <c r="D2402" s="65"/>
      <c r="E2402" s="65"/>
      <c r="F2402" s="65"/>
      <c r="G2402" s="66"/>
      <c r="H2402" s="67"/>
    </row>
    <row r="2403" spans="1:8" x14ac:dyDescent="0.25">
      <c r="A2403" s="64"/>
      <c r="B2403" s="65"/>
      <c r="C2403" s="65"/>
      <c r="D2403" s="65"/>
      <c r="E2403" s="65"/>
      <c r="F2403" s="65"/>
      <c r="G2403" s="68"/>
      <c r="H2403" s="67"/>
    </row>
    <row r="2404" spans="1:8" x14ac:dyDescent="0.25">
      <c r="A2404" s="69" t="s">
        <v>393</v>
      </c>
      <c r="B2404" s="70"/>
      <c r="C2404" s="70"/>
      <c r="D2404" s="71"/>
      <c r="E2404" s="59" t="s">
        <v>36</v>
      </c>
      <c r="F2404" s="59" t="s">
        <v>266</v>
      </c>
      <c r="G2404" s="52"/>
      <c r="H2404" s="72"/>
    </row>
    <row r="2405" spans="1:8" x14ac:dyDescent="0.25">
      <c r="A2405" s="139" t="s">
        <v>652</v>
      </c>
      <c r="B2405" s="74"/>
      <c r="C2405" s="70"/>
      <c r="D2405" s="71"/>
      <c r="E2405" s="114">
        <f>F2405*E2388</f>
        <v>2</v>
      </c>
      <c r="F2405" s="135">
        <v>2</v>
      </c>
      <c r="G2405" s="76"/>
      <c r="H2405" s="77"/>
    </row>
    <row r="2406" spans="1:8" x14ac:dyDescent="0.25">
      <c r="A2406" s="139" t="s">
        <v>690</v>
      </c>
      <c r="B2406" s="74"/>
      <c r="C2406" s="70"/>
      <c r="D2406" s="71"/>
      <c r="E2406" s="115">
        <f>F2406*E2388</f>
        <v>1</v>
      </c>
      <c r="F2406" s="135">
        <v>1</v>
      </c>
      <c r="G2406" s="76"/>
      <c r="H2406" s="77"/>
    </row>
    <row r="2407" spans="1:8" x14ac:dyDescent="0.25">
      <c r="A2407" s="139" t="s">
        <v>691</v>
      </c>
      <c r="B2407" s="74"/>
      <c r="C2407" s="70"/>
      <c r="D2407" s="71"/>
      <c r="E2407" s="115">
        <f>F2407*E2388</f>
        <v>1</v>
      </c>
      <c r="F2407" s="135">
        <v>1</v>
      </c>
      <c r="G2407" s="65"/>
      <c r="H2407" s="77"/>
    </row>
    <row r="2408" spans="1:8" x14ac:dyDescent="0.25">
      <c r="A2408" s="139" t="s">
        <v>606</v>
      </c>
      <c r="B2408" s="74"/>
      <c r="C2408" s="70"/>
      <c r="D2408" s="71"/>
      <c r="E2408" s="161">
        <f>4*(A2388/1000)+6*(C2388/1000)*E2388</f>
        <v>0</v>
      </c>
      <c r="F2408" s="135" t="s">
        <v>472</v>
      </c>
      <c r="G2408" s="141"/>
      <c r="H2408" s="77"/>
    </row>
    <row r="2409" spans="1:8" x14ac:dyDescent="0.25">
      <c r="A2409" s="139" t="s">
        <v>794</v>
      </c>
      <c r="B2409" s="74"/>
      <c r="C2409" s="70"/>
      <c r="D2409" s="71"/>
      <c r="E2409" s="161">
        <f>2*(A2388/1000)+8*(C2388/1000)*E2388</f>
        <v>0</v>
      </c>
      <c r="F2409" s="135" t="s">
        <v>432</v>
      </c>
      <c r="G2409" s="64"/>
      <c r="H2409" s="77"/>
    </row>
    <row r="2410" spans="1:8" x14ac:dyDescent="0.25">
      <c r="A2410" s="139" t="s">
        <v>776</v>
      </c>
      <c r="B2410" s="74"/>
      <c r="C2410" s="70"/>
      <c r="D2410" s="71"/>
      <c r="E2410" s="115">
        <f>F2410*E2388</f>
        <v>4</v>
      </c>
      <c r="F2410" s="135">
        <v>4</v>
      </c>
      <c r="G2410" s="64"/>
      <c r="H2410" s="77"/>
    </row>
    <row r="2411" spans="1:8" x14ac:dyDescent="0.25">
      <c r="A2411" s="139" t="s">
        <v>404</v>
      </c>
      <c r="B2411" s="74"/>
      <c r="C2411" s="70"/>
      <c r="D2411" s="71"/>
      <c r="E2411" s="115">
        <f>F2411*E2388</f>
        <v>8</v>
      </c>
      <c r="F2411" s="135">
        <v>8</v>
      </c>
      <c r="G2411" s="64"/>
      <c r="H2411" s="77"/>
    </row>
    <row r="2412" spans="1:8" x14ac:dyDescent="0.25">
      <c r="A2412" s="139" t="s">
        <v>405</v>
      </c>
      <c r="B2412" s="74"/>
      <c r="C2412" s="70"/>
      <c r="D2412" s="71"/>
      <c r="E2412" s="115">
        <f>F2412*E2388</f>
        <v>10</v>
      </c>
      <c r="F2412" s="135">
        <v>10</v>
      </c>
      <c r="G2412" s="76"/>
      <c r="H2412" s="77"/>
    </row>
    <row r="2413" spans="1:8" x14ac:dyDescent="0.25">
      <c r="A2413" s="139" t="s">
        <v>795</v>
      </c>
      <c r="B2413" s="74"/>
      <c r="C2413" s="70"/>
      <c r="D2413" s="71"/>
      <c r="E2413" s="115">
        <f>F2413*E2388</f>
        <v>1</v>
      </c>
      <c r="F2413" s="135">
        <v>1</v>
      </c>
      <c r="G2413" s="76"/>
      <c r="H2413" s="77"/>
    </row>
    <row r="2414" spans="1:8" x14ac:dyDescent="0.25">
      <c r="A2414" s="142" t="s">
        <v>631</v>
      </c>
      <c r="B2414" s="74"/>
      <c r="C2414" s="70"/>
      <c r="D2414" s="71"/>
      <c r="E2414" s="115">
        <f>F2414*E2388</f>
        <v>2</v>
      </c>
      <c r="F2414" s="135">
        <v>2</v>
      </c>
      <c r="G2414" s="76"/>
      <c r="H2414" s="77"/>
    </row>
    <row r="2415" spans="1:8" x14ac:dyDescent="0.25">
      <c r="A2415" s="139" t="s">
        <v>694</v>
      </c>
      <c r="B2415" s="74"/>
      <c r="C2415" s="70"/>
      <c r="D2415" s="71"/>
      <c r="E2415" s="115">
        <f>F2415*E2388</f>
        <v>2</v>
      </c>
      <c r="F2415" s="135">
        <v>2</v>
      </c>
      <c r="G2415" s="76"/>
      <c r="H2415" s="77"/>
    </row>
    <row r="2416" spans="1:8" x14ac:dyDescent="0.25">
      <c r="A2416" s="139" t="s">
        <v>693</v>
      </c>
      <c r="B2416" s="74"/>
      <c r="C2416" s="70"/>
      <c r="D2416" s="71"/>
      <c r="E2416" s="115">
        <f>F2416*E2388</f>
        <v>4</v>
      </c>
      <c r="F2416" s="135">
        <v>4</v>
      </c>
      <c r="G2416" s="76"/>
      <c r="H2416" s="77"/>
    </row>
    <row r="2417" spans="1:8" x14ac:dyDescent="0.25">
      <c r="A2417" s="139" t="s">
        <v>611</v>
      </c>
      <c r="B2417" s="74"/>
      <c r="C2417" s="70"/>
      <c r="D2417" s="71"/>
      <c r="E2417" s="115">
        <f>F2417*E2388</f>
        <v>24</v>
      </c>
      <c r="F2417" s="135">
        <v>24</v>
      </c>
      <c r="G2417" s="76"/>
      <c r="H2417" s="77"/>
    </row>
    <row r="2418" spans="1:8" x14ac:dyDescent="0.25">
      <c r="A2418" s="52"/>
      <c r="B2418" s="53"/>
      <c r="C2418" s="53"/>
      <c r="D2418" s="53"/>
      <c r="E2418" s="53"/>
      <c r="F2418" s="53"/>
      <c r="G2418" s="53"/>
      <c r="H2418" s="83"/>
    </row>
    <row r="2419" spans="1:8" x14ac:dyDescent="0.25">
      <c r="A2419" s="52"/>
      <c r="B2419" s="53"/>
      <c r="C2419" s="53"/>
      <c r="D2419" s="53"/>
      <c r="E2419" s="53"/>
      <c r="F2419" s="53"/>
      <c r="G2419" s="53"/>
      <c r="H2419" s="83"/>
    </row>
    <row r="2420" spans="1:8" x14ac:dyDescent="0.25">
      <c r="A2420" s="59" t="s">
        <v>413</v>
      </c>
      <c r="B2420" s="84" t="s">
        <v>266</v>
      </c>
      <c r="C2420" s="84" t="s">
        <v>383</v>
      </c>
      <c r="D2420" s="405" t="s">
        <v>414</v>
      </c>
      <c r="E2420" s="406"/>
      <c r="F2420" s="85" t="s">
        <v>415</v>
      </c>
      <c r="G2420" s="59" t="s">
        <v>416</v>
      </c>
      <c r="H2420" s="86"/>
    </row>
    <row r="2421" spans="1:8" x14ac:dyDescent="0.25">
      <c r="A2421" s="61"/>
      <c r="B2421" s="89">
        <f>2*E2388</f>
        <v>2</v>
      </c>
      <c r="C2421" s="61" t="s">
        <v>805</v>
      </c>
      <c r="D2421" s="409">
        <f>A2388/4-26</f>
        <v>-26</v>
      </c>
      <c r="E2421" s="410"/>
      <c r="F2421" s="90">
        <f>C2388-129</f>
        <v>-129</v>
      </c>
      <c r="G2421" s="152">
        <f>B2421*(D2421/1000)*(F2421/1000)</f>
        <v>6.7079999999999996E-3</v>
      </c>
      <c r="H2421" s="86"/>
    </row>
    <row r="2422" spans="1:8" x14ac:dyDescent="0.25">
      <c r="A2422" s="61"/>
      <c r="B2422" s="89">
        <f>2*E2388</f>
        <v>2</v>
      </c>
      <c r="C2422" s="61" t="s">
        <v>806</v>
      </c>
      <c r="D2422" s="409">
        <f>A2388/4-60</f>
        <v>-60</v>
      </c>
      <c r="E2422" s="410"/>
      <c r="F2422" s="90">
        <f>C2388-129</f>
        <v>-129</v>
      </c>
      <c r="G2422" s="156">
        <f>B2422*(D2422/1000)*(F2422/1000)</f>
        <v>1.5480000000000001E-2</v>
      </c>
      <c r="H2422" s="83"/>
    </row>
    <row r="2423" spans="1:8" x14ac:dyDescent="0.25">
      <c r="A2423" s="52"/>
      <c r="B2423" s="93"/>
      <c r="C2423" s="53"/>
      <c r="D2423" s="53"/>
      <c r="E2423" s="53"/>
      <c r="F2423" s="94" t="s">
        <v>418</v>
      </c>
      <c r="G2423" s="95">
        <f>SUM(G2421:G2422)</f>
        <v>2.2187999999999999E-2</v>
      </c>
      <c r="H2423" s="51"/>
    </row>
    <row r="2424" spans="1:8" x14ac:dyDescent="0.25">
      <c r="A2424" s="52"/>
      <c r="B2424" s="93"/>
      <c r="C2424" s="53"/>
      <c r="D2424" s="53"/>
      <c r="E2424" s="53"/>
      <c r="F2424" s="94"/>
      <c r="G2424" s="96"/>
      <c r="H2424" s="51"/>
    </row>
    <row r="2425" spans="1:8" x14ac:dyDescent="0.25">
      <c r="A2425" s="52"/>
      <c r="B2425" s="93"/>
      <c r="C2425" s="53"/>
      <c r="D2425" s="53"/>
      <c r="E2425" s="53"/>
      <c r="F2425" s="94"/>
      <c r="G2425" s="96"/>
      <c r="H2425" s="51"/>
    </row>
    <row r="2426" spans="1:8" x14ac:dyDescent="0.25">
      <c r="A2426" s="52"/>
      <c r="B2426" s="93"/>
      <c r="C2426" s="53"/>
      <c r="D2426" s="53"/>
      <c r="E2426" s="53"/>
      <c r="F2426" s="94"/>
      <c r="G2426" s="96"/>
      <c r="H2426" s="51"/>
    </row>
    <row r="2427" spans="1:8" x14ac:dyDescent="0.25">
      <c r="A2427" s="52"/>
      <c r="B2427" s="93"/>
      <c r="C2427" s="53"/>
      <c r="D2427" s="53"/>
      <c r="E2427" s="53"/>
      <c r="F2427" s="94"/>
      <c r="G2427" s="96"/>
      <c r="H2427" s="51"/>
    </row>
    <row r="2428" spans="1:8" x14ac:dyDescent="0.25">
      <c r="A2428" s="52"/>
      <c r="B2428" s="93"/>
      <c r="C2428" s="53"/>
      <c r="D2428" s="53"/>
      <c r="E2428" s="53"/>
      <c r="F2428" s="94"/>
      <c r="G2428" s="96"/>
      <c r="H2428" s="51"/>
    </row>
    <row r="2429" spans="1:8" x14ac:dyDescent="0.25">
      <c r="A2429" s="52"/>
      <c r="B2429" s="93"/>
      <c r="C2429" s="53"/>
      <c r="D2429" s="53"/>
      <c r="E2429" s="53"/>
      <c r="F2429" s="94"/>
      <c r="G2429" s="96"/>
      <c r="H2429" s="51"/>
    </row>
    <row r="2430" spans="1:8" x14ac:dyDescent="0.25">
      <c r="A2430" s="52"/>
      <c r="B2430" s="93"/>
      <c r="C2430" s="53"/>
      <c r="D2430" s="53"/>
      <c r="E2430" s="53"/>
      <c r="F2430" s="94"/>
      <c r="G2430" s="96"/>
      <c r="H2430" s="51"/>
    </row>
    <row r="2431" spans="1:8" x14ac:dyDescent="0.25">
      <c r="A2431" s="52"/>
      <c r="B2431" s="53"/>
      <c r="C2431" s="93"/>
      <c r="D2431" s="53"/>
      <c r="E2431" s="53"/>
      <c r="F2431" s="53"/>
      <c r="G2431" s="53"/>
      <c r="H2431" s="51"/>
    </row>
    <row r="2432" spans="1:8" x14ac:dyDescent="0.25">
      <c r="A2432" s="52"/>
      <c r="B2432" s="53"/>
      <c r="C2432" s="15"/>
      <c r="D2432" s="53"/>
      <c r="E2432" s="53"/>
      <c r="F2432" s="53"/>
      <c r="G2432" s="53"/>
      <c r="H2432" s="51"/>
    </row>
    <row r="2433" spans="1:8" x14ac:dyDescent="0.25">
      <c r="A2433" s="177"/>
      <c r="B2433" s="100"/>
      <c r="C2433" s="100"/>
      <c r="D2433" s="100"/>
      <c r="E2433" s="100"/>
      <c r="F2433" s="100"/>
      <c r="G2433" s="100"/>
      <c r="H2433" s="178"/>
    </row>
  </sheetData>
  <mergeCells count="269">
    <mergeCell ref="A2388:B2388"/>
    <mergeCell ref="C2388:D2388"/>
    <mergeCell ref="D2420:E2420"/>
    <mergeCell ref="D2421:E2421"/>
    <mergeCell ref="D2422:E2422"/>
    <mergeCell ref="A2325:B2325"/>
    <mergeCell ref="C2325:D2325"/>
    <mergeCell ref="D2356:E2356"/>
    <mergeCell ref="D2357:E2357"/>
    <mergeCell ref="D2358:E2358"/>
    <mergeCell ref="A2387:B2387"/>
    <mergeCell ref="C2387:D2387"/>
    <mergeCell ref="A2262:B2262"/>
    <mergeCell ref="C2262:D2262"/>
    <mergeCell ref="D2296:E2296"/>
    <mergeCell ref="D2297:E2297"/>
    <mergeCell ref="D2298:E2298"/>
    <mergeCell ref="A2324:B2324"/>
    <mergeCell ref="C2324:D2324"/>
    <mergeCell ref="D2239:E2239"/>
    <mergeCell ref="D2240:E2240"/>
    <mergeCell ref="D2241:E2241"/>
    <mergeCell ref="D2242:E2242"/>
    <mergeCell ref="A2261:B2261"/>
    <mergeCell ref="C2261:D2261"/>
    <mergeCell ref="D2176:E2176"/>
    <mergeCell ref="D2177:E2177"/>
    <mergeCell ref="A2196:B2196"/>
    <mergeCell ref="C2196:D2196"/>
    <mergeCell ref="A2197:B2197"/>
    <mergeCell ref="C2197:D2197"/>
    <mergeCell ref="A2131:B2131"/>
    <mergeCell ref="C2131:D2131"/>
    <mergeCell ref="A2132:B2132"/>
    <mergeCell ref="C2132:D2132"/>
    <mergeCell ref="D2174:E2174"/>
    <mergeCell ref="D2175:E2175"/>
    <mergeCell ref="A2070:B2070"/>
    <mergeCell ref="C2070:D2070"/>
    <mergeCell ref="D2112:E2112"/>
    <mergeCell ref="D2113:E2113"/>
    <mergeCell ref="D2114:E2114"/>
    <mergeCell ref="D2115:E2115"/>
    <mergeCell ref="D2049:E2049"/>
    <mergeCell ref="D2050:E2050"/>
    <mergeCell ref="D2051:E2051"/>
    <mergeCell ref="D2052:E2052"/>
    <mergeCell ref="A2069:B2069"/>
    <mergeCell ref="C2069:D2069"/>
    <mergeCell ref="D1982:E1982"/>
    <mergeCell ref="D1983:E1983"/>
    <mergeCell ref="D1984:E1984"/>
    <mergeCell ref="A2006:B2006"/>
    <mergeCell ref="C2006:D2006"/>
    <mergeCell ref="A2007:B2007"/>
    <mergeCell ref="C2007:D2007"/>
    <mergeCell ref="D1914:E1914"/>
    <mergeCell ref="D1915:E1915"/>
    <mergeCell ref="D1916:E1916"/>
    <mergeCell ref="A1940:B1940"/>
    <mergeCell ref="C1940:D1940"/>
    <mergeCell ref="A1941:B1941"/>
    <mergeCell ref="C1941:D1941"/>
    <mergeCell ref="D1855:E1855"/>
    <mergeCell ref="D1856:E1856"/>
    <mergeCell ref="D1857:E1857"/>
    <mergeCell ref="A1878:B1878"/>
    <mergeCell ref="C1878:D1878"/>
    <mergeCell ref="A1879:B1879"/>
    <mergeCell ref="C1879:D1879"/>
    <mergeCell ref="D1789:E1789"/>
    <mergeCell ref="D1790:E1790"/>
    <mergeCell ref="D1791:E1791"/>
    <mergeCell ref="A1815:B1815"/>
    <mergeCell ref="C1815:D1815"/>
    <mergeCell ref="A1816:B1816"/>
    <mergeCell ref="C1816:D1816"/>
    <mergeCell ref="D1725:E1725"/>
    <mergeCell ref="D1726:E1726"/>
    <mergeCell ref="D1727:E1727"/>
    <mergeCell ref="A1753:B1753"/>
    <mergeCell ref="C1753:D1753"/>
    <mergeCell ref="A1754:B1754"/>
    <mergeCell ref="C1754:D1754"/>
    <mergeCell ref="D1664:E1664"/>
    <mergeCell ref="D1665:E1665"/>
    <mergeCell ref="D1666:E1666"/>
    <mergeCell ref="A1690:B1690"/>
    <mergeCell ref="C1690:D1690"/>
    <mergeCell ref="A1691:B1691"/>
    <mergeCell ref="C1691:D1691"/>
    <mergeCell ref="D1600:E1600"/>
    <mergeCell ref="D1601:E1601"/>
    <mergeCell ref="D1602:E1602"/>
    <mergeCell ref="A1627:B1627"/>
    <mergeCell ref="C1627:D1627"/>
    <mergeCell ref="A1628:B1628"/>
    <mergeCell ref="C1628:D1628"/>
    <mergeCell ref="D1538:E1538"/>
    <mergeCell ref="D1539:E1539"/>
    <mergeCell ref="A1565:B1565"/>
    <mergeCell ref="C1565:D1565"/>
    <mergeCell ref="A1566:B1566"/>
    <mergeCell ref="C1566:D1566"/>
    <mergeCell ref="D1477:E1477"/>
    <mergeCell ref="D1478:E1478"/>
    <mergeCell ref="A1503:B1503"/>
    <mergeCell ref="C1503:D1503"/>
    <mergeCell ref="A1504:B1504"/>
    <mergeCell ref="C1504:D1504"/>
    <mergeCell ref="D1413:E1413"/>
    <mergeCell ref="D1414:E1414"/>
    <mergeCell ref="A1441:B1441"/>
    <mergeCell ref="C1441:D1441"/>
    <mergeCell ref="A1442:B1442"/>
    <mergeCell ref="C1442:D1442"/>
    <mergeCell ref="D1348:E1348"/>
    <mergeCell ref="D1349:E1349"/>
    <mergeCell ref="A1379:B1379"/>
    <mergeCell ref="C1379:D1379"/>
    <mergeCell ref="A1380:B1380"/>
    <mergeCell ref="C1380:D1380"/>
    <mergeCell ref="D1287:E1287"/>
    <mergeCell ref="D1288:E1288"/>
    <mergeCell ref="D1289:E1289"/>
    <mergeCell ref="A1316:B1316"/>
    <mergeCell ref="C1316:D1316"/>
    <mergeCell ref="A1317:B1317"/>
    <mergeCell ref="C1317:D1317"/>
    <mergeCell ref="D1226:E1226"/>
    <mergeCell ref="D1227:E1227"/>
    <mergeCell ref="D1228:E1228"/>
    <mergeCell ref="A1254:B1254"/>
    <mergeCell ref="C1254:D1254"/>
    <mergeCell ref="A1255:B1255"/>
    <mergeCell ref="C1255:D1255"/>
    <mergeCell ref="D1169:E1169"/>
    <mergeCell ref="D1170:E1170"/>
    <mergeCell ref="D1171:E1171"/>
    <mergeCell ref="A1190:B1190"/>
    <mergeCell ref="C1190:D1190"/>
    <mergeCell ref="A1191:B1191"/>
    <mergeCell ref="C1191:D1191"/>
    <mergeCell ref="D1104:E1104"/>
    <mergeCell ref="D1105:E1105"/>
    <mergeCell ref="D1106:E1106"/>
    <mergeCell ref="A1128:B1128"/>
    <mergeCell ref="C1128:D1128"/>
    <mergeCell ref="A1129:B1129"/>
    <mergeCell ref="C1129:D1129"/>
    <mergeCell ref="D1042:E1042"/>
    <mergeCell ref="D1043:E1043"/>
    <mergeCell ref="D1044:E1044"/>
    <mergeCell ref="A1066:B1066"/>
    <mergeCell ref="C1066:D1066"/>
    <mergeCell ref="A1067:B1067"/>
    <mergeCell ref="C1067:D1067"/>
    <mergeCell ref="D975:E975"/>
    <mergeCell ref="D976:E976"/>
    <mergeCell ref="D977:E977"/>
    <mergeCell ref="A1001:B1001"/>
    <mergeCell ref="C1001:D1001"/>
    <mergeCell ref="A1002:B1002"/>
    <mergeCell ref="C1002:D1002"/>
    <mergeCell ref="D914:E914"/>
    <mergeCell ref="D915:E915"/>
    <mergeCell ref="A939:B939"/>
    <mergeCell ref="C939:D939"/>
    <mergeCell ref="A940:B940"/>
    <mergeCell ref="C940:D940"/>
    <mergeCell ref="D855:E855"/>
    <mergeCell ref="D856:E856"/>
    <mergeCell ref="D857:E857"/>
    <mergeCell ref="A877:B877"/>
    <mergeCell ref="C877:D877"/>
    <mergeCell ref="A878:B878"/>
    <mergeCell ref="C878:D878"/>
    <mergeCell ref="D792:E792"/>
    <mergeCell ref="D793:E793"/>
    <mergeCell ref="D794:E794"/>
    <mergeCell ref="A815:B815"/>
    <mergeCell ref="C815:D815"/>
    <mergeCell ref="A816:B816"/>
    <mergeCell ref="C816:D816"/>
    <mergeCell ref="D730:E730"/>
    <mergeCell ref="D731:E731"/>
    <mergeCell ref="D732:E732"/>
    <mergeCell ref="A753:B753"/>
    <mergeCell ref="C753:D753"/>
    <mergeCell ref="A754:B754"/>
    <mergeCell ref="C754:D754"/>
    <mergeCell ref="D665:E665"/>
    <mergeCell ref="D666:E666"/>
    <mergeCell ref="D667:E667"/>
    <mergeCell ref="A688:B688"/>
    <mergeCell ref="C688:D688"/>
    <mergeCell ref="A689:B689"/>
    <mergeCell ref="C689:D689"/>
    <mergeCell ref="D603:E603"/>
    <mergeCell ref="D604:E604"/>
    <mergeCell ref="A627:B627"/>
    <mergeCell ref="C627:D627"/>
    <mergeCell ref="A628:B628"/>
    <mergeCell ref="C628:D628"/>
    <mergeCell ref="D534:E534"/>
    <mergeCell ref="D535:E535"/>
    <mergeCell ref="D536:E536"/>
    <mergeCell ref="A564:B564"/>
    <mergeCell ref="C564:D564"/>
    <mergeCell ref="A565:B565"/>
    <mergeCell ref="C565:D565"/>
    <mergeCell ref="D471:E471"/>
    <mergeCell ref="D472:E472"/>
    <mergeCell ref="D473:E473"/>
    <mergeCell ref="A501:B501"/>
    <mergeCell ref="C501:D501"/>
    <mergeCell ref="A502:B502"/>
    <mergeCell ref="C502:D502"/>
    <mergeCell ref="D408:E408"/>
    <mergeCell ref="D409:E409"/>
    <mergeCell ref="A439:B439"/>
    <mergeCell ref="C439:D439"/>
    <mergeCell ref="A440:B440"/>
    <mergeCell ref="C440:D440"/>
    <mergeCell ref="D347:E347"/>
    <mergeCell ref="D348:E348"/>
    <mergeCell ref="D349:E349"/>
    <mergeCell ref="A377:B377"/>
    <mergeCell ref="C377:D377"/>
    <mergeCell ref="A378:B378"/>
    <mergeCell ref="C378:D378"/>
    <mergeCell ref="D284:E284"/>
    <mergeCell ref="D285:E285"/>
    <mergeCell ref="D286:E286"/>
    <mergeCell ref="A314:B314"/>
    <mergeCell ref="C314:D314"/>
    <mergeCell ref="A315:B315"/>
    <mergeCell ref="C315:D315"/>
    <mergeCell ref="D223:E223"/>
    <mergeCell ref="D224:E224"/>
    <mergeCell ref="D225:E225"/>
    <mergeCell ref="A252:B252"/>
    <mergeCell ref="C252:D252"/>
    <mergeCell ref="A253:B253"/>
    <mergeCell ref="C253:D253"/>
    <mergeCell ref="D164:E164"/>
    <mergeCell ref="D165:E165"/>
    <mergeCell ref="A190:B190"/>
    <mergeCell ref="C190:D190"/>
    <mergeCell ref="A191:B191"/>
    <mergeCell ref="C191:D191"/>
    <mergeCell ref="A128:B128"/>
    <mergeCell ref="C128:D128"/>
    <mergeCell ref="D163:E163"/>
    <mergeCell ref="A65:B65"/>
    <mergeCell ref="C65:D65"/>
    <mergeCell ref="A66:B66"/>
    <mergeCell ref="C66:D66"/>
    <mergeCell ref="D100:E100"/>
    <mergeCell ref="D101:E101"/>
    <mergeCell ref="A4:B4"/>
    <mergeCell ref="C4:D4"/>
    <mergeCell ref="A5:B5"/>
    <mergeCell ref="C5:D5"/>
    <mergeCell ref="D37:E37"/>
    <mergeCell ref="D38:E38"/>
    <mergeCell ref="D102:E102"/>
    <mergeCell ref="A127:B127"/>
    <mergeCell ref="C127:D127"/>
  </mergeCells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DE679-D97F-A843-94F7-22CB2D71DE3E}">
  <sheetPr codeName="Hoja5"/>
  <dimension ref="A1:H1277"/>
  <sheetViews>
    <sheetView workbookViewId="0">
      <selection activeCell="O21" sqref="O21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807</v>
      </c>
      <c r="B2" s="49"/>
      <c r="C2" s="49"/>
      <c r="D2" s="122"/>
      <c r="E2" s="50"/>
      <c r="F2" s="54"/>
      <c r="G2" s="54" t="s">
        <v>808</v>
      </c>
      <c r="H2" s="103"/>
    </row>
    <row r="3" spans="1:8" ht="16.5" thickBot="1" x14ac:dyDescent="0.3">
      <c r="A3" s="52"/>
      <c r="B3" s="53"/>
      <c r="C3" s="53"/>
      <c r="D3" s="53"/>
      <c r="E3" s="53"/>
      <c r="F3" s="53"/>
      <c r="G3" s="53"/>
      <c r="H3" s="51"/>
    </row>
    <row r="4" spans="1:8" ht="16.5" thickBot="1" x14ac:dyDescent="0.3">
      <c r="A4" s="400" t="s">
        <v>381</v>
      </c>
      <c r="B4" s="401"/>
      <c r="C4" s="402" t="s">
        <v>382</v>
      </c>
      <c r="D4" s="401"/>
      <c r="E4" s="55" t="s">
        <v>266</v>
      </c>
      <c r="F4" s="53"/>
      <c r="G4" s="53"/>
      <c r="H4" s="51"/>
    </row>
    <row r="5" spans="1:8" ht="16.5" thickBot="1" x14ac:dyDescent="0.3">
      <c r="A5" s="403">
        <v>900</v>
      </c>
      <c r="B5" s="404"/>
      <c r="C5" s="403">
        <v>1050</v>
      </c>
      <c r="D5" s="404"/>
      <c r="E5" s="56">
        <v>1</v>
      </c>
      <c r="F5" s="53"/>
      <c r="G5" s="53"/>
      <c r="H5" s="51"/>
    </row>
    <row r="6" spans="1:8" x14ac:dyDescent="0.25">
      <c r="A6" s="52"/>
      <c r="B6" s="58"/>
      <c r="C6" s="58"/>
      <c r="D6" s="58"/>
      <c r="E6" s="58"/>
      <c r="F6" s="58"/>
      <c r="G6" s="53"/>
      <c r="H6" s="83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4301</v>
      </c>
      <c r="B8" s="61">
        <f>2*E5</f>
        <v>2</v>
      </c>
      <c r="C8" s="61" t="s">
        <v>335</v>
      </c>
      <c r="D8" s="61">
        <f>A5</f>
        <v>900</v>
      </c>
      <c r="E8" s="61" t="s">
        <v>336</v>
      </c>
      <c r="F8" s="62" t="s">
        <v>809</v>
      </c>
      <c r="G8" s="63">
        <v>0.436</v>
      </c>
      <c r="H8" s="63">
        <f>(D8/1000)*B8*G8</f>
        <v>0.78480000000000005</v>
      </c>
    </row>
    <row r="9" spans="1:8" x14ac:dyDescent="0.25">
      <c r="A9" s="60">
        <v>4301</v>
      </c>
      <c r="B9" s="61">
        <f>2*E5</f>
        <v>2</v>
      </c>
      <c r="C9" s="61" t="s">
        <v>337</v>
      </c>
      <c r="D9" s="61">
        <f>C5</f>
        <v>1050</v>
      </c>
      <c r="E9" s="61" t="s">
        <v>336</v>
      </c>
      <c r="F9" s="62" t="s">
        <v>809</v>
      </c>
      <c r="G9" s="63">
        <v>0.436</v>
      </c>
      <c r="H9" s="63">
        <f>(D9/1000)*B9*G9</f>
        <v>0.91560000000000008</v>
      </c>
    </row>
    <row r="10" spans="1:8" x14ac:dyDescent="0.25">
      <c r="A10" s="60">
        <v>4307</v>
      </c>
      <c r="B10" s="61">
        <f>2*E5</f>
        <v>2</v>
      </c>
      <c r="C10" s="61" t="s">
        <v>810</v>
      </c>
      <c r="D10" s="61">
        <f>A5-44</f>
        <v>856</v>
      </c>
      <c r="E10" s="61" t="s">
        <v>336</v>
      </c>
      <c r="F10" s="62" t="s">
        <v>117</v>
      </c>
      <c r="G10" s="63">
        <v>0.17599999999999999</v>
      </c>
      <c r="H10" s="63">
        <f>(D10/1000)*B10*G10</f>
        <v>0.30131199999999997</v>
      </c>
    </row>
    <row r="11" spans="1:8" x14ac:dyDescent="0.25">
      <c r="A11" s="60">
        <v>4309</v>
      </c>
      <c r="B11" s="61">
        <f>2*E5</f>
        <v>2</v>
      </c>
      <c r="C11" s="61" t="s">
        <v>685</v>
      </c>
      <c r="D11" s="61">
        <f>C5-44</f>
        <v>1006</v>
      </c>
      <c r="E11" s="61" t="s">
        <v>336</v>
      </c>
      <c r="F11" s="62" t="s">
        <v>117</v>
      </c>
      <c r="G11" s="63">
        <v>0.23499999999999999</v>
      </c>
      <c r="H11" s="63">
        <f>(D11/1000)*B11*G11</f>
        <v>0.47281999999999996</v>
      </c>
    </row>
    <row r="12" spans="1:8" x14ac:dyDescent="0.25">
      <c r="A12" s="64"/>
      <c r="B12" s="65"/>
      <c r="C12" s="65"/>
      <c r="D12" s="65"/>
      <c r="E12" s="65"/>
      <c r="F12" s="65"/>
      <c r="G12" s="63" t="s">
        <v>392</v>
      </c>
      <c r="H12" s="63">
        <f>SUM(H8:H11)</f>
        <v>2.474532</v>
      </c>
    </row>
    <row r="13" spans="1:8" x14ac:dyDescent="0.25">
      <c r="A13" s="64"/>
      <c r="B13" s="65"/>
      <c r="C13" s="65"/>
      <c r="D13" s="65"/>
      <c r="E13" s="65"/>
      <c r="F13" s="65"/>
      <c r="G13" s="66"/>
      <c r="H13" s="67"/>
    </row>
    <row r="14" spans="1:8" x14ac:dyDescent="0.25">
      <c r="A14" s="64"/>
      <c r="B14" s="65"/>
      <c r="C14" s="65"/>
      <c r="D14" s="65"/>
      <c r="E14" s="65"/>
      <c r="F14" s="65"/>
      <c r="G14" s="68"/>
      <c r="H14" s="67"/>
    </row>
    <row r="15" spans="1:8" x14ac:dyDescent="0.25">
      <c r="A15" s="69" t="s">
        <v>393</v>
      </c>
      <c r="B15" s="70"/>
      <c r="C15" s="70"/>
      <c r="D15" s="71"/>
      <c r="E15" s="59" t="s">
        <v>36</v>
      </c>
      <c r="F15" s="59" t="s">
        <v>266</v>
      </c>
      <c r="G15" s="52"/>
      <c r="H15" s="72"/>
    </row>
    <row r="16" spans="1:8" x14ac:dyDescent="0.25">
      <c r="A16" s="73" t="s">
        <v>811</v>
      </c>
      <c r="B16" s="70"/>
      <c r="C16" s="70"/>
      <c r="D16" s="71"/>
      <c r="E16" s="75">
        <f>F16*E5</f>
        <v>4</v>
      </c>
      <c r="F16" s="61">
        <v>4</v>
      </c>
      <c r="G16" s="76"/>
      <c r="H16" s="77"/>
    </row>
    <row r="17" spans="1:8" x14ac:dyDescent="0.25">
      <c r="A17" s="73" t="s">
        <v>528</v>
      </c>
      <c r="B17" s="70"/>
      <c r="C17" s="70"/>
      <c r="D17" s="71"/>
      <c r="E17" s="75">
        <f>2*(A5/1000)+2*(C5/1000)*E5</f>
        <v>3.9000000000000004</v>
      </c>
      <c r="F17" s="61" t="s">
        <v>448</v>
      </c>
      <c r="G17" s="65"/>
      <c r="H17" s="77"/>
    </row>
    <row r="18" spans="1:8" x14ac:dyDescent="0.25">
      <c r="A18" s="73" t="s">
        <v>812</v>
      </c>
      <c r="B18" s="70"/>
      <c r="C18" s="70"/>
      <c r="D18" s="71"/>
      <c r="E18" s="75">
        <f>2*(A5/1000)+2*(C5/1000)*E5</f>
        <v>3.9000000000000004</v>
      </c>
      <c r="F18" s="61" t="s">
        <v>448</v>
      </c>
      <c r="G18" s="65"/>
      <c r="H18" s="77"/>
    </row>
    <row r="19" spans="1:8" x14ac:dyDescent="0.25">
      <c r="A19" s="73" t="s">
        <v>584</v>
      </c>
      <c r="B19" s="70"/>
      <c r="C19" s="70"/>
      <c r="D19" s="71"/>
      <c r="E19" s="75">
        <f>A5/100*E5</f>
        <v>9</v>
      </c>
      <c r="F19" s="61" t="s">
        <v>813</v>
      </c>
      <c r="G19" s="65"/>
      <c r="H19" s="77"/>
    </row>
    <row r="20" spans="1:8" x14ac:dyDescent="0.25">
      <c r="A20" s="52"/>
      <c r="B20" s="53"/>
      <c r="C20" s="53"/>
      <c r="D20" s="53"/>
      <c r="E20" s="53"/>
      <c r="F20" s="65"/>
      <c r="G20" s="65"/>
      <c r="H20" s="51"/>
    </row>
    <row r="21" spans="1:8" x14ac:dyDescent="0.25">
      <c r="A21" s="52"/>
      <c r="B21" s="53"/>
      <c r="C21" s="53"/>
      <c r="D21" s="53"/>
      <c r="E21" s="53"/>
      <c r="F21" s="53"/>
      <c r="G21" s="53"/>
      <c r="H21" s="83"/>
    </row>
    <row r="22" spans="1:8" x14ac:dyDescent="0.25">
      <c r="A22" s="59" t="s">
        <v>413</v>
      </c>
      <c r="B22" s="84" t="s">
        <v>266</v>
      </c>
      <c r="C22" s="84" t="s">
        <v>383</v>
      </c>
      <c r="D22" s="405" t="s">
        <v>414</v>
      </c>
      <c r="E22" s="406"/>
      <c r="F22" s="85" t="s">
        <v>415</v>
      </c>
      <c r="G22" s="59" t="s">
        <v>416</v>
      </c>
      <c r="H22" s="86"/>
    </row>
    <row r="23" spans="1:8" x14ac:dyDescent="0.25">
      <c r="A23" s="87"/>
      <c r="B23" s="61">
        <f>1*E5</f>
        <v>1</v>
      </c>
      <c r="C23" s="61" t="s">
        <v>814</v>
      </c>
      <c r="D23" s="407">
        <f>A5-64</f>
        <v>836</v>
      </c>
      <c r="E23" s="408"/>
      <c r="F23" s="61">
        <f>C5-64</f>
        <v>986</v>
      </c>
      <c r="G23" s="91">
        <f>+(D23/1000)*(F23/1000)*B23</f>
        <v>0.82429599999999992</v>
      </c>
      <c r="H23" s="92"/>
    </row>
    <row r="24" spans="1:8" x14ac:dyDescent="0.25">
      <c r="A24" s="79"/>
      <c r="B24" s="53"/>
      <c r="C24" s="53"/>
      <c r="D24" s="53"/>
      <c r="E24" s="53"/>
      <c r="F24" s="94" t="s">
        <v>815</v>
      </c>
      <c r="G24" s="95">
        <f>SUM(G23:G23)</f>
        <v>0.82429599999999992</v>
      </c>
      <c r="H24" s="51"/>
    </row>
    <row r="25" spans="1:8" x14ac:dyDescent="0.25">
      <c r="A25" s="79"/>
      <c r="B25" s="53"/>
      <c r="C25" s="53"/>
      <c r="D25" s="53"/>
      <c r="E25" s="53"/>
      <c r="F25" s="94"/>
      <c r="G25" s="96"/>
      <c r="H25" s="51"/>
    </row>
    <row r="26" spans="1:8" x14ac:dyDescent="0.25">
      <c r="A26" s="79"/>
      <c r="B26" s="53"/>
      <c r="C26" s="53"/>
      <c r="D26" s="53"/>
      <c r="E26" s="53"/>
      <c r="F26" s="94"/>
      <c r="G26" s="96"/>
      <c r="H26" s="51"/>
    </row>
    <row r="27" spans="1:8" x14ac:dyDescent="0.25">
      <c r="A27" s="79"/>
      <c r="B27" s="53"/>
      <c r="C27" s="53"/>
      <c r="D27" s="53"/>
      <c r="E27" s="53"/>
      <c r="F27" s="94"/>
      <c r="G27" s="96"/>
      <c r="H27" s="51"/>
    </row>
    <row r="28" spans="1:8" x14ac:dyDescent="0.25">
      <c r="A28" s="79"/>
      <c r="B28" s="53"/>
      <c r="C28" s="53"/>
      <c r="D28" s="53"/>
      <c r="E28" s="53"/>
      <c r="F28" s="94"/>
      <c r="G28" s="96"/>
      <c r="H28" s="51"/>
    </row>
    <row r="29" spans="1:8" x14ac:dyDescent="0.25">
      <c r="A29" s="79"/>
      <c r="B29" s="53"/>
      <c r="C29" s="53"/>
      <c r="D29" s="53"/>
      <c r="E29" s="53"/>
      <c r="F29" s="94"/>
      <c r="G29" s="96"/>
      <c r="H29" s="51"/>
    </row>
    <row r="30" spans="1:8" x14ac:dyDescent="0.25">
      <c r="A30" s="79"/>
      <c r="B30" s="53"/>
      <c r="C30" s="53"/>
      <c r="D30" s="53"/>
      <c r="E30" s="53"/>
      <c r="F30" s="94"/>
      <c r="G30" s="96"/>
      <c r="H30" s="51"/>
    </row>
    <row r="31" spans="1:8" x14ac:dyDescent="0.25">
      <c r="A31" s="79"/>
      <c r="B31" s="53"/>
      <c r="C31" s="53"/>
      <c r="D31" s="53"/>
      <c r="E31" s="53"/>
      <c r="F31" s="94"/>
      <c r="G31" s="96"/>
      <c r="H31" s="51"/>
    </row>
    <row r="32" spans="1:8" x14ac:dyDescent="0.25">
      <c r="A32" s="79"/>
      <c r="B32" s="53"/>
      <c r="C32" s="53"/>
      <c r="D32" s="53"/>
      <c r="E32" s="53"/>
      <c r="F32" s="94"/>
      <c r="G32" s="96"/>
      <c r="H32" s="51"/>
    </row>
    <row r="33" spans="1:8" x14ac:dyDescent="0.25">
      <c r="A33" s="79"/>
      <c r="B33" s="53"/>
      <c r="C33" s="53"/>
      <c r="D33" s="53"/>
      <c r="E33" s="53"/>
      <c r="F33" s="94"/>
      <c r="G33" s="96"/>
      <c r="H33" s="51"/>
    </row>
    <row r="34" spans="1:8" x14ac:dyDescent="0.25">
      <c r="A34" s="79"/>
      <c r="B34" s="53"/>
      <c r="C34" s="53"/>
      <c r="D34" s="53"/>
      <c r="E34" s="53"/>
      <c r="F34" s="94"/>
      <c r="G34" s="96"/>
      <c r="H34" s="51"/>
    </row>
    <row r="35" spans="1:8" x14ac:dyDescent="0.25">
      <c r="A35" s="79"/>
      <c r="B35" s="53"/>
      <c r="C35" s="53"/>
      <c r="D35" s="53"/>
      <c r="E35" s="53"/>
      <c r="F35" s="94"/>
      <c r="G35" s="96"/>
      <c r="H35" s="51"/>
    </row>
    <row r="36" spans="1:8" x14ac:dyDescent="0.25">
      <c r="A36" s="79"/>
      <c r="B36" s="53"/>
      <c r="C36" s="53"/>
      <c r="D36" s="53"/>
      <c r="E36" s="53"/>
      <c r="F36" s="94"/>
      <c r="G36" s="96"/>
      <c r="H36" s="51"/>
    </row>
    <row r="37" spans="1:8" x14ac:dyDescent="0.25">
      <c r="A37" s="79"/>
      <c r="B37" s="53"/>
      <c r="C37" s="53"/>
      <c r="D37" s="53"/>
      <c r="E37" s="53"/>
      <c r="F37" s="94"/>
      <c r="G37" s="96"/>
      <c r="H37" s="51"/>
    </row>
    <row r="38" spans="1:8" x14ac:dyDescent="0.25">
      <c r="A38" s="79"/>
      <c r="B38" s="53"/>
      <c r="C38" s="53"/>
      <c r="D38" s="53"/>
      <c r="E38" s="53"/>
      <c r="F38" s="94"/>
      <c r="G38" s="96"/>
      <c r="H38" s="51"/>
    </row>
    <row r="39" spans="1:8" x14ac:dyDescent="0.25">
      <c r="A39" s="79"/>
      <c r="B39" s="53"/>
      <c r="C39" s="53"/>
      <c r="D39" s="53"/>
      <c r="E39" s="53"/>
      <c r="F39" s="94"/>
      <c r="G39" s="96"/>
      <c r="H39" s="51"/>
    </row>
    <row r="40" spans="1:8" x14ac:dyDescent="0.25">
      <c r="A40" s="79"/>
      <c r="B40" s="53"/>
      <c r="C40" s="53"/>
      <c r="D40" s="53"/>
      <c r="E40" s="53"/>
      <c r="F40" s="94"/>
      <c r="G40" s="96"/>
      <c r="H40" s="51"/>
    </row>
    <row r="41" spans="1:8" x14ac:dyDescent="0.25">
      <c r="A41" s="79"/>
      <c r="B41" s="53"/>
      <c r="C41" s="53"/>
      <c r="D41" s="53"/>
      <c r="E41" s="53"/>
      <c r="F41" s="94"/>
      <c r="G41" s="96"/>
      <c r="H41" s="51"/>
    </row>
    <row r="42" spans="1:8" x14ac:dyDescent="0.25">
      <c r="A42" s="79"/>
      <c r="B42" s="53"/>
      <c r="C42" s="53"/>
      <c r="D42" s="53"/>
      <c r="E42" s="53"/>
      <c r="F42" s="94"/>
      <c r="G42" s="96"/>
      <c r="H42" s="51"/>
    </row>
    <row r="43" spans="1:8" x14ac:dyDescent="0.25">
      <c r="A43" s="79"/>
      <c r="B43" s="53"/>
      <c r="C43" s="53"/>
      <c r="D43" s="53"/>
      <c r="E43" s="53"/>
      <c r="F43" s="94"/>
      <c r="G43" s="96"/>
      <c r="H43" s="51"/>
    </row>
    <row r="44" spans="1:8" x14ac:dyDescent="0.25">
      <c r="A44" s="79"/>
      <c r="B44" s="53"/>
      <c r="C44" s="53"/>
      <c r="D44" s="53"/>
      <c r="E44" s="53"/>
      <c r="F44" s="94"/>
      <c r="G44" s="96"/>
      <c r="H44" s="51"/>
    </row>
    <row r="45" spans="1:8" x14ac:dyDescent="0.25">
      <c r="A45" s="79"/>
      <c r="B45" s="53"/>
      <c r="C45" s="53"/>
      <c r="D45" s="53"/>
      <c r="E45" s="53"/>
      <c r="F45" s="94"/>
      <c r="G45" s="96"/>
      <c r="H45" s="51"/>
    </row>
    <row r="46" spans="1:8" x14ac:dyDescent="0.25">
      <c r="A46" s="79"/>
      <c r="B46" s="53"/>
      <c r="C46" s="53"/>
      <c r="D46" s="53"/>
      <c r="E46" s="53"/>
      <c r="F46" s="94"/>
      <c r="G46" s="96"/>
      <c r="H46" s="51"/>
    </row>
    <row r="47" spans="1:8" x14ac:dyDescent="0.25">
      <c r="A47" s="79"/>
      <c r="B47" s="53"/>
      <c r="C47" s="53"/>
      <c r="D47" s="53"/>
      <c r="E47" s="53"/>
      <c r="F47" s="94"/>
      <c r="G47" s="96"/>
      <c r="H47" s="51"/>
    </row>
    <row r="48" spans="1:8" x14ac:dyDescent="0.25">
      <c r="A48" s="79"/>
      <c r="B48" s="53"/>
      <c r="C48" s="53"/>
      <c r="D48" s="53"/>
      <c r="E48" s="53"/>
      <c r="F48" s="94"/>
      <c r="G48" s="96"/>
      <c r="H48" s="51"/>
    </row>
    <row r="49" spans="1:8" x14ac:dyDescent="0.25">
      <c r="A49" s="79"/>
      <c r="B49" s="53"/>
      <c r="C49" s="53"/>
      <c r="D49" s="53"/>
      <c r="E49" s="53"/>
      <c r="F49" s="94"/>
      <c r="G49" s="96"/>
      <c r="H49" s="51"/>
    </row>
    <row r="50" spans="1:8" x14ac:dyDescent="0.25">
      <c r="A50" s="79"/>
      <c r="B50" s="53"/>
      <c r="C50" s="53"/>
      <c r="D50" s="53"/>
      <c r="E50" s="53"/>
      <c r="F50" s="94"/>
      <c r="G50" s="96"/>
      <c r="H50" s="51"/>
    </row>
    <row r="51" spans="1:8" x14ac:dyDescent="0.25">
      <c r="A51" s="79"/>
      <c r="B51" s="53"/>
      <c r="C51" s="53"/>
      <c r="D51" s="53"/>
      <c r="E51" s="53"/>
      <c r="F51" s="94"/>
      <c r="G51" s="96"/>
      <c r="H51" s="51"/>
    </row>
    <row r="52" spans="1:8" x14ac:dyDescent="0.25">
      <c r="A52" s="45"/>
      <c r="B52" s="45"/>
      <c r="C52" s="45"/>
      <c r="D52" s="45"/>
      <c r="E52" s="45"/>
      <c r="F52" s="45"/>
      <c r="G52" s="45"/>
      <c r="H52" s="45"/>
    </row>
    <row r="53" spans="1:8" x14ac:dyDescent="0.25">
      <c r="A53" s="100"/>
      <c r="B53" s="100"/>
      <c r="C53" s="100"/>
      <c r="D53" s="100"/>
      <c r="E53" s="100"/>
      <c r="F53" s="100"/>
      <c r="G53" s="100"/>
      <c r="H53" s="100"/>
    </row>
    <row r="54" spans="1:8" x14ac:dyDescent="0.25">
      <c r="A54" s="44"/>
      <c r="B54" s="45"/>
      <c r="C54" s="45"/>
      <c r="D54" s="45"/>
      <c r="E54" s="45"/>
      <c r="F54" s="45"/>
      <c r="G54" s="45"/>
      <c r="H54" s="46"/>
    </row>
    <row r="55" spans="1:8" x14ac:dyDescent="0.25">
      <c r="A55" s="52"/>
      <c r="B55" s="53"/>
      <c r="C55" s="53"/>
      <c r="D55" s="53"/>
      <c r="E55" s="53"/>
      <c r="F55" s="53"/>
      <c r="G55" s="53"/>
      <c r="H55" s="51"/>
    </row>
    <row r="56" spans="1:8" x14ac:dyDescent="0.25">
      <c r="A56" s="47" t="s">
        <v>816</v>
      </c>
      <c r="B56" s="49"/>
      <c r="C56" s="49"/>
      <c r="D56" s="122"/>
      <c r="E56" s="122"/>
      <c r="F56" s="54"/>
      <c r="G56" s="54" t="s">
        <v>817</v>
      </c>
      <c r="H56" s="103"/>
    </row>
    <row r="57" spans="1:8" ht="16.5" thickBot="1" x14ac:dyDescent="0.3">
      <c r="A57" s="52"/>
      <c r="B57" s="53"/>
      <c r="C57" s="53"/>
      <c r="D57" s="53"/>
      <c r="E57" s="53"/>
      <c r="F57" s="53"/>
      <c r="G57" s="53"/>
      <c r="H57" s="51"/>
    </row>
    <row r="58" spans="1:8" ht="16.5" thickBot="1" x14ac:dyDescent="0.3">
      <c r="A58" s="400" t="s">
        <v>381</v>
      </c>
      <c r="B58" s="401"/>
      <c r="C58" s="402" t="s">
        <v>382</v>
      </c>
      <c r="D58" s="401"/>
      <c r="E58" s="55" t="s">
        <v>266</v>
      </c>
      <c r="F58" s="53"/>
      <c r="G58" s="53"/>
      <c r="H58" s="51"/>
    </row>
    <row r="59" spans="1:8" ht="16.5" thickBot="1" x14ac:dyDescent="0.3">
      <c r="A59" s="403">
        <v>1510</v>
      </c>
      <c r="B59" s="404"/>
      <c r="C59" s="403">
        <v>500</v>
      </c>
      <c r="D59" s="404"/>
      <c r="E59" s="56">
        <v>1</v>
      </c>
      <c r="F59" s="53"/>
      <c r="G59" s="53"/>
      <c r="H59" s="51"/>
    </row>
    <row r="60" spans="1:8" x14ac:dyDescent="0.25">
      <c r="A60" s="52"/>
      <c r="B60" s="58"/>
      <c r="C60" s="58"/>
      <c r="D60" s="58"/>
      <c r="E60" s="58"/>
      <c r="F60" s="58"/>
      <c r="G60" s="53"/>
      <c r="H60" s="83"/>
    </row>
    <row r="61" spans="1:8" x14ac:dyDescent="0.25">
      <c r="A61" s="59" t="s">
        <v>323</v>
      </c>
      <c r="B61" s="59" t="s">
        <v>266</v>
      </c>
      <c r="C61" s="59" t="s">
        <v>383</v>
      </c>
      <c r="D61" s="59" t="s">
        <v>384</v>
      </c>
      <c r="E61" s="59" t="s">
        <v>332</v>
      </c>
      <c r="F61" s="59" t="s">
        <v>385</v>
      </c>
      <c r="G61" s="59" t="s">
        <v>386</v>
      </c>
      <c r="H61" s="59" t="s">
        <v>387</v>
      </c>
    </row>
    <row r="62" spans="1:8" x14ac:dyDescent="0.25">
      <c r="A62" s="60">
        <v>4301</v>
      </c>
      <c r="B62" s="61">
        <f>2*E59</f>
        <v>2</v>
      </c>
      <c r="C62" s="61" t="s">
        <v>335</v>
      </c>
      <c r="D62" s="61">
        <f>A59</f>
        <v>1510</v>
      </c>
      <c r="E62" s="61" t="s">
        <v>336</v>
      </c>
      <c r="F62" s="62" t="s">
        <v>809</v>
      </c>
      <c r="G62" s="63">
        <v>0.436</v>
      </c>
      <c r="H62" s="63">
        <f>(D62/1000)*B62*G62</f>
        <v>1.3167200000000001</v>
      </c>
    </row>
    <row r="63" spans="1:8" x14ac:dyDescent="0.25">
      <c r="A63" s="60">
        <v>4301</v>
      </c>
      <c r="B63" s="61">
        <f>2*E59</f>
        <v>2</v>
      </c>
      <c r="C63" s="61" t="s">
        <v>337</v>
      </c>
      <c r="D63" s="61">
        <f>C59</f>
        <v>500</v>
      </c>
      <c r="E63" s="61" t="s">
        <v>336</v>
      </c>
      <c r="F63" s="62" t="s">
        <v>809</v>
      </c>
      <c r="G63" s="63">
        <v>0.436</v>
      </c>
      <c r="H63" s="63">
        <f>(D63/1000)*B63*G63</f>
        <v>0.436</v>
      </c>
    </row>
    <row r="64" spans="1:8" x14ac:dyDescent="0.25">
      <c r="A64" s="60">
        <v>4307</v>
      </c>
      <c r="B64" s="61">
        <f>4*E59</f>
        <v>4</v>
      </c>
      <c r="C64" s="61" t="s">
        <v>818</v>
      </c>
      <c r="D64" s="61">
        <f>A59/2-34</f>
        <v>721</v>
      </c>
      <c r="E64" s="61" t="s">
        <v>336</v>
      </c>
      <c r="F64" s="62" t="s">
        <v>117</v>
      </c>
      <c r="G64" s="63">
        <v>0.17599999999999999</v>
      </c>
      <c r="H64" s="63">
        <f>(D64/1000)*B64*G64</f>
        <v>0.50758399999999992</v>
      </c>
    </row>
    <row r="65" spans="1:8" x14ac:dyDescent="0.25">
      <c r="A65" s="60">
        <v>4309</v>
      </c>
      <c r="B65" s="61">
        <f>4*E59</f>
        <v>4</v>
      </c>
      <c r="C65" s="61" t="s">
        <v>685</v>
      </c>
      <c r="D65" s="61">
        <f>C59-44</f>
        <v>456</v>
      </c>
      <c r="E65" s="61" t="s">
        <v>336</v>
      </c>
      <c r="F65" s="62" t="s">
        <v>117</v>
      </c>
      <c r="G65" s="63">
        <v>0.23499999999999999</v>
      </c>
      <c r="H65" s="63">
        <f>(D65/1000)*B65*G65</f>
        <v>0.42863999999999997</v>
      </c>
    </row>
    <row r="66" spans="1:8" x14ac:dyDescent="0.25">
      <c r="A66" s="60">
        <v>4304</v>
      </c>
      <c r="B66" s="61">
        <f>1*E59</f>
        <v>1</v>
      </c>
      <c r="C66" s="61" t="s">
        <v>819</v>
      </c>
      <c r="D66" s="61">
        <f>C59-37</f>
        <v>463</v>
      </c>
      <c r="E66" s="61" t="s">
        <v>340</v>
      </c>
      <c r="F66" s="62" t="s">
        <v>119</v>
      </c>
      <c r="G66" s="63">
        <v>0.67700000000000005</v>
      </c>
      <c r="H66" s="63">
        <f>(D66/1000)*B66*G66</f>
        <v>0.31345100000000004</v>
      </c>
    </row>
    <row r="67" spans="1:8" x14ac:dyDescent="0.25">
      <c r="A67" s="64"/>
      <c r="B67" s="65"/>
      <c r="C67" s="65"/>
      <c r="D67" s="65"/>
      <c r="E67" s="65"/>
      <c r="F67" s="65"/>
      <c r="G67" s="63" t="s">
        <v>392</v>
      </c>
      <c r="H67" s="63">
        <f>SUM(H62:H66)</f>
        <v>3.0023950000000004</v>
      </c>
    </row>
    <row r="68" spans="1:8" x14ac:dyDescent="0.25">
      <c r="A68" s="64"/>
      <c r="B68" s="65"/>
      <c r="C68" s="65"/>
      <c r="D68" s="65"/>
      <c r="E68" s="65"/>
      <c r="F68" s="65"/>
      <c r="G68" s="66"/>
      <c r="H68" s="67"/>
    </row>
    <row r="69" spans="1:8" x14ac:dyDescent="0.25">
      <c r="A69" s="64"/>
      <c r="B69" s="65"/>
      <c r="C69" s="65"/>
      <c r="D69" s="65"/>
      <c r="E69" s="65"/>
      <c r="F69" s="65"/>
      <c r="G69" s="68"/>
      <c r="H69" s="67"/>
    </row>
    <row r="70" spans="1:8" x14ac:dyDescent="0.25">
      <c r="A70" s="69" t="s">
        <v>393</v>
      </c>
      <c r="B70" s="70"/>
      <c r="C70" s="70"/>
      <c r="D70" s="71"/>
      <c r="E70" s="59" t="s">
        <v>36</v>
      </c>
      <c r="F70" s="59" t="s">
        <v>266</v>
      </c>
      <c r="G70" s="52"/>
      <c r="H70" s="72"/>
    </row>
    <row r="71" spans="1:8" x14ac:dyDescent="0.25">
      <c r="A71" s="73" t="s">
        <v>811</v>
      </c>
      <c r="B71" s="70"/>
      <c r="C71" s="70"/>
      <c r="D71" s="71"/>
      <c r="E71" s="75">
        <f>F71*E59</f>
        <v>4</v>
      </c>
      <c r="F71" s="61">
        <v>4</v>
      </c>
      <c r="G71" s="76"/>
      <c r="H71" s="77"/>
    </row>
    <row r="72" spans="1:8" x14ac:dyDescent="0.25">
      <c r="A72" s="73" t="s">
        <v>820</v>
      </c>
      <c r="B72" s="70"/>
      <c r="C72" s="70"/>
      <c r="D72" s="71"/>
      <c r="E72" s="75">
        <f>F72*E59</f>
        <v>2</v>
      </c>
      <c r="F72" s="61">
        <v>2</v>
      </c>
      <c r="G72" s="65"/>
      <c r="H72" s="77"/>
    </row>
    <row r="73" spans="1:8" x14ac:dyDescent="0.25">
      <c r="A73" s="73" t="s">
        <v>528</v>
      </c>
      <c r="B73" s="70"/>
      <c r="C73" s="70"/>
      <c r="D73" s="71"/>
      <c r="E73" s="75">
        <f>2*(A59/1000)+4*(C59/1000)*E59</f>
        <v>5.0199999999999996</v>
      </c>
      <c r="F73" s="61" t="s">
        <v>402</v>
      </c>
      <c r="G73" s="65"/>
      <c r="H73" s="77"/>
    </row>
    <row r="74" spans="1:8" x14ac:dyDescent="0.25">
      <c r="A74" s="73" t="s">
        <v>530</v>
      </c>
      <c r="B74" s="70"/>
      <c r="C74" s="70"/>
      <c r="D74" s="71"/>
      <c r="E74" s="75">
        <f>2*(A59/1000)+4*(C59/1000)*E59</f>
        <v>5.0199999999999996</v>
      </c>
      <c r="F74" s="61" t="s">
        <v>402</v>
      </c>
      <c r="G74" s="65"/>
      <c r="H74" s="77"/>
    </row>
    <row r="75" spans="1:8" x14ac:dyDescent="0.25">
      <c r="A75" s="73" t="s">
        <v>584</v>
      </c>
      <c r="B75" s="70"/>
      <c r="C75" s="70"/>
      <c r="D75" s="71"/>
      <c r="E75" s="75">
        <f>A59/100</f>
        <v>15.1</v>
      </c>
      <c r="F75" s="61" t="s">
        <v>813</v>
      </c>
      <c r="G75" s="65"/>
      <c r="H75" s="77"/>
    </row>
    <row r="76" spans="1:8" x14ac:dyDescent="0.25">
      <c r="A76" s="52"/>
      <c r="B76" s="53"/>
      <c r="C76" s="53"/>
      <c r="D76" s="53"/>
      <c r="E76" s="53"/>
      <c r="F76" s="65"/>
      <c r="G76" s="65"/>
      <c r="H76" s="51"/>
    </row>
    <row r="77" spans="1:8" x14ac:dyDescent="0.25">
      <c r="A77" s="52"/>
      <c r="B77" s="53"/>
      <c r="C77" s="53"/>
      <c r="D77" s="53"/>
      <c r="E77" s="53"/>
      <c r="F77" s="53"/>
      <c r="G77" s="53"/>
      <c r="H77" s="83"/>
    </row>
    <row r="78" spans="1:8" x14ac:dyDescent="0.25">
      <c r="A78" s="59" t="s">
        <v>413</v>
      </c>
      <c r="B78" s="84" t="s">
        <v>266</v>
      </c>
      <c r="C78" s="84" t="s">
        <v>383</v>
      </c>
      <c r="D78" s="405" t="s">
        <v>414</v>
      </c>
      <c r="E78" s="406"/>
      <c r="F78" s="85" t="s">
        <v>415</v>
      </c>
      <c r="G78" s="59" t="s">
        <v>416</v>
      </c>
      <c r="H78" s="86"/>
    </row>
    <row r="79" spans="1:8" x14ac:dyDescent="0.25">
      <c r="A79" s="87"/>
      <c r="B79" s="61">
        <f>2*E59</f>
        <v>2</v>
      </c>
      <c r="C79" s="61" t="s">
        <v>821</v>
      </c>
      <c r="D79" s="407">
        <f>A59/2-53</f>
        <v>702</v>
      </c>
      <c r="E79" s="408"/>
      <c r="F79" s="61">
        <f>C59-64</f>
        <v>436</v>
      </c>
      <c r="G79" s="91">
        <f>+(D79/1000)*(F79/1000)*B79</f>
        <v>0.61214399999999991</v>
      </c>
      <c r="H79" s="92"/>
    </row>
    <row r="80" spans="1:8" x14ac:dyDescent="0.25">
      <c r="A80" s="79"/>
      <c r="B80" s="53"/>
      <c r="C80" s="53"/>
      <c r="D80" s="53"/>
      <c r="E80" s="53"/>
      <c r="F80" s="94" t="s">
        <v>815</v>
      </c>
      <c r="G80" s="95">
        <f>SUM(G79:G79)</f>
        <v>0.61214399999999991</v>
      </c>
      <c r="H80" s="51"/>
    </row>
    <row r="81" spans="1:8" x14ac:dyDescent="0.25">
      <c r="A81" s="79"/>
      <c r="B81" s="53"/>
      <c r="C81" s="53"/>
      <c r="D81" s="53"/>
      <c r="E81" s="53"/>
      <c r="F81" s="94"/>
      <c r="G81" s="96"/>
      <c r="H81" s="51"/>
    </row>
    <row r="82" spans="1:8" x14ac:dyDescent="0.25">
      <c r="A82" s="79"/>
      <c r="B82" s="53"/>
      <c r="C82" s="53"/>
      <c r="D82" s="53"/>
      <c r="E82" s="53"/>
      <c r="F82" s="94"/>
      <c r="G82" s="96"/>
      <c r="H82" s="51"/>
    </row>
    <row r="83" spans="1:8" x14ac:dyDescent="0.25">
      <c r="A83" s="79"/>
      <c r="B83" s="53"/>
      <c r="C83" s="53"/>
      <c r="D83" s="53"/>
      <c r="E83" s="53"/>
      <c r="F83" s="94"/>
      <c r="G83" s="96"/>
      <c r="H83" s="51"/>
    </row>
    <row r="84" spans="1:8" x14ac:dyDescent="0.25">
      <c r="A84" s="79"/>
      <c r="B84" s="53"/>
      <c r="C84" s="53"/>
      <c r="D84" s="53"/>
      <c r="E84" s="53"/>
      <c r="F84" s="94"/>
      <c r="G84" s="96"/>
      <c r="H84" s="51"/>
    </row>
    <row r="85" spans="1:8" x14ac:dyDescent="0.25">
      <c r="A85" s="79"/>
      <c r="B85" s="53"/>
      <c r="C85" s="53"/>
      <c r="D85" s="53"/>
      <c r="E85" s="53"/>
      <c r="F85" s="94"/>
      <c r="G85" s="96"/>
      <c r="H85" s="51"/>
    </row>
    <row r="86" spans="1:8" x14ac:dyDescent="0.25">
      <c r="A86" s="79"/>
      <c r="B86" s="53"/>
      <c r="C86" s="53"/>
      <c r="D86" s="53"/>
      <c r="E86" s="53"/>
      <c r="F86" s="94"/>
      <c r="G86" s="96"/>
      <c r="H86" s="51"/>
    </row>
    <row r="87" spans="1:8" x14ac:dyDescent="0.25">
      <c r="A87" s="79"/>
      <c r="B87" s="53"/>
      <c r="C87" s="53"/>
      <c r="D87" s="53"/>
      <c r="E87" s="53"/>
      <c r="F87" s="94"/>
      <c r="G87" s="96"/>
      <c r="H87" s="51"/>
    </row>
    <row r="88" spans="1:8" x14ac:dyDescent="0.25">
      <c r="A88" s="79"/>
      <c r="B88" s="53"/>
      <c r="C88" s="53"/>
      <c r="D88" s="53"/>
      <c r="E88" s="53"/>
      <c r="F88" s="94"/>
      <c r="G88" s="96"/>
      <c r="H88" s="51"/>
    </row>
    <row r="89" spans="1:8" x14ac:dyDescent="0.25">
      <c r="A89" s="79"/>
      <c r="B89" s="53"/>
      <c r="C89" s="53"/>
      <c r="D89" s="53"/>
      <c r="E89" s="53"/>
      <c r="F89" s="94"/>
      <c r="G89" s="96"/>
      <c r="H89" s="51"/>
    </row>
    <row r="90" spans="1:8" x14ac:dyDescent="0.25">
      <c r="A90" s="79"/>
      <c r="B90" s="53"/>
      <c r="C90" s="53"/>
      <c r="D90" s="53"/>
      <c r="E90" s="53"/>
      <c r="F90" s="94"/>
      <c r="G90" s="96"/>
      <c r="H90" s="51"/>
    </row>
    <row r="91" spans="1:8" x14ac:dyDescent="0.25">
      <c r="A91" s="79"/>
      <c r="B91" s="53"/>
      <c r="C91" s="53"/>
      <c r="D91" s="53"/>
      <c r="E91" s="53"/>
      <c r="F91" s="94"/>
      <c r="G91" s="96"/>
      <c r="H91" s="51"/>
    </row>
    <row r="92" spans="1:8" x14ac:dyDescent="0.25">
      <c r="A92" s="79"/>
      <c r="B92" s="53"/>
      <c r="C92" s="53"/>
      <c r="D92" s="53"/>
      <c r="E92" s="53"/>
      <c r="F92" s="94"/>
      <c r="G92" s="96"/>
      <c r="H92" s="51"/>
    </row>
    <row r="93" spans="1:8" x14ac:dyDescent="0.25">
      <c r="A93" s="79"/>
      <c r="B93" s="53"/>
      <c r="C93" s="53"/>
      <c r="D93" s="53"/>
      <c r="E93" s="53"/>
      <c r="F93" s="94"/>
      <c r="G93" s="96"/>
      <c r="H93" s="51"/>
    </row>
    <row r="94" spans="1:8" x14ac:dyDescent="0.25">
      <c r="A94" s="79"/>
      <c r="B94" s="53"/>
      <c r="C94" s="53"/>
      <c r="D94" s="53"/>
      <c r="E94" s="53"/>
      <c r="F94" s="94"/>
      <c r="G94" s="96"/>
      <c r="H94" s="51"/>
    </row>
    <row r="95" spans="1:8" x14ac:dyDescent="0.25">
      <c r="A95" s="79"/>
      <c r="B95" s="53"/>
      <c r="C95" s="53"/>
      <c r="D95" s="53"/>
      <c r="E95" s="53"/>
      <c r="F95" s="94"/>
      <c r="G95" s="96"/>
      <c r="H95" s="51"/>
    </row>
    <row r="96" spans="1:8" x14ac:dyDescent="0.25">
      <c r="A96" s="79"/>
      <c r="B96" s="53"/>
      <c r="C96" s="53"/>
      <c r="D96" s="53"/>
      <c r="E96" s="53"/>
      <c r="F96" s="94"/>
      <c r="G96" s="96"/>
      <c r="H96" s="51"/>
    </row>
    <row r="97" spans="1:8" x14ac:dyDescent="0.25">
      <c r="A97" s="79"/>
      <c r="B97" s="53"/>
      <c r="C97" s="53"/>
      <c r="D97" s="53"/>
      <c r="E97" s="53"/>
      <c r="F97" s="94"/>
      <c r="G97" s="96"/>
      <c r="H97" s="51"/>
    </row>
    <row r="98" spans="1:8" x14ac:dyDescent="0.25">
      <c r="A98" s="79"/>
      <c r="B98" s="53"/>
      <c r="C98" s="53"/>
      <c r="D98" s="53"/>
      <c r="E98" s="53"/>
      <c r="F98" s="94"/>
      <c r="G98" s="96"/>
      <c r="H98" s="51"/>
    </row>
    <row r="99" spans="1:8" x14ac:dyDescent="0.25">
      <c r="A99" s="79"/>
      <c r="B99" s="53"/>
      <c r="C99" s="53"/>
      <c r="D99" s="53"/>
      <c r="E99" s="53"/>
      <c r="F99" s="94"/>
      <c r="G99" s="96"/>
      <c r="H99" s="51"/>
    </row>
    <row r="100" spans="1:8" x14ac:dyDescent="0.25">
      <c r="A100" s="79"/>
      <c r="B100" s="53"/>
      <c r="C100" s="53"/>
      <c r="D100" s="53"/>
      <c r="E100" s="53"/>
      <c r="F100" s="94"/>
      <c r="G100" s="96"/>
      <c r="H100" s="51"/>
    </row>
    <row r="101" spans="1:8" x14ac:dyDescent="0.25">
      <c r="A101" s="79"/>
      <c r="B101" s="53"/>
      <c r="C101" s="53"/>
      <c r="D101" s="53"/>
      <c r="E101" s="53"/>
      <c r="F101" s="94"/>
      <c r="G101" s="96"/>
      <c r="H101" s="51"/>
    </row>
    <row r="102" spans="1:8" x14ac:dyDescent="0.25">
      <c r="A102" s="79"/>
      <c r="B102" s="53"/>
      <c r="C102" s="53"/>
      <c r="D102" s="53"/>
      <c r="E102" s="53"/>
      <c r="F102" s="94"/>
      <c r="G102" s="96"/>
      <c r="H102" s="51"/>
    </row>
    <row r="103" spans="1:8" x14ac:dyDescent="0.25">
      <c r="A103" s="79"/>
      <c r="B103" s="53"/>
      <c r="C103" s="53"/>
      <c r="D103" s="53"/>
      <c r="E103" s="53"/>
      <c r="F103" s="94"/>
      <c r="G103" s="96"/>
      <c r="H103" s="51"/>
    </row>
    <row r="104" spans="1:8" x14ac:dyDescent="0.25">
      <c r="A104" s="79"/>
      <c r="B104" s="53"/>
      <c r="C104" s="53"/>
      <c r="D104" s="53"/>
      <c r="E104" s="53"/>
      <c r="F104" s="94"/>
      <c r="G104" s="96"/>
      <c r="H104" s="51"/>
    </row>
    <row r="105" spans="1:8" x14ac:dyDescent="0.25">
      <c r="A105" s="79"/>
      <c r="B105" s="53"/>
      <c r="C105" s="53"/>
      <c r="D105" s="53"/>
      <c r="E105" s="53"/>
      <c r="F105" s="94"/>
      <c r="G105" s="96"/>
      <c r="H105" s="51"/>
    </row>
    <row r="106" spans="1:8" x14ac:dyDescent="0.25">
      <c r="A106" s="79"/>
      <c r="B106" s="53"/>
      <c r="C106" s="53"/>
      <c r="D106" s="53"/>
      <c r="E106" s="53"/>
      <c r="F106" s="94"/>
      <c r="G106" s="96"/>
      <c r="H106" s="51"/>
    </row>
    <row r="107" spans="1:8" x14ac:dyDescent="0.25">
      <c r="A107" s="52"/>
      <c r="B107" s="53"/>
      <c r="C107" s="53"/>
      <c r="D107" s="53"/>
      <c r="E107" s="53"/>
      <c r="F107" s="53"/>
      <c r="G107" s="53"/>
      <c r="H107" s="51"/>
    </row>
    <row r="108" spans="1:8" x14ac:dyDescent="0.25">
      <c r="A108" s="45"/>
      <c r="B108" s="45"/>
      <c r="C108" s="45"/>
      <c r="D108" s="45"/>
      <c r="E108" s="45"/>
      <c r="F108" s="45"/>
      <c r="G108" s="45"/>
      <c r="H108" s="45"/>
    </row>
    <row r="109" spans="1:8" x14ac:dyDescent="0.25">
      <c r="A109" s="100"/>
      <c r="B109" s="100"/>
      <c r="C109" s="100"/>
      <c r="D109" s="100"/>
      <c r="E109" s="100"/>
      <c r="F109" s="100"/>
      <c r="G109" s="100"/>
      <c r="H109" s="100"/>
    </row>
    <row r="110" spans="1:8" x14ac:dyDescent="0.25">
      <c r="A110" s="44"/>
      <c r="B110" s="45"/>
      <c r="C110" s="45"/>
      <c r="D110" s="45"/>
      <c r="E110" s="45"/>
      <c r="F110" s="45"/>
      <c r="G110" s="45"/>
      <c r="H110" s="46"/>
    </row>
    <row r="111" spans="1:8" x14ac:dyDescent="0.25">
      <c r="A111" s="52"/>
      <c r="B111" s="53"/>
      <c r="C111" s="53"/>
      <c r="D111" s="53"/>
      <c r="E111" s="53"/>
      <c r="F111" s="53"/>
      <c r="G111" s="53"/>
      <c r="H111" s="51"/>
    </row>
    <row r="112" spans="1:8" x14ac:dyDescent="0.25">
      <c r="A112" s="47" t="s">
        <v>822</v>
      </c>
      <c r="B112" s="49"/>
      <c r="C112" s="49"/>
      <c r="D112" s="122"/>
      <c r="E112" s="122"/>
      <c r="F112" s="54"/>
      <c r="G112" s="54" t="s">
        <v>823</v>
      </c>
      <c r="H112" s="103"/>
    </row>
    <row r="113" spans="1:8" ht="16.5" thickBot="1" x14ac:dyDescent="0.3">
      <c r="A113" s="52"/>
      <c r="B113" s="53"/>
      <c r="C113" s="53"/>
      <c r="D113" s="53"/>
      <c r="E113" s="53"/>
      <c r="F113" s="53"/>
      <c r="G113" s="53"/>
      <c r="H113" s="51"/>
    </row>
    <row r="114" spans="1:8" ht="16.5" thickBot="1" x14ac:dyDescent="0.3">
      <c r="A114" s="400" t="s">
        <v>381</v>
      </c>
      <c r="B114" s="401"/>
      <c r="C114" s="402" t="s">
        <v>382</v>
      </c>
      <c r="D114" s="401"/>
      <c r="E114" s="55" t="s">
        <v>266</v>
      </c>
      <c r="F114" s="53"/>
      <c r="G114" s="53"/>
      <c r="H114" s="51"/>
    </row>
    <row r="115" spans="1:8" ht="16.5" thickBot="1" x14ac:dyDescent="0.3">
      <c r="A115" s="403">
        <v>3660</v>
      </c>
      <c r="B115" s="404"/>
      <c r="C115" s="403">
        <v>1800</v>
      </c>
      <c r="D115" s="404"/>
      <c r="E115" s="56">
        <v>1</v>
      </c>
      <c r="F115" s="53"/>
      <c r="G115" s="53"/>
      <c r="H115" s="51"/>
    </row>
    <row r="116" spans="1:8" x14ac:dyDescent="0.25">
      <c r="A116" s="52"/>
      <c r="B116" s="58"/>
      <c r="C116" s="58"/>
      <c r="D116" s="58"/>
      <c r="E116" s="58"/>
      <c r="F116" s="58"/>
      <c r="G116" s="53"/>
      <c r="H116" s="83"/>
    </row>
    <row r="117" spans="1:8" x14ac:dyDescent="0.25">
      <c r="A117" s="59" t="s">
        <v>323</v>
      </c>
      <c r="B117" s="59" t="s">
        <v>266</v>
      </c>
      <c r="C117" s="59" t="s">
        <v>383</v>
      </c>
      <c r="D117" s="59" t="s">
        <v>384</v>
      </c>
      <c r="E117" s="59" t="s">
        <v>332</v>
      </c>
      <c r="F117" s="59" t="s">
        <v>385</v>
      </c>
      <c r="G117" s="59" t="s">
        <v>386</v>
      </c>
      <c r="H117" s="59" t="s">
        <v>387</v>
      </c>
    </row>
    <row r="118" spans="1:8" x14ac:dyDescent="0.25">
      <c r="A118" s="60">
        <v>4301</v>
      </c>
      <c r="B118" s="61">
        <f>2*E115</f>
        <v>2</v>
      </c>
      <c r="C118" s="61" t="s">
        <v>335</v>
      </c>
      <c r="D118" s="61">
        <f>A115</f>
        <v>3660</v>
      </c>
      <c r="E118" s="61" t="s">
        <v>336</v>
      </c>
      <c r="F118" s="62" t="s">
        <v>809</v>
      </c>
      <c r="G118" s="63">
        <v>0.436</v>
      </c>
      <c r="H118" s="63">
        <f>(D118/1000)*B118*G118</f>
        <v>3.1915200000000001</v>
      </c>
    </row>
    <row r="119" spans="1:8" x14ac:dyDescent="0.25">
      <c r="A119" s="60">
        <v>4301</v>
      </c>
      <c r="B119" s="61">
        <f>2*E115</f>
        <v>2</v>
      </c>
      <c r="C119" s="61" t="s">
        <v>337</v>
      </c>
      <c r="D119" s="61">
        <f>C115</f>
        <v>1800</v>
      </c>
      <c r="E119" s="61" t="s">
        <v>336</v>
      </c>
      <c r="F119" s="62" t="s">
        <v>809</v>
      </c>
      <c r="G119" s="63">
        <v>0.436</v>
      </c>
      <c r="H119" s="63">
        <f>(D119/1000)*B119*G119</f>
        <v>1.5696000000000001</v>
      </c>
    </row>
    <row r="120" spans="1:8" x14ac:dyDescent="0.25">
      <c r="A120" s="60">
        <v>4308</v>
      </c>
      <c r="B120" s="61">
        <f>2*E115</f>
        <v>2</v>
      </c>
      <c r="C120" s="61" t="s">
        <v>810</v>
      </c>
      <c r="D120" s="61">
        <f>A115-44</f>
        <v>3616</v>
      </c>
      <c r="E120" s="61" t="s">
        <v>336</v>
      </c>
      <c r="F120" s="62" t="s">
        <v>117</v>
      </c>
      <c r="G120" s="63">
        <v>0.17699999999999999</v>
      </c>
      <c r="H120" s="63">
        <f>(D120/1000)*B120*G120</f>
        <v>1.2800639999999999</v>
      </c>
    </row>
    <row r="121" spans="1:8" x14ac:dyDescent="0.25">
      <c r="A121" s="60">
        <v>4308</v>
      </c>
      <c r="B121" s="61">
        <f>2*E115</f>
        <v>2</v>
      </c>
      <c r="C121" s="61" t="s">
        <v>685</v>
      </c>
      <c r="D121" s="61">
        <f>C115-44</f>
        <v>1756</v>
      </c>
      <c r="E121" s="61" t="s">
        <v>336</v>
      </c>
      <c r="F121" s="62" t="s">
        <v>117</v>
      </c>
      <c r="G121" s="63">
        <v>0.17699999999999999</v>
      </c>
      <c r="H121" s="63">
        <f>(D121/1000)*B121*G121</f>
        <v>0.62162399999999995</v>
      </c>
    </row>
    <row r="122" spans="1:8" x14ac:dyDescent="0.25">
      <c r="A122" s="64"/>
      <c r="B122" s="65"/>
      <c r="C122" s="65"/>
      <c r="D122" s="65"/>
      <c r="E122" s="65"/>
      <c r="F122" s="65"/>
      <c r="G122" s="63" t="s">
        <v>392</v>
      </c>
      <c r="H122" s="63">
        <f>SUM(H118:H121)</f>
        <v>6.6628079999999992</v>
      </c>
    </row>
    <row r="123" spans="1:8" x14ac:dyDescent="0.25">
      <c r="A123" s="64"/>
      <c r="B123" s="65"/>
      <c r="C123" s="65"/>
      <c r="D123" s="65"/>
      <c r="E123" s="65"/>
      <c r="F123" s="65"/>
      <c r="G123" s="66"/>
      <c r="H123" s="67"/>
    </row>
    <row r="124" spans="1:8" x14ac:dyDescent="0.25">
      <c r="A124" s="64"/>
      <c r="B124" s="65"/>
      <c r="C124" s="65"/>
      <c r="D124" s="65"/>
      <c r="E124" s="65"/>
      <c r="F124" s="65"/>
      <c r="G124" s="68"/>
      <c r="H124" s="67"/>
    </row>
    <row r="125" spans="1:8" x14ac:dyDescent="0.25">
      <c r="A125" s="69" t="s">
        <v>393</v>
      </c>
      <c r="B125" s="70"/>
      <c r="C125" s="70"/>
      <c r="D125" s="71"/>
      <c r="E125" s="59" t="s">
        <v>36</v>
      </c>
      <c r="F125" s="59" t="s">
        <v>266</v>
      </c>
      <c r="G125" s="52"/>
      <c r="H125" s="72"/>
    </row>
    <row r="126" spans="1:8" x14ac:dyDescent="0.25">
      <c r="A126" s="73" t="s">
        <v>811</v>
      </c>
      <c r="B126" s="70"/>
      <c r="C126" s="70"/>
      <c r="D126" s="71"/>
      <c r="E126" s="75">
        <f>F126*E115</f>
        <v>4</v>
      </c>
      <c r="F126" s="61">
        <v>4</v>
      </c>
      <c r="G126" s="76"/>
      <c r="H126" s="77"/>
    </row>
    <row r="127" spans="1:8" x14ac:dyDescent="0.25">
      <c r="A127" s="73" t="s">
        <v>528</v>
      </c>
      <c r="B127" s="70"/>
      <c r="C127" s="70"/>
      <c r="D127" s="71"/>
      <c r="E127" s="75">
        <f>2*(A115/1000)+2*(C115/1000)*E115</f>
        <v>10.92</v>
      </c>
      <c r="F127" s="61" t="s">
        <v>448</v>
      </c>
      <c r="G127" s="65"/>
      <c r="H127" s="77"/>
    </row>
    <row r="128" spans="1:8" x14ac:dyDescent="0.25">
      <c r="A128" s="73" t="s">
        <v>530</v>
      </c>
      <c r="B128" s="70"/>
      <c r="C128" s="70"/>
      <c r="D128" s="71"/>
      <c r="E128" s="75">
        <f>2*(A115/1000)+2*(C115/1000)*E115</f>
        <v>10.92</v>
      </c>
      <c r="F128" s="61" t="s">
        <v>448</v>
      </c>
      <c r="G128" s="65"/>
      <c r="H128" s="77"/>
    </row>
    <row r="129" spans="1:8" x14ac:dyDescent="0.25">
      <c r="A129" s="73" t="s">
        <v>584</v>
      </c>
      <c r="B129" s="70"/>
      <c r="C129" s="70"/>
      <c r="D129" s="71"/>
      <c r="E129" s="75">
        <f>A115/100+C115/100*E115</f>
        <v>54.6</v>
      </c>
      <c r="F129" s="61" t="s">
        <v>824</v>
      </c>
      <c r="G129" s="65"/>
      <c r="H129" s="77"/>
    </row>
    <row r="130" spans="1:8" x14ac:dyDescent="0.25">
      <c r="A130" s="52"/>
      <c r="B130" s="53"/>
      <c r="C130" s="53"/>
      <c r="D130" s="53"/>
      <c r="E130" s="53"/>
      <c r="F130" s="65"/>
      <c r="G130" s="65"/>
      <c r="H130" s="51"/>
    </row>
    <row r="131" spans="1:8" x14ac:dyDescent="0.25">
      <c r="A131" s="52"/>
      <c r="B131" s="53"/>
      <c r="C131" s="53"/>
      <c r="D131" s="53"/>
      <c r="E131" s="53"/>
      <c r="F131" s="53"/>
      <c r="G131" s="53"/>
      <c r="H131" s="83"/>
    </row>
    <row r="132" spans="1:8" x14ac:dyDescent="0.25">
      <c r="A132" s="59" t="s">
        <v>413</v>
      </c>
      <c r="B132" s="84" t="s">
        <v>266</v>
      </c>
      <c r="C132" s="84" t="s">
        <v>383</v>
      </c>
      <c r="D132" s="405" t="s">
        <v>414</v>
      </c>
      <c r="E132" s="406"/>
      <c r="F132" s="85" t="s">
        <v>415</v>
      </c>
      <c r="G132" s="59" t="s">
        <v>416</v>
      </c>
      <c r="H132" s="86"/>
    </row>
    <row r="133" spans="1:8" x14ac:dyDescent="0.25">
      <c r="A133" s="87"/>
      <c r="B133" s="61">
        <f>1*E115</f>
        <v>1</v>
      </c>
      <c r="C133" s="61" t="s">
        <v>825</v>
      </c>
      <c r="D133" s="407">
        <f>A115-64</f>
        <v>3596</v>
      </c>
      <c r="E133" s="408"/>
      <c r="F133" s="61">
        <f>C115-64</f>
        <v>1736</v>
      </c>
      <c r="G133" s="91">
        <f>+(D133/1000)*(F133/1000)*B133</f>
        <v>6.2426560000000002</v>
      </c>
      <c r="H133" s="92"/>
    </row>
    <row r="134" spans="1:8" x14ac:dyDescent="0.25">
      <c r="A134" s="79"/>
      <c r="B134" s="53"/>
      <c r="C134" s="53"/>
      <c r="D134" s="53"/>
      <c r="E134" s="53"/>
      <c r="F134" s="94" t="s">
        <v>815</v>
      </c>
      <c r="G134" s="95">
        <f>SUM(G133:G133)</f>
        <v>6.2426560000000002</v>
      </c>
      <c r="H134" s="51"/>
    </row>
    <row r="135" spans="1:8" x14ac:dyDescent="0.25">
      <c r="A135" s="79"/>
      <c r="B135" s="53"/>
      <c r="C135" s="53"/>
      <c r="D135" s="53"/>
      <c r="E135" s="53"/>
      <c r="F135" s="94"/>
      <c r="G135" s="96"/>
      <c r="H135" s="51"/>
    </row>
    <row r="136" spans="1:8" x14ac:dyDescent="0.25">
      <c r="A136" s="79"/>
      <c r="B136" s="53"/>
      <c r="C136" s="53"/>
      <c r="D136" s="53"/>
      <c r="E136" s="53"/>
      <c r="F136" s="94"/>
      <c r="G136" s="96"/>
      <c r="H136" s="51"/>
    </row>
    <row r="137" spans="1:8" x14ac:dyDescent="0.25">
      <c r="A137" s="79"/>
      <c r="B137" s="53"/>
      <c r="C137" s="53"/>
      <c r="D137" s="53"/>
      <c r="E137" s="53"/>
      <c r="F137" s="94"/>
      <c r="G137" s="96"/>
      <c r="H137" s="51"/>
    </row>
    <row r="138" spans="1:8" x14ac:dyDescent="0.25">
      <c r="A138" s="79"/>
      <c r="B138" s="53"/>
      <c r="C138" s="53"/>
      <c r="D138" s="53"/>
      <c r="E138" s="53"/>
      <c r="F138" s="94"/>
      <c r="G138" s="96"/>
      <c r="H138" s="51"/>
    </row>
    <row r="139" spans="1:8" x14ac:dyDescent="0.25">
      <c r="A139" s="79"/>
      <c r="B139" s="53"/>
      <c r="C139" s="53"/>
      <c r="D139" s="53"/>
      <c r="E139" s="53"/>
      <c r="F139" s="94"/>
      <c r="G139" s="96"/>
      <c r="H139" s="51"/>
    </row>
    <row r="140" spans="1:8" x14ac:dyDescent="0.25">
      <c r="A140" s="79"/>
      <c r="B140" s="53"/>
      <c r="C140" s="53"/>
      <c r="D140" s="53"/>
      <c r="E140" s="53"/>
      <c r="F140" s="94"/>
      <c r="G140" s="96"/>
      <c r="H140" s="51"/>
    </row>
    <row r="141" spans="1:8" x14ac:dyDescent="0.25">
      <c r="A141" s="79"/>
      <c r="B141" s="53"/>
      <c r="C141" s="53"/>
      <c r="D141" s="53"/>
      <c r="E141" s="53"/>
      <c r="F141" s="94"/>
      <c r="G141" s="96"/>
      <c r="H141" s="51"/>
    </row>
    <row r="142" spans="1:8" x14ac:dyDescent="0.25">
      <c r="A142" s="79"/>
      <c r="B142" s="53"/>
      <c r="C142" s="53"/>
      <c r="D142" s="53"/>
      <c r="E142" s="53"/>
      <c r="F142" s="94"/>
      <c r="G142" s="96"/>
      <c r="H142" s="51"/>
    </row>
    <row r="143" spans="1:8" x14ac:dyDescent="0.25">
      <c r="A143" s="79"/>
      <c r="B143" s="53"/>
      <c r="C143" s="53"/>
      <c r="D143" s="53"/>
      <c r="E143" s="53"/>
      <c r="F143" s="94"/>
      <c r="G143" s="96"/>
      <c r="H143" s="51"/>
    </row>
    <row r="144" spans="1:8" x14ac:dyDescent="0.25">
      <c r="A144" s="79"/>
      <c r="B144" s="53"/>
      <c r="C144" s="53"/>
      <c r="D144" s="53"/>
      <c r="E144" s="53"/>
      <c r="F144" s="94"/>
      <c r="G144" s="96"/>
      <c r="H144" s="51"/>
    </row>
    <row r="145" spans="1:8" x14ac:dyDescent="0.25">
      <c r="A145" s="79"/>
      <c r="B145" s="53"/>
      <c r="C145" s="53"/>
      <c r="D145" s="53"/>
      <c r="E145" s="53"/>
      <c r="F145" s="94"/>
      <c r="G145" s="96"/>
      <c r="H145" s="51"/>
    </row>
    <row r="146" spans="1:8" x14ac:dyDescent="0.25">
      <c r="A146" s="79"/>
      <c r="B146" s="53"/>
      <c r="C146" s="53"/>
      <c r="D146" s="53"/>
      <c r="E146" s="53"/>
      <c r="F146" s="94"/>
      <c r="G146" s="96"/>
      <c r="H146" s="51"/>
    </row>
    <row r="147" spans="1:8" x14ac:dyDescent="0.25">
      <c r="A147" s="79"/>
      <c r="B147" s="53"/>
      <c r="C147" s="53"/>
      <c r="D147" s="53"/>
      <c r="E147" s="53"/>
      <c r="F147" s="94"/>
      <c r="G147" s="96"/>
      <c r="H147" s="51"/>
    </row>
    <row r="148" spans="1:8" x14ac:dyDescent="0.25">
      <c r="A148" s="79"/>
      <c r="B148" s="53"/>
      <c r="C148" s="53"/>
      <c r="D148" s="53"/>
      <c r="E148" s="53"/>
      <c r="F148" s="94"/>
      <c r="G148" s="96"/>
      <c r="H148" s="51"/>
    </row>
    <row r="149" spans="1:8" x14ac:dyDescent="0.25">
      <c r="A149" s="79"/>
      <c r="B149" s="53"/>
      <c r="C149" s="53"/>
      <c r="D149" s="53"/>
      <c r="E149" s="53"/>
      <c r="F149" s="94"/>
      <c r="G149" s="96"/>
      <c r="H149" s="51"/>
    </row>
    <row r="150" spans="1:8" x14ac:dyDescent="0.25">
      <c r="A150" s="79"/>
      <c r="B150" s="53"/>
      <c r="C150" s="53"/>
      <c r="D150" s="53"/>
      <c r="E150" s="53"/>
      <c r="F150" s="94"/>
      <c r="G150" s="96"/>
      <c r="H150" s="51"/>
    </row>
    <row r="151" spans="1:8" x14ac:dyDescent="0.25">
      <c r="A151" s="79"/>
      <c r="B151" s="53"/>
      <c r="C151" s="53"/>
      <c r="D151" s="53"/>
      <c r="E151" s="53"/>
      <c r="F151" s="94"/>
      <c r="G151" s="96"/>
      <c r="H151" s="51"/>
    </row>
    <row r="152" spans="1:8" x14ac:dyDescent="0.25">
      <c r="A152" s="79"/>
      <c r="B152" s="53"/>
      <c r="C152" s="53"/>
      <c r="D152" s="53"/>
      <c r="E152" s="53"/>
      <c r="F152" s="94"/>
      <c r="G152" s="96"/>
      <c r="H152" s="51"/>
    </row>
    <row r="153" spans="1:8" x14ac:dyDescent="0.25">
      <c r="A153" s="79"/>
      <c r="B153" s="53"/>
      <c r="C153" s="53"/>
      <c r="D153" s="53"/>
      <c r="E153" s="53"/>
      <c r="F153" s="94"/>
      <c r="G153" s="96"/>
      <c r="H153" s="51"/>
    </row>
    <row r="154" spans="1:8" x14ac:dyDescent="0.25">
      <c r="A154" s="79"/>
      <c r="B154" s="53"/>
      <c r="C154" s="53"/>
      <c r="D154" s="53"/>
      <c r="E154" s="53"/>
      <c r="F154" s="94"/>
      <c r="G154" s="96"/>
      <c r="H154" s="51"/>
    </row>
    <row r="155" spans="1:8" x14ac:dyDescent="0.25">
      <c r="A155" s="79"/>
      <c r="B155" s="53"/>
      <c r="C155" s="53"/>
      <c r="D155" s="53"/>
      <c r="E155" s="53"/>
      <c r="F155" s="94"/>
      <c r="G155" s="96"/>
      <c r="H155" s="51"/>
    </row>
    <row r="156" spans="1:8" x14ac:dyDescent="0.25">
      <c r="A156" s="79"/>
      <c r="B156" s="53"/>
      <c r="C156" s="53"/>
      <c r="D156" s="53"/>
      <c r="E156" s="53"/>
      <c r="F156" s="94"/>
      <c r="G156" s="96"/>
      <c r="H156" s="51"/>
    </row>
    <row r="157" spans="1:8" x14ac:dyDescent="0.25">
      <c r="A157" s="79"/>
      <c r="B157" s="53"/>
      <c r="C157" s="53"/>
      <c r="D157" s="53"/>
      <c r="E157" s="53"/>
      <c r="F157" s="94"/>
      <c r="G157" s="96"/>
      <c r="H157" s="51"/>
    </row>
    <row r="158" spans="1:8" x14ac:dyDescent="0.25">
      <c r="A158" s="79"/>
      <c r="B158" s="53"/>
      <c r="C158" s="53"/>
      <c r="D158" s="53"/>
      <c r="E158" s="53"/>
      <c r="F158" s="94"/>
      <c r="G158" s="96"/>
      <c r="H158" s="51"/>
    </row>
    <row r="159" spans="1:8" x14ac:dyDescent="0.25">
      <c r="A159" s="79"/>
      <c r="B159" s="53"/>
      <c r="C159" s="53"/>
      <c r="D159" s="53"/>
      <c r="E159" s="53"/>
      <c r="F159" s="94"/>
      <c r="G159" s="96"/>
      <c r="H159" s="51"/>
    </row>
    <row r="160" spans="1:8" x14ac:dyDescent="0.25">
      <c r="A160" s="79"/>
      <c r="B160" s="53"/>
      <c r="C160" s="53"/>
      <c r="D160" s="53"/>
      <c r="E160" s="53"/>
      <c r="F160" s="94"/>
      <c r="G160" s="96"/>
      <c r="H160" s="51"/>
    </row>
    <row r="161" spans="1:8" x14ac:dyDescent="0.25">
      <c r="A161" s="79"/>
      <c r="B161" s="53"/>
      <c r="C161" s="53"/>
      <c r="D161" s="53"/>
      <c r="E161" s="53"/>
      <c r="F161" s="94"/>
      <c r="G161" s="96"/>
      <c r="H161" s="51"/>
    </row>
    <row r="162" spans="1:8" x14ac:dyDescent="0.25">
      <c r="A162" s="79"/>
      <c r="B162" s="53"/>
      <c r="C162" s="53"/>
      <c r="D162" s="53"/>
      <c r="E162" s="53"/>
      <c r="F162" s="94"/>
      <c r="G162" s="96"/>
      <c r="H162" s="51"/>
    </row>
    <row r="163" spans="1:8" x14ac:dyDescent="0.25">
      <c r="A163" s="79"/>
      <c r="B163" s="53"/>
      <c r="C163" s="53"/>
      <c r="D163" s="53"/>
      <c r="E163" s="53"/>
      <c r="F163" s="94"/>
      <c r="G163" s="96"/>
      <c r="H163" s="51"/>
    </row>
    <row r="164" spans="1:8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x14ac:dyDescent="0.25">
      <c r="A165" s="100"/>
      <c r="B165" s="100"/>
      <c r="C165" s="100"/>
      <c r="D165" s="100"/>
      <c r="E165" s="100"/>
      <c r="F165" s="100"/>
      <c r="G165" s="100"/>
      <c r="H165" s="100"/>
    </row>
    <row r="166" spans="1:8" x14ac:dyDescent="0.25">
      <c r="A166" s="44"/>
      <c r="B166" s="45"/>
      <c r="C166" s="45"/>
      <c r="D166" s="45"/>
      <c r="E166" s="45"/>
      <c r="F166" s="45"/>
      <c r="G166" s="45"/>
      <c r="H166" s="46"/>
    </row>
    <row r="167" spans="1:8" x14ac:dyDescent="0.25">
      <c r="A167" s="52"/>
      <c r="B167" s="53"/>
      <c r="C167" s="53"/>
      <c r="D167" s="53"/>
      <c r="E167" s="53"/>
      <c r="F167" s="53"/>
      <c r="G167" s="53"/>
      <c r="H167" s="51"/>
    </row>
    <row r="168" spans="1:8" x14ac:dyDescent="0.25">
      <c r="A168" s="47" t="s">
        <v>826</v>
      </c>
      <c r="B168" s="49"/>
      <c r="C168" s="49"/>
      <c r="D168" s="122"/>
      <c r="E168" s="122"/>
      <c r="F168" s="54"/>
      <c r="G168" s="54" t="s">
        <v>827</v>
      </c>
      <c r="H168" s="103"/>
    </row>
    <row r="169" spans="1:8" ht="16.5" thickBot="1" x14ac:dyDescent="0.3">
      <c r="A169" s="52"/>
      <c r="B169" s="53"/>
      <c r="C169" s="53"/>
      <c r="D169" s="53"/>
      <c r="E169" s="53"/>
      <c r="F169" s="53"/>
      <c r="G169" s="53"/>
      <c r="H169" s="51"/>
    </row>
    <row r="170" spans="1:8" ht="16.5" thickBot="1" x14ac:dyDescent="0.3">
      <c r="A170" s="400" t="s">
        <v>381</v>
      </c>
      <c r="B170" s="401"/>
      <c r="C170" s="402" t="s">
        <v>382</v>
      </c>
      <c r="D170" s="401"/>
      <c r="E170" s="55" t="s">
        <v>266</v>
      </c>
      <c r="F170" s="53"/>
      <c r="G170" s="53"/>
      <c r="H170" s="51"/>
    </row>
    <row r="171" spans="1:8" ht="16.5" thickBot="1" x14ac:dyDescent="0.3">
      <c r="A171" s="403">
        <v>3200</v>
      </c>
      <c r="B171" s="404"/>
      <c r="C171" s="403">
        <v>2500</v>
      </c>
      <c r="D171" s="404"/>
      <c r="E171" s="56">
        <v>1</v>
      </c>
      <c r="F171" s="53"/>
      <c r="G171" s="53"/>
      <c r="H171" s="51"/>
    </row>
    <row r="172" spans="1:8" x14ac:dyDescent="0.25">
      <c r="A172" s="52"/>
      <c r="B172" s="58"/>
      <c r="C172" s="58"/>
      <c r="D172" s="58"/>
      <c r="E172" s="58"/>
      <c r="F172" s="58"/>
      <c r="G172" s="53"/>
      <c r="H172" s="83"/>
    </row>
    <row r="173" spans="1:8" x14ac:dyDescent="0.25">
      <c r="A173" s="59" t="s">
        <v>323</v>
      </c>
      <c r="B173" s="59" t="s">
        <v>266</v>
      </c>
      <c r="C173" s="59" t="s">
        <v>383</v>
      </c>
      <c r="D173" s="59" t="s">
        <v>384</v>
      </c>
      <c r="E173" s="59" t="s">
        <v>332</v>
      </c>
      <c r="F173" s="59" t="s">
        <v>385</v>
      </c>
      <c r="G173" s="59" t="s">
        <v>386</v>
      </c>
      <c r="H173" s="59" t="s">
        <v>387</v>
      </c>
    </row>
    <row r="174" spans="1:8" x14ac:dyDescent="0.25">
      <c r="A174" s="60">
        <v>4301</v>
      </c>
      <c r="B174" s="61">
        <f>2*E171</f>
        <v>2</v>
      </c>
      <c r="C174" s="61" t="s">
        <v>335</v>
      </c>
      <c r="D174" s="61">
        <f>A171</f>
        <v>3200</v>
      </c>
      <c r="E174" s="61" t="s">
        <v>336</v>
      </c>
      <c r="F174" s="62" t="s">
        <v>809</v>
      </c>
      <c r="G174" s="63">
        <v>0.436</v>
      </c>
      <c r="H174" s="63">
        <f>(D174/1000)*B174*G174</f>
        <v>2.7904</v>
      </c>
    </row>
    <row r="175" spans="1:8" x14ac:dyDescent="0.25">
      <c r="A175" s="60">
        <v>4301</v>
      </c>
      <c r="B175" s="61">
        <f>2*E171</f>
        <v>2</v>
      </c>
      <c r="C175" s="61" t="s">
        <v>337</v>
      </c>
      <c r="D175" s="61">
        <f>C171</f>
        <v>2500</v>
      </c>
      <c r="E175" s="61" t="s">
        <v>336</v>
      </c>
      <c r="F175" s="62" t="s">
        <v>809</v>
      </c>
      <c r="G175" s="63">
        <v>0.436</v>
      </c>
      <c r="H175" s="63">
        <f>(D175/1000)*B175*G175</f>
        <v>2.1800000000000002</v>
      </c>
    </row>
    <row r="176" spans="1:8" x14ac:dyDescent="0.25">
      <c r="A176" s="60">
        <v>4308</v>
      </c>
      <c r="B176" s="61">
        <f>2*E171</f>
        <v>2</v>
      </c>
      <c r="C176" s="61" t="s">
        <v>818</v>
      </c>
      <c r="D176" s="61">
        <f>A171/2-34</f>
        <v>1566</v>
      </c>
      <c r="E176" s="61" t="s">
        <v>336</v>
      </c>
      <c r="F176" s="62" t="s">
        <v>117</v>
      </c>
      <c r="G176" s="63">
        <v>0.17699999999999999</v>
      </c>
      <c r="H176" s="63">
        <f>(D176/1000)*B176*G176</f>
        <v>0.55436399999999997</v>
      </c>
    </row>
    <row r="177" spans="1:8" x14ac:dyDescent="0.25">
      <c r="A177" s="60">
        <v>4308</v>
      </c>
      <c r="B177" s="61">
        <f>4*E171</f>
        <v>4</v>
      </c>
      <c r="C177" s="61" t="s">
        <v>685</v>
      </c>
      <c r="D177" s="61">
        <f>C171-44</f>
        <v>2456</v>
      </c>
      <c r="E177" s="61" t="s">
        <v>336</v>
      </c>
      <c r="F177" s="62" t="s">
        <v>117</v>
      </c>
      <c r="G177" s="63">
        <v>0.17699999999999999</v>
      </c>
      <c r="H177" s="63">
        <f>(D177/1000)*B177*G177</f>
        <v>1.7388479999999999</v>
      </c>
    </row>
    <row r="178" spans="1:8" x14ac:dyDescent="0.25">
      <c r="A178" s="60">
        <v>4304</v>
      </c>
      <c r="B178" s="61">
        <f>1*E171</f>
        <v>1</v>
      </c>
      <c r="C178" s="61" t="s">
        <v>819</v>
      </c>
      <c r="D178" s="61">
        <f>C171-37</f>
        <v>2463</v>
      </c>
      <c r="E178" s="61" t="s">
        <v>340</v>
      </c>
      <c r="F178" s="62" t="s">
        <v>119</v>
      </c>
      <c r="G178" s="63">
        <v>0.67700000000000005</v>
      </c>
      <c r="H178" s="63">
        <f>(D178/1000)*B178*G178</f>
        <v>1.6674510000000002</v>
      </c>
    </row>
    <row r="179" spans="1:8" x14ac:dyDescent="0.25">
      <c r="A179" s="64"/>
      <c r="B179" s="65"/>
      <c r="C179" s="65"/>
      <c r="D179" s="65"/>
      <c r="E179" s="65"/>
      <c r="F179" s="65"/>
      <c r="G179" s="63" t="s">
        <v>392</v>
      </c>
      <c r="H179" s="63">
        <f>SUM(H174:H178)</f>
        <v>8.931063</v>
      </c>
    </row>
    <row r="180" spans="1:8" x14ac:dyDescent="0.25">
      <c r="A180" s="64"/>
      <c r="B180" s="65"/>
      <c r="C180" s="65"/>
      <c r="D180" s="65"/>
      <c r="E180" s="65"/>
      <c r="F180" s="65"/>
      <c r="G180" s="66"/>
      <c r="H180" s="67"/>
    </row>
    <row r="181" spans="1:8" x14ac:dyDescent="0.25">
      <c r="A181" s="64"/>
      <c r="B181" s="65"/>
      <c r="C181" s="65"/>
      <c r="D181" s="65"/>
      <c r="E181" s="65"/>
      <c r="F181" s="65"/>
      <c r="G181" s="68"/>
      <c r="H181" s="67"/>
    </row>
    <row r="182" spans="1:8" x14ac:dyDescent="0.25">
      <c r="A182" s="69" t="s">
        <v>393</v>
      </c>
      <c r="B182" s="70"/>
      <c r="C182" s="70"/>
      <c r="D182" s="71"/>
      <c r="E182" s="59" t="s">
        <v>36</v>
      </c>
      <c r="F182" s="59" t="s">
        <v>266</v>
      </c>
      <c r="G182" s="52"/>
      <c r="H182" s="72"/>
    </row>
    <row r="183" spans="1:8" x14ac:dyDescent="0.25">
      <c r="A183" s="73" t="s">
        <v>811</v>
      </c>
      <c r="B183" s="70"/>
      <c r="C183" s="70"/>
      <c r="D183" s="71"/>
      <c r="E183" s="75">
        <f>F183*E171</f>
        <v>4</v>
      </c>
      <c r="F183" s="61">
        <v>4</v>
      </c>
      <c r="G183" s="76"/>
      <c r="H183" s="77"/>
    </row>
    <row r="184" spans="1:8" x14ac:dyDescent="0.25">
      <c r="A184" s="73" t="s">
        <v>820</v>
      </c>
      <c r="B184" s="70"/>
      <c r="C184" s="70"/>
      <c r="D184" s="71"/>
      <c r="E184" s="75">
        <f>F184*E171</f>
        <v>2</v>
      </c>
      <c r="F184" s="61">
        <v>2</v>
      </c>
      <c r="G184" s="65"/>
      <c r="H184" s="77"/>
    </row>
    <row r="185" spans="1:8" x14ac:dyDescent="0.25">
      <c r="A185" s="73" t="s">
        <v>528</v>
      </c>
      <c r="B185" s="70"/>
      <c r="C185" s="70"/>
      <c r="D185" s="71"/>
      <c r="E185" s="75">
        <f>2*(A171/1000)+4*(C171/1000)*E171</f>
        <v>16.399999999999999</v>
      </c>
      <c r="F185" s="61" t="s">
        <v>402</v>
      </c>
      <c r="G185" s="64"/>
      <c r="H185" s="77"/>
    </row>
    <row r="186" spans="1:8" x14ac:dyDescent="0.25">
      <c r="A186" s="73" t="s">
        <v>530</v>
      </c>
      <c r="B186" s="70"/>
      <c r="C186" s="70"/>
      <c r="D186" s="71"/>
      <c r="E186" s="75">
        <f>2*(A171/1000)+4*(C171/1000)*E171</f>
        <v>16.399999999999999</v>
      </c>
      <c r="F186" s="61" t="s">
        <v>402</v>
      </c>
      <c r="G186" s="64"/>
      <c r="H186" s="77"/>
    </row>
    <row r="187" spans="1:8" x14ac:dyDescent="0.25">
      <c r="A187" s="73" t="s">
        <v>584</v>
      </c>
      <c r="B187" s="70"/>
      <c r="C187" s="70"/>
      <c r="D187" s="71"/>
      <c r="E187" s="75">
        <f>A171/100+C171/50*E171</f>
        <v>82</v>
      </c>
      <c r="F187" s="61" t="s">
        <v>828</v>
      </c>
      <c r="G187" s="64"/>
      <c r="H187" s="77"/>
    </row>
    <row r="188" spans="1:8" x14ac:dyDescent="0.25">
      <c r="A188" s="52"/>
      <c r="B188" s="53"/>
      <c r="C188" s="53"/>
      <c r="D188" s="53"/>
      <c r="E188" s="53"/>
      <c r="F188" s="65"/>
      <c r="G188" s="65"/>
      <c r="H188" s="51"/>
    </row>
    <row r="189" spans="1:8" x14ac:dyDescent="0.25">
      <c r="A189" s="52"/>
      <c r="B189" s="53"/>
      <c r="C189" s="53"/>
      <c r="D189" s="53"/>
      <c r="E189" s="53"/>
      <c r="F189" s="53"/>
      <c r="G189" s="53"/>
      <c r="H189" s="83"/>
    </row>
    <row r="190" spans="1:8" x14ac:dyDescent="0.25">
      <c r="A190" s="59" t="s">
        <v>413</v>
      </c>
      <c r="B190" s="84" t="s">
        <v>266</v>
      </c>
      <c r="C190" s="84" t="s">
        <v>383</v>
      </c>
      <c r="D190" s="405" t="s">
        <v>414</v>
      </c>
      <c r="E190" s="406"/>
      <c r="F190" s="85" t="s">
        <v>415</v>
      </c>
      <c r="G190" s="59" t="s">
        <v>416</v>
      </c>
      <c r="H190" s="86"/>
    </row>
    <row r="191" spans="1:8" x14ac:dyDescent="0.25">
      <c r="A191" s="87"/>
      <c r="B191" s="61">
        <f>2*E171</f>
        <v>2</v>
      </c>
      <c r="C191" s="61" t="s">
        <v>829</v>
      </c>
      <c r="D191" s="407">
        <f>A171/2-53</f>
        <v>1547</v>
      </c>
      <c r="E191" s="408"/>
      <c r="F191" s="61">
        <f>C171-64</f>
        <v>2436</v>
      </c>
      <c r="G191" s="91">
        <f>+(D191/1000)*(F191/1000)*B191</f>
        <v>7.5369839999999995</v>
      </c>
      <c r="H191" s="92"/>
    </row>
    <row r="192" spans="1:8" x14ac:dyDescent="0.25">
      <c r="A192" s="79"/>
      <c r="B192" s="53"/>
      <c r="C192" s="53"/>
      <c r="D192" s="53"/>
      <c r="E192" s="53"/>
      <c r="F192" s="94" t="s">
        <v>815</v>
      </c>
      <c r="G192" s="95">
        <f>SUM(G191:G191)</f>
        <v>7.5369839999999995</v>
      </c>
      <c r="H192" s="51"/>
    </row>
    <row r="193" spans="1:8" x14ac:dyDescent="0.25">
      <c r="A193" s="79"/>
      <c r="B193" s="53"/>
      <c r="C193" s="53"/>
      <c r="D193" s="53"/>
      <c r="E193" s="53"/>
      <c r="F193" s="94"/>
      <c r="G193" s="96"/>
      <c r="H193" s="51"/>
    </row>
    <row r="194" spans="1:8" x14ac:dyDescent="0.25">
      <c r="A194" s="79"/>
      <c r="B194" s="53"/>
      <c r="C194" s="53"/>
      <c r="D194" s="53"/>
      <c r="E194" s="53"/>
      <c r="F194" s="94"/>
      <c r="G194" s="96"/>
      <c r="H194" s="51"/>
    </row>
    <row r="195" spans="1:8" x14ac:dyDescent="0.25">
      <c r="A195" s="79"/>
      <c r="B195" s="53"/>
      <c r="C195" s="53"/>
      <c r="D195" s="53"/>
      <c r="E195" s="53"/>
      <c r="F195" s="94"/>
      <c r="G195" s="96"/>
      <c r="H195" s="51"/>
    </row>
    <row r="196" spans="1:8" x14ac:dyDescent="0.25">
      <c r="A196" s="79"/>
      <c r="B196" s="53"/>
      <c r="C196" s="53"/>
      <c r="D196" s="53"/>
      <c r="E196" s="53"/>
      <c r="F196" s="94"/>
      <c r="G196" s="96"/>
      <c r="H196" s="51"/>
    </row>
    <row r="197" spans="1:8" x14ac:dyDescent="0.25">
      <c r="A197" s="79"/>
      <c r="B197" s="53"/>
      <c r="C197" s="53"/>
      <c r="D197" s="53"/>
      <c r="E197" s="53"/>
      <c r="F197" s="94"/>
      <c r="G197" s="96"/>
      <c r="H197" s="51"/>
    </row>
    <row r="198" spans="1:8" x14ac:dyDescent="0.25">
      <c r="A198" s="79"/>
      <c r="B198" s="53"/>
      <c r="C198" s="53"/>
      <c r="D198" s="53"/>
      <c r="E198" s="53"/>
      <c r="F198" s="94"/>
      <c r="G198" s="96"/>
      <c r="H198" s="51"/>
    </row>
    <row r="199" spans="1:8" x14ac:dyDescent="0.25">
      <c r="A199" s="79"/>
      <c r="B199" s="53"/>
      <c r="C199" s="53"/>
      <c r="D199" s="53"/>
      <c r="E199" s="53"/>
      <c r="F199" s="94"/>
      <c r="G199" s="96"/>
      <c r="H199" s="51"/>
    </row>
    <row r="200" spans="1:8" x14ac:dyDescent="0.25">
      <c r="A200" s="79"/>
      <c r="B200" s="53"/>
      <c r="C200" s="53"/>
      <c r="D200" s="53"/>
      <c r="E200" s="53"/>
      <c r="F200" s="94"/>
      <c r="G200" s="96"/>
      <c r="H200" s="51"/>
    </row>
    <row r="201" spans="1:8" x14ac:dyDescent="0.25">
      <c r="A201" s="79"/>
      <c r="B201" s="53"/>
      <c r="C201" s="53"/>
      <c r="D201" s="53"/>
      <c r="E201" s="53"/>
      <c r="F201" s="94"/>
      <c r="G201" s="96"/>
      <c r="H201" s="51"/>
    </row>
    <row r="202" spans="1:8" x14ac:dyDescent="0.25">
      <c r="A202" s="79"/>
      <c r="B202" s="53"/>
      <c r="C202" s="53"/>
      <c r="D202" s="53"/>
      <c r="E202" s="53"/>
      <c r="F202" s="94"/>
      <c r="G202" s="96"/>
      <c r="H202" s="51"/>
    </row>
    <row r="203" spans="1:8" x14ac:dyDescent="0.25">
      <c r="A203" s="79"/>
      <c r="B203" s="53"/>
      <c r="C203" s="53"/>
      <c r="D203" s="53"/>
      <c r="E203" s="53"/>
      <c r="F203" s="94"/>
      <c r="G203" s="96"/>
      <c r="H203" s="51"/>
    </row>
    <row r="204" spans="1:8" x14ac:dyDescent="0.25">
      <c r="A204" s="79"/>
      <c r="B204" s="53"/>
      <c r="C204" s="53"/>
      <c r="D204" s="53"/>
      <c r="E204" s="53"/>
      <c r="F204" s="94"/>
      <c r="G204" s="96"/>
      <c r="H204" s="51"/>
    </row>
    <row r="205" spans="1:8" x14ac:dyDescent="0.25">
      <c r="A205" s="79"/>
      <c r="B205" s="53"/>
      <c r="C205" s="53"/>
      <c r="D205" s="53"/>
      <c r="E205" s="53"/>
      <c r="F205" s="94"/>
      <c r="G205" s="96"/>
      <c r="H205" s="51"/>
    </row>
    <row r="206" spans="1:8" x14ac:dyDescent="0.25">
      <c r="A206" s="79"/>
      <c r="B206" s="53"/>
      <c r="C206" s="53"/>
      <c r="D206" s="53"/>
      <c r="E206" s="53"/>
      <c r="F206" s="94"/>
      <c r="G206" s="96"/>
      <c r="H206" s="51"/>
    </row>
    <row r="207" spans="1:8" x14ac:dyDescent="0.25">
      <c r="A207" s="79"/>
      <c r="B207" s="53"/>
      <c r="C207" s="53"/>
      <c r="D207" s="53"/>
      <c r="E207" s="53"/>
      <c r="F207" s="94"/>
      <c r="G207" s="96"/>
      <c r="H207" s="51"/>
    </row>
    <row r="208" spans="1:8" x14ac:dyDescent="0.25">
      <c r="A208" s="79"/>
      <c r="B208" s="53"/>
      <c r="C208" s="53"/>
      <c r="D208" s="53"/>
      <c r="E208" s="53"/>
      <c r="F208" s="94"/>
      <c r="G208" s="96"/>
      <c r="H208" s="51"/>
    </row>
    <row r="209" spans="1:8" x14ac:dyDescent="0.25">
      <c r="A209" s="79"/>
      <c r="B209" s="53"/>
      <c r="C209" s="53"/>
      <c r="D209" s="53"/>
      <c r="E209" s="53"/>
      <c r="F209" s="94"/>
      <c r="G209" s="96"/>
      <c r="H209" s="51"/>
    </row>
    <row r="210" spans="1:8" x14ac:dyDescent="0.25">
      <c r="A210" s="79"/>
      <c r="B210" s="53"/>
      <c r="C210" s="53"/>
      <c r="D210" s="53"/>
      <c r="E210" s="53"/>
      <c r="F210" s="94"/>
      <c r="G210" s="96"/>
      <c r="H210" s="51"/>
    </row>
    <row r="211" spans="1:8" x14ac:dyDescent="0.25">
      <c r="A211" s="79"/>
      <c r="B211" s="53"/>
      <c r="C211" s="53"/>
      <c r="D211" s="53"/>
      <c r="E211" s="53"/>
      <c r="F211" s="94"/>
      <c r="G211" s="96"/>
      <c r="H211" s="51"/>
    </row>
    <row r="212" spans="1:8" x14ac:dyDescent="0.25">
      <c r="A212" s="79"/>
      <c r="B212" s="53"/>
      <c r="C212" s="53"/>
      <c r="D212" s="53"/>
      <c r="E212" s="53"/>
      <c r="F212" s="94"/>
      <c r="G212" s="96"/>
      <c r="H212" s="51"/>
    </row>
    <row r="213" spans="1:8" x14ac:dyDescent="0.25">
      <c r="A213" s="79"/>
      <c r="B213" s="53"/>
      <c r="C213" s="53"/>
      <c r="D213" s="53"/>
      <c r="E213" s="53"/>
      <c r="F213" s="94"/>
      <c r="G213" s="96"/>
      <c r="H213" s="51"/>
    </row>
    <row r="214" spans="1:8" x14ac:dyDescent="0.25">
      <c r="A214" s="79"/>
      <c r="B214" s="53"/>
      <c r="C214" s="53"/>
      <c r="D214" s="53"/>
      <c r="E214" s="53"/>
      <c r="F214" s="94"/>
      <c r="G214" s="96"/>
      <c r="H214" s="51"/>
    </row>
    <row r="215" spans="1:8" x14ac:dyDescent="0.25">
      <c r="A215" s="79"/>
      <c r="B215" s="53"/>
      <c r="C215" s="53"/>
      <c r="D215" s="53"/>
      <c r="E215" s="53"/>
      <c r="F215" s="94"/>
      <c r="G215" s="96"/>
      <c r="H215" s="51"/>
    </row>
    <row r="216" spans="1:8" x14ac:dyDescent="0.25">
      <c r="A216" s="79"/>
      <c r="B216" s="53"/>
      <c r="C216" s="53"/>
      <c r="D216" s="53"/>
      <c r="E216" s="53"/>
      <c r="F216" s="94"/>
      <c r="G216" s="96"/>
      <c r="H216" s="51"/>
    </row>
    <row r="217" spans="1:8" x14ac:dyDescent="0.25">
      <c r="A217" s="79"/>
      <c r="B217" s="53"/>
      <c r="C217" s="53"/>
      <c r="D217" s="53"/>
      <c r="E217" s="53"/>
      <c r="F217" s="94"/>
      <c r="G217" s="96"/>
      <c r="H217" s="51"/>
    </row>
    <row r="218" spans="1:8" x14ac:dyDescent="0.25">
      <c r="A218" s="79"/>
      <c r="B218" s="53"/>
      <c r="C218" s="53"/>
      <c r="D218" s="53"/>
      <c r="E218" s="53"/>
      <c r="F218" s="94"/>
      <c r="G218" s="96"/>
      <c r="H218" s="51"/>
    </row>
    <row r="219" spans="1:8" x14ac:dyDescent="0.25">
      <c r="A219" s="52"/>
      <c r="B219" s="53"/>
      <c r="C219" s="53"/>
      <c r="D219" s="53"/>
      <c r="E219" s="53"/>
      <c r="F219" s="53"/>
      <c r="G219" s="53"/>
      <c r="H219" s="51"/>
    </row>
    <row r="220" spans="1:8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x14ac:dyDescent="0.25">
      <c r="A221" s="100"/>
      <c r="B221" s="100"/>
      <c r="C221" s="100"/>
      <c r="D221" s="100"/>
      <c r="E221" s="100"/>
      <c r="F221" s="100"/>
      <c r="G221" s="100"/>
      <c r="H221" s="100"/>
    </row>
    <row r="222" spans="1:8" x14ac:dyDescent="0.25">
      <c r="A222" s="44"/>
      <c r="B222" s="45"/>
      <c r="C222" s="45"/>
      <c r="D222" s="45"/>
      <c r="E222" s="45"/>
      <c r="F222" s="45"/>
      <c r="G222" s="45"/>
      <c r="H222" s="46"/>
    </row>
    <row r="223" spans="1:8" x14ac:dyDescent="0.25">
      <c r="A223" s="52"/>
      <c r="B223" s="53"/>
      <c r="C223" s="53"/>
      <c r="D223" s="53"/>
      <c r="E223" s="53"/>
      <c r="F223" s="53"/>
      <c r="G223" s="53"/>
      <c r="H223" s="51"/>
    </row>
    <row r="224" spans="1:8" x14ac:dyDescent="0.25">
      <c r="A224" s="47" t="s">
        <v>830</v>
      </c>
      <c r="B224" s="49"/>
      <c r="C224" s="49"/>
      <c r="D224" s="122"/>
      <c r="E224" s="122"/>
      <c r="F224" s="50"/>
      <c r="G224" s="54" t="s">
        <v>831</v>
      </c>
      <c r="H224" s="103"/>
    </row>
    <row r="225" spans="1:8" ht="16.5" thickBot="1" x14ac:dyDescent="0.3">
      <c r="A225" s="52"/>
      <c r="B225" s="53"/>
      <c r="C225" s="53"/>
      <c r="D225" s="53"/>
      <c r="E225" s="53"/>
      <c r="F225" s="53"/>
      <c r="G225" s="53"/>
      <c r="H225" s="51"/>
    </row>
    <row r="226" spans="1:8" ht="16.5" thickBot="1" x14ac:dyDescent="0.3">
      <c r="A226" s="400" t="s">
        <v>381</v>
      </c>
      <c r="B226" s="401"/>
      <c r="C226" s="402" t="s">
        <v>382</v>
      </c>
      <c r="D226" s="401"/>
      <c r="E226" s="55" t="s">
        <v>266</v>
      </c>
      <c r="F226" s="53"/>
      <c r="G226" s="53"/>
      <c r="H226" s="51"/>
    </row>
    <row r="227" spans="1:8" ht="16.5" thickBot="1" x14ac:dyDescent="0.3">
      <c r="A227" s="403">
        <v>900</v>
      </c>
      <c r="B227" s="404"/>
      <c r="C227" s="403">
        <v>600</v>
      </c>
      <c r="D227" s="404"/>
      <c r="E227" s="56">
        <v>1</v>
      </c>
      <c r="F227" s="53"/>
      <c r="G227" s="53"/>
      <c r="H227" s="51"/>
    </row>
    <row r="228" spans="1:8" x14ac:dyDescent="0.25">
      <c r="A228" s="52"/>
      <c r="B228" s="58"/>
      <c r="C228" s="58"/>
      <c r="D228" s="58"/>
      <c r="E228" s="58"/>
      <c r="F228" s="58"/>
      <c r="G228" s="53"/>
      <c r="H228" s="83"/>
    </row>
    <row r="229" spans="1:8" x14ac:dyDescent="0.25">
      <c r="A229" s="59" t="s">
        <v>323</v>
      </c>
      <c r="B229" s="59" t="s">
        <v>266</v>
      </c>
      <c r="C229" s="59" t="s">
        <v>383</v>
      </c>
      <c r="D229" s="59" t="s">
        <v>384</v>
      </c>
      <c r="E229" s="59" t="s">
        <v>332</v>
      </c>
      <c r="F229" s="59" t="s">
        <v>385</v>
      </c>
      <c r="G229" s="59" t="s">
        <v>386</v>
      </c>
      <c r="H229" s="59" t="s">
        <v>387</v>
      </c>
    </row>
    <row r="230" spans="1:8" x14ac:dyDescent="0.25">
      <c r="A230" s="60">
        <v>4301</v>
      </c>
      <c r="B230" s="61">
        <f>2*E227</f>
        <v>2</v>
      </c>
      <c r="C230" s="61" t="s">
        <v>335</v>
      </c>
      <c r="D230" s="61">
        <f>A227</f>
        <v>900</v>
      </c>
      <c r="E230" s="61" t="s">
        <v>336</v>
      </c>
      <c r="F230" s="62" t="s">
        <v>809</v>
      </c>
      <c r="G230" s="63">
        <v>0.436</v>
      </c>
      <c r="H230" s="63">
        <f t="shared" ref="H230:H236" si="0">(D230/1000)*B230*G230</f>
        <v>0.78480000000000005</v>
      </c>
    </row>
    <row r="231" spans="1:8" x14ac:dyDescent="0.25">
      <c r="A231" s="60">
        <v>4301</v>
      </c>
      <c r="B231" s="61">
        <f>2*E227</f>
        <v>2</v>
      </c>
      <c r="C231" s="61" t="s">
        <v>337</v>
      </c>
      <c r="D231" s="61">
        <f>C227</f>
        <v>600</v>
      </c>
      <c r="E231" s="61" t="s">
        <v>336</v>
      </c>
      <c r="F231" s="62" t="s">
        <v>809</v>
      </c>
      <c r="G231" s="63">
        <v>0.436</v>
      </c>
      <c r="H231" s="63">
        <f t="shared" si="0"/>
        <v>0.5232</v>
      </c>
    </row>
    <row r="232" spans="1:8" x14ac:dyDescent="0.25">
      <c r="A232" s="60">
        <v>4302</v>
      </c>
      <c r="B232" s="61">
        <f>2*E227</f>
        <v>2</v>
      </c>
      <c r="C232" s="61" t="s">
        <v>832</v>
      </c>
      <c r="D232" s="61">
        <f>A227-32</f>
        <v>868</v>
      </c>
      <c r="E232" s="61" t="s">
        <v>336</v>
      </c>
      <c r="F232" s="62" t="s">
        <v>833</v>
      </c>
      <c r="G232" s="63">
        <v>0.68700000000000006</v>
      </c>
      <c r="H232" s="63">
        <f t="shared" si="0"/>
        <v>1.1926320000000001</v>
      </c>
    </row>
    <row r="233" spans="1:8" x14ac:dyDescent="0.25">
      <c r="A233" s="60">
        <v>4302</v>
      </c>
      <c r="B233" s="61">
        <f>2*E227</f>
        <v>2</v>
      </c>
      <c r="C233" s="61" t="s">
        <v>834</v>
      </c>
      <c r="D233" s="61">
        <f>C227-32</f>
        <v>568</v>
      </c>
      <c r="E233" s="61" t="s">
        <v>336</v>
      </c>
      <c r="F233" s="62" t="s">
        <v>833</v>
      </c>
      <c r="G233" s="63">
        <v>0.68700000000000006</v>
      </c>
      <c r="H233" s="63">
        <f t="shared" si="0"/>
        <v>0.78043200000000001</v>
      </c>
    </row>
    <row r="234" spans="1:8" x14ac:dyDescent="0.25">
      <c r="A234" s="60">
        <v>4307</v>
      </c>
      <c r="B234" s="61">
        <f>2*E227</f>
        <v>2</v>
      </c>
      <c r="C234" s="61" t="s">
        <v>835</v>
      </c>
      <c r="D234" s="61">
        <f>A227-112</f>
        <v>788</v>
      </c>
      <c r="E234" s="61" t="s">
        <v>336</v>
      </c>
      <c r="F234" s="62" t="s">
        <v>117</v>
      </c>
      <c r="G234" s="63">
        <v>0.17599999999999999</v>
      </c>
      <c r="H234" s="63">
        <f t="shared" si="0"/>
        <v>0.27737600000000001</v>
      </c>
    </row>
    <row r="235" spans="1:8" x14ac:dyDescent="0.25">
      <c r="A235" s="60">
        <v>4309</v>
      </c>
      <c r="B235" s="61">
        <f>2*E227</f>
        <v>2</v>
      </c>
      <c r="C235" s="61" t="s">
        <v>836</v>
      </c>
      <c r="D235" s="61">
        <f>C227-112</f>
        <v>488</v>
      </c>
      <c r="E235" s="61" t="s">
        <v>336</v>
      </c>
      <c r="F235" s="62" t="s">
        <v>117</v>
      </c>
      <c r="G235" s="63">
        <v>0.23499999999999999</v>
      </c>
      <c r="H235" s="63">
        <f t="shared" si="0"/>
        <v>0.22935999999999998</v>
      </c>
    </row>
    <row r="236" spans="1:8" x14ac:dyDescent="0.25">
      <c r="A236" s="60">
        <v>4311</v>
      </c>
      <c r="B236" s="61">
        <f>2*E227</f>
        <v>2</v>
      </c>
      <c r="C236" s="61" t="s">
        <v>837</v>
      </c>
      <c r="D236" s="61">
        <f>A227/2-95</f>
        <v>355</v>
      </c>
      <c r="E236" s="61" t="s">
        <v>340</v>
      </c>
      <c r="F236" s="62" t="s">
        <v>838</v>
      </c>
      <c r="G236" s="63">
        <v>0.128</v>
      </c>
      <c r="H236" s="63">
        <f t="shared" si="0"/>
        <v>9.0880000000000002E-2</v>
      </c>
    </row>
    <row r="237" spans="1:8" x14ac:dyDescent="0.25">
      <c r="A237" s="64"/>
      <c r="B237" s="65"/>
      <c r="C237" s="65"/>
      <c r="D237" s="65"/>
      <c r="E237" s="65"/>
      <c r="F237" s="65"/>
      <c r="G237" s="63" t="s">
        <v>392</v>
      </c>
      <c r="H237" s="63">
        <f>SUM(H230:H236)</f>
        <v>3.8786800000000001</v>
      </c>
    </row>
    <row r="238" spans="1:8" x14ac:dyDescent="0.25">
      <c r="A238" s="64"/>
      <c r="B238" s="65"/>
      <c r="C238" s="65"/>
      <c r="D238" s="65"/>
      <c r="E238" s="65"/>
      <c r="F238" s="65"/>
      <c r="G238" s="66"/>
      <c r="H238" s="67"/>
    </row>
    <row r="239" spans="1:8" x14ac:dyDescent="0.25">
      <c r="A239" s="64"/>
      <c r="B239" s="65"/>
      <c r="C239" s="65"/>
      <c r="D239" s="65"/>
      <c r="E239" s="65"/>
      <c r="F239" s="65"/>
      <c r="G239" s="68"/>
      <c r="H239" s="67"/>
    </row>
    <row r="240" spans="1:8" x14ac:dyDescent="0.25">
      <c r="A240" s="69" t="s">
        <v>393</v>
      </c>
      <c r="B240" s="70"/>
      <c r="C240" s="70"/>
      <c r="D240" s="71"/>
      <c r="E240" s="59" t="s">
        <v>36</v>
      </c>
      <c r="F240" s="59" t="s">
        <v>266</v>
      </c>
      <c r="G240" s="52"/>
      <c r="H240" s="72"/>
    </row>
    <row r="241" spans="1:8" x14ac:dyDescent="0.25">
      <c r="A241" s="73" t="s">
        <v>811</v>
      </c>
      <c r="B241" s="70"/>
      <c r="C241" s="70"/>
      <c r="D241" s="71"/>
      <c r="E241" s="75">
        <f>F241*E227</f>
        <v>8</v>
      </c>
      <c r="F241" s="61">
        <v>8</v>
      </c>
      <c r="G241" s="76"/>
      <c r="H241" s="77"/>
    </row>
    <row r="242" spans="1:8" x14ac:dyDescent="0.25">
      <c r="A242" s="73" t="s">
        <v>839</v>
      </c>
      <c r="B242" s="70"/>
      <c r="C242" s="70"/>
      <c r="D242" s="71"/>
      <c r="E242" s="75">
        <f>F242*E227</f>
        <v>1</v>
      </c>
      <c r="F242" s="61">
        <v>1</v>
      </c>
      <c r="G242" s="76"/>
      <c r="H242" s="77"/>
    </row>
    <row r="243" spans="1:8" x14ac:dyDescent="0.25">
      <c r="A243" s="81" t="s">
        <v>840</v>
      </c>
      <c r="B243" s="70"/>
      <c r="C243" s="70"/>
      <c r="D243" s="71"/>
      <c r="E243" s="75">
        <f>F243*E227</f>
        <v>1</v>
      </c>
      <c r="F243" s="61">
        <v>1</v>
      </c>
      <c r="G243" s="76"/>
      <c r="H243" s="77"/>
    </row>
    <row r="244" spans="1:8" x14ac:dyDescent="0.25">
      <c r="A244" s="73" t="s">
        <v>841</v>
      </c>
      <c r="B244" s="70"/>
      <c r="C244" s="70"/>
      <c r="D244" s="71"/>
      <c r="E244" s="75">
        <f>1*E227</f>
        <v>1</v>
      </c>
      <c r="F244" s="61" t="s">
        <v>842</v>
      </c>
      <c r="G244" s="64"/>
      <c r="H244" s="77"/>
    </row>
    <row r="245" spans="1:8" x14ac:dyDescent="0.25">
      <c r="A245" s="73" t="s">
        <v>843</v>
      </c>
      <c r="B245" s="70"/>
      <c r="C245" s="70"/>
      <c r="D245" s="71"/>
      <c r="E245" s="75">
        <f>4*(A227/1000)+4*(C227/1000)*E227</f>
        <v>6</v>
      </c>
      <c r="F245" s="61" t="s">
        <v>398</v>
      </c>
      <c r="G245" s="64"/>
      <c r="H245" s="77"/>
    </row>
    <row r="246" spans="1:8" x14ac:dyDescent="0.25">
      <c r="A246" s="73" t="s">
        <v>528</v>
      </c>
      <c r="B246" s="70"/>
      <c r="C246" s="70"/>
      <c r="D246" s="71"/>
      <c r="E246" s="75">
        <f>2*(A227/1000)+2*(C227/1000)*E227</f>
        <v>3</v>
      </c>
      <c r="F246" s="61" t="s">
        <v>448</v>
      </c>
      <c r="G246" s="64"/>
      <c r="H246" s="77"/>
    </row>
    <row r="247" spans="1:8" x14ac:dyDescent="0.25">
      <c r="A247" s="73" t="s">
        <v>530</v>
      </c>
      <c r="B247" s="70"/>
      <c r="C247" s="70"/>
      <c r="D247" s="71"/>
      <c r="E247" s="75">
        <f>2*(A227/1000)+2*(C227/1000)*E227</f>
        <v>3</v>
      </c>
      <c r="F247" s="61" t="s">
        <v>448</v>
      </c>
      <c r="G247" s="64"/>
      <c r="H247" s="77"/>
    </row>
    <row r="248" spans="1:8" x14ac:dyDescent="0.25">
      <c r="A248" s="73" t="s">
        <v>584</v>
      </c>
      <c r="B248" s="70"/>
      <c r="C248" s="70"/>
      <c r="D248" s="71"/>
      <c r="E248" s="75">
        <f>A227/100*E227</f>
        <v>9</v>
      </c>
      <c r="F248" s="61" t="s">
        <v>813</v>
      </c>
      <c r="G248" s="64"/>
      <c r="H248" s="77"/>
    </row>
    <row r="249" spans="1:8" x14ac:dyDescent="0.25">
      <c r="A249" s="73" t="s">
        <v>844</v>
      </c>
      <c r="B249" s="70"/>
      <c r="C249" s="70"/>
      <c r="D249" s="71"/>
      <c r="E249" s="75">
        <f>F249*E227</f>
        <v>2</v>
      </c>
      <c r="F249" s="61">
        <v>2</v>
      </c>
      <c r="G249" s="65"/>
      <c r="H249" s="77"/>
    </row>
    <row r="250" spans="1:8" x14ac:dyDescent="0.25">
      <c r="A250" s="73" t="s">
        <v>845</v>
      </c>
      <c r="B250" s="70"/>
      <c r="C250" s="70"/>
      <c r="D250" s="71"/>
      <c r="E250" s="75">
        <f>F250*E227</f>
        <v>2</v>
      </c>
      <c r="F250" s="61">
        <v>2</v>
      </c>
      <c r="G250" s="65"/>
      <c r="H250" s="77"/>
    </row>
    <row r="251" spans="1:8" x14ac:dyDescent="0.25">
      <c r="A251" s="52"/>
      <c r="B251" s="53"/>
      <c r="C251" s="53"/>
      <c r="D251" s="53"/>
      <c r="E251" s="53"/>
      <c r="F251" s="65"/>
      <c r="G251" s="65"/>
      <c r="H251" s="51"/>
    </row>
    <row r="252" spans="1:8" x14ac:dyDescent="0.25">
      <c r="A252" s="52"/>
      <c r="B252" s="53"/>
      <c r="C252" s="53"/>
      <c r="D252" s="53"/>
      <c r="E252" s="53"/>
      <c r="F252" s="53"/>
      <c r="G252" s="53"/>
      <c r="H252" s="83"/>
    </row>
    <row r="253" spans="1:8" x14ac:dyDescent="0.25">
      <c r="A253" s="59" t="s">
        <v>413</v>
      </c>
      <c r="B253" s="84" t="s">
        <v>266</v>
      </c>
      <c r="C253" s="84" t="s">
        <v>383</v>
      </c>
      <c r="D253" s="405" t="s">
        <v>414</v>
      </c>
      <c r="E253" s="406"/>
      <c r="F253" s="85" t="s">
        <v>415</v>
      </c>
      <c r="G253" s="59" t="s">
        <v>416</v>
      </c>
      <c r="H253" s="86"/>
    </row>
    <row r="254" spans="1:8" x14ac:dyDescent="0.25">
      <c r="A254" s="87"/>
      <c r="B254" s="61">
        <f>1*E227</f>
        <v>1</v>
      </c>
      <c r="C254" s="61" t="s">
        <v>846</v>
      </c>
      <c r="D254" s="407">
        <f>A227-132</f>
        <v>768</v>
      </c>
      <c r="E254" s="408"/>
      <c r="F254" s="61">
        <f>C227-132</f>
        <v>468</v>
      </c>
      <c r="G254" s="91">
        <f>+(D254/1000)*(F254/1000)*B254</f>
        <v>0.35942400000000002</v>
      </c>
      <c r="H254" s="92"/>
    </row>
    <row r="255" spans="1:8" x14ac:dyDescent="0.25">
      <c r="A255" s="79"/>
      <c r="B255" s="53"/>
      <c r="C255" s="53"/>
      <c r="D255" s="53"/>
      <c r="E255" s="53"/>
      <c r="F255" s="94" t="s">
        <v>815</v>
      </c>
      <c r="G255" s="95">
        <f>SUM(G254:G254)</f>
        <v>0.35942400000000002</v>
      </c>
      <c r="H255" s="51"/>
    </row>
    <row r="256" spans="1:8" x14ac:dyDescent="0.25">
      <c r="A256" s="79"/>
      <c r="B256" s="53"/>
      <c r="C256" s="53"/>
      <c r="D256" s="53"/>
      <c r="E256" s="53"/>
      <c r="F256" s="94"/>
      <c r="G256" s="96"/>
      <c r="H256" s="51"/>
    </row>
    <row r="257" spans="1:8" x14ac:dyDescent="0.25">
      <c r="A257" s="79"/>
      <c r="B257" s="53"/>
      <c r="C257" s="53"/>
      <c r="D257" s="53"/>
      <c r="E257" s="53"/>
      <c r="F257" s="94"/>
      <c r="G257" s="96"/>
      <c r="H257" s="51"/>
    </row>
    <row r="258" spans="1:8" x14ac:dyDescent="0.25">
      <c r="A258" s="79"/>
      <c r="B258" s="53"/>
      <c r="C258" s="53"/>
      <c r="D258" s="53"/>
      <c r="E258" s="53"/>
      <c r="F258" s="94"/>
      <c r="G258" s="96"/>
      <c r="H258" s="51"/>
    </row>
    <row r="259" spans="1:8" x14ac:dyDescent="0.25">
      <c r="A259" s="79"/>
      <c r="B259" s="53"/>
      <c r="C259" s="53"/>
      <c r="D259" s="53"/>
      <c r="E259" s="53"/>
      <c r="F259" s="94"/>
      <c r="G259" s="96"/>
      <c r="H259" s="51"/>
    </row>
    <row r="260" spans="1:8" x14ac:dyDescent="0.25">
      <c r="A260" s="79"/>
      <c r="B260" s="53"/>
      <c r="C260" s="53"/>
      <c r="D260" s="53"/>
      <c r="E260" s="53"/>
      <c r="F260" s="94"/>
      <c r="G260" s="96"/>
      <c r="H260" s="51"/>
    </row>
    <row r="261" spans="1:8" x14ac:dyDescent="0.25">
      <c r="A261" s="79"/>
      <c r="B261" s="53"/>
      <c r="C261" s="53"/>
      <c r="D261" s="53"/>
      <c r="E261" s="53"/>
      <c r="F261" s="94"/>
      <c r="G261" s="96"/>
      <c r="H261" s="51"/>
    </row>
    <row r="262" spans="1:8" x14ac:dyDescent="0.25">
      <c r="A262" s="79"/>
      <c r="B262" s="53"/>
      <c r="C262" s="53"/>
      <c r="D262" s="53"/>
      <c r="E262" s="53"/>
      <c r="F262" s="94"/>
      <c r="G262" s="96"/>
      <c r="H262" s="51"/>
    </row>
    <row r="263" spans="1:8" x14ac:dyDescent="0.25">
      <c r="A263" s="79"/>
      <c r="B263" s="53"/>
      <c r="C263" s="53"/>
      <c r="D263" s="53"/>
      <c r="E263" s="53"/>
      <c r="F263" s="94"/>
      <c r="G263" s="96"/>
      <c r="H263" s="51"/>
    </row>
    <row r="264" spans="1:8" x14ac:dyDescent="0.25">
      <c r="A264" s="79"/>
      <c r="B264" s="53"/>
      <c r="C264" s="53"/>
      <c r="D264" s="53"/>
      <c r="E264" s="53"/>
      <c r="F264" s="94"/>
      <c r="G264" s="96"/>
      <c r="H264" s="51"/>
    </row>
    <row r="265" spans="1:8" x14ac:dyDescent="0.25">
      <c r="A265" s="79"/>
      <c r="B265" s="53"/>
      <c r="C265" s="53"/>
      <c r="D265" s="53"/>
      <c r="E265" s="53"/>
      <c r="F265" s="94"/>
      <c r="G265" s="96"/>
      <c r="H265" s="51"/>
    </row>
    <row r="266" spans="1:8" x14ac:dyDescent="0.25">
      <c r="A266" s="79"/>
      <c r="B266" s="53"/>
      <c r="C266" s="53"/>
      <c r="D266" s="53"/>
      <c r="E266" s="53"/>
      <c r="F266" s="94"/>
      <c r="G266" s="96"/>
      <c r="H266" s="51"/>
    </row>
    <row r="267" spans="1:8" x14ac:dyDescent="0.25">
      <c r="A267" s="79"/>
      <c r="B267" s="53"/>
      <c r="C267" s="53"/>
      <c r="D267" s="53"/>
      <c r="E267" s="53"/>
      <c r="F267" s="94"/>
      <c r="G267" s="96"/>
      <c r="H267" s="51"/>
    </row>
    <row r="268" spans="1:8" x14ac:dyDescent="0.25">
      <c r="A268" s="79"/>
      <c r="B268" s="53"/>
      <c r="C268" s="53"/>
      <c r="D268" s="53"/>
      <c r="E268" s="53"/>
      <c r="F268" s="94"/>
      <c r="G268" s="96"/>
      <c r="H268" s="51"/>
    </row>
    <row r="269" spans="1:8" x14ac:dyDescent="0.25">
      <c r="A269" s="79"/>
      <c r="B269" s="53"/>
      <c r="C269" s="53"/>
      <c r="D269" s="53"/>
      <c r="E269" s="53"/>
      <c r="F269" s="94"/>
      <c r="G269" s="96"/>
      <c r="H269" s="51"/>
    </row>
    <row r="270" spans="1:8" x14ac:dyDescent="0.25">
      <c r="A270" s="79"/>
      <c r="B270" s="53"/>
      <c r="C270" s="53"/>
      <c r="D270" s="53"/>
      <c r="E270" s="53"/>
      <c r="F270" s="94"/>
      <c r="G270" s="96"/>
      <c r="H270" s="51"/>
    </row>
    <row r="271" spans="1:8" x14ac:dyDescent="0.25">
      <c r="A271" s="79"/>
      <c r="B271" s="53"/>
      <c r="C271" s="53"/>
      <c r="D271" s="53"/>
      <c r="E271" s="53"/>
      <c r="F271" s="94"/>
      <c r="G271" s="96"/>
      <c r="H271" s="51"/>
    </row>
    <row r="272" spans="1:8" x14ac:dyDescent="0.25">
      <c r="A272" s="79"/>
      <c r="B272" s="53"/>
      <c r="C272" s="53"/>
      <c r="D272" s="53"/>
      <c r="E272" s="53"/>
      <c r="F272" s="94"/>
      <c r="G272" s="96"/>
      <c r="H272" s="51"/>
    </row>
    <row r="273" spans="1:8" x14ac:dyDescent="0.25">
      <c r="A273" s="79"/>
      <c r="B273" s="53"/>
      <c r="C273" s="53"/>
      <c r="D273" s="53"/>
      <c r="E273" s="53"/>
      <c r="F273" s="94"/>
      <c r="G273" s="96"/>
      <c r="H273" s="51"/>
    </row>
    <row r="274" spans="1:8" x14ac:dyDescent="0.25">
      <c r="A274" s="52"/>
      <c r="B274" s="53"/>
      <c r="C274" s="53"/>
      <c r="D274" s="53"/>
      <c r="E274" s="53"/>
      <c r="F274" s="53"/>
      <c r="G274" s="53"/>
      <c r="H274" s="51"/>
    </row>
    <row r="275" spans="1:8" x14ac:dyDescent="0.25">
      <c r="A275" s="52"/>
      <c r="B275" s="53"/>
      <c r="C275" s="53"/>
      <c r="D275" s="53"/>
      <c r="E275" s="53"/>
      <c r="F275" s="53"/>
      <c r="G275" s="53"/>
      <c r="H275" s="51"/>
    </row>
    <row r="276" spans="1:8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x14ac:dyDescent="0.25">
      <c r="A277" s="100"/>
      <c r="B277" s="100"/>
      <c r="C277" s="100"/>
      <c r="D277" s="100"/>
      <c r="E277" s="100"/>
      <c r="F277" s="100"/>
      <c r="G277" s="100"/>
      <c r="H277" s="100"/>
    </row>
    <row r="278" spans="1:8" x14ac:dyDescent="0.25">
      <c r="A278" s="44"/>
      <c r="B278" s="45"/>
      <c r="C278" s="45"/>
      <c r="D278" s="45"/>
      <c r="E278" s="45"/>
      <c r="F278" s="45"/>
      <c r="G278" s="45"/>
      <c r="H278" s="46"/>
    </row>
    <row r="279" spans="1:8" x14ac:dyDescent="0.25">
      <c r="A279" s="52"/>
      <c r="B279" s="53"/>
      <c r="C279" s="53"/>
      <c r="D279" s="53"/>
      <c r="E279" s="53"/>
      <c r="F279" s="53"/>
      <c r="G279" s="53"/>
      <c r="H279" s="51"/>
    </row>
    <row r="280" spans="1:8" x14ac:dyDescent="0.25">
      <c r="A280" s="47" t="s">
        <v>847</v>
      </c>
      <c r="B280" s="49"/>
      <c r="C280" s="49"/>
      <c r="D280" s="122"/>
      <c r="E280" s="122"/>
      <c r="F280" s="50"/>
      <c r="G280" s="50"/>
      <c r="H280" s="103"/>
    </row>
    <row r="281" spans="1:8" ht="16.5" thickBot="1" x14ac:dyDescent="0.3">
      <c r="A281" s="52"/>
      <c r="B281" s="53"/>
      <c r="C281" s="53"/>
      <c r="D281" s="53"/>
      <c r="E281" s="53"/>
      <c r="F281" s="53"/>
      <c r="G281" s="54" t="s">
        <v>848</v>
      </c>
      <c r="H281" s="51"/>
    </row>
    <row r="282" spans="1:8" ht="16.5" thickBot="1" x14ac:dyDescent="0.3">
      <c r="A282" s="400" t="s">
        <v>381</v>
      </c>
      <c r="B282" s="401"/>
      <c r="C282" s="402" t="s">
        <v>382</v>
      </c>
      <c r="D282" s="401"/>
      <c r="E282" s="55" t="s">
        <v>266</v>
      </c>
      <c r="F282" s="53"/>
      <c r="G282" s="53"/>
      <c r="H282" s="51"/>
    </row>
    <row r="283" spans="1:8" ht="16.5" thickBot="1" x14ac:dyDescent="0.3">
      <c r="A283" s="403">
        <v>800</v>
      </c>
      <c r="B283" s="404"/>
      <c r="C283" s="403">
        <v>1200</v>
      </c>
      <c r="D283" s="404"/>
      <c r="E283" s="56">
        <v>1</v>
      </c>
      <c r="F283" s="53"/>
      <c r="G283" s="53"/>
      <c r="H283" s="51"/>
    </row>
    <row r="284" spans="1:8" x14ac:dyDescent="0.25">
      <c r="A284" s="52"/>
      <c r="B284" s="58"/>
      <c r="C284" s="58"/>
      <c r="D284" s="58"/>
      <c r="E284" s="58"/>
      <c r="F284" s="58"/>
      <c r="G284" s="53"/>
      <c r="H284" s="83"/>
    </row>
    <row r="285" spans="1:8" x14ac:dyDescent="0.25">
      <c r="A285" s="59" t="s">
        <v>323</v>
      </c>
      <c r="B285" s="59" t="s">
        <v>266</v>
      </c>
      <c r="C285" s="59" t="s">
        <v>383</v>
      </c>
      <c r="D285" s="59" t="s">
        <v>384</v>
      </c>
      <c r="E285" s="59" t="s">
        <v>332</v>
      </c>
      <c r="F285" s="59" t="s">
        <v>385</v>
      </c>
      <c r="G285" s="59" t="s">
        <v>386</v>
      </c>
      <c r="H285" s="59" t="s">
        <v>387</v>
      </c>
    </row>
    <row r="286" spans="1:8" x14ac:dyDescent="0.25">
      <c r="A286" s="60">
        <v>4301</v>
      </c>
      <c r="B286" s="61">
        <f>2*E283</f>
        <v>2</v>
      </c>
      <c r="C286" s="61" t="s">
        <v>335</v>
      </c>
      <c r="D286" s="61">
        <f>A283</f>
        <v>800</v>
      </c>
      <c r="E286" s="61" t="s">
        <v>336</v>
      </c>
      <c r="F286" s="62" t="s">
        <v>809</v>
      </c>
      <c r="G286" s="63">
        <v>0.436</v>
      </c>
      <c r="H286" s="63">
        <f>(D286/1000)*B286*G286</f>
        <v>0.6976</v>
      </c>
    </row>
    <row r="287" spans="1:8" x14ac:dyDescent="0.25">
      <c r="A287" s="60">
        <v>4301</v>
      </c>
      <c r="B287" s="61">
        <f>2*E283</f>
        <v>2</v>
      </c>
      <c r="C287" s="61" t="s">
        <v>337</v>
      </c>
      <c r="D287" s="61">
        <f>C283</f>
        <v>1200</v>
      </c>
      <c r="E287" s="61" t="s">
        <v>336</v>
      </c>
      <c r="F287" s="62" t="s">
        <v>809</v>
      </c>
      <c r="G287" s="63">
        <v>0.436</v>
      </c>
      <c r="H287" s="63">
        <f>(D287/1000)*B287*G287</f>
        <v>1.0464</v>
      </c>
    </row>
    <row r="288" spans="1:8" x14ac:dyDescent="0.25">
      <c r="A288" s="60">
        <v>4303</v>
      </c>
      <c r="B288" s="61">
        <f>2*E283</f>
        <v>2</v>
      </c>
      <c r="C288" s="61" t="s">
        <v>832</v>
      </c>
      <c r="D288" s="61">
        <f>A283-32</f>
        <v>768</v>
      </c>
      <c r="E288" s="61" t="s">
        <v>336</v>
      </c>
      <c r="F288" s="62" t="s">
        <v>849</v>
      </c>
      <c r="G288" s="63">
        <v>0.80900000000000005</v>
      </c>
      <c r="H288" s="63">
        <f>(D288/1000)*B288*G288</f>
        <v>1.2426240000000002</v>
      </c>
    </row>
    <row r="289" spans="1:8" x14ac:dyDescent="0.25">
      <c r="A289" s="60">
        <v>4303</v>
      </c>
      <c r="B289" s="61">
        <f>2*E283</f>
        <v>2</v>
      </c>
      <c r="C289" s="61" t="s">
        <v>834</v>
      </c>
      <c r="D289" s="61">
        <f>C283-32</f>
        <v>1168</v>
      </c>
      <c r="E289" s="61" t="s">
        <v>336</v>
      </c>
      <c r="F289" s="62" t="s">
        <v>849</v>
      </c>
      <c r="G289" s="63">
        <v>0.80900000000000005</v>
      </c>
      <c r="H289" s="63">
        <f>(D289/1000)*B289*G289</f>
        <v>1.8898239999999999</v>
      </c>
    </row>
    <row r="290" spans="1:8" x14ac:dyDescent="0.25">
      <c r="A290" s="60">
        <v>4311</v>
      </c>
      <c r="B290" s="61">
        <f>2*E283</f>
        <v>2</v>
      </c>
      <c r="C290" s="61" t="s">
        <v>837</v>
      </c>
      <c r="D290" s="61">
        <f>A283/2-95</f>
        <v>305</v>
      </c>
      <c r="E290" s="61" t="s">
        <v>340</v>
      </c>
      <c r="F290" s="62" t="s">
        <v>838</v>
      </c>
      <c r="G290" s="63">
        <v>0.128</v>
      </c>
      <c r="H290" s="63">
        <f>(D290/1000)*B290*G290</f>
        <v>7.8079999999999997E-2</v>
      </c>
    </row>
    <row r="291" spans="1:8" x14ac:dyDescent="0.25">
      <c r="A291" s="64"/>
      <c r="B291" s="65"/>
      <c r="C291" s="65"/>
      <c r="D291" s="65"/>
      <c r="E291" s="65"/>
      <c r="F291" s="65"/>
      <c r="G291" s="63" t="s">
        <v>392</v>
      </c>
      <c r="H291" s="63">
        <f>SUM(H286:H290)</f>
        <v>4.9545279999999998</v>
      </c>
    </row>
    <row r="292" spans="1:8" x14ac:dyDescent="0.25">
      <c r="A292" s="64"/>
      <c r="B292" s="65"/>
      <c r="C292" s="65"/>
      <c r="D292" s="65"/>
      <c r="E292" s="65"/>
      <c r="F292" s="65"/>
      <c r="G292" s="66"/>
      <c r="H292" s="67"/>
    </row>
    <row r="293" spans="1:8" x14ac:dyDescent="0.25">
      <c r="A293" s="64"/>
      <c r="B293" s="65"/>
      <c r="C293" s="65"/>
      <c r="D293" s="65"/>
      <c r="E293" s="65"/>
      <c r="F293" s="65"/>
      <c r="G293" s="68"/>
      <c r="H293" s="67"/>
    </row>
    <row r="294" spans="1:8" x14ac:dyDescent="0.25">
      <c r="A294" s="69" t="s">
        <v>393</v>
      </c>
      <c r="B294" s="70"/>
      <c r="C294" s="70"/>
      <c r="D294" s="71"/>
      <c r="E294" s="59" t="s">
        <v>36</v>
      </c>
      <c r="F294" s="59" t="s">
        <v>266</v>
      </c>
      <c r="G294" s="52"/>
      <c r="H294" s="72"/>
    </row>
    <row r="295" spans="1:8" x14ac:dyDescent="0.25">
      <c r="A295" s="73" t="s">
        <v>811</v>
      </c>
      <c r="B295" s="70"/>
      <c r="C295" s="70"/>
      <c r="D295" s="71"/>
      <c r="E295" s="75">
        <f>F295*E283</f>
        <v>8</v>
      </c>
      <c r="F295" s="61">
        <v>8</v>
      </c>
      <c r="G295" s="76"/>
      <c r="H295" s="77"/>
    </row>
    <row r="296" spans="1:8" x14ac:dyDescent="0.25">
      <c r="A296" s="73" t="s">
        <v>839</v>
      </c>
      <c r="B296" s="70"/>
      <c r="C296" s="70"/>
      <c r="D296" s="71"/>
      <c r="E296" s="75">
        <f>F296*E283</f>
        <v>1</v>
      </c>
      <c r="F296" s="61">
        <v>1</v>
      </c>
      <c r="G296" s="65"/>
      <c r="H296" s="77"/>
    </row>
    <row r="297" spans="1:8" x14ac:dyDescent="0.25">
      <c r="A297" s="81" t="s">
        <v>840</v>
      </c>
      <c r="B297" s="70"/>
      <c r="C297" s="70"/>
      <c r="D297" s="71"/>
      <c r="E297" s="75">
        <f>F297*E283</f>
        <v>1</v>
      </c>
      <c r="F297" s="61">
        <v>1</v>
      </c>
      <c r="G297" s="65"/>
      <c r="H297" s="77"/>
    </row>
    <row r="298" spans="1:8" x14ac:dyDescent="0.25">
      <c r="A298" s="73" t="s">
        <v>841</v>
      </c>
      <c r="B298" s="70"/>
      <c r="C298" s="70"/>
      <c r="D298" s="71"/>
      <c r="E298" s="75">
        <f>1*E283</f>
        <v>1</v>
      </c>
      <c r="F298" s="61" t="s">
        <v>842</v>
      </c>
      <c r="G298" s="65"/>
      <c r="H298" s="77"/>
    </row>
    <row r="299" spans="1:8" x14ac:dyDescent="0.25">
      <c r="A299" s="73" t="s">
        <v>843</v>
      </c>
      <c r="B299" s="70"/>
      <c r="C299" s="70"/>
      <c r="D299" s="71"/>
      <c r="E299" s="75">
        <f>4*(A283/1000)+4*(C283/1000)*E283</f>
        <v>8</v>
      </c>
      <c r="F299" s="61" t="s">
        <v>398</v>
      </c>
      <c r="G299" s="65"/>
      <c r="H299" s="77"/>
    </row>
    <row r="300" spans="1:8" x14ac:dyDescent="0.25">
      <c r="A300" s="73" t="s">
        <v>527</v>
      </c>
      <c r="B300" s="70"/>
      <c r="C300" s="70"/>
      <c r="D300" s="71"/>
      <c r="E300" s="75">
        <f>2*(A283/1000)+2*(C283/1000)*E283</f>
        <v>4</v>
      </c>
      <c r="F300" s="61" t="s">
        <v>448</v>
      </c>
      <c r="G300" s="65"/>
      <c r="H300" s="77"/>
    </row>
    <row r="301" spans="1:8" x14ac:dyDescent="0.25">
      <c r="A301" s="73" t="s">
        <v>844</v>
      </c>
      <c r="B301" s="70"/>
      <c r="C301" s="70"/>
      <c r="D301" s="71"/>
      <c r="E301" s="75">
        <f>F301*E283</f>
        <v>2</v>
      </c>
      <c r="F301" s="61">
        <v>2</v>
      </c>
      <c r="G301" s="65"/>
      <c r="H301" s="77"/>
    </row>
    <row r="302" spans="1:8" x14ac:dyDescent="0.25">
      <c r="A302" s="73" t="s">
        <v>845</v>
      </c>
      <c r="B302" s="70"/>
      <c r="C302" s="70"/>
      <c r="D302" s="71"/>
      <c r="E302" s="75">
        <f>F302*E283</f>
        <v>2</v>
      </c>
      <c r="F302" s="61">
        <v>2</v>
      </c>
      <c r="G302" s="65"/>
      <c r="H302" s="77"/>
    </row>
    <row r="303" spans="1:8" x14ac:dyDescent="0.25">
      <c r="A303" s="52"/>
      <c r="B303" s="53"/>
      <c r="C303" s="53"/>
      <c r="D303" s="53"/>
      <c r="E303" s="53"/>
      <c r="F303" s="65"/>
      <c r="G303" s="65"/>
      <c r="H303" s="51"/>
    </row>
    <row r="304" spans="1:8" x14ac:dyDescent="0.25">
      <c r="A304" s="52"/>
      <c r="B304" s="53"/>
      <c r="C304" s="53"/>
      <c r="D304" s="53"/>
      <c r="E304" s="53"/>
      <c r="F304" s="53"/>
      <c r="G304" s="53"/>
      <c r="H304" s="83"/>
    </row>
    <row r="305" spans="1:8" x14ac:dyDescent="0.25">
      <c r="A305" s="59" t="s">
        <v>413</v>
      </c>
      <c r="B305" s="84" t="s">
        <v>266</v>
      </c>
      <c r="C305" s="84" t="s">
        <v>383</v>
      </c>
      <c r="D305" s="405" t="s">
        <v>414</v>
      </c>
      <c r="E305" s="406"/>
      <c r="F305" s="85" t="s">
        <v>415</v>
      </c>
      <c r="G305" s="59" t="s">
        <v>416</v>
      </c>
      <c r="H305" s="86"/>
    </row>
    <row r="306" spans="1:8" x14ac:dyDescent="0.25">
      <c r="A306" s="87"/>
      <c r="B306" s="61">
        <f>1*E283</f>
        <v>1</v>
      </c>
      <c r="C306" s="61" t="s">
        <v>850</v>
      </c>
      <c r="D306" s="407">
        <f>A283-130</f>
        <v>670</v>
      </c>
      <c r="E306" s="408"/>
      <c r="F306" s="61">
        <f>C283-130</f>
        <v>1070</v>
      </c>
      <c r="G306" s="91">
        <f>+(D306/1000)*(F306/1000)*B306</f>
        <v>0.71690000000000009</v>
      </c>
      <c r="H306" s="92"/>
    </row>
    <row r="307" spans="1:8" x14ac:dyDescent="0.25">
      <c r="A307" s="79"/>
      <c r="B307" s="53"/>
      <c r="C307" s="53"/>
      <c r="D307" s="53"/>
      <c r="E307" s="53"/>
      <c r="F307" s="94" t="s">
        <v>815</v>
      </c>
      <c r="G307" s="95">
        <f>SUM(G306:G306)</f>
        <v>0.71690000000000009</v>
      </c>
      <c r="H307" s="51"/>
    </row>
    <row r="308" spans="1:8" x14ac:dyDescent="0.25">
      <c r="A308" s="79"/>
      <c r="B308" s="53"/>
      <c r="C308" s="53"/>
      <c r="D308" s="53"/>
      <c r="E308" s="53"/>
      <c r="F308" s="94"/>
      <c r="G308" s="96"/>
      <c r="H308" s="51"/>
    </row>
    <row r="309" spans="1:8" x14ac:dyDescent="0.25">
      <c r="A309" s="79"/>
      <c r="B309" s="53"/>
      <c r="C309" s="53"/>
      <c r="D309" s="53"/>
      <c r="E309" s="53"/>
      <c r="F309" s="94"/>
      <c r="G309" s="96"/>
      <c r="H309" s="51"/>
    </row>
    <row r="310" spans="1:8" x14ac:dyDescent="0.25">
      <c r="A310" s="79"/>
      <c r="B310" s="53"/>
      <c r="C310" s="53"/>
      <c r="D310" s="53"/>
      <c r="E310" s="53"/>
      <c r="F310" s="94"/>
      <c r="G310" s="96"/>
      <c r="H310" s="51"/>
    </row>
    <row r="311" spans="1:8" x14ac:dyDescent="0.25">
      <c r="A311" s="79"/>
      <c r="B311" s="53"/>
      <c r="C311" s="53"/>
      <c r="D311" s="53"/>
      <c r="E311" s="53"/>
      <c r="F311" s="94"/>
      <c r="G311" s="96"/>
      <c r="H311" s="51"/>
    </row>
    <row r="312" spans="1:8" x14ac:dyDescent="0.25">
      <c r="A312" s="79"/>
      <c r="B312" s="53"/>
      <c r="C312" s="53"/>
      <c r="D312" s="53"/>
      <c r="E312" s="53"/>
      <c r="F312" s="94"/>
      <c r="G312" s="96"/>
      <c r="H312" s="51"/>
    </row>
    <row r="313" spans="1:8" x14ac:dyDescent="0.25">
      <c r="A313" s="79"/>
      <c r="B313" s="53"/>
      <c r="C313" s="53"/>
      <c r="D313" s="53"/>
      <c r="E313" s="53"/>
      <c r="F313" s="94"/>
      <c r="G313" s="96"/>
      <c r="H313" s="51"/>
    </row>
    <row r="314" spans="1:8" x14ac:dyDescent="0.25">
      <c r="A314" s="79"/>
      <c r="B314" s="53"/>
      <c r="C314" s="53"/>
      <c r="D314" s="53"/>
      <c r="E314" s="53"/>
      <c r="F314" s="94"/>
      <c r="G314" s="96"/>
      <c r="H314" s="51"/>
    </row>
    <row r="315" spans="1:8" x14ac:dyDescent="0.25">
      <c r="A315" s="79"/>
      <c r="B315" s="53"/>
      <c r="C315" s="53"/>
      <c r="D315" s="53"/>
      <c r="E315" s="53"/>
      <c r="F315" s="94"/>
      <c r="G315" s="96"/>
      <c r="H315" s="51"/>
    </row>
    <row r="316" spans="1:8" x14ac:dyDescent="0.25">
      <c r="A316" s="79"/>
      <c r="B316" s="53"/>
      <c r="C316" s="53"/>
      <c r="D316" s="53"/>
      <c r="E316" s="53"/>
      <c r="F316" s="94"/>
      <c r="G316" s="96"/>
      <c r="H316" s="51"/>
    </row>
    <row r="317" spans="1:8" x14ac:dyDescent="0.25">
      <c r="A317" s="79"/>
      <c r="B317" s="53"/>
      <c r="C317" s="53"/>
      <c r="D317" s="53"/>
      <c r="E317" s="53"/>
      <c r="F317" s="94"/>
      <c r="G317" s="96"/>
      <c r="H317" s="51"/>
    </row>
    <row r="318" spans="1:8" x14ac:dyDescent="0.25">
      <c r="A318" s="79"/>
      <c r="B318" s="53"/>
      <c r="C318" s="53"/>
      <c r="D318" s="53"/>
      <c r="E318" s="53"/>
      <c r="F318" s="94"/>
      <c r="G318" s="96"/>
      <c r="H318" s="51"/>
    </row>
    <row r="319" spans="1:8" x14ac:dyDescent="0.25">
      <c r="A319" s="79"/>
      <c r="B319" s="53"/>
      <c r="C319" s="53"/>
      <c r="D319" s="53"/>
      <c r="E319" s="53"/>
      <c r="F319" s="94"/>
      <c r="G319" s="96"/>
      <c r="H319" s="51"/>
    </row>
    <row r="320" spans="1:8" x14ac:dyDescent="0.25">
      <c r="A320" s="79"/>
      <c r="B320" s="53"/>
      <c r="C320" s="53"/>
      <c r="D320" s="53"/>
      <c r="E320" s="53"/>
      <c r="F320" s="94"/>
      <c r="G320" s="96"/>
      <c r="H320" s="51"/>
    </row>
    <row r="321" spans="1:8" x14ac:dyDescent="0.25">
      <c r="A321" s="79"/>
      <c r="B321" s="53"/>
      <c r="C321" s="53"/>
      <c r="D321" s="53"/>
      <c r="E321" s="53"/>
      <c r="F321" s="94"/>
      <c r="G321" s="96"/>
      <c r="H321" s="51"/>
    </row>
    <row r="322" spans="1:8" x14ac:dyDescent="0.25">
      <c r="A322" s="79"/>
      <c r="B322" s="53"/>
      <c r="C322" s="53"/>
      <c r="D322" s="53"/>
      <c r="E322" s="53"/>
      <c r="F322" s="94"/>
      <c r="G322" s="96"/>
      <c r="H322" s="51"/>
    </row>
    <row r="323" spans="1:8" x14ac:dyDescent="0.25">
      <c r="A323" s="79"/>
      <c r="B323" s="53"/>
      <c r="C323" s="53"/>
      <c r="D323" s="53"/>
      <c r="E323" s="53"/>
      <c r="F323" s="94"/>
      <c r="G323" s="96"/>
      <c r="H323" s="51"/>
    </row>
    <row r="324" spans="1:8" x14ac:dyDescent="0.25">
      <c r="A324" s="79"/>
      <c r="B324" s="53"/>
      <c r="C324" s="53"/>
      <c r="D324" s="53"/>
      <c r="E324" s="53"/>
      <c r="F324" s="94"/>
      <c r="G324" s="96"/>
      <c r="H324" s="51"/>
    </row>
    <row r="325" spans="1:8" x14ac:dyDescent="0.25">
      <c r="A325" s="79"/>
      <c r="B325" s="53"/>
      <c r="C325" s="53"/>
      <c r="D325" s="53"/>
      <c r="E325" s="53"/>
      <c r="F325" s="94"/>
      <c r="G325" s="96"/>
      <c r="H325" s="51"/>
    </row>
    <row r="326" spans="1:8" x14ac:dyDescent="0.25">
      <c r="A326" s="79"/>
      <c r="B326" s="53"/>
      <c r="C326" s="53"/>
      <c r="D326" s="53"/>
      <c r="E326" s="53"/>
      <c r="F326" s="94"/>
      <c r="G326" s="96"/>
      <c r="H326" s="51"/>
    </row>
    <row r="327" spans="1:8" x14ac:dyDescent="0.25">
      <c r="A327" s="79"/>
      <c r="B327" s="53"/>
      <c r="C327" s="53"/>
      <c r="D327" s="53"/>
      <c r="E327" s="53"/>
      <c r="F327" s="94"/>
      <c r="G327" s="96"/>
      <c r="H327" s="51"/>
    </row>
    <row r="328" spans="1:8" x14ac:dyDescent="0.25">
      <c r="A328" s="79"/>
      <c r="B328" s="53"/>
      <c r="C328" s="53"/>
      <c r="D328" s="53"/>
      <c r="E328" s="53"/>
      <c r="F328" s="94"/>
      <c r="G328" s="96"/>
      <c r="H328" s="51"/>
    </row>
    <row r="329" spans="1:8" x14ac:dyDescent="0.25">
      <c r="A329" s="79"/>
      <c r="B329" s="53"/>
      <c r="C329" s="53"/>
      <c r="D329" s="53"/>
      <c r="E329" s="53"/>
      <c r="F329" s="94"/>
      <c r="G329" s="96"/>
      <c r="H329" s="51"/>
    </row>
    <row r="330" spans="1:8" x14ac:dyDescent="0.25">
      <c r="A330" s="79"/>
      <c r="B330" s="53"/>
      <c r="C330" s="53"/>
      <c r="D330" s="53"/>
      <c r="E330" s="53"/>
      <c r="F330" s="94"/>
      <c r="G330" s="96"/>
      <c r="H330" s="51"/>
    </row>
    <row r="331" spans="1:8" x14ac:dyDescent="0.25">
      <c r="A331" s="52"/>
      <c r="B331" s="53"/>
      <c r="C331" s="53"/>
      <c r="D331" s="53"/>
      <c r="E331" s="53"/>
      <c r="F331" s="53"/>
      <c r="G331" s="53"/>
      <c r="H331" s="51"/>
    </row>
    <row r="332" spans="1:8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x14ac:dyDescent="0.25">
      <c r="A333" s="100"/>
      <c r="B333" s="100"/>
      <c r="C333" s="100"/>
      <c r="D333" s="100"/>
      <c r="E333" s="100"/>
      <c r="F333" s="100"/>
      <c r="G333" s="100"/>
      <c r="H333" s="100"/>
    </row>
    <row r="334" spans="1:8" x14ac:dyDescent="0.25">
      <c r="A334" s="44"/>
      <c r="B334" s="45"/>
      <c r="C334" s="45"/>
      <c r="D334" s="45"/>
      <c r="E334" s="45"/>
      <c r="F334" s="45"/>
      <c r="G334" s="45"/>
      <c r="H334" s="46"/>
    </row>
    <row r="335" spans="1:8" x14ac:dyDescent="0.25">
      <c r="A335" s="52"/>
      <c r="B335" s="53"/>
      <c r="C335" s="53"/>
      <c r="D335" s="53"/>
      <c r="E335" s="53"/>
      <c r="F335" s="53"/>
      <c r="G335" s="53"/>
      <c r="H335" s="51"/>
    </row>
    <row r="336" spans="1:8" x14ac:dyDescent="0.25">
      <c r="A336" s="47" t="s">
        <v>851</v>
      </c>
      <c r="B336" s="49"/>
      <c r="C336" s="49"/>
      <c r="D336" s="122"/>
      <c r="E336" s="122"/>
      <c r="F336" s="50"/>
      <c r="G336" s="54" t="s">
        <v>852</v>
      </c>
      <c r="H336" s="103"/>
    </row>
    <row r="337" spans="1:8" ht="16.5" thickBot="1" x14ac:dyDescent="0.3">
      <c r="A337" s="52"/>
      <c r="B337" s="53"/>
      <c r="C337" s="53"/>
      <c r="D337" s="53"/>
      <c r="E337" s="53"/>
      <c r="F337" s="53"/>
      <c r="G337" s="53"/>
      <c r="H337" s="51"/>
    </row>
    <row r="338" spans="1:8" ht="16.5" thickBot="1" x14ac:dyDescent="0.3">
      <c r="A338" s="400" t="s">
        <v>381</v>
      </c>
      <c r="B338" s="401"/>
      <c r="C338" s="402" t="s">
        <v>382</v>
      </c>
      <c r="D338" s="401"/>
      <c r="E338" s="55" t="s">
        <v>266</v>
      </c>
      <c r="F338" s="53"/>
      <c r="G338" s="53"/>
      <c r="H338" s="51"/>
    </row>
    <row r="339" spans="1:8" ht="16.5" thickBot="1" x14ac:dyDescent="0.3">
      <c r="A339" s="403">
        <v>500</v>
      </c>
      <c r="B339" s="404"/>
      <c r="C339" s="403">
        <v>500</v>
      </c>
      <c r="D339" s="404"/>
      <c r="E339" s="56">
        <v>1</v>
      </c>
      <c r="F339" s="53"/>
      <c r="G339" s="53"/>
      <c r="H339" s="51"/>
    </row>
    <row r="340" spans="1:8" x14ac:dyDescent="0.25">
      <c r="A340" s="52"/>
      <c r="B340" s="58"/>
      <c r="C340" s="58"/>
      <c r="D340" s="58"/>
      <c r="E340" s="58"/>
      <c r="F340" s="58"/>
      <c r="G340" s="53"/>
      <c r="H340" s="83"/>
    </row>
    <row r="341" spans="1:8" x14ac:dyDescent="0.25">
      <c r="A341" s="59" t="s">
        <v>323</v>
      </c>
      <c r="B341" s="59" t="s">
        <v>266</v>
      </c>
      <c r="C341" s="59" t="s">
        <v>383</v>
      </c>
      <c r="D341" s="59" t="s">
        <v>384</v>
      </c>
      <c r="E341" s="59" t="s">
        <v>332</v>
      </c>
      <c r="F341" s="59" t="s">
        <v>385</v>
      </c>
      <c r="G341" s="59" t="s">
        <v>386</v>
      </c>
      <c r="H341" s="59" t="s">
        <v>387</v>
      </c>
    </row>
    <row r="342" spans="1:8" x14ac:dyDescent="0.25">
      <c r="A342" s="60">
        <v>4301</v>
      </c>
      <c r="B342" s="61">
        <f>2*E339</f>
        <v>2</v>
      </c>
      <c r="C342" s="61" t="s">
        <v>335</v>
      </c>
      <c r="D342" s="61">
        <f>A339</f>
        <v>500</v>
      </c>
      <c r="E342" s="61" t="s">
        <v>336</v>
      </c>
      <c r="F342" s="62" t="s">
        <v>809</v>
      </c>
      <c r="G342" s="63">
        <v>0.436</v>
      </c>
      <c r="H342" s="63">
        <f t="shared" ref="H342:H348" si="1">(D342/1000)*B342*G342</f>
        <v>0.436</v>
      </c>
    </row>
    <row r="343" spans="1:8" x14ac:dyDescent="0.25">
      <c r="A343" s="60">
        <v>4301</v>
      </c>
      <c r="B343" s="61">
        <f>2*E339</f>
        <v>2</v>
      </c>
      <c r="C343" s="61" t="s">
        <v>337</v>
      </c>
      <c r="D343" s="61">
        <f>C339</f>
        <v>500</v>
      </c>
      <c r="E343" s="61" t="s">
        <v>336</v>
      </c>
      <c r="F343" s="62" t="s">
        <v>809</v>
      </c>
      <c r="G343" s="63">
        <v>0.436</v>
      </c>
      <c r="H343" s="63">
        <f t="shared" si="1"/>
        <v>0.436</v>
      </c>
    </row>
    <row r="344" spans="1:8" x14ac:dyDescent="0.25">
      <c r="A344" s="60">
        <v>4302</v>
      </c>
      <c r="B344" s="61">
        <f>2*E339</f>
        <v>2</v>
      </c>
      <c r="C344" s="61" t="s">
        <v>832</v>
      </c>
      <c r="D344" s="61">
        <f>A339-32</f>
        <v>468</v>
      </c>
      <c r="E344" s="61" t="s">
        <v>336</v>
      </c>
      <c r="F344" s="62" t="s">
        <v>853</v>
      </c>
      <c r="G344" s="63">
        <v>0.68700000000000006</v>
      </c>
      <c r="H344" s="63">
        <f t="shared" si="1"/>
        <v>0.64303200000000005</v>
      </c>
    </row>
    <row r="345" spans="1:8" x14ac:dyDescent="0.25">
      <c r="A345" s="60">
        <v>4302</v>
      </c>
      <c r="B345" s="61">
        <f>2*E339</f>
        <v>2</v>
      </c>
      <c r="C345" s="61" t="s">
        <v>834</v>
      </c>
      <c r="D345" s="61">
        <f>C339-32</f>
        <v>468</v>
      </c>
      <c r="E345" s="61" t="s">
        <v>336</v>
      </c>
      <c r="F345" s="62" t="s">
        <v>853</v>
      </c>
      <c r="G345" s="63">
        <v>0.68700000000000006</v>
      </c>
      <c r="H345" s="63">
        <f t="shared" si="1"/>
        <v>0.64303200000000005</v>
      </c>
    </row>
    <row r="346" spans="1:8" x14ac:dyDescent="0.25">
      <c r="A346" s="60">
        <v>4308</v>
      </c>
      <c r="B346" s="61">
        <f>2*E339</f>
        <v>2</v>
      </c>
      <c r="C346" s="61" t="s">
        <v>835</v>
      </c>
      <c r="D346" s="61">
        <f>A339-112</f>
        <v>388</v>
      </c>
      <c r="E346" s="61" t="s">
        <v>336</v>
      </c>
      <c r="F346" s="62" t="s">
        <v>117</v>
      </c>
      <c r="G346" s="63">
        <v>0.17699999999999999</v>
      </c>
      <c r="H346" s="63">
        <f t="shared" si="1"/>
        <v>0.137352</v>
      </c>
    </row>
    <row r="347" spans="1:8" x14ac:dyDescent="0.25">
      <c r="A347" s="60">
        <v>4308</v>
      </c>
      <c r="B347" s="61">
        <f>2*E339</f>
        <v>2</v>
      </c>
      <c r="C347" s="61" t="s">
        <v>836</v>
      </c>
      <c r="D347" s="61">
        <f>C339-112</f>
        <v>388</v>
      </c>
      <c r="E347" s="61" t="s">
        <v>336</v>
      </c>
      <c r="F347" s="62" t="s">
        <v>117</v>
      </c>
      <c r="G347" s="63">
        <v>0.17699999999999999</v>
      </c>
      <c r="H347" s="63">
        <f t="shared" si="1"/>
        <v>0.137352</v>
      </c>
    </row>
    <row r="348" spans="1:8" x14ac:dyDescent="0.25">
      <c r="A348" s="60">
        <v>4311</v>
      </c>
      <c r="B348" s="61">
        <f>2*E339</f>
        <v>2</v>
      </c>
      <c r="C348" s="61" t="s">
        <v>837</v>
      </c>
      <c r="D348" s="61">
        <f>A339/2-95</f>
        <v>155</v>
      </c>
      <c r="E348" s="61" t="s">
        <v>340</v>
      </c>
      <c r="F348" s="62" t="s">
        <v>838</v>
      </c>
      <c r="G348" s="63">
        <v>0.128</v>
      </c>
      <c r="H348" s="63">
        <f t="shared" si="1"/>
        <v>3.968E-2</v>
      </c>
    </row>
    <row r="349" spans="1:8" x14ac:dyDescent="0.25">
      <c r="A349" s="64"/>
      <c r="B349" s="65"/>
      <c r="C349" s="65"/>
      <c r="D349" s="65"/>
      <c r="E349" s="65"/>
      <c r="F349" s="65"/>
      <c r="G349" s="63" t="s">
        <v>392</v>
      </c>
      <c r="H349" s="63">
        <f>SUM(H342:H348)</f>
        <v>2.4724480000000004</v>
      </c>
    </row>
    <row r="350" spans="1:8" x14ac:dyDescent="0.25">
      <c r="A350" s="64"/>
      <c r="B350" s="65"/>
      <c r="C350" s="65"/>
      <c r="D350" s="65"/>
      <c r="E350" s="65"/>
      <c r="F350" s="65"/>
      <c r="G350" s="66"/>
      <c r="H350" s="67"/>
    </row>
    <row r="351" spans="1:8" x14ac:dyDescent="0.25">
      <c r="A351" s="64"/>
      <c r="B351" s="65"/>
      <c r="C351" s="65"/>
      <c r="D351" s="65"/>
      <c r="E351" s="65"/>
      <c r="F351" s="65"/>
      <c r="G351" s="68"/>
      <c r="H351" s="67"/>
    </row>
    <row r="352" spans="1:8" x14ac:dyDescent="0.25">
      <c r="A352" s="69" t="s">
        <v>393</v>
      </c>
      <c r="B352" s="70"/>
      <c r="C352" s="70"/>
      <c r="D352" s="71"/>
      <c r="E352" s="59" t="s">
        <v>36</v>
      </c>
      <c r="F352" s="59" t="s">
        <v>266</v>
      </c>
      <c r="G352" s="52"/>
      <c r="H352" s="72"/>
    </row>
    <row r="353" spans="1:8" x14ac:dyDescent="0.25">
      <c r="A353" s="73" t="s">
        <v>811</v>
      </c>
      <c r="B353" s="70"/>
      <c r="C353" s="70"/>
      <c r="D353" s="71"/>
      <c r="E353" s="75">
        <f>F353*E339</f>
        <v>8</v>
      </c>
      <c r="F353" s="61">
        <v>8</v>
      </c>
      <c r="G353" s="76"/>
      <c r="H353" s="77"/>
    </row>
    <row r="354" spans="1:8" x14ac:dyDescent="0.25">
      <c r="A354" s="73" t="s">
        <v>839</v>
      </c>
      <c r="B354" s="70"/>
      <c r="C354" s="70"/>
      <c r="D354" s="71"/>
      <c r="E354" s="75">
        <f>F354*E339</f>
        <v>1</v>
      </c>
      <c r="F354" s="61">
        <v>1</v>
      </c>
      <c r="G354" s="65"/>
      <c r="H354" s="77"/>
    </row>
    <row r="355" spans="1:8" x14ac:dyDescent="0.25">
      <c r="A355" s="81" t="s">
        <v>840</v>
      </c>
      <c r="B355" s="70"/>
      <c r="C355" s="70"/>
      <c r="D355" s="71"/>
      <c r="E355" s="75">
        <f>F355*E339</f>
        <v>1</v>
      </c>
      <c r="F355" s="61">
        <v>1</v>
      </c>
      <c r="G355" s="65"/>
      <c r="H355" s="77"/>
    </row>
    <row r="356" spans="1:8" x14ac:dyDescent="0.25">
      <c r="A356" s="73" t="s">
        <v>841</v>
      </c>
      <c r="B356" s="70"/>
      <c r="C356" s="70"/>
      <c r="D356" s="71"/>
      <c r="E356" s="75">
        <f>1*E339</f>
        <v>1</v>
      </c>
      <c r="F356" s="61" t="s">
        <v>842</v>
      </c>
      <c r="G356" s="65"/>
      <c r="H356" s="77"/>
    </row>
    <row r="357" spans="1:8" x14ac:dyDescent="0.25">
      <c r="A357" s="73" t="s">
        <v>843</v>
      </c>
      <c r="B357" s="70"/>
      <c r="C357" s="70"/>
      <c r="D357" s="71"/>
      <c r="E357" s="75">
        <f>4*(A339/1000)+4*(C339/1000)*E339</f>
        <v>4</v>
      </c>
      <c r="F357" s="61" t="s">
        <v>398</v>
      </c>
      <c r="G357" s="65"/>
      <c r="H357" s="77"/>
    </row>
    <row r="358" spans="1:8" x14ac:dyDescent="0.25">
      <c r="A358" s="73" t="s">
        <v>844</v>
      </c>
      <c r="B358" s="70"/>
      <c r="C358" s="70"/>
      <c r="D358" s="71"/>
      <c r="E358" s="75">
        <f>F358*E339</f>
        <v>2</v>
      </c>
      <c r="F358" s="61">
        <v>2</v>
      </c>
      <c r="G358" s="65"/>
      <c r="H358" s="77"/>
    </row>
    <row r="359" spans="1:8" x14ac:dyDescent="0.25">
      <c r="A359" s="73" t="s">
        <v>845</v>
      </c>
      <c r="B359" s="70"/>
      <c r="C359" s="70"/>
      <c r="D359" s="71"/>
      <c r="E359" s="75">
        <f>F359*E339</f>
        <v>2</v>
      </c>
      <c r="F359" s="61">
        <v>2</v>
      </c>
      <c r="G359" s="65"/>
      <c r="H359" s="77"/>
    </row>
    <row r="360" spans="1:8" x14ac:dyDescent="0.25">
      <c r="A360" s="73" t="s">
        <v>528</v>
      </c>
      <c r="B360" s="70"/>
      <c r="C360" s="70"/>
      <c r="D360" s="71"/>
      <c r="E360" s="75">
        <f>2*(A339/1000)+2*(C339/1000)*E339</f>
        <v>2</v>
      </c>
      <c r="F360" s="61" t="s">
        <v>448</v>
      </c>
      <c r="G360" s="65"/>
      <c r="H360" s="77"/>
    </row>
    <row r="361" spans="1:8" x14ac:dyDescent="0.25">
      <c r="A361" s="73" t="s">
        <v>530</v>
      </c>
      <c r="B361" s="70"/>
      <c r="C361" s="70"/>
      <c r="D361" s="71"/>
      <c r="E361" s="75">
        <f>2*(A339/1000)+2*(C339/1000)*E339</f>
        <v>2</v>
      </c>
      <c r="F361" s="61" t="s">
        <v>448</v>
      </c>
      <c r="G361" s="65"/>
      <c r="H361" s="77"/>
    </row>
    <row r="362" spans="1:8" x14ac:dyDescent="0.25">
      <c r="A362" s="73" t="s">
        <v>584</v>
      </c>
      <c r="B362" s="70"/>
      <c r="C362" s="70"/>
      <c r="D362" s="71"/>
      <c r="E362" s="75">
        <f>A339/100+C339/100*E339</f>
        <v>10</v>
      </c>
      <c r="F362" s="61" t="s">
        <v>824</v>
      </c>
      <c r="G362" s="65"/>
      <c r="H362" s="77"/>
    </row>
    <row r="363" spans="1:8" x14ac:dyDescent="0.25">
      <c r="A363" s="52"/>
      <c r="B363" s="53"/>
      <c r="C363" s="53"/>
      <c r="D363" s="53"/>
      <c r="E363" s="53"/>
      <c r="F363" s="65"/>
      <c r="G363" s="65"/>
      <c r="H363" s="51"/>
    </row>
    <row r="364" spans="1:8" x14ac:dyDescent="0.25">
      <c r="A364" s="52"/>
      <c r="B364" s="53"/>
      <c r="C364" s="53"/>
      <c r="D364" s="53"/>
      <c r="E364" s="53"/>
      <c r="F364" s="53"/>
      <c r="G364" s="53"/>
      <c r="H364" s="83"/>
    </row>
    <row r="365" spans="1:8" x14ac:dyDescent="0.25">
      <c r="A365" s="59" t="s">
        <v>413</v>
      </c>
      <c r="B365" s="84" t="s">
        <v>266</v>
      </c>
      <c r="C365" s="84" t="s">
        <v>383</v>
      </c>
      <c r="D365" s="405" t="s">
        <v>414</v>
      </c>
      <c r="E365" s="406"/>
      <c r="F365" s="85" t="s">
        <v>415</v>
      </c>
      <c r="G365" s="59" t="s">
        <v>416</v>
      </c>
      <c r="H365" s="86"/>
    </row>
    <row r="366" spans="1:8" x14ac:dyDescent="0.25">
      <c r="A366" s="87"/>
      <c r="B366" s="61">
        <f>1*E339</f>
        <v>1</v>
      </c>
      <c r="C366" s="61" t="s">
        <v>854</v>
      </c>
      <c r="D366" s="407">
        <f>A339-134</f>
        <v>366</v>
      </c>
      <c r="E366" s="408"/>
      <c r="F366" s="61">
        <f>C339-134</f>
        <v>366</v>
      </c>
      <c r="G366" s="91">
        <f>+(D366/1000)*(F366/1000)*B366</f>
        <v>0.13395599999999999</v>
      </c>
      <c r="H366" s="92"/>
    </row>
    <row r="367" spans="1:8" x14ac:dyDescent="0.25">
      <c r="A367" s="79"/>
      <c r="B367" s="53"/>
      <c r="C367" s="53"/>
      <c r="D367" s="53"/>
      <c r="E367" s="53"/>
      <c r="F367" s="94" t="s">
        <v>815</v>
      </c>
      <c r="G367" s="95">
        <f>SUM(G366:G366)</f>
        <v>0.13395599999999999</v>
      </c>
      <c r="H367" s="51"/>
    </row>
    <row r="368" spans="1:8" x14ac:dyDescent="0.25">
      <c r="A368" s="79"/>
      <c r="B368" s="53"/>
      <c r="C368" s="53"/>
      <c r="D368" s="53"/>
      <c r="E368" s="53"/>
      <c r="F368" s="94"/>
      <c r="G368" s="96"/>
      <c r="H368" s="51"/>
    </row>
    <row r="369" spans="1:8" x14ac:dyDescent="0.25">
      <c r="A369" s="79"/>
      <c r="B369" s="53"/>
      <c r="C369" s="53"/>
      <c r="D369" s="53"/>
      <c r="E369" s="53"/>
      <c r="F369" s="94"/>
      <c r="G369" s="96"/>
      <c r="H369" s="51"/>
    </row>
    <row r="370" spans="1:8" x14ac:dyDescent="0.25">
      <c r="A370" s="79"/>
      <c r="B370" s="53"/>
      <c r="C370" s="53"/>
      <c r="D370" s="53"/>
      <c r="E370" s="53"/>
      <c r="F370" s="94"/>
      <c r="G370" s="96"/>
      <c r="H370" s="51"/>
    </row>
    <row r="371" spans="1:8" x14ac:dyDescent="0.25">
      <c r="A371" s="79"/>
      <c r="B371" s="53"/>
      <c r="C371" s="53"/>
      <c r="D371" s="53"/>
      <c r="E371" s="53"/>
      <c r="F371" s="94"/>
      <c r="G371" s="96"/>
      <c r="H371" s="51"/>
    </row>
    <row r="372" spans="1:8" x14ac:dyDescent="0.25">
      <c r="A372" s="79"/>
      <c r="B372" s="53"/>
      <c r="C372" s="53"/>
      <c r="D372" s="53"/>
      <c r="E372" s="53"/>
      <c r="F372" s="94"/>
      <c r="G372" s="96"/>
      <c r="H372" s="51"/>
    </row>
    <row r="373" spans="1:8" x14ac:dyDescent="0.25">
      <c r="A373" s="79"/>
      <c r="B373" s="53"/>
      <c r="C373" s="53"/>
      <c r="D373" s="53"/>
      <c r="E373" s="53"/>
      <c r="F373" s="94"/>
      <c r="G373" s="96"/>
      <c r="H373" s="51"/>
    </row>
    <row r="374" spans="1:8" x14ac:dyDescent="0.25">
      <c r="A374" s="79"/>
      <c r="B374" s="53"/>
      <c r="C374" s="53"/>
      <c r="D374" s="53"/>
      <c r="E374" s="53"/>
      <c r="F374" s="94"/>
      <c r="G374" s="96"/>
      <c r="H374" s="51"/>
    </row>
    <row r="375" spans="1:8" x14ac:dyDescent="0.25">
      <c r="A375" s="79"/>
      <c r="B375" s="53"/>
      <c r="C375" s="53"/>
      <c r="D375" s="53"/>
      <c r="E375" s="53"/>
      <c r="F375" s="94"/>
      <c r="G375" s="96"/>
      <c r="H375" s="51"/>
    </row>
    <row r="376" spans="1:8" x14ac:dyDescent="0.25">
      <c r="A376" s="79"/>
      <c r="B376" s="53"/>
      <c r="C376" s="53"/>
      <c r="D376" s="53"/>
      <c r="E376" s="53"/>
      <c r="F376" s="94"/>
      <c r="G376" s="96"/>
      <c r="H376" s="51"/>
    </row>
    <row r="377" spans="1:8" x14ac:dyDescent="0.25">
      <c r="A377" s="79"/>
      <c r="B377" s="53"/>
      <c r="C377" s="53"/>
      <c r="D377" s="53"/>
      <c r="E377" s="53"/>
      <c r="F377" s="94"/>
      <c r="G377" s="96"/>
      <c r="H377" s="51"/>
    </row>
    <row r="378" spans="1:8" x14ac:dyDescent="0.25">
      <c r="A378" s="79"/>
      <c r="B378" s="53"/>
      <c r="C378" s="53"/>
      <c r="D378" s="53"/>
      <c r="E378" s="53"/>
      <c r="F378" s="94"/>
      <c r="G378" s="96"/>
      <c r="H378" s="51"/>
    </row>
    <row r="379" spans="1:8" x14ac:dyDescent="0.25">
      <c r="A379" s="79"/>
      <c r="B379" s="53"/>
      <c r="C379" s="53"/>
      <c r="D379" s="53"/>
      <c r="E379" s="53"/>
      <c r="F379" s="94"/>
      <c r="G379" s="96"/>
      <c r="H379" s="51"/>
    </row>
    <row r="380" spans="1:8" x14ac:dyDescent="0.25">
      <c r="A380" s="79"/>
      <c r="B380" s="53"/>
      <c r="C380" s="53"/>
      <c r="D380" s="53"/>
      <c r="E380" s="53"/>
      <c r="F380" s="94"/>
      <c r="G380" s="96"/>
      <c r="H380" s="51"/>
    </row>
    <row r="381" spans="1:8" x14ac:dyDescent="0.25">
      <c r="A381" s="79"/>
      <c r="B381" s="53"/>
      <c r="C381" s="53"/>
      <c r="D381" s="53"/>
      <c r="E381" s="53"/>
      <c r="F381" s="94"/>
      <c r="G381" s="96"/>
      <c r="H381" s="51"/>
    </row>
    <row r="382" spans="1:8" x14ac:dyDescent="0.25">
      <c r="A382" s="79"/>
      <c r="B382" s="53"/>
      <c r="C382" s="53"/>
      <c r="D382" s="53"/>
      <c r="E382" s="53"/>
      <c r="F382" s="94"/>
      <c r="G382" s="96"/>
      <c r="H382" s="51"/>
    </row>
    <row r="383" spans="1:8" x14ac:dyDescent="0.25">
      <c r="A383" s="79"/>
      <c r="B383" s="53"/>
      <c r="C383" s="53"/>
      <c r="D383" s="53"/>
      <c r="E383" s="53"/>
      <c r="F383" s="94"/>
      <c r="G383" s="96"/>
      <c r="H383" s="51"/>
    </row>
    <row r="384" spans="1:8" x14ac:dyDescent="0.25">
      <c r="A384" s="79"/>
      <c r="B384" s="53"/>
      <c r="C384" s="53"/>
      <c r="D384" s="53"/>
      <c r="E384" s="53"/>
      <c r="F384" s="94"/>
      <c r="G384" s="96"/>
      <c r="H384" s="51"/>
    </row>
    <row r="385" spans="1:8" x14ac:dyDescent="0.25">
      <c r="A385" s="79"/>
      <c r="B385" s="53"/>
      <c r="C385" s="53"/>
      <c r="D385" s="53"/>
      <c r="E385" s="53"/>
      <c r="F385" s="94"/>
      <c r="G385" s="96"/>
      <c r="H385" s="51"/>
    </row>
    <row r="386" spans="1:8" x14ac:dyDescent="0.25">
      <c r="A386" s="79"/>
      <c r="B386" s="53"/>
      <c r="C386" s="53"/>
      <c r="D386" s="53"/>
      <c r="E386" s="53"/>
      <c r="F386" s="94"/>
      <c r="G386" s="96"/>
      <c r="H386" s="51"/>
    </row>
    <row r="387" spans="1:8" x14ac:dyDescent="0.25">
      <c r="A387" s="52"/>
      <c r="B387" s="53"/>
      <c r="C387" s="53"/>
      <c r="D387" s="53"/>
      <c r="E387" s="53"/>
      <c r="F387" s="53"/>
      <c r="G387" s="53"/>
      <c r="H387" s="51"/>
    </row>
    <row r="388" spans="1:8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x14ac:dyDescent="0.25">
      <c r="A389" s="100"/>
      <c r="B389" s="100"/>
      <c r="C389" s="100"/>
      <c r="D389" s="100"/>
      <c r="E389" s="100"/>
      <c r="F389" s="100"/>
      <c r="G389" s="100"/>
      <c r="H389" s="100"/>
    </row>
    <row r="390" spans="1:8" x14ac:dyDescent="0.25">
      <c r="A390" s="44"/>
      <c r="B390" s="45"/>
      <c r="C390" s="45"/>
      <c r="D390" s="45"/>
      <c r="E390" s="45"/>
      <c r="F390" s="45"/>
      <c r="G390" s="45"/>
      <c r="H390" s="46"/>
    </row>
    <row r="391" spans="1:8" x14ac:dyDescent="0.25">
      <c r="A391" s="52"/>
      <c r="B391" s="53"/>
      <c r="C391" s="53"/>
      <c r="D391" s="53"/>
      <c r="E391" s="53"/>
      <c r="F391" s="53"/>
      <c r="G391" s="53"/>
      <c r="H391" s="51"/>
    </row>
    <row r="392" spans="1:8" x14ac:dyDescent="0.25">
      <c r="A392" s="47" t="s">
        <v>855</v>
      </c>
      <c r="B392" s="49"/>
      <c r="C392" s="49"/>
      <c r="D392" s="122"/>
      <c r="E392" s="122"/>
      <c r="F392" s="50"/>
      <c r="G392" s="54" t="s">
        <v>856</v>
      </c>
      <c r="H392" s="103"/>
    </row>
    <row r="393" spans="1:8" ht="16.5" thickBot="1" x14ac:dyDescent="0.3">
      <c r="A393" s="52"/>
      <c r="B393" s="53"/>
      <c r="C393" s="53"/>
      <c r="D393" s="53"/>
      <c r="E393" s="53"/>
      <c r="F393" s="53"/>
      <c r="G393" s="53"/>
      <c r="H393" s="51"/>
    </row>
    <row r="394" spans="1:8" ht="16.5" thickBot="1" x14ac:dyDescent="0.3">
      <c r="A394" s="400" t="s">
        <v>381</v>
      </c>
      <c r="B394" s="401"/>
      <c r="C394" s="402" t="s">
        <v>382</v>
      </c>
      <c r="D394" s="401"/>
      <c r="E394" s="55" t="s">
        <v>266</v>
      </c>
      <c r="F394" s="53"/>
      <c r="G394" s="53"/>
      <c r="H394" s="51"/>
    </row>
    <row r="395" spans="1:8" ht="16.5" thickBot="1" x14ac:dyDescent="0.3">
      <c r="A395" s="403">
        <v>362</v>
      </c>
      <c r="B395" s="404"/>
      <c r="C395" s="403">
        <v>940</v>
      </c>
      <c r="D395" s="404"/>
      <c r="E395" s="56">
        <v>1</v>
      </c>
      <c r="F395" s="53"/>
      <c r="G395" s="53"/>
      <c r="H395" s="51"/>
    </row>
    <row r="396" spans="1:8" x14ac:dyDescent="0.25">
      <c r="A396" s="52"/>
      <c r="B396" s="58"/>
      <c r="C396" s="58"/>
      <c r="D396" s="58"/>
      <c r="E396" s="58"/>
      <c r="F396" s="58"/>
      <c r="G396" s="53"/>
      <c r="H396" s="83"/>
    </row>
    <row r="397" spans="1:8" x14ac:dyDescent="0.25">
      <c r="A397" s="59" t="s">
        <v>323</v>
      </c>
      <c r="B397" s="59" t="s">
        <v>266</v>
      </c>
      <c r="C397" s="59" t="s">
        <v>383</v>
      </c>
      <c r="D397" s="59" t="s">
        <v>384</v>
      </c>
      <c r="E397" s="59" t="s">
        <v>332</v>
      </c>
      <c r="F397" s="59" t="s">
        <v>385</v>
      </c>
      <c r="G397" s="59" t="s">
        <v>386</v>
      </c>
      <c r="H397" s="59" t="s">
        <v>387</v>
      </c>
    </row>
    <row r="398" spans="1:8" x14ac:dyDescent="0.25">
      <c r="A398" s="60">
        <v>4301</v>
      </c>
      <c r="B398" s="61">
        <f>2*E395</f>
        <v>2</v>
      </c>
      <c r="C398" s="61" t="s">
        <v>335</v>
      </c>
      <c r="D398" s="61">
        <f>A395</f>
        <v>362</v>
      </c>
      <c r="E398" s="61" t="s">
        <v>336</v>
      </c>
      <c r="F398" s="62" t="s">
        <v>809</v>
      </c>
      <c r="G398" s="63">
        <v>0.436</v>
      </c>
      <c r="H398" s="63">
        <f t="shared" ref="H398:H404" si="2">(D398/1000)*B398*G398</f>
        <v>0.315664</v>
      </c>
    </row>
    <row r="399" spans="1:8" x14ac:dyDescent="0.25">
      <c r="A399" s="60">
        <v>4301</v>
      </c>
      <c r="B399" s="61">
        <f>2*E395</f>
        <v>2</v>
      </c>
      <c r="C399" s="61" t="s">
        <v>337</v>
      </c>
      <c r="D399" s="61">
        <f>C395</f>
        <v>940</v>
      </c>
      <c r="E399" s="61" t="s">
        <v>336</v>
      </c>
      <c r="F399" s="62" t="s">
        <v>809</v>
      </c>
      <c r="G399" s="63">
        <v>0.436</v>
      </c>
      <c r="H399" s="63">
        <f t="shared" si="2"/>
        <v>0.81967999999999996</v>
      </c>
    </row>
    <row r="400" spans="1:8" x14ac:dyDescent="0.25">
      <c r="A400" s="60">
        <v>4302</v>
      </c>
      <c r="B400" s="61">
        <f>2*E395</f>
        <v>2</v>
      </c>
      <c r="C400" s="61" t="s">
        <v>832</v>
      </c>
      <c r="D400" s="61">
        <f>A395-32</f>
        <v>330</v>
      </c>
      <c r="E400" s="61" t="s">
        <v>336</v>
      </c>
      <c r="F400" s="62" t="s">
        <v>853</v>
      </c>
      <c r="G400" s="63">
        <v>0.68700000000000006</v>
      </c>
      <c r="H400" s="63">
        <f t="shared" si="2"/>
        <v>0.45342000000000005</v>
      </c>
    </row>
    <row r="401" spans="1:8" x14ac:dyDescent="0.25">
      <c r="A401" s="60">
        <v>4302</v>
      </c>
      <c r="B401" s="61">
        <f>2*E395</f>
        <v>2</v>
      </c>
      <c r="C401" s="61" t="s">
        <v>834</v>
      </c>
      <c r="D401" s="61">
        <f>C395-32</f>
        <v>908</v>
      </c>
      <c r="E401" s="61" t="s">
        <v>336</v>
      </c>
      <c r="F401" s="62" t="s">
        <v>853</v>
      </c>
      <c r="G401" s="63">
        <v>0.68700000000000006</v>
      </c>
      <c r="H401" s="63">
        <f t="shared" si="2"/>
        <v>1.247592</v>
      </c>
    </row>
    <row r="402" spans="1:8" x14ac:dyDescent="0.25">
      <c r="A402" s="60">
        <v>4307</v>
      </c>
      <c r="B402" s="61">
        <f>2*E395</f>
        <v>2</v>
      </c>
      <c r="C402" s="61" t="s">
        <v>835</v>
      </c>
      <c r="D402" s="61">
        <f>A395-112</f>
        <v>250</v>
      </c>
      <c r="E402" s="61" t="s">
        <v>336</v>
      </c>
      <c r="F402" s="62" t="s">
        <v>117</v>
      </c>
      <c r="G402" s="63">
        <v>0.17599999999999999</v>
      </c>
      <c r="H402" s="63">
        <f t="shared" si="2"/>
        <v>8.7999999999999995E-2</v>
      </c>
    </row>
    <row r="403" spans="1:8" x14ac:dyDescent="0.25">
      <c r="A403" s="60">
        <v>4309</v>
      </c>
      <c r="B403" s="61">
        <f>2*E395</f>
        <v>2</v>
      </c>
      <c r="C403" s="61" t="s">
        <v>836</v>
      </c>
      <c r="D403" s="61">
        <f>C395-112</f>
        <v>828</v>
      </c>
      <c r="E403" s="61" t="s">
        <v>336</v>
      </c>
      <c r="F403" s="62" t="s">
        <v>117</v>
      </c>
      <c r="G403" s="63">
        <v>0.23499999999999999</v>
      </c>
      <c r="H403" s="63">
        <f t="shared" si="2"/>
        <v>0.38915999999999995</v>
      </c>
    </row>
    <row r="404" spans="1:8" x14ac:dyDescent="0.25">
      <c r="A404" s="60">
        <v>4311</v>
      </c>
      <c r="B404" s="61">
        <f>2*E395</f>
        <v>2</v>
      </c>
      <c r="C404" s="61" t="s">
        <v>857</v>
      </c>
      <c r="D404" s="61">
        <f>C395/2-95</f>
        <v>375</v>
      </c>
      <c r="E404" s="61" t="s">
        <v>340</v>
      </c>
      <c r="F404" s="62" t="s">
        <v>838</v>
      </c>
      <c r="G404" s="63">
        <v>0.128</v>
      </c>
      <c r="H404" s="63">
        <f t="shared" si="2"/>
        <v>9.6000000000000002E-2</v>
      </c>
    </row>
    <row r="405" spans="1:8" x14ac:dyDescent="0.25">
      <c r="A405" s="64"/>
      <c r="B405" s="65"/>
      <c r="C405" s="65"/>
      <c r="D405" s="65"/>
      <c r="E405" s="65"/>
      <c r="F405" s="65"/>
      <c r="G405" s="63" t="s">
        <v>392</v>
      </c>
      <c r="H405" s="63">
        <f>SUM(H398:H404)</f>
        <v>3.409516</v>
      </c>
    </row>
    <row r="406" spans="1:8" x14ac:dyDescent="0.25">
      <c r="A406" s="64"/>
      <c r="B406" s="65"/>
      <c r="C406" s="65"/>
      <c r="D406" s="65"/>
      <c r="E406" s="65"/>
      <c r="F406" s="65"/>
      <c r="G406" s="66"/>
      <c r="H406" s="67"/>
    </row>
    <row r="407" spans="1:8" x14ac:dyDescent="0.25">
      <c r="A407" s="64"/>
      <c r="B407" s="65"/>
      <c r="C407" s="65"/>
      <c r="D407" s="65"/>
      <c r="E407" s="65"/>
      <c r="F407" s="65"/>
      <c r="G407" s="68"/>
      <c r="H407" s="67"/>
    </row>
    <row r="408" spans="1:8" x14ac:dyDescent="0.25">
      <c r="A408" s="69" t="s">
        <v>393</v>
      </c>
      <c r="B408" s="70"/>
      <c r="C408" s="70"/>
      <c r="D408" s="71"/>
      <c r="E408" s="59" t="s">
        <v>36</v>
      </c>
      <c r="F408" s="59" t="s">
        <v>266</v>
      </c>
      <c r="G408" s="52"/>
      <c r="H408" s="72"/>
    </row>
    <row r="409" spans="1:8" x14ac:dyDescent="0.25">
      <c r="A409" s="73" t="s">
        <v>811</v>
      </c>
      <c r="B409" s="70"/>
      <c r="C409" s="70"/>
      <c r="D409" s="71"/>
      <c r="E409" s="75">
        <f>F409*E395</f>
        <v>8</v>
      </c>
      <c r="F409" s="61">
        <v>8</v>
      </c>
      <c r="G409" s="76"/>
      <c r="H409" s="77"/>
    </row>
    <row r="410" spans="1:8" x14ac:dyDescent="0.25">
      <c r="A410" s="73" t="s">
        <v>839</v>
      </c>
      <c r="B410" s="70"/>
      <c r="C410" s="70"/>
      <c r="D410" s="71"/>
      <c r="E410" s="75">
        <f>F410*E395</f>
        <v>1</v>
      </c>
      <c r="F410" s="61">
        <v>1</v>
      </c>
      <c r="G410" s="65"/>
      <c r="H410" s="77"/>
    </row>
    <row r="411" spans="1:8" x14ac:dyDescent="0.25">
      <c r="A411" s="73" t="s">
        <v>858</v>
      </c>
      <c r="B411" s="70"/>
      <c r="C411" s="70"/>
      <c r="D411" s="71"/>
      <c r="E411" s="75">
        <f>F411*E395</f>
        <v>1</v>
      </c>
      <c r="F411" s="61">
        <v>1</v>
      </c>
      <c r="G411" s="65"/>
      <c r="H411" s="77"/>
    </row>
    <row r="412" spans="1:8" x14ac:dyDescent="0.25">
      <c r="A412" s="73" t="s">
        <v>859</v>
      </c>
      <c r="B412" s="70"/>
      <c r="C412" s="70"/>
      <c r="D412" s="71"/>
      <c r="E412" s="75">
        <f>F412*E395</f>
        <v>2</v>
      </c>
      <c r="F412" s="61">
        <v>2</v>
      </c>
      <c r="G412" s="65"/>
      <c r="H412" s="77"/>
    </row>
    <row r="413" spans="1:8" x14ac:dyDescent="0.25">
      <c r="A413" s="73" t="s">
        <v>843</v>
      </c>
      <c r="B413" s="70"/>
      <c r="C413" s="70"/>
      <c r="D413" s="71"/>
      <c r="E413" s="75">
        <f>4*(A395/1000)+4*(C395/1000)*E395</f>
        <v>5.2080000000000002</v>
      </c>
      <c r="F413" s="61" t="s">
        <v>398</v>
      </c>
      <c r="G413" s="65"/>
      <c r="H413" s="77"/>
    </row>
    <row r="414" spans="1:8" x14ac:dyDescent="0.25">
      <c r="A414" s="73" t="s">
        <v>528</v>
      </c>
      <c r="B414" s="70"/>
      <c r="C414" s="70"/>
      <c r="D414" s="71"/>
      <c r="E414" s="75">
        <f>2*(A395/1000)+2*(C395/1000)*E395</f>
        <v>2.6040000000000001</v>
      </c>
      <c r="F414" s="61" t="s">
        <v>448</v>
      </c>
      <c r="G414" s="65"/>
      <c r="H414" s="77"/>
    </row>
    <row r="415" spans="1:8" x14ac:dyDescent="0.25">
      <c r="A415" s="73" t="s">
        <v>530</v>
      </c>
      <c r="B415" s="70"/>
      <c r="C415" s="70"/>
      <c r="D415" s="71"/>
      <c r="E415" s="75">
        <f>2*(A395/1000)+2*(C395/1000)*E395</f>
        <v>2.6040000000000001</v>
      </c>
      <c r="F415" s="61" t="s">
        <v>448</v>
      </c>
      <c r="G415" s="65"/>
      <c r="H415" s="77"/>
    </row>
    <row r="416" spans="1:8" x14ac:dyDescent="0.25">
      <c r="A416" s="73" t="s">
        <v>584</v>
      </c>
      <c r="B416" s="70"/>
      <c r="C416" s="70"/>
      <c r="D416" s="71"/>
      <c r="E416" s="75">
        <f>A395/100</f>
        <v>3.62</v>
      </c>
      <c r="F416" s="61" t="s">
        <v>813</v>
      </c>
      <c r="G416" s="65"/>
      <c r="H416" s="77"/>
    </row>
    <row r="417" spans="1:8" x14ac:dyDescent="0.25">
      <c r="A417" s="73" t="s">
        <v>860</v>
      </c>
      <c r="B417" s="70"/>
      <c r="C417" s="70"/>
      <c r="D417" s="71"/>
      <c r="E417" s="75">
        <f>F417*E395</f>
        <v>2</v>
      </c>
      <c r="F417" s="61">
        <v>2</v>
      </c>
      <c r="G417" s="65"/>
      <c r="H417" s="77"/>
    </row>
    <row r="418" spans="1:8" x14ac:dyDescent="0.25">
      <c r="A418" s="73" t="s">
        <v>845</v>
      </c>
      <c r="B418" s="70"/>
      <c r="C418" s="70"/>
      <c r="D418" s="71"/>
      <c r="E418" s="75">
        <f>F418*E395</f>
        <v>2</v>
      </c>
      <c r="F418" s="61">
        <v>2</v>
      </c>
      <c r="G418" s="65"/>
      <c r="H418" s="77"/>
    </row>
    <row r="419" spans="1:8" x14ac:dyDescent="0.25">
      <c r="A419" s="52"/>
      <c r="B419" s="53"/>
      <c r="C419" s="53"/>
      <c r="D419" s="53"/>
      <c r="E419" s="53"/>
      <c r="F419" s="65"/>
      <c r="G419" s="65"/>
      <c r="H419" s="51"/>
    </row>
    <row r="420" spans="1:8" x14ac:dyDescent="0.25">
      <c r="A420" s="52"/>
      <c r="B420" s="53"/>
      <c r="C420" s="53"/>
      <c r="D420" s="53"/>
      <c r="E420" s="53"/>
      <c r="F420" s="53"/>
      <c r="G420" s="53"/>
      <c r="H420" s="83"/>
    </row>
    <row r="421" spans="1:8" x14ac:dyDescent="0.25">
      <c r="A421" s="59" t="s">
        <v>413</v>
      </c>
      <c r="B421" s="84" t="s">
        <v>266</v>
      </c>
      <c r="C421" s="84" t="s">
        <v>383</v>
      </c>
      <c r="D421" s="405" t="s">
        <v>414</v>
      </c>
      <c r="E421" s="406"/>
      <c r="F421" s="85" t="s">
        <v>415</v>
      </c>
      <c r="G421" s="59" t="s">
        <v>416</v>
      </c>
      <c r="H421" s="86"/>
    </row>
    <row r="422" spans="1:8" x14ac:dyDescent="0.25">
      <c r="A422" s="87"/>
      <c r="B422" s="61">
        <f>1*E395</f>
        <v>1</v>
      </c>
      <c r="C422" s="61" t="s">
        <v>854</v>
      </c>
      <c r="D422" s="407">
        <f>A395-134</f>
        <v>228</v>
      </c>
      <c r="E422" s="408"/>
      <c r="F422" s="61">
        <f>C395-134</f>
        <v>806</v>
      </c>
      <c r="G422" s="91">
        <f>+(D422/1000)*(F422/1000)*B422</f>
        <v>0.18376800000000001</v>
      </c>
      <c r="H422" s="92"/>
    </row>
    <row r="423" spans="1:8" x14ac:dyDescent="0.25">
      <c r="A423" s="79"/>
      <c r="B423" s="53"/>
      <c r="C423" s="53"/>
      <c r="D423" s="53"/>
      <c r="E423" s="53"/>
      <c r="F423" s="94" t="s">
        <v>815</v>
      </c>
      <c r="G423" s="95">
        <f>SUM(G422:G422)</f>
        <v>0.18376800000000001</v>
      </c>
      <c r="H423" s="51"/>
    </row>
    <row r="424" spans="1:8" x14ac:dyDescent="0.25">
      <c r="A424" s="79"/>
      <c r="B424" s="53"/>
      <c r="C424" s="53"/>
      <c r="D424" s="53"/>
      <c r="E424" s="53"/>
      <c r="F424" s="94"/>
      <c r="G424" s="96"/>
      <c r="H424" s="51"/>
    </row>
    <row r="425" spans="1:8" x14ac:dyDescent="0.25">
      <c r="A425" s="79"/>
      <c r="B425" s="53"/>
      <c r="C425" s="53"/>
      <c r="D425" s="53"/>
      <c r="E425" s="53"/>
      <c r="F425" s="94"/>
      <c r="G425" s="96"/>
      <c r="H425" s="51"/>
    </row>
    <row r="426" spans="1:8" x14ac:dyDescent="0.25">
      <c r="A426" s="79"/>
      <c r="B426" s="53"/>
      <c r="C426" s="53"/>
      <c r="D426" s="53"/>
      <c r="E426" s="53"/>
      <c r="F426" s="94"/>
      <c r="G426" s="96"/>
      <c r="H426" s="51"/>
    </row>
    <row r="427" spans="1:8" x14ac:dyDescent="0.25">
      <c r="A427" s="79"/>
      <c r="B427" s="53"/>
      <c r="C427" s="53"/>
      <c r="D427" s="53"/>
      <c r="E427" s="53"/>
      <c r="F427" s="94"/>
      <c r="G427" s="96"/>
      <c r="H427" s="51"/>
    </row>
    <row r="428" spans="1:8" x14ac:dyDescent="0.25">
      <c r="A428" s="79"/>
      <c r="B428" s="53"/>
      <c r="C428" s="53"/>
      <c r="D428" s="53"/>
      <c r="E428" s="53"/>
      <c r="F428" s="94"/>
      <c r="G428" s="96"/>
      <c r="H428" s="51"/>
    </row>
    <row r="429" spans="1:8" x14ac:dyDescent="0.25">
      <c r="A429" s="79"/>
      <c r="B429" s="53"/>
      <c r="C429" s="53"/>
      <c r="D429" s="53"/>
      <c r="E429" s="53"/>
      <c r="F429" s="94"/>
      <c r="G429" s="96"/>
      <c r="H429" s="51"/>
    </row>
    <row r="430" spans="1:8" x14ac:dyDescent="0.25">
      <c r="A430" s="79"/>
      <c r="B430" s="53"/>
      <c r="C430" s="53"/>
      <c r="D430" s="53"/>
      <c r="E430" s="53"/>
      <c r="F430" s="94"/>
      <c r="G430" s="96"/>
      <c r="H430" s="51"/>
    </row>
    <row r="431" spans="1:8" x14ac:dyDescent="0.25">
      <c r="A431" s="79"/>
      <c r="B431" s="53"/>
      <c r="C431" s="53"/>
      <c r="D431" s="53"/>
      <c r="E431" s="53"/>
      <c r="F431" s="94"/>
      <c r="G431" s="96"/>
      <c r="H431" s="51"/>
    </row>
    <row r="432" spans="1:8" x14ac:dyDescent="0.25">
      <c r="A432" s="79"/>
      <c r="B432" s="53"/>
      <c r="C432" s="53"/>
      <c r="D432" s="53"/>
      <c r="E432" s="53"/>
      <c r="F432" s="94"/>
      <c r="G432" s="96"/>
      <c r="H432" s="51"/>
    </row>
    <row r="433" spans="1:8" x14ac:dyDescent="0.25">
      <c r="A433" s="79"/>
      <c r="B433" s="53"/>
      <c r="C433" s="53"/>
      <c r="D433" s="53"/>
      <c r="E433" s="53"/>
      <c r="F433" s="94"/>
      <c r="G433" s="96"/>
      <c r="H433" s="51"/>
    </row>
    <row r="434" spans="1:8" x14ac:dyDescent="0.25">
      <c r="A434" s="79"/>
      <c r="B434" s="53"/>
      <c r="C434" s="53"/>
      <c r="D434" s="53"/>
      <c r="E434" s="53"/>
      <c r="F434" s="94"/>
      <c r="G434" s="96"/>
      <c r="H434" s="51"/>
    </row>
    <row r="435" spans="1:8" x14ac:dyDescent="0.25">
      <c r="A435" s="79"/>
      <c r="B435" s="53"/>
      <c r="C435" s="53"/>
      <c r="D435" s="53"/>
      <c r="E435" s="53"/>
      <c r="F435" s="94"/>
      <c r="G435" s="96"/>
      <c r="H435" s="51"/>
    </row>
    <row r="436" spans="1:8" x14ac:dyDescent="0.25">
      <c r="A436" s="79"/>
      <c r="B436" s="53"/>
      <c r="C436" s="53"/>
      <c r="D436" s="53"/>
      <c r="E436" s="53"/>
      <c r="F436" s="94"/>
      <c r="G436" s="96"/>
      <c r="H436" s="51"/>
    </row>
    <row r="437" spans="1:8" x14ac:dyDescent="0.25">
      <c r="A437" s="79"/>
      <c r="B437" s="53"/>
      <c r="C437" s="53"/>
      <c r="D437" s="53"/>
      <c r="E437" s="53"/>
      <c r="F437" s="94"/>
      <c r="G437" s="96"/>
      <c r="H437" s="51"/>
    </row>
    <row r="438" spans="1:8" x14ac:dyDescent="0.25">
      <c r="A438" s="79"/>
      <c r="B438" s="53"/>
      <c r="C438" s="53"/>
      <c r="D438" s="53"/>
      <c r="E438" s="53"/>
      <c r="F438" s="94"/>
      <c r="G438" s="96"/>
      <c r="H438" s="51"/>
    </row>
    <row r="439" spans="1:8" x14ac:dyDescent="0.25">
      <c r="A439" s="79"/>
      <c r="B439" s="53"/>
      <c r="C439" s="53"/>
      <c r="D439" s="53"/>
      <c r="E439" s="53"/>
      <c r="F439" s="94"/>
      <c r="G439" s="96"/>
      <c r="H439" s="51"/>
    </row>
    <row r="440" spans="1:8" x14ac:dyDescent="0.25">
      <c r="A440" s="79"/>
      <c r="B440" s="53"/>
      <c r="C440" s="53"/>
      <c r="D440" s="53"/>
      <c r="E440" s="53"/>
      <c r="F440" s="94"/>
      <c r="G440" s="96"/>
      <c r="H440" s="51"/>
    </row>
    <row r="441" spans="1:8" x14ac:dyDescent="0.25">
      <c r="A441" s="79"/>
      <c r="B441" s="53"/>
      <c r="C441" s="53"/>
      <c r="D441" s="53"/>
      <c r="E441" s="53"/>
      <c r="F441" s="94"/>
      <c r="G441" s="96"/>
      <c r="H441" s="51"/>
    </row>
    <row r="442" spans="1:8" x14ac:dyDescent="0.25">
      <c r="A442" s="79"/>
      <c r="B442" s="53"/>
      <c r="C442" s="53"/>
      <c r="D442" s="53"/>
      <c r="E442" s="53"/>
      <c r="F442" s="94"/>
      <c r="G442" s="96"/>
      <c r="H442" s="51"/>
    </row>
    <row r="443" spans="1:8" x14ac:dyDescent="0.25">
      <c r="A443" s="52"/>
      <c r="B443" s="53"/>
      <c r="C443" s="53"/>
      <c r="D443" s="53"/>
      <c r="E443" s="53"/>
      <c r="F443" s="53"/>
      <c r="G443" s="53"/>
      <c r="H443" s="51"/>
    </row>
    <row r="444" spans="1:8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x14ac:dyDescent="0.25">
      <c r="A445" s="100"/>
      <c r="B445" s="100"/>
      <c r="C445" s="100"/>
      <c r="D445" s="100"/>
      <c r="E445" s="100"/>
      <c r="F445" s="100"/>
      <c r="G445" s="100"/>
      <c r="H445" s="100"/>
    </row>
    <row r="446" spans="1:8" x14ac:dyDescent="0.25">
      <c r="A446" s="44"/>
      <c r="B446" s="45"/>
      <c r="C446" s="45"/>
      <c r="D446" s="45"/>
      <c r="E446" s="45"/>
      <c r="F446" s="45"/>
      <c r="G446" s="45"/>
      <c r="H446" s="46"/>
    </row>
    <row r="447" spans="1:8" x14ac:dyDescent="0.25">
      <c r="A447" s="52"/>
      <c r="B447" s="53"/>
      <c r="C447" s="53"/>
      <c r="D447" s="53"/>
      <c r="E447" s="53"/>
      <c r="F447" s="53"/>
      <c r="G447" s="53"/>
      <c r="H447" s="51"/>
    </row>
    <row r="448" spans="1:8" x14ac:dyDescent="0.25">
      <c r="A448" s="47" t="s">
        <v>861</v>
      </c>
      <c r="B448" s="49"/>
      <c r="C448" s="49"/>
      <c r="D448" s="122"/>
      <c r="E448" s="122"/>
      <c r="F448" s="50"/>
      <c r="G448" s="50"/>
      <c r="H448" s="103"/>
    </row>
    <row r="449" spans="1:8" ht="16.5" thickBot="1" x14ac:dyDescent="0.3">
      <c r="A449" s="52"/>
      <c r="B449" s="53"/>
      <c r="C449" s="53"/>
      <c r="D449" s="53"/>
      <c r="E449" s="53"/>
      <c r="F449" s="53"/>
      <c r="G449" s="54" t="s">
        <v>862</v>
      </c>
      <c r="H449" s="51"/>
    </row>
    <row r="450" spans="1:8" ht="16.5" thickBot="1" x14ac:dyDescent="0.3">
      <c r="A450" s="400" t="s">
        <v>381</v>
      </c>
      <c r="B450" s="401"/>
      <c r="C450" s="402" t="s">
        <v>382</v>
      </c>
      <c r="D450" s="401"/>
      <c r="E450" s="55" t="s">
        <v>266</v>
      </c>
      <c r="F450" s="53"/>
      <c r="G450" s="53"/>
      <c r="H450" s="51"/>
    </row>
    <row r="451" spans="1:8" ht="16.5" thickBot="1" x14ac:dyDescent="0.3">
      <c r="A451" s="403">
        <v>2500</v>
      </c>
      <c r="B451" s="404"/>
      <c r="C451" s="403">
        <v>2500</v>
      </c>
      <c r="D451" s="404"/>
      <c r="E451" s="56">
        <v>1</v>
      </c>
      <c r="F451" s="53"/>
      <c r="G451" s="53"/>
      <c r="H451" s="51"/>
    </row>
    <row r="452" spans="1:8" x14ac:dyDescent="0.25">
      <c r="A452" s="52"/>
      <c r="B452" s="58"/>
      <c r="C452" s="58"/>
      <c r="D452" s="58"/>
      <c r="E452" s="58"/>
      <c r="F452" s="58"/>
      <c r="G452" s="53"/>
      <c r="H452" s="83"/>
    </row>
    <row r="453" spans="1:8" x14ac:dyDescent="0.25">
      <c r="A453" s="59" t="s">
        <v>323</v>
      </c>
      <c r="B453" s="59" t="s">
        <v>266</v>
      </c>
      <c r="C453" s="59" t="s">
        <v>383</v>
      </c>
      <c r="D453" s="59" t="s">
        <v>384</v>
      </c>
      <c r="E453" s="59" t="s">
        <v>332</v>
      </c>
      <c r="F453" s="59" t="s">
        <v>385</v>
      </c>
      <c r="G453" s="59" t="s">
        <v>386</v>
      </c>
      <c r="H453" s="59" t="s">
        <v>387</v>
      </c>
    </row>
    <row r="454" spans="1:8" x14ac:dyDescent="0.25">
      <c r="A454" s="60">
        <v>4301</v>
      </c>
      <c r="B454" s="61">
        <f>2*E451</f>
        <v>2</v>
      </c>
      <c r="C454" s="61" t="s">
        <v>335</v>
      </c>
      <c r="D454" s="61">
        <f>A451</f>
        <v>2500</v>
      </c>
      <c r="E454" s="61" t="s">
        <v>336</v>
      </c>
      <c r="F454" s="62" t="s">
        <v>809</v>
      </c>
      <c r="G454" s="63">
        <v>0.436</v>
      </c>
      <c r="H454" s="63">
        <f>(D454/1000)*B454*G454</f>
        <v>2.1800000000000002</v>
      </c>
    </row>
    <row r="455" spans="1:8" x14ac:dyDescent="0.25">
      <c r="A455" s="60">
        <v>4301</v>
      </c>
      <c r="B455" s="61">
        <f>2*E451</f>
        <v>2</v>
      </c>
      <c r="C455" s="61" t="s">
        <v>337</v>
      </c>
      <c r="D455" s="61">
        <f>C451</f>
        <v>2500</v>
      </c>
      <c r="E455" s="61" t="s">
        <v>336</v>
      </c>
      <c r="F455" s="62" t="s">
        <v>809</v>
      </c>
      <c r="G455" s="63">
        <v>0.436</v>
      </c>
      <c r="H455" s="63">
        <f>(D455/1000)*B455*G455</f>
        <v>2.1800000000000002</v>
      </c>
    </row>
    <row r="456" spans="1:8" x14ac:dyDescent="0.25">
      <c r="A456" s="60">
        <v>4303</v>
      </c>
      <c r="B456" s="61">
        <f>2*E451</f>
        <v>2</v>
      </c>
      <c r="C456" s="61" t="s">
        <v>832</v>
      </c>
      <c r="D456" s="61">
        <f>A451-32</f>
        <v>2468</v>
      </c>
      <c r="E456" s="61" t="s">
        <v>336</v>
      </c>
      <c r="F456" s="62" t="s">
        <v>849</v>
      </c>
      <c r="G456" s="63">
        <v>0.80900000000000005</v>
      </c>
      <c r="H456" s="63">
        <f>(D456/1000)*B456*G456</f>
        <v>3.9932240000000001</v>
      </c>
    </row>
    <row r="457" spans="1:8" x14ac:dyDescent="0.25">
      <c r="A457" s="60">
        <v>4303</v>
      </c>
      <c r="B457" s="61">
        <f>2*E451</f>
        <v>2</v>
      </c>
      <c r="C457" s="61" t="s">
        <v>834</v>
      </c>
      <c r="D457" s="61">
        <f>C451-32</f>
        <v>2468</v>
      </c>
      <c r="E457" s="61" t="s">
        <v>336</v>
      </c>
      <c r="F457" s="62" t="s">
        <v>849</v>
      </c>
      <c r="G457" s="63">
        <v>0.80900000000000005</v>
      </c>
      <c r="H457" s="63">
        <f>(D457/1000)*B457*G457</f>
        <v>3.9932240000000001</v>
      </c>
    </row>
    <row r="458" spans="1:8" x14ac:dyDescent="0.25">
      <c r="A458" s="60">
        <v>4311</v>
      </c>
      <c r="B458" s="61">
        <f>3*E451</f>
        <v>3</v>
      </c>
      <c r="C458" s="61" t="s">
        <v>857</v>
      </c>
      <c r="D458" s="61">
        <f>C451/2-95</f>
        <v>1155</v>
      </c>
      <c r="E458" s="61" t="s">
        <v>340</v>
      </c>
      <c r="F458" s="62" t="s">
        <v>838</v>
      </c>
      <c r="G458" s="63">
        <v>0.128</v>
      </c>
      <c r="H458" s="63">
        <f>(D458/1000)*B458*G458</f>
        <v>0.44351999999999997</v>
      </c>
    </row>
    <row r="459" spans="1:8" x14ac:dyDescent="0.25">
      <c r="A459" s="64"/>
      <c r="B459" s="65"/>
      <c r="C459" s="65"/>
      <c r="D459" s="65"/>
      <c r="E459" s="65"/>
      <c r="F459" s="65"/>
      <c r="G459" s="63" t="s">
        <v>392</v>
      </c>
      <c r="H459" s="63">
        <f>SUM(H454:H458)</f>
        <v>12.789968</v>
      </c>
    </row>
    <row r="460" spans="1:8" x14ac:dyDescent="0.25">
      <c r="A460" s="64"/>
      <c r="B460" s="65"/>
      <c r="C460" s="65"/>
      <c r="D460" s="65"/>
      <c r="E460" s="65"/>
      <c r="F460" s="65"/>
      <c r="G460" s="66"/>
      <c r="H460" s="67"/>
    </row>
    <row r="461" spans="1:8" x14ac:dyDescent="0.25">
      <c r="A461" s="64"/>
      <c r="B461" s="65"/>
      <c r="C461" s="65"/>
      <c r="D461" s="65"/>
      <c r="E461" s="65"/>
      <c r="F461" s="65"/>
      <c r="G461" s="68"/>
      <c r="H461" s="67"/>
    </row>
    <row r="462" spans="1:8" x14ac:dyDescent="0.25">
      <c r="A462" s="69" t="s">
        <v>393</v>
      </c>
      <c r="B462" s="70"/>
      <c r="C462" s="70"/>
      <c r="D462" s="71"/>
      <c r="E462" s="59" t="s">
        <v>36</v>
      </c>
      <c r="F462" s="59" t="s">
        <v>266</v>
      </c>
      <c r="G462" s="52"/>
      <c r="H462" s="72"/>
    </row>
    <row r="463" spans="1:8" x14ac:dyDescent="0.25">
      <c r="A463" s="73" t="s">
        <v>811</v>
      </c>
      <c r="B463" s="70"/>
      <c r="C463" s="70"/>
      <c r="D463" s="71"/>
      <c r="E463" s="75">
        <f>F463*E451</f>
        <v>8</v>
      </c>
      <c r="F463" s="61">
        <v>8</v>
      </c>
      <c r="G463" s="76"/>
      <c r="H463" s="77"/>
    </row>
    <row r="464" spans="1:8" x14ac:dyDescent="0.25">
      <c r="A464" s="73" t="s">
        <v>839</v>
      </c>
      <c r="B464" s="70"/>
      <c r="C464" s="70"/>
      <c r="D464" s="71"/>
      <c r="E464" s="75">
        <f>F464*E451</f>
        <v>1</v>
      </c>
      <c r="F464" s="61">
        <v>1</v>
      </c>
      <c r="G464" s="65"/>
      <c r="H464" s="77"/>
    </row>
    <row r="465" spans="1:8" x14ac:dyDescent="0.25">
      <c r="A465" s="73" t="s">
        <v>858</v>
      </c>
      <c r="B465" s="70"/>
      <c r="C465" s="70"/>
      <c r="D465" s="71"/>
      <c r="E465" s="75">
        <f>F465*E451</f>
        <v>1</v>
      </c>
      <c r="F465" s="61">
        <v>1</v>
      </c>
      <c r="G465" s="65"/>
      <c r="H465" s="77"/>
    </row>
    <row r="466" spans="1:8" x14ac:dyDescent="0.25">
      <c r="A466" s="73" t="s">
        <v>859</v>
      </c>
      <c r="B466" s="70"/>
      <c r="C466" s="70"/>
      <c r="D466" s="71"/>
      <c r="E466" s="75">
        <f>F466*E451</f>
        <v>2</v>
      </c>
      <c r="F466" s="61">
        <v>2</v>
      </c>
      <c r="G466" s="65"/>
      <c r="H466" s="77"/>
    </row>
    <row r="467" spans="1:8" x14ac:dyDescent="0.25">
      <c r="A467" s="73" t="s">
        <v>843</v>
      </c>
      <c r="B467" s="70"/>
      <c r="C467" s="70"/>
      <c r="D467" s="71"/>
      <c r="E467" s="75">
        <f>4*(A451/1000)+4*(C451/1000)*E451</f>
        <v>20</v>
      </c>
      <c r="F467" s="61" t="s">
        <v>398</v>
      </c>
      <c r="G467" s="65"/>
      <c r="H467" s="77"/>
    </row>
    <row r="468" spans="1:8" x14ac:dyDescent="0.25">
      <c r="A468" s="73" t="s">
        <v>863</v>
      </c>
      <c r="B468" s="70"/>
      <c r="C468" s="70"/>
      <c r="D468" s="71"/>
      <c r="E468" s="75">
        <f>2*(A451/1000)+2*(C451/1000)*E451</f>
        <v>10</v>
      </c>
      <c r="F468" s="61" t="s">
        <v>448</v>
      </c>
      <c r="G468" s="65"/>
      <c r="H468" s="77"/>
    </row>
    <row r="469" spans="1:8" x14ac:dyDescent="0.25">
      <c r="A469" s="73" t="s">
        <v>844</v>
      </c>
      <c r="B469" s="70"/>
      <c r="C469" s="70"/>
      <c r="D469" s="71"/>
      <c r="E469" s="75">
        <f>F469*E451</f>
        <v>2</v>
      </c>
      <c r="F469" s="61">
        <v>2</v>
      </c>
      <c r="G469" s="65"/>
      <c r="H469" s="77"/>
    </row>
    <row r="470" spans="1:8" x14ac:dyDescent="0.25">
      <c r="A470" s="73" t="s">
        <v>845</v>
      </c>
      <c r="B470" s="70"/>
      <c r="C470" s="70"/>
      <c r="D470" s="71"/>
      <c r="E470" s="75">
        <f>F470*E451</f>
        <v>2</v>
      </c>
      <c r="F470" s="61">
        <v>2</v>
      </c>
      <c r="G470" s="65"/>
      <c r="H470" s="77"/>
    </row>
    <row r="471" spans="1:8" x14ac:dyDescent="0.25">
      <c r="A471" s="52"/>
      <c r="B471" s="53"/>
      <c r="C471" s="53"/>
      <c r="D471" s="53"/>
      <c r="E471" s="53"/>
      <c r="F471" s="65"/>
      <c r="G471" s="65"/>
      <c r="H471" s="51"/>
    </row>
    <row r="472" spans="1:8" x14ac:dyDescent="0.25">
      <c r="A472" s="52"/>
      <c r="B472" s="53"/>
      <c r="C472" s="53"/>
      <c r="D472" s="53"/>
      <c r="E472" s="53"/>
      <c r="F472" s="53"/>
      <c r="G472" s="53"/>
      <c r="H472" s="83"/>
    </row>
    <row r="473" spans="1:8" x14ac:dyDescent="0.25">
      <c r="A473" s="59" t="s">
        <v>413</v>
      </c>
      <c r="B473" s="84" t="s">
        <v>266</v>
      </c>
      <c r="C473" s="84" t="s">
        <v>383</v>
      </c>
      <c r="D473" s="405" t="s">
        <v>414</v>
      </c>
      <c r="E473" s="406"/>
      <c r="F473" s="85" t="s">
        <v>415</v>
      </c>
      <c r="G473" s="59" t="s">
        <v>416</v>
      </c>
      <c r="H473" s="86"/>
    </row>
    <row r="474" spans="1:8" x14ac:dyDescent="0.25">
      <c r="A474" s="87"/>
      <c r="B474" s="61">
        <f>1*E451</f>
        <v>1</v>
      </c>
      <c r="C474" s="61" t="s">
        <v>850</v>
      </c>
      <c r="D474" s="407">
        <f>A451-130</f>
        <v>2370</v>
      </c>
      <c r="E474" s="408"/>
      <c r="F474" s="61">
        <f>C451-130</f>
        <v>2370</v>
      </c>
      <c r="G474" s="91">
        <f>+(D474/1000)*(F474/1000)*B474</f>
        <v>5.6169000000000002</v>
      </c>
      <c r="H474" s="92"/>
    </row>
    <row r="475" spans="1:8" x14ac:dyDescent="0.25">
      <c r="A475" s="79"/>
      <c r="B475" s="53"/>
      <c r="C475" s="53"/>
      <c r="D475" s="53"/>
      <c r="E475" s="53"/>
      <c r="F475" s="94" t="s">
        <v>815</v>
      </c>
      <c r="G475" s="95">
        <f>SUM(G474:G474)</f>
        <v>5.6169000000000002</v>
      </c>
      <c r="H475" s="51"/>
    </row>
    <row r="476" spans="1:8" x14ac:dyDescent="0.25">
      <c r="A476" s="79"/>
      <c r="B476" s="53"/>
      <c r="C476" s="53"/>
      <c r="D476" s="53"/>
      <c r="E476" s="53"/>
      <c r="F476" s="94"/>
      <c r="G476" s="96"/>
      <c r="H476" s="51"/>
    </row>
    <row r="477" spans="1:8" x14ac:dyDescent="0.25">
      <c r="A477" s="79"/>
      <c r="B477" s="53"/>
      <c r="C477" s="53"/>
      <c r="D477" s="53"/>
      <c r="E477" s="53"/>
      <c r="F477" s="94"/>
      <c r="G477" s="96"/>
      <c r="H477" s="51"/>
    </row>
    <row r="478" spans="1:8" x14ac:dyDescent="0.25">
      <c r="A478" s="79"/>
      <c r="B478" s="53"/>
      <c r="C478" s="53"/>
      <c r="D478" s="53"/>
      <c r="E478" s="53"/>
      <c r="F478" s="94"/>
      <c r="G478" s="96"/>
      <c r="H478" s="51"/>
    </row>
    <row r="479" spans="1:8" x14ac:dyDescent="0.25">
      <c r="A479" s="79"/>
      <c r="B479" s="53"/>
      <c r="C479" s="53"/>
      <c r="D479" s="53"/>
      <c r="E479" s="53"/>
      <c r="F479" s="94"/>
      <c r="G479" s="96"/>
      <c r="H479" s="51"/>
    </row>
    <row r="480" spans="1:8" x14ac:dyDescent="0.25">
      <c r="A480" s="79"/>
      <c r="B480" s="53"/>
      <c r="C480" s="53"/>
      <c r="D480" s="53"/>
      <c r="E480" s="53"/>
      <c r="F480" s="94"/>
      <c r="G480" s="96"/>
      <c r="H480" s="51"/>
    </row>
    <row r="481" spans="1:8" x14ac:dyDescent="0.25">
      <c r="A481" s="79"/>
      <c r="B481" s="53"/>
      <c r="C481" s="53"/>
      <c r="D481" s="53"/>
      <c r="E481" s="53"/>
      <c r="F481" s="94"/>
      <c r="G481" s="96"/>
      <c r="H481" s="51"/>
    </row>
    <row r="482" spans="1:8" x14ac:dyDescent="0.25">
      <c r="A482" s="79"/>
      <c r="B482" s="53"/>
      <c r="C482" s="53"/>
      <c r="D482" s="53"/>
      <c r="E482" s="53"/>
      <c r="F482" s="94"/>
      <c r="G482" s="96"/>
      <c r="H482" s="51"/>
    </row>
    <row r="483" spans="1:8" x14ac:dyDescent="0.25">
      <c r="A483" s="79"/>
      <c r="B483" s="53"/>
      <c r="C483" s="53"/>
      <c r="D483" s="53"/>
      <c r="E483" s="53"/>
      <c r="F483" s="94"/>
      <c r="G483" s="96"/>
      <c r="H483" s="51"/>
    </row>
    <row r="484" spans="1:8" x14ac:dyDescent="0.25">
      <c r="A484" s="79"/>
      <c r="B484" s="53"/>
      <c r="C484" s="53"/>
      <c r="D484" s="53"/>
      <c r="E484" s="53"/>
      <c r="F484" s="94"/>
      <c r="G484" s="96"/>
      <c r="H484" s="51"/>
    </row>
    <row r="485" spans="1:8" x14ac:dyDescent="0.25">
      <c r="A485" s="79"/>
      <c r="B485" s="53"/>
      <c r="C485" s="53"/>
      <c r="D485" s="53"/>
      <c r="E485" s="53"/>
      <c r="F485" s="94"/>
      <c r="G485" s="96"/>
      <c r="H485" s="51"/>
    </row>
    <row r="486" spans="1:8" x14ac:dyDescent="0.25">
      <c r="A486" s="79"/>
      <c r="B486" s="53"/>
      <c r="C486" s="53"/>
      <c r="D486" s="53"/>
      <c r="E486" s="53"/>
      <c r="F486" s="94"/>
      <c r="G486" s="96"/>
      <c r="H486" s="51"/>
    </row>
    <row r="487" spans="1:8" x14ac:dyDescent="0.25">
      <c r="A487" s="79"/>
      <c r="B487" s="53"/>
      <c r="C487" s="53"/>
      <c r="D487" s="53"/>
      <c r="E487" s="53"/>
      <c r="F487" s="94"/>
      <c r="G487" s="96"/>
      <c r="H487" s="51"/>
    </row>
    <row r="488" spans="1:8" x14ac:dyDescent="0.25">
      <c r="A488" s="79"/>
      <c r="B488" s="53"/>
      <c r="C488" s="53"/>
      <c r="D488" s="53"/>
      <c r="E488" s="53"/>
      <c r="F488" s="94"/>
      <c r="G488" s="96"/>
      <c r="H488" s="51"/>
    </row>
    <row r="489" spans="1:8" x14ac:dyDescent="0.25">
      <c r="A489" s="79"/>
      <c r="B489" s="53"/>
      <c r="C489" s="53"/>
      <c r="D489" s="53"/>
      <c r="E489" s="53"/>
      <c r="F489" s="94"/>
      <c r="G489" s="96"/>
      <c r="H489" s="51"/>
    </row>
    <row r="490" spans="1:8" x14ac:dyDescent="0.25">
      <c r="A490" s="79"/>
      <c r="B490" s="53"/>
      <c r="C490" s="53"/>
      <c r="D490" s="53"/>
      <c r="E490" s="53"/>
      <c r="F490" s="94"/>
      <c r="G490" s="96"/>
      <c r="H490" s="51"/>
    </row>
    <row r="491" spans="1:8" x14ac:dyDescent="0.25">
      <c r="A491" s="79"/>
      <c r="B491" s="53"/>
      <c r="C491" s="53"/>
      <c r="D491" s="53"/>
      <c r="E491" s="53"/>
      <c r="F491" s="94"/>
      <c r="G491" s="96"/>
      <c r="H491" s="51"/>
    </row>
    <row r="492" spans="1:8" x14ac:dyDescent="0.25">
      <c r="A492" s="79"/>
      <c r="B492" s="53"/>
      <c r="C492" s="53"/>
      <c r="D492" s="53"/>
      <c r="E492" s="53"/>
      <c r="F492" s="94"/>
      <c r="G492" s="96"/>
      <c r="H492" s="51"/>
    </row>
    <row r="493" spans="1:8" x14ac:dyDescent="0.25">
      <c r="A493" s="79"/>
      <c r="B493" s="53"/>
      <c r="C493" s="53"/>
      <c r="D493" s="53"/>
      <c r="E493" s="53"/>
      <c r="F493" s="94"/>
      <c r="G493" s="96"/>
      <c r="H493" s="51"/>
    </row>
    <row r="494" spans="1:8" x14ac:dyDescent="0.25">
      <c r="A494" s="79"/>
      <c r="B494" s="53"/>
      <c r="C494" s="53"/>
      <c r="D494" s="53"/>
      <c r="E494" s="53"/>
      <c r="F494" s="94"/>
      <c r="G494" s="96"/>
      <c r="H494" s="51"/>
    </row>
    <row r="495" spans="1:8" x14ac:dyDescent="0.25">
      <c r="A495" s="79"/>
      <c r="B495" s="53"/>
      <c r="C495" s="53"/>
      <c r="D495" s="53"/>
      <c r="E495" s="53"/>
      <c r="F495" s="94"/>
      <c r="G495" s="96"/>
      <c r="H495" s="51"/>
    </row>
    <row r="496" spans="1:8" x14ac:dyDescent="0.25">
      <c r="A496" s="79"/>
      <c r="B496" s="53"/>
      <c r="C496" s="53"/>
      <c r="D496" s="53"/>
      <c r="E496" s="53"/>
      <c r="F496" s="94"/>
      <c r="G496" s="96"/>
      <c r="H496" s="51"/>
    </row>
    <row r="497" spans="1:8" x14ac:dyDescent="0.25">
      <c r="A497" s="79"/>
      <c r="B497" s="53"/>
      <c r="C497" s="53"/>
      <c r="D497" s="53"/>
      <c r="E497" s="53"/>
      <c r="F497" s="94"/>
      <c r="G497" s="96"/>
      <c r="H497" s="51"/>
    </row>
    <row r="498" spans="1:8" x14ac:dyDescent="0.25">
      <c r="A498" s="79"/>
      <c r="B498" s="53"/>
      <c r="C498" s="53"/>
      <c r="D498" s="53"/>
      <c r="E498" s="53"/>
      <c r="F498" s="94"/>
      <c r="G498" s="96"/>
      <c r="H498" s="51"/>
    </row>
    <row r="499" spans="1:8" x14ac:dyDescent="0.25">
      <c r="A499" s="52"/>
      <c r="B499" s="53"/>
      <c r="C499" s="53"/>
      <c r="D499" s="53"/>
      <c r="E499" s="53"/>
      <c r="F499" s="53"/>
      <c r="G499" s="53"/>
      <c r="H499" s="51"/>
    </row>
    <row r="500" spans="1:8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x14ac:dyDescent="0.25">
      <c r="A501" s="100"/>
      <c r="B501" s="100"/>
      <c r="C501" s="100"/>
      <c r="D501" s="100"/>
      <c r="E501" s="100"/>
      <c r="F501" s="100"/>
      <c r="G501" s="100"/>
      <c r="H501" s="100"/>
    </row>
    <row r="502" spans="1:8" x14ac:dyDescent="0.25">
      <c r="A502" s="44"/>
      <c r="B502" s="45"/>
      <c r="C502" s="45"/>
      <c r="D502" s="45"/>
      <c r="E502" s="45"/>
      <c r="F502" s="45"/>
      <c r="G502" s="45"/>
      <c r="H502" s="46"/>
    </row>
    <row r="503" spans="1:8" x14ac:dyDescent="0.25">
      <c r="A503" s="52"/>
      <c r="B503" s="53"/>
      <c r="C503" s="53"/>
      <c r="D503" s="53"/>
      <c r="E503" s="53"/>
      <c r="F503" s="53"/>
      <c r="G503" s="53"/>
      <c r="H503" s="51"/>
    </row>
    <row r="504" spans="1:8" x14ac:dyDescent="0.25">
      <c r="A504" s="47" t="s">
        <v>864</v>
      </c>
      <c r="B504" s="49"/>
      <c r="C504" s="49"/>
      <c r="D504" s="122"/>
      <c r="E504" s="122"/>
      <c r="F504" s="50"/>
      <c r="G504" s="54" t="s">
        <v>865</v>
      </c>
      <c r="H504" s="103"/>
    </row>
    <row r="505" spans="1:8" ht="16.5" thickBot="1" x14ac:dyDescent="0.3">
      <c r="A505" s="52"/>
      <c r="B505" s="53"/>
      <c r="C505" s="53"/>
      <c r="D505" s="53"/>
      <c r="E505" s="53"/>
      <c r="F505" s="53"/>
      <c r="G505" s="53"/>
      <c r="H505" s="51"/>
    </row>
    <row r="506" spans="1:8" ht="16.5" thickBot="1" x14ac:dyDescent="0.3">
      <c r="A506" s="400" t="s">
        <v>381</v>
      </c>
      <c r="B506" s="401"/>
      <c r="C506" s="402" t="s">
        <v>382</v>
      </c>
      <c r="D506" s="401"/>
      <c r="E506" s="55" t="s">
        <v>266</v>
      </c>
      <c r="F506" s="53"/>
      <c r="G506" s="53"/>
      <c r="H506" s="51"/>
    </row>
    <row r="507" spans="1:8" ht="16.5" thickBot="1" x14ac:dyDescent="0.3">
      <c r="A507" s="403">
        <v>2500</v>
      </c>
      <c r="B507" s="404"/>
      <c r="C507" s="403">
        <v>2500</v>
      </c>
      <c r="D507" s="404"/>
      <c r="E507" s="56">
        <v>1</v>
      </c>
      <c r="F507" s="53"/>
      <c r="G507" s="53"/>
      <c r="H507" s="51"/>
    </row>
    <row r="508" spans="1:8" x14ac:dyDescent="0.25">
      <c r="A508" s="52"/>
      <c r="B508" s="58"/>
      <c r="C508" s="58"/>
      <c r="D508" s="58"/>
      <c r="E508" s="58"/>
      <c r="F508" s="58"/>
      <c r="G508" s="53"/>
      <c r="H508" s="83"/>
    </row>
    <row r="509" spans="1:8" x14ac:dyDescent="0.25">
      <c r="A509" s="59" t="s">
        <v>323</v>
      </c>
      <c r="B509" s="59" t="s">
        <v>266</v>
      </c>
      <c r="C509" s="59" t="s">
        <v>383</v>
      </c>
      <c r="D509" s="59" t="s">
        <v>384</v>
      </c>
      <c r="E509" s="59" t="s">
        <v>332</v>
      </c>
      <c r="F509" s="59" t="s">
        <v>385</v>
      </c>
      <c r="G509" s="59" t="s">
        <v>386</v>
      </c>
      <c r="H509" s="59" t="s">
        <v>387</v>
      </c>
    </row>
    <row r="510" spans="1:8" x14ac:dyDescent="0.25">
      <c r="A510" s="60">
        <v>4301</v>
      </c>
      <c r="B510" s="61">
        <f>2*E507</f>
        <v>2</v>
      </c>
      <c r="C510" s="61" t="s">
        <v>335</v>
      </c>
      <c r="D510" s="61">
        <f>A507</f>
        <v>2500</v>
      </c>
      <c r="E510" s="61" t="s">
        <v>336</v>
      </c>
      <c r="F510" s="62" t="s">
        <v>809</v>
      </c>
      <c r="G510" s="63">
        <v>0.436</v>
      </c>
      <c r="H510" s="63">
        <f t="shared" ref="H510:H516" si="3">(D510/1000)*B510*G510</f>
        <v>2.1800000000000002</v>
      </c>
    </row>
    <row r="511" spans="1:8" x14ac:dyDescent="0.25">
      <c r="A511" s="60">
        <v>4301</v>
      </c>
      <c r="B511" s="61">
        <f>2*E507</f>
        <v>2</v>
      </c>
      <c r="C511" s="61" t="s">
        <v>337</v>
      </c>
      <c r="D511" s="61">
        <f>C507</f>
        <v>2500</v>
      </c>
      <c r="E511" s="61" t="s">
        <v>336</v>
      </c>
      <c r="F511" s="62" t="s">
        <v>809</v>
      </c>
      <c r="G511" s="63">
        <v>0.436</v>
      </c>
      <c r="H511" s="63">
        <f t="shared" si="3"/>
        <v>2.1800000000000002</v>
      </c>
    </row>
    <row r="512" spans="1:8" x14ac:dyDescent="0.25">
      <c r="A512" s="60">
        <v>4302</v>
      </c>
      <c r="B512" s="61">
        <f>2*E507</f>
        <v>2</v>
      </c>
      <c r="C512" s="61" t="s">
        <v>832</v>
      </c>
      <c r="D512" s="61">
        <f>A507-32</f>
        <v>2468</v>
      </c>
      <c r="E512" s="61" t="s">
        <v>336</v>
      </c>
      <c r="F512" s="62" t="s">
        <v>853</v>
      </c>
      <c r="G512" s="63">
        <v>0.68700000000000006</v>
      </c>
      <c r="H512" s="63">
        <f t="shared" si="3"/>
        <v>3.391032</v>
      </c>
    </row>
    <row r="513" spans="1:8" x14ac:dyDescent="0.25">
      <c r="A513" s="60">
        <v>4302</v>
      </c>
      <c r="B513" s="61">
        <f>2*E507</f>
        <v>2</v>
      </c>
      <c r="C513" s="61" t="s">
        <v>834</v>
      </c>
      <c r="D513" s="61">
        <f>C507-32</f>
        <v>2468</v>
      </c>
      <c r="E513" s="61" t="s">
        <v>336</v>
      </c>
      <c r="F513" s="62" t="s">
        <v>853</v>
      </c>
      <c r="G513" s="63">
        <v>0.68700000000000006</v>
      </c>
      <c r="H513" s="63">
        <f t="shared" si="3"/>
        <v>3.391032</v>
      </c>
    </row>
    <row r="514" spans="1:8" x14ac:dyDescent="0.25">
      <c r="A514" s="60">
        <v>4308</v>
      </c>
      <c r="B514" s="61">
        <f>2*E507</f>
        <v>2</v>
      </c>
      <c r="C514" s="61" t="s">
        <v>835</v>
      </c>
      <c r="D514" s="61">
        <f>A507-112</f>
        <v>2388</v>
      </c>
      <c r="E514" s="61" t="s">
        <v>336</v>
      </c>
      <c r="F514" s="62" t="s">
        <v>866</v>
      </c>
      <c r="G514" s="63">
        <v>0.17699999999999999</v>
      </c>
      <c r="H514" s="63">
        <f t="shared" si="3"/>
        <v>0.84535199999999988</v>
      </c>
    </row>
    <row r="515" spans="1:8" x14ac:dyDescent="0.25">
      <c r="A515" s="60">
        <v>4308</v>
      </c>
      <c r="B515" s="61">
        <f>2*E507</f>
        <v>2</v>
      </c>
      <c r="C515" s="61" t="s">
        <v>836</v>
      </c>
      <c r="D515" s="61">
        <f>C507-112</f>
        <v>2388</v>
      </c>
      <c r="E515" s="61" t="s">
        <v>336</v>
      </c>
      <c r="F515" s="62" t="s">
        <v>866</v>
      </c>
      <c r="G515" s="63">
        <v>0.17699999999999999</v>
      </c>
      <c r="H515" s="63">
        <f t="shared" si="3"/>
        <v>0.84535199999999988</v>
      </c>
    </row>
    <row r="516" spans="1:8" x14ac:dyDescent="0.25">
      <c r="A516" s="60">
        <v>4311</v>
      </c>
      <c r="B516" s="61">
        <f>2*E507</f>
        <v>2</v>
      </c>
      <c r="C516" s="61" t="s">
        <v>837</v>
      </c>
      <c r="D516" s="61">
        <f>A507/2-95</f>
        <v>1155</v>
      </c>
      <c r="E516" s="61" t="s">
        <v>340</v>
      </c>
      <c r="F516" s="62" t="s">
        <v>838</v>
      </c>
      <c r="G516" s="63">
        <v>0.128</v>
      </c>
      <c r="H516" s="63">
        <f t="shared" si="3"/>
        <v>0.29568</v>
      </c>
    </row>
    <row r="517" spans="1:8" x14ac:dyDescent="0.25">
      <c r="A517" s="64"/>
      <c r="B517" s="65"/>
      <c r="C517" s="65"/>
      <c r="D517" s="65"/>
      <c r="E517" s="65"/>
      <c r="F517" s="65"/>
      <c r="G517" s="63" t="s">
        <v>392</v>
      </c>
      <c r="H517" s="63">
        <f>SUM(H510:H516)</f>
        <v>13.128448000000002</v>
      </c>
    </row>
    <row r="518" spans="1:8" x14ac:dyDescent="0.25">
      <c r="A518" s="64"/>
      <c r="B518" s="65"/>
      <c r="C518" s="65"/>
      <c r="D518" s="65"/>
      <c r="E518" s="65"/>
      <c r="F518" s="65"/>
      <c r="G518" s="66"/>
      <c r="H518" s="67"/>
    </row>
    <row r="519" spans="1:8" x14ac:dyDescent="0.25">
      <c r="A519" s="64"/>
      <c r="B519" s="65"/>
      <c r="C519" s="65"/>
      <c r="D519" s="65"/>
      <c r="E519" s="65"/>
      <c r="F519" s="65"/>
      <c r="G519" s="68"/>
      <c r="H519" s="67"/>
    </row>
    <row r="520" spans="1:8" x14ac:dyDescent="0.25">
      <c r="A520" s="69" t="s">
        <v>393</v>
      </c>
      <c r="B520" s="70"/>
      <c r="C520" s="70"/>
      <c r="D520" s="71"/>
      <c r="E520" s="59" t="s">
        <v>36</v>
      </c>
      <c r="F520" s="59" t="s">
        <v>266</v>
      </c>
      <c r="G520" s="52"/>
      <c r="H520" s="72"/>
    </row>
    <row r="521" spans="1:8" x14ac:dyDescent="0.25">
      <c r="A521" s="73" t="s">
        <v>811</v>
      </c>
      <c r="B521" s="70"/>
      <c r="C521" s="70"/>
      <c r="D521" s="71"/>
      <c r="E521" s="75">
        <f>F521*E507</f>
        <v>8</v>
      </c>
      <c r="F521" s="61">
        <v>8</v>
      </c>
      <c r="G521" s="76"/>
      <c r="H521" s="77"/>
    </row>
    <row r="522" spans="1:8" x14ac:dyDescent="0.25">
      <c r="A522" s="73" t="s">
        <v>839</v>
      </c>
      <c r="B522" s="70"/>
      <c r="C522" s="70"/>
      <c r="D522" s="71"/>
      <c r="E522" s="75">
        <f>F522*E507</f>
        <v>1</v>
      </c>
      <c r="F522" s="61">
        <v>1</v>
      </c>
      <c r="G522" s="65"/>
      <c r="H522" s="77"/>
    </row>
    <row r="523" spans="1:8" x14ac:dyDescent="0.25">
      <c r="A523" s="73" t="s">
        <v>858</v>
      </c>
      <c r="B523" s="70"/>
      <c r="C523" s="70"/>
      <c r="D523" s="71"/>
      <c r="E523" s="75">
        <f>F523*E507</f>
        <v>1</v>
      </c>
      <c r="F523" s="61">
        <v>1</v>
      </c>
      <c r="G523" s="65"/>
      <c r="H523" s="77"/>
    </row>
    <row r="524" spans="1:8" x14ac:dyDescent="0.25">
      <c r="A524" s="73" t="s">
        <v>859</v>
      </c>
      <c r="B524" s="70"/>
      <c r="C524" s="70"/>
      <c r="D524" s="71"/>
      <c r="E524" s="75">
        <f>F524*E507</f>
        <v>2</v>
      </c>
      <c r="F524" s="61">
        <v>2</v>
      </c>
      <c r="G524" s="65"/>
      <c r="H524" s="77"/>
    </row>
    <row r="525" spans="1:8" x14ac:dyDescent="0.25">
      <c r="A525" s="73" t="s">
        <v>843</v>
      </c>
      <c r="B525" s="70"/>
      <c r="C525" s="70"/>
      <c r="D525" s="71"/>
      <c r="E525" s="75">
        <f>4*(A507/1000)+4*(C507/1000)*E507</f>
        <v>20</v>
      </c>
      <c r="F525" s="61" t="s">
        <v>398</v>
      </c>
      <c r="G525" s="64"/>
      <c r="H525" s="77"/>
    </row>
    <row r="526" spans="1:8" x14ac:dyDescent="0.25">
      <c r="A526" s="73" t="s">
        <v>528</v>
      </c>
      <c r="B526" s="70"/>
      <c r="C526" s="70"/>
      <c r="D526" s="71"/>
      <c r="E526" s="75">
        <f>2*(A507/1000)+2*(C507/1000)*E507</f>
        <v>10</v>
      </c>
      <c r="F526" s="61" t="s">
        <v>448</v>
      </c>
      <c r="G526" s="64"/>
      <c r="H526" s="77"/>
    </row>
    <row r="527" spans="1:8" x14ac:dyDescent="0.25">
      <c r="A527" s="73" t="s">
        <v>530</v>
      </c>
      <c r="B527" s="70"/>
      <c r="C527" s="70"/>
      <c r="D527" s="71"/>
      <c r="E527" s="75">
        <f>2*(A507/1000)+2*(C507/1000)*E507</f>
        <v>10</v>
      </c>
      <c r="F527" s="61" t="s">
        <v>448</v>
      </c>
      <c r="G527" s="64"/>
      <c r="H527" s="77"/>
    </row>
    <row r="528" spans="1:8" x14ac:dyDescent="0.25">
      <c r="A528" s="73" t="s">
        <v>584</v>
      </c>
      <c r="B528" s="70"/>
      <c r="C528" s="70"/>
      <c r="D528" s="71"/>
      <c r="E528" s="75">
        <f>A507/100+C507/100*E507</f>
        <v>50</v>
      </c>
      <c r="F528" s="61" t="s">
        <v>824</v>
      </c>
      <c r="G528" s="64"/>
      <c r="H528" s="77"/>
    </row>
    <row r="529" spans="1:8" x14ac:dyDescent="0.25">
      <c r="A529" s="73" t="s">
        <v>844</v>
      </c>
      <c r="B529" s="70"/>
      <c r="C529" s="70"/>
      <c r="D529" s="71"/>
      <c r="E529" s="75">
        <f>F529*E507</f>
        <v>2</v>
      </c>
      <c r="F529" s="61">
        <v>2</v>
      </c>
      <c r="G529" s="65"/>
      <c r="H529" s="77"/>
    </row>
    <row r="530" spans="1:8" x14ac:dyDescent="0.25">
      <c r="A530" s="73" t="s">
        <v>845</v>
      </c>
      <c r="B530" s="70"/>
      <c r="C530" s="70"/>
      <c r="D530" s="71"/>
      <c r="E530" s="75">
        <f>F530*E507</f>
        <v>2</v>
      </c>
      <c r="F530" s="61">
        <v>2</v>
      </c>
      <c r="G530" s="65"/>
      <c r="H530" s="77"/>
    </row>
    <row r="531" spans="1:8" x14ac:dyDescent="0.25">
      <c r="A531" s="52"/>
      <c r="B531" s="53"/>
      <c r="C531" s="53"/>
      <c r="D531" s="53"/>
      <c r="E531" s="53"/>
      <c r="F531" s="65"/>
      <c r="G531" s="65"/>
      <c r="H531" s="51"/>
    </row>
    <row r="532" spans="1:8" x14ac:dyDescent="0.25">
      <c r="A532" s="52"/>
      <c r="B532" s="53"/>
      <c r="C532" s="53"/>
      <c r="D532" s="53"/>
      <c r="E532" s="53"/>
      <c r="F532" s="53"/>
      <c r="G532" s="53"/>
      <c r="H532" s="83"/>
    </row>
    <row r="533" spans="1:8" x14ac:dyDescent="0.25">
      <c r="A533" s="59" t="s">
        <v>413</v>
      </c>
      <c r="B533" s="84" t="s">
        <v>266</v>
      </c>
      <c r="C533" s="84" t="s">
        <v>383</v>
      </c>
      <c r="D533" s="405" t="s">
        <v>414</v>
      </c>
      <c r="E533" s="406"/>
      <c r="F533" s="85" t="s">
        <v>415</v>
      </c>
      <c r="G533" s="59" t="s">
        <v>416</v>
      </c>
      <c r="H533" s="86"/>
    </row>
    <row r="534" spans="1:8" x14ac:dyDescent="0.25">
      <c r="A534" s="87"/>
      <c r="B534" s="61">
        <f>1*E507</f>
        <v>1</v>
      </c>
      <c r="C534" s="61" t="s">
        <v>854</v>
      </c>
      <c r="D534" s="407">
        <f>A507-134</f>
        <v>2366</v>
      </c>
      <c r="E534" s="408"/>
      <c r="F534" s="61">
        <f>C507-134</f>
        <v>2366</v>
      </c>
      <c r="G534" s="91">
        <f>+(D534/1000)*(F534/1000)*B534</f>
        <v>5.5979560000000008</v>
      </c>
      <c r="H534" s="92"/>
    </row>
    <row r="535" spans="1:8" x14ac:dyDescent="0.25">
      <c r="A535" s="79"/>
      <c r="B535" s="53"/>
      <c r="C535" s="53"/>
      <c r="D535" s="53"/>
      <c r="E535" s="53"/>
      <c r="F535" s="94" t="s">
        <v>815</v>
      </c>
      <c r="G535" s="95">
        <f>SUM(G534:G534)</f>
        <v>5.5979560000000008</v>
      </c>
      <c r="H535" s="51"/>
    </row>
    <row r="536" spans="1:8" x14ac:dyDescent="0.25">
      <c r="A536" s="79"/>
      <c r="B536" s="53"/>
      <c r="C536" s="53"/>
      <c r="D536" s="53"/>
      <c r="E536" s="53"/>
      <c r="F536" s="94"/>
      <c r="G536" s="96"/>
      <c r="H536" s="51"/>
    </row>
    <row r="537" spans="1:8" x14ac:dyDescent="0.25">
      <c r="A537" s="79"/>
      <c r="B537" s="53"/>
      <c r="C537" s="53"/>
      <c r="D537" s="53"/>
      <c r="E537" s="53"/>
      <c r="F537" s="94"/>
      <c r="G537" s="96"/>
      <c r="H537" s="51"/>
    </row>
    <row r="538" spans="1:8" x14ac:dyDescent="0.25">
      <c r="A538" s="79"/>
      <c r="B538" s="53"/>
      <c r="C538" s="53"/>
      <c r="D538" s="53"/>
      <c r="E538" s="53"/>
      <c r="F538" s="94"/>
      <c r="G538" s="96"/>
      <c r="H538" s="51"/>
    </row>
    <row r="539" spans="1:8" x14ac:dyDescent="0.25">
      <c r="A539" s="79"/>
      <c r="B539" s="53"/>
      <c r="C539" s="53"/>
      <c r="D539" s="53"/>
      <c r="E539" s="53"/>
      <c r="F539" s="94"/>
      <c r="G539" s="96"/>
      <c r="H539" s="51"/>
    </row>
    <row r="540" spans="1:8" x14ac:dyDescent="0.25">
      <c r="A540" s="79"/>
      <c r="B540" s="53"/>
      <c r="C540" s="53"/>
      <c r="D540" s="53"/>
      <c r="E540" s="53"/>
      <c r="F540" s="94"/>
      <c r="G540" s="96"/>
      <c r="H540" s="51"/>
    </row>
    <row r="541" spans="1:8" x14ac:dyDescent="0.25">
      <c r="A541" s="79"/>
      <c r="B541" s="53"/>
      <c r="C541" s="53"/>
      <c r="D541" s="53"/>
      <c r="E541" s="53"/>
      <c r="F541" s="94"/>
      <c r="G541" s="96"/>
      <c r="H541" s="51"/>
    </row>
    <row r="542" spans="1:8" x14ac:dyDescent="0.25">
      <c r="A542" s="79"/>
      <c r="B542" s="53"/>
      <c r="C542" s="53"/>
      <c r="D542" s="53"/>
      <c r="E542" s="53"/>
      <c r="F542" s="94"/>
      <c r="G542" s="96"/>
      <c r="H542" s="51"/>
    </row>
    <row r="543" spans="1:8" x14ac:dyDescent="0.25">
      <c r="A543" s="79"/>
      <c r="B543" s="53"/>
      <c r="C543" s="53"/>
      <c r="D543" s="53"/>
      <c r="E543" s="53"/>
      <c r="F543" s="94"/>
      <c r="G543" s="96"/>
      <c r="H543" s="51"/>
    </row>
    <row r="544" spans="1:8" x14ac:dyDescent="0.25">
      <c r="A544" s="79"/>
      <c r="B544" s="53"/>
      <c r="C544" s="53"/>
      <c r="D544" s="53"/>
      <c r="E544" s="53"/>
      <c r="F544" s="94"/>
      <c r="G544" s="96"/>
      <c r="H544" s="51"/>
    </row>
    <row r="545" spans="1:8" x14ac:dyDescent="0.25">
      <c r="A545" s="79"/>
      <c r="B545" s="53"/>
      <c r="C545" s="53"/>
      <c r="D545" s="53"/>
      <c r="E545" s="53"/>
      <c r="F545" s="94"/>
      <c r="G545" s="96"/>
      <c r="H545" s="51"/>
    </row>
    <row r="546" spans="1:8" x14ac:dyDescent="0.25">
      <c r="A546" s="79"/>
      <c r="B546" s="53"/>
      <c r="C546" s="53"/>
      <c r="D546" s="53"/>
      <c r="E546" s="53"/>
      <c r="F546" s="94"/>
      <c r="G546" s="96"/>
      <c r="H546" s="51"/>
    </row>
    <row r="547" spans="1:8" x14ac:dyDescent="0.25">
      <c r="A547" s="79"/>
      <c r="B547" s="53"/>
      <c r="C547" s="53"/>
      <c r="D547" s="53"/>
      <c r="E547" s="53"/>
      <c r="F547" s="94"/>
      <c r="G547" s="96"/>
      <c r="H547" s="51"/>
    </row>
    <row r="548" spans="1:8" x14ac:dyDescent="0.25">
      <c r="A548" s="79"/>
      <c r="B548" s="53"/>
      <c r="C548" s="53"/>
      <c r="D548" s="53"/>
      <c r="E548" s="53"/>
      <c r="F548" s="94"/>
      <c r="G548" s="96"/>
      <c r="H548" s="51"/>
    </row>
    <row r="549" spans="1:8" x14ac:dyDescent="0.25">
      <c r="A549" s="79"/>
      <c r="B549" s="53"/>
      <c r="C549" s="53"/>
      <c r="D549" s="53"/>
      <c r="E549" s="53"/>
      <c r="F549" s="94"/>
      <c r="G549" s="96"/>
      <c r="H549" s="51"/>
    </row>
    <row r="550" spans="1:8" x14ac:dyDescent="0.25">
      <c r="A550" s="79"/>
      <c r="B550" s="53"/>
      <c r="C550" s="53"/>
      <c r="D550" s="53"/>
      <c r="E550" s="53"/>
      <c r="F550" s="94"/>
      <c r="G550" s="96"/>
      <c r="H550" s="51"/>
    </row>
    <row r="551" spans="1:8" x14ac:dyDescent="0.25">
      <c r="A551" s="79"/>
      <c r="B551" s="53"/>
      <c r="C551" s="53"/>
      <c r="D551" s="53"/>
      <c r="E551" s="53"/>
      <c r="F551" s="94"/>
      <c r="G551" s="96"/>
      <c r="H551" s="51"/>
    </row>
    <row r="552" spans="1:8" x14ac:dyDescent="0.25">
      <c r="A552" s="79"/>
      <c r="B552" s="53"/>
      <c r="C552" s="53"/>
      <c r="D552" s="53"/>
      <c r="E552" s="53"/>
      <c r="F552" s="94"/>
      <c r="G552" s="96"/>
      <c r="H552" s="51"/>
    </row>
    <row r="553" spans="1:8" x14ac:dyDescent="0.25">
      <c r="A553" s="79"/>
      <c r="B553" s="53"/>
      <c r="C553" s="53"/>
      <c r="D553" s="53"/>
      <c r="E553" s="53"/>
      <c r="F553" s="94"/>
      <c r="G553" s="96"/>
      <c r="H553" s="51"/>
    </row>
    <row r="554" spans="1:8" x14ac:dyDescent="0.25">
      <c r="A554" s="79"/>
      <c r="B554" s="53"/>
      <c r="C554" s="53"/>
      <c r="D554" s="53"/>
      <c r="E554" s="53"/>
      <c r="F554" s="94"/>
      <c r="G554" s="96"/>
      <c r="H554" s="51"/>
    </row>
    <row r="555" spans="1:8" x14ac:dyDescent="0.25">
      <c r="A555" s="52"/>
      <c r="B555" s="53"/>
      <c r="C555" s="53"/>
      <c r="D555" s="53"/>
      <c r="E555" s="53"/>
      <c r="F555" s="53"/>
      <c r="G555" s="53"/>
      <c r="H555" s="51"/>
    </row>
    <row r="556" spans="1:8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x14ac:dyDescent="0.25">
      <c r="A557" s="100"/>
      <c r="B557" s="100"/>
      <c r="C557" s="100"/>
      <c r="D557" s="100"/>
      <c r="E557" s="100"/>
      <c r="F557" s="100"/>
      <c r="G557" s="100"/>
      <c r="H557" s="100"/>
    </row>
    <row r="558" spans="1:8" x14ac:dyDescent="0.25">
      <c r="A558" s="44"/>
      <c r="B558" s="45"/>
      <c r="C558" s="45"/>
      <c r="D558" s="45"/>
      <c r="E558" s="45"/>
      <c r="F558" s="45"/>
      <c r="G558" s="45"/>
      <c r="H558" s="46"/>
    </row>
    <row r="559" spans="1:8" x14ac:dyDescent="0.25">
      <c r="A559" s="52"/>
      <c r="B559" s="53"/>
      <c r="C559" s="53"/>
      <c r="D559" s="53"/>
      <c r="E559" s="53"/>
      <c r="F559" s="53"/>
      <c r="G559" s="53"/>
      <c r="H559" s="51"/>
    </row>
    <row r="560" spans="1:8" x14ac:dyDescent="0.25">
      <c r="A560" s="47" t="s">
        <v>867</v>
      </c>
      <c r="B560" s="49"/>
      <c r="C560" s="49"/>
      <c r="D560" s="122"/>
      <c r="E560" s="122"/>
      <c r="F560" s="50"/>
      <c r="G560" s="54" t="s">
        <v>868</v>
      </c>
      <c r="H560" s="103"/>
    </row>
    <row r="561" spans="1:8" ht="16.5" thickBot="1" x14ac:dyDescent="0.3">
      <c r="A561" s="52"/>
      <c r="B561" s="53"/>
      <c r="C561" s="53"/>
      <c r="D561" s="53"/>
      <c r="E561" s="53"/>
      <c r="F561" s="53"/>
      <c r="G561" s="53"/>
      <c r="H561" s="51"/>
    </row>
    <row r="562" spans="1:8" ht="16.5" thickBot="1" x14ac:dyDescent="0.3">
      <c r="A562" s="400" t="s">
        <v>381</v>
      </c>
      <c r="B562" s="401"/>
      <c r="C562" s="402" t="s">
        <v>382</v>
      </c>
      <c r="D562" s="401"/>
      <c r="E562" s="55" t="s">
        <v>266</v>
      </c>
      <c r="F562" s="53"/>
      <c r="G562" s="53"/>
      <c r="H562" s="51"/>
    </row>
    <row r="563" spans="1:8" ht="16.5" thickBot="1" x14ac:dyDescent="0.3">
      <c r="A563" s="403">
        <v>2500</v>
      </c>
      <c r="B563" s="404"/>
      <c r="C563" s="403">
        <v>2500</v>
      </c>
      <c r="D563" s="404"/>
      <c r="E563" s="56">
        <v>1</v>
      </c>
      <c r="F563" s="53"/>
      <c r="G563" s="53"/>
      <c r="H563" s="51"/>
    </row>
    <row r="564" spans="1:8" x14ac:dyDescent="0.25">
      <c r="A564" s="52"/>
      <c r="B564" s="58"/>
      <c r="C564" s="58"/>
      <c r="D564" s="58"/>
      <c r="E564" s="58"/>
      <c r="F564" s="58"/>
      <c r="G564" s="53"/>
      <c r="H564" s="83"/>
    </row>
    <row r="565" spans="1:8" x14ac:dyDescent="0.25">
      <c r="A565" s="59" t="s">
        <v>323</v>
      </c>
      <c r="B565" s="59" t="s">
        <v>266</v>
      </c>
      <c r="C565" s="59" t="s">
        <v>383</v>
      </c>
      <c r="D565" s="59" t="s">
        <v>384</v>
      </c>
      <c r="E565" s="59" t="s">
        <v>332</v>
      </c>
      <c r="F565" s="59" t="s">
        <v>385</v>
      </c>
      <c r="G565" s="59" t="s">
        <v>386</v>
      </c>
      <c r="H565" s="59" t="s">
        <v>387</v>
      </c>
    </row>
    <row r="566" spans="1:8" x14ac:dyDescent="0.25">
      <c r="A566" s="60">
        <v>4301</v>
      </c>
      <c r="B566" s="61">
        <f>2*E563</f>
        <v>2</v>
      </c>
      <c r="C566" s="61" t="s">
        <v>335</v>
      </c>
      <c r="D566" s="61">
        <f>A563</f>
        <v>2500</v>
      </c>
      <c r="E566" s="61" t="s">
        <v>336</v>
      </c>
      <c r="F566" s="62" t="s">
        <v>809</v>
      </c>
      <c r="G566" s="63">
        <v>0.436</v>
      </c>
      <c r="H566" s="63">
        <f t="shared" ref="H566:H572" si="4">(D566/1000)*B566*G566</f>
        <v>2.1800000000000002</v>
      </c>
    </row>
    <row r="567" spans="1:8" x14ac:dyDescent="0.25">
      <c r="A567" s="60">
        <v>4301</v>
      </c>
      <c r="B567" s="61">
        <f>2*E563</f>
        <v>2</v>
      </c>
      <c r="C567" s="61" t="s">
        <v>337</v>
      </c>
      <c r="D567" s="61">
        <f>C563</f>
        <v>2500</v>
      </c>
      <c r="E567" s="61" t="s">
        <v>336</v>
      </c>
      <c r="F567" s="62" t="s">
        <v>809</v>
      </c>
      <c r="G567" s="63">
        <v>0.436</v>
      </c>
      <c r="H567" s="63">
        <f t="shared" si="4"/>
        <v>2.1800000000000002</v>
      </c>
    </row>
    <row r="568" spans="1:8" x14ac:dyDescent="0.25">
      <c r="A568" s="60">
        <v>4302</v>
      </c>
      <c r="B568" s="61">
        <f>2*E563</f>
        <v>2</v>
      </c>
      <c r="C568" s="61" t="s">
        <v>832</v>
      </c>
      <c r="D568" s="61">
        <f>A563-32</f>
        <v>2468</v>
      </c>
      <c r="E568" s="61" t="s">
        <v>336</v>
      </c>
      <c r="F568" s="62" t="s">
        <v>853</v>
      </c>
      <c r="G568" s="63">
        <v>0.68700000000000006</v>
      </c>
      <c r="H568" s="63">
        <f t="shared" si="4"/>
        <v>3.391032</v>
      </c>
    </row>
    <row r="569" spans="1:8" x14ac:dyDescent="0.25">
      <c r="A569" s="60">
        <v>4302</v>
      </c>
      <c r="B569" s="61">
        <f>2*E563</f>
        <v>2</v>
      </c>
      <c r="C569" s="61" t="s">
        <v>834</v>
      </c>
      <c r="D569" s="61">
        <f>C563-32</f>
        <v>2468</v>
      </c>
      <c r="E569" s="61" t="s">
        <v>336</v>
      </c>
      <c r="F569" s="62" t="s">
        <v>853</v>
      </c>
      <c r="G569" s="63">
        <v>0.68700000000000006</v>
      </c>
      <c r="H569" s="63">
        <f t="shared" si="4"/>
        <v>3.391032</v>
      </c>
    </row>
    <row r="570" spans="1:8" x14ac:dyDescent="0.25">
      <c r="A570" s="60">
        <v>4307</v>
      </c>
      <c r="B570" s="61">
        <f>2*E563</f>
        <v>2</v>
      </c>
      <c r="C570" s="61" t="s">
        <v>835</v>
      </c>
      <c r="D570" s="61">
        <f>A563-112</f>
        <v>2388</v>
      </c>
      <c r="E570" s="61" t="s">
        <v>336</v>
      </c>
      <c r="F570" s="62" t="s">
        <v>866</v>
      </c>
      <c r="G570" s="63">
        <v>0.17599999999999999</v>
      </c>
      <c r="H570" s="63">
        <f t="shared" si="4"/>
        <v>0.84057599999999988</v>
      </c>
    </row>
    <row r="571" spans="1:8" x14ac:dyDescent="0.25">
      <c r="A571" s="60">
        <v>4309</v>
      </c>
      <c r="B571" s="61">
        <f>2*E563</f>
        <v>2</v>
      </c>
      <c r="C571" s="61" t="s">
        <v>836</v>
      </c>
      <c r="D571" s="61">
        <f>C563-112</f>
        <v>2388</v>
      </c>
      <c r="E571" s="61" t="s">
        <v>336</v>
      </c>
      <c r="F571" s="62" t="s">
        <v>866</v>
      </c>
      <c r="G571" s="63">
        <v>0.23499999999999999</v>
      </c>
      <c r="H571" s="63">
        <f t="shared" si="4"/>
        <v>1.1223599999999998</v>
      </c>
    </row>
    <row r="572" spans="1:8" x14ac:dyDescent="0.25">
      <c r="A572" s="60">
        <v>4311</v>
      </c>
      <c r="B572" s="61">
        <f>2*E563</f>
        <v>2</v>
      </c>
      <c r="C572" s="61" t="s">
        <v>869</v>
      </c>
      <c r="D572" s="61">
        <f>A563/2-148</f>
        <v>1102</v>
      </c>
      <c r="E572" s="61" t="s">
        <v>340</v>
      </c>
      <c r="F572" s="62" t="s">
        <v>838</v>
      </c>
      <c r="G572" s="63">
        <v>0.128</v>
      </c>
      <c r="H572" s="63">
        <f t="shared" si="4"/>
        <v>0.28211200000000003</v>
      </c>
    </row>
    <row r="573" spans="1:8" x14ac:dyDescent="0.25">
      <c r="A573" s="64"/>
      <c r="B573" s="65"/>
      <c r="C573" s="65"/>
      <c r="D573" s="65"/>
      <c r="E573" s="65"/>
      <c r="F573" s="65"/>
      <c r="G573" s="63" t="s">
        <v>392</v>
      </c>
      <c r="H573" s="63">
        <f>SUM(H566:H572)</f>
        <v>13.387112000000002</v>
      </c>
    </row>
    <row r="574" spans="1:8" x14ac:dyDescent="0.25">
      <c r="A574" s="64"/>
      <c r="B574" s="65"/>
      <c r="C574" s="65"/>
      <c r="D574" s="65"/>
      <c r="E574" s="65"/>
      <c r="F574" s="65"/>
      <c r="G574" s="66"/>
      <c r="H574" s="67"/>
    </row>
    <row r="575" spans="1:8" x14ac:dyDescent="0.25">
      <c r="A575" s="64"/>
      <c r="B575" s="65"/>
      <c r="C575" s="65"/>
      <c r="D575" s="65"/>
      <c r="E575" s="65"/>
      <c r="F575" s="65"/>
      <c r="G575" s="68"/>
      <c r="H575" s="67"/>
    </row>
    <row r="576" spans="1:8" x14ac:dyDescent="0.25">
      <c r="A576" s="69" t="s">
        <v>393</v>
      </c>
      <c r="B576" s="70"/>
      <c r="C576" s="70"/>
      <c r="D576" s="71"/>
      <c r="E576" s="59" t="s">
        <v>36</v>
      </c>
      <c r="F576" s="59" t="s">
        <v>266</v>
      </c>
      <c r="G576" s="52"/>
      <c r="H576" s="72"/>
    </row>
    <row r="577" spans="1:8" x14ac:dyDescent="0.25">
      <c r="A577" s="73" t="s">
        <v>811</v>
      </c>
      <c r="B577" s="70"/>
      <c r="C577" s="70"/>
      <c r="D577" s="71"/>
      <c r="E577" s="75">
        <f>F577*E563</f>
        <v>8</v>
      </c>
      <c r="F577" s="61">
        <v>8</v>
      </c>
      <c r="G577" s="76"/>
      <c r="H577" s="77"/>
    </row>
    <row r="578" spans="1:8" x14ac:dyDescent="0.25">
      <c r="A578" s="73" t="s">
        <v>839</v>
      </c>
      <c r="B578" s="70"/>
      <c r="C578" s="70"/>
      <c r="D578" s="71"/>
      <c r="E578" s="75">
        <f>F578*E563</f>
        <v>1</v>
      </c>
      <c r="F578" s="61">
        <v>1</v>
      </c>
      <c r="G578" s="65"/>
      <c r="H578" s="77"/>
    </row>
    <row r="579" spans="1:8" x14ac:dyDescent="0.25">
      <c r="A579" s="73" t="s">
        <v>870</v>
      </c>
      <c r="B579" s="70"/>
      <c r="C579" s="70"/>
      <c r="D579" s="71"/>
      <c r="E579" s="75">
        <f>F579*E563</f>
        <v>1</v>
      </c>
      <c r="F579" s="61">
        <v>1</v>
      </c>
      <c r="G579" s="65"/>
      <c r="H579" s="77"/>
    </row>
    <row r="580" spans="1:8" x14ac:dyDescent="0.25">
      <c r="A580" s="73" t="s">
        <v>859</v>
      </c>
      <c r="B580" s="70"/>
      <c r="C580" s="70"/>
      <c r="D580" s="71"/>
      <c r="E580" s="75">
        <f>F580*E563</f>
        <v>2</v>
      </c>
      <c r="F580" s="61">
        <v>2</v>
      </c>
      <c r="G580" s="65"/>
      <c r="H580" s="77"/>
    </row>
    <row r="581" spans="1:8" x14ac:dyDescent="0.25">
      <c r="A581" s="73" t="s">
        <v>843</v>
      </c>
      <c r="B581" s="70"/>
      <c r="C581" s="70"/>
      <c r="D581" s="71"/>
      <c r="E581" s="75">
        <f>4*(A563/1000)+4*(C563/1000)*E563</f>
        <v>20</v>
      </c>
      <c r="F581" s="61" t="s">
        <v>398</v>
      </c>
      <c r="G581" s="64"/>
      <c r="H581" s="77"/>
    </row>
    <row r="582" spans="1:8" x14ac:dyDescent="0.25">
      <c r="A582" s="73" t="s">
        <v>528</v>
      </c>
      <c r="B582" s="70"/>
      <c r="C582" s="70"/>
      <c r="D582" s="71"/>
      <c r="E582" s="75">
        <f>2*(A563/1000)+2*(C563/1000)*E563</f>
        <v>10</v>
      </c>
      <c r="F582" s="61" t="s">
        <v>448</v>
      </c>
      <c r="G582" s="64"/>
      <c r="H582" s="77"/>
    </row>
    <row r="583" spans="1:8" x14ac:dyDescent="0.25">
      <c r="A583" s="73" t="s">
        <v>530</v>
      </c>
      <c r="B583" s="70"/>
      <c r="C583" s="70"/>
      <c r="D583" s="71"/>
      <c r="E583" s="75">
        <f>2*(A563/1000)+2*(C563/1000)*E563</f>
        <v>10</v>
      </c>
      <c r="F583" s="61" t="s">
        <v>448</v>
      </c>
      <c r="G583" s="64"/>
      <c r="H583" s="77"/>
    </row>
    <row r="584" spans="1:8" x14ac:dyDescent="0.25">
      <c r="A584" s="73" t="s">
        <v>584</v>
      </c>
      <c r="B584" s="70"/>
      <c r="C584" s="70"/>
      <c r="D584" s="71"/>
      <c r="E584" s="75">
        <f>A563/100*E563</f>
        <v>25</v>
      </c>
      <c r="F584" s="61" t="s">
        <v>813</v>
      </c>
      <c r="G584" s="64"/>
      <c r="H584" s="77"/>
    </row>
    <row r="585" spans="1:8" x14ac:dyDescent="0.25">
      <c r="A585" s="52"/>
      <c r="B585" s="53"/>
      <c r="C585" s="53"/>
      <c r="D585" s="53"/>
      <c r="E585" s="53"/>
      <c r="F585" s="65"/>
      <c r="G585" s="65"/>
      <c r="H585" s="51"/>
    </row>
    <row r="586" spans="1:8" x14ac:dyDescent="0.25">
      <c r="A586" s="52"/>
      <c r="B586" s="53"/>
      <c r="C586" s="53"/>
      <c r="D586" s="53"/>
      <c r="E586" s="53"/>
      <c r="F586" s="53"/>
      <c r="G586" s="53"/>
      <c r="H586" s="83"/>
    </row>
    <row r="587" spans="1:8" x14ac:dyDescent="0.25">
      <c r="A587" s="59" t="s">
        <v>413</v>
      </c>
      <c r="B587" s="84" t="s">
        <v>266</v>
      </c>
      <c r="C587" s="84" t="s">
        <v>383</v>
      </c>
      <c r="D587" s="405" t="s">
        <v>414</v>
      </c>
      <c r="E587" s="406"/>
      <c r="F587" s="85" t="s">
        <v>415</v>
      </c>
      <c r="G587" s="59" t="s">
        <v>416</v>
      </c>
      <c r="H587" s="86"/>
    </row>
    <row r="588" spans="1:8" x14ac:dyDescent="0.25">
      <c r="A588" s="87"/>
      <c r="B588" s="61">
        <f>1*E563</f>
        <v>1</v>
      </c>
      <c r="C588" s="61" t="s">
        <v>854</v>
      </c>
      <c r="D588" s="407">
        <f>A563-134</f>
        <v>2366</v>
      </c>
      <c r="E588" s="408"/>
      <c r="F588" s="61">
        <f>C563-134</f>
        <v>2366</v>
      </c>
      <c r="G588" s="91">
        <f>+(D588/1000)*(F588/1000)*B588</f>
        <v>5.5979560000000008</v>
      </c>
      <c r="H588" s="92"/>
    </row>
    <row r="589" spans="1:8" x14ac:dyDescent="0.25">
      <c r="A589" s="79"/>
      <c r="B589" s="53"/>
      <c r="C589" s="53"/>
      <c r="D589" s="53"/>
      <c r="E589" s="53"/>
      <c r="F589" s="94" t="s">
        <v>815</v>
      </c>
      <c r="G589" s="95">
        <f>SUM(G588:G588)</f>
        <v>5.5979560000000008</v>
      </c>
      <c r="H589" s="51"/>
    </row>
    <row r="590" spans="1:8" x14ac:dyDescent="0.25">
      <c r="A590" s="79"/>
      <c r="B590" s="53"/>
      <c r="C590" s="53"/>
      <c r="D590" s="53"/>
      <c r="E590" s="53"/>
      <c r="F590" s="94"/>
      <c r="G590" s="96"/>
      <c r="H590" s="51"/>
    </row>
    <row r="591" spans="1:8" x14ac:dyDescent="0.25">
      <c r="A591" s="79"/>
      <c r="B591" s="53"/>
      <c r="C591" s="53"/>
      <c r="D591" s="53"/>
      <c r="E591" s="53"/>
      <c r="F591" s="94"/>
      <c r="G591" s="96"/>
      <c r="H591" s="51"/>
    </row>
    <row r="592" spans="1:8" x14ac:dyDescent="0.25">
      <c r="A592" s="79"/>
      <c r="B592" s="53"/>
      <c r="C592" s="53"/>
      <c r="D592" s="53"/>
      <c r="E592" s="53"/>
      <c r="F592" s="94"/>
      <c r="G592" s="96"/>
      <c r="H592" s="51"/>
    </row>
    <row r="593" spans="1:8" x14ac:dyDescent="0.25">
      <c r="A593" s="79"/>
      <c r="B593" s="53"/>
      <c r="C593" s="53"/>
      <c r="D593" s="53"/>
      <c r="E593" s="53"/>
      <c r="F593" s="94"/>
      <c r="G593" s="96"/>
      <c r="H593" s="51"/>
    </row>
    <row r="594" spans="1:8" x14ac:dyDescent="0.25">
      <c r="A594" s="79"/>
      <c r="B594" s="53"/>
      <c r="C594" s="53"/>
      <c r="D594" s="53"/>
      <c r="E594" s="53"/>
      <c r="F594" s="94"/>
      <c r="G594" s="96"/>
      <c r="H594" s="51"/>
    </row>
    <row r="595" spans="1:8" x14ac:dyDescent="0.25">
      <c r="A595" s="79"/>
      <c r="B595" s="53"/>
      <c r="C595" s="53"/>
      <c r="D595" s="53"/>
      <c r="E595" s="53"/>
      <c r="F595" s="94"/>
      <c r="G595" s="96"/>
      <c r="H595" s="51"/>
    </row>
    <row r="596" spans="1:8" x14ac:dyDescent="0.25">
      <c r="A596" s="79"/>
      <c r="B596" s="53"/>
      <c r="C596" s="53"/>
      <c r="D596" s="53"/>
      <c r="E596" s="53"/>
      <c r="F596" s="94"/>
      <c r="G596" s="96"/>
      <c r="H596" s="51"/>
    </row>
    <row r="597" spans="1:8" x14ac:dyDescent="0.25">
      <c r="A597" s="79"/>
      <c r="B597" s="53"/>
      <c r="C597" s="53"/>
      <c r="D597" s="53"/>
      <c r="E597" s="53"/>
      <c r="F597" s="94"/>
      <c r="G597" s="96"/>
      <c r="H597" s="51"/>
    </row>
    <row r="598" spans="1:8" x14ac:dyDescent="0.25">
      <c r="A598" s="79"/>
      <c r="B598" s="53"/>
      <c r="C598" s="53"/>
      <c r="D598" s="53"/>
      <c r="E598" s="53"/>
      <c r="F598" s="94"/>
      <c r="G598" s="96"/>
      <c r="H598" s="51"/>
    </row>
    <row r="599" spans="1:8" x14ac:dyDescent="0.25">
      <c r="A599" s="79"/>
      <c r="B599" s="53"/>
      <c r="C599" s="53"/>
      <c r="D599" s="53"/>
      <c r="E599" s="53"/>
      <c r="F599" s="94"/>
      <c r="G599" s="96"/>
      <c r="H599" s="51"/>
    </row>
    <row r="600" spans="1:8" x14ac:dyDescent="0.25">
      <c r="A600" s="79"/>
      <c r="B600" s="53"/>
      <c r="C600" s="53"/>
      <c r="D600" s="53"/>
      <c r="E600" s="53"/>
      <c r="F600" s="94"/>
      <c r="G600" s="96"/>
      <c r="H600" s="51"/>
    </row>
    <row r="601" spans="1:8" x14ac:dyDescent="0.25">
      <c r="A601" s="79"/>
      <c r="B601" s="53"/>
      <c r="C601" s="53"/>
      <c r="D601" s="53"/>
      <c r="E601" s="53"/>
      <c r="F601" s="94"/>
      <c r="G601" s="96"/>
      <c r="H601" s="51"/>
    </row>
    <row r="602" spans="1:8" x14ac:dyDescent="0.25">
      <c r="A602" s="79"/>
      <c r="B602" s="53"/>
      <c r="C602" s="53"/>
      <c r="D602" s="53"/>
      <c r="E602" s="53"/>
      <c r="F602" s="94"/>
      <c r="G602" s="96"/>
      <c r="H602" s="51"/>
    </row>
    <row r="603" spans="1:8" x14ac:dyDescent="0.25">
      <c r="A603" s="79"/>
      <c r="B603" s="53"/>
      <c r="C603" s="53"/>
      <c r="D603" s="53"/>
      <c r="E603" s="53"/>
      <c r="F603" s="94"/>
      <c r="G603" s="96"/>
      <c r="H603" s="51"/>
    </row>
    <row r="604" spans="1:8" x14ac:dyDescent="0.25">
      <c r="A604" s="79"/>
      <c r="B604" s="53"/>
      <c r="C604" s="53"/>
      <c r="D604" s="53"/>
      <c r="E604" s="53"/>
      <c r="F604" s="94"/>
      <c r="G604" s="96"/>
      <c r="H604" s="51"/>
    </row>
    <row r="605" spans="1:8" x14ac:dyDescent="0.25">
      <c r="A605" s="79"/>
      <c r="B605" s="53"/>
      <c r="C605" s="53"/>
      <c r="D605" s="53"/>
      <c r="E605" s="53"/>
      <c r="F605" s="94"/>
      <c r="G605" s="96"/>
      <c r="H605" s="51"/>
    </row>
    <row r="606" spans="1:8" x14ac:dyDescent="0.25">
      <c r="A606" s="79"/>
      <c r="B606" s="53"/>
      <c r="C606" s="53"/>
      <c r="D606" s="53"/>
      <c r="E606" s="53"/>
      <c r="F606" s="94"/>
      <c r="G606" s="96"/>
      <c r="H606" s="51"/>
    </row>
    <row r="607" spans="1:8" x14ac:dyDescent="0.25">
      <c r="A607" s="79"/>
      <c r="B607" s="53"/>
      <c r="C607" s="53"/>
      <c r="D607" s="53"/>
      <c r="E607" s="53"/>
      <c r="F607" s="94"/>
      <c r="G607" s="96"/>
      <c r="H607" s="51"/>
    </row>
    <row r="608" spans="1:8" x14ac:dyDescent="0.25">
      <c r="A608" s="79"/>
      <c r="B608" s="53"/>
      <c r="C608" s="53"/>
      <c r="D608" s="53"/>
      <c r="E608" s="53"/>
      <c r="F608" s="94"/>
      <c r="G608" s="96"/>
      <c r="H608" s="51"/>
    </row>
    <row r="609" spans="1:8" x14ac:dyDescent="0.25">
      <c r="A609" s="79"/>
      <c r="B609" s="53"/>
      <c r="C609" s="53"/>
      <c r="D609" s="53"/>
      <c r="E609" s="53"/>
      <c r="F609" s="94"/>
      <c r="G609" s="96"/>
      <c r="H609" s="51"/>
    </row>
    <row r="610" spans="1:8" x14ac:dyDescent="0.25">
      <c r="A610" s="79"/>
      <c r="B610" s="53"/>
      <c r="C610" s="53"/>
      <c r="D610" s="53"/>
      <c r="E610" s="53"/>
      <c r="F610" s="94"/>
      <c r="G610" s="96"/>
      <c r="H610" s="51"/>
    </row>
    <row r="611" spans="1:8" x14ac:dyDescent="0.25">
      <c r="A611" s="52"/>
      <c r="B611" s="53"/>
      <c r="C611" s="53"/>
      <c r="D611" s="53"/>
      <c r="E611" s="53"/>
      <c r="F611" s="53"/>
      <c r="G611" s="53"/>
      <c r="H611" s="51"/>
    </row>
    <row r="612" spans="1:8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x14ac:dyDescent="0.25">
      <c r="A613" s="100"/>
      <c r="B613" s="100"/>
      <c r="C613" s="100"/>
      <c r="D613" s="100"/>
      <c r="E613" s="100"/>
      <c r="F613" s="100"/>
      <c r="G613" s="100"/>
      <c r="H613" s="100"/>
    </row>
    <row r="614" spans="1:8" x14ac:dyDescent="0.25">
      <c r="A614" s="44"/>
      <c r="B614" s="45"/>
      <c r="C614" s="45"/>
      <c r="D614" s="45"/>
      <c r="E614" s="45"/>
      <c r="F614" s="45"/>
      <c r="G614" s="45"/>
      <c r="H614" s="46"/>
    </row>
    <row r="615" spans="1:8" x14ac:dyDescent="0.25">
      <c r="A615" s="52"/>
      <c r="B615" s="53"/>
      <c r="C615" s="53"/>
      <c r="D615" s="53"/>
      <c r="E615" s="53"/>
      <c r="F615" s="53"/>
      <c r="G615" s="53"/>
      <c r="H615" s="51"/>
    </row>
    <row r="616" spans="1:8" x14ac:dyDescent="0.25">
      <c r="A616" s="47" t="s">
        <v>871</v>
      </c>
      <c r="B616" s="49"/>
      <c r="C616" s="49"/>
      <c r="D616" s="122"/>
      <c r="E616" s="122"/>
      <c r="F616" s="50"/>
      <c r="G616" s="50"/>
      <c r="H616" s="103"/>
    </row>
    <row r="617" spans="1:8" ht="16.5" thickBot="1" x14ac:dyDescent="0.3">
      <c r="A617" s="52"/>
      <c r="B617" s="53"/>
      <c r="C617" s="53"/>
      <c r="D617" s="53"/>
      <c r="E617" s="53"/>
      <c r="F617" s="53"/>
      <c r="G617" s="54" t="s">
        <v>872</v>
      </c>
      <c r="H617" s="51"/>
    </row>
    <row r="618" spans="1:8" ht="16.5" thickBot="1" x14ac:dyDescent="0.3">
      <c r="A618" s="400" t="s">
        <v>381</v>
      </c>
      <c r="B618" s="401"/>
      <c r="C618" s="402" t="s">
        <v>382</v>
      </c>
      <c r="D618" s="401"/>
      <c r="E618" s="55" t="s">
        <v>266</v>
      </c>
      <c r="F618" s="53"/>
      <c r="G618" s="53"/>
      <c r="H618" s="51"/>
    </row>
    <row r="619" spans="1:8" ht="16.5" thickBot="1" x14ac:dyDescent="0.3">
      <c r="A619" s="403">
        <v>2500</v>
      </c>
      <c r="B619" s="404"/>
      <c r="C619" s="403">
        <v>2500</v>
      </c>
      <c r="D619" s="404"/>
      <c r="E619" s="56">
        <v>1</v>
      </c>
      <c r="F619" s="53"/>
      <c r="G619" s="53"/>
      <c r="H619" s="51"/>
    </row>
    <row r="620" spans="1:8" x14ac:dyDescent="0.25">
      <c r="A620" s="52"/>
      <c r="B620" s="58"/>
      <c r="C620" s="58"/>
      <c r="D620" s="58"/>
      <c r="E620" s="58"/>
      <c r="F620" s="58"/>
      <c r="G620" s="53"/>
      <c r="H620" s="83"/>
    </row>
    <row r="621" spans="1:8" x14ac:dyDescent="0.25">
      <c r="A621" s="59" t="s">
        <v>323</v>
      </c>
      <c r="B621" s="59" t="s">
        <v>266</v>
      </c>
      <c r="C621" s="59" t="s">
        <v>383</v>
      </c>
      <c r="D621" s="59" t="s">
        <v>384</v>
      </c>
      <c r="E621" s="59" t="s">
        <v>332</v>
      </c>
      <c r="F621" s="59" t="s">
        <v>385</v>
      </c>
      <c r="G621" s="59" t="s">
        <v>386</v>
      </c>
      <c r="H621" s="59" t="s">
        <v>387</v>
      </c>
    </row>
    <row r="622" spans="1:8" x14ac:dyDescent="0.25">
      <c r="A622" s="60">
        <v>4301</v>
      </c>
      <c r="B622" s="61">
        <f>2*E619</f>
        <v>2</v>
      </c>
      <c r="C622" s="61" t="s">
        <v>335</v>
      </c>
      <c r="D622" s="61">
        <f>A619</f>
        <v>2500</v>
      </c>
      <c r="E622" s="61" t="s">
        <v>336</v>
      </c>
      <c r="F622" s="62" t="s">
        <v>809</v>
      </c>
      <c r="G622" s="63">
        <v>0.436</v>
      </c>
      <c r="H622" s="63">
        <f>(D622/1000)*B622*G622</f>
        <v>2.1800000000000002</v>
      </c>
    </row>
    <row r="623" spans="1:8" x14ac:dyDescent="0.25">
      <c r="A623" s="60">
        <v>4301</v>
      </c>
      <c r="B623" s="61">
        <f>2*E619</f>
        <v>2</v>
      </c>
      <c r="C623" s="61" t="s">
        <v>337</v>
      </c>
      <c r="D623" s="61">
        <f>C619</f>
        <v>2500</v>
      </c>
      <c r="E623" s="61" t="s">
        <v>336</v>
      </c>
      <c r="F623" s="62" t="s">
        <v>809</v>
      </c>
      <c r="G623" s="63">
        <v>0.436</v>
      </c>
      <c r="H623" s="63">
        <f>(D623/1000)*B623*G623</f>
        <v>2.1800000000000002</v>
      </c>
    </row>
    <row r="624" spans="1:8" x14ac:dyDescent="0.25">
      <c r="A624" s="60">
        <v>4303</v>
      </c>
      <c r="B624" s="61">
        <f>2*E619</f>
        <v>2</v>
      </c>
      <c r="C624" s="61" t="s">
        <v>832</v>
      </c>
      <c r="D624" s="61">
        <f>A619-32</f>
        <v>2468</v>
      </c>
      <c r="E624" s="61" t="s">
        <v>336</v>
      </c>
      <c r="F624" s="62" t="s">
        <v>849</v>
      </c>
      <c r="G624" s="63">
        <v>0.80900000000000005</v>
      </c>
      <c r="H624" s="63">
        <f>(D624/1000)*B624*G624</f>
        <v>3.9932240000000001</v>
      </c>
    </row>
    <row r="625" spans="1:8" x14ac:dyDescent="0.25">
      <c r="A625" s="60">
        <v>4303</v>
      </c>
      <c r="B625" s="61">
        <f>2*E619</f>
        <v>2</v>
      </c>
      <c r="C625" s="61" t="s">
        <v>834</v>
      </c>
      <c r="D625" s="61">
        <f>C619-32</f>
        <v>2468</v>
      </c>
      <c r="E625" s="61" t="s">
        <v>336</v>
      </c>
      <c r="F625" s="62" t="s">
        <v>849</v>
      </c>
      <c r="G625" s="63">
        <v>0.80900000000000005</v>
      </c>
      <c r="H625" s="63">
        <f>(D625/1000)*B625*G625</f>
        <v>3.9932240000000001</v>
      </c>
    </row>
    <row r="626" spans="1:8" x14ac:dyDescent="0.25">
      <c r="A626" s="60">
        <v>4311</v>
      </c>
      <c r="B626" s="61">
        <f>2*E619</f>
        <v>2</v>
      </c>
      <c r="C626" s="61" t="s">
        <v>873</v>
      </c>
      <c r="D626" s="61">
        <f>C619/2-148</f>
        <v>1102</v>
      </c>
      <c r="E626" s="61" t="s">
        <v>340</v>
      </c>
      <c r="F626" s="62" t="s">
        <v>838</v>
      </c>
      <c r="G626" s="63">
        <v>0.128</v>
      </c>
      <c r="H626" s="63">
        <f>(D626/1000)*B626*G626</f>
        <v>0.28211200000000003</v>
      </c>
    </row>
    <row r="627" spans="1:8" x14ac:dyDescent="0.25">
      <c r="A627" s="64"/>
      <c r="B627" s="65"/>
      <c r="C627" s="65"/>
      <c r="D627" s="65"/>
      <c r="E627" s="65"/>
      <c r="F627" s="65"/>
      <c r="G627" s="63" t="s">
        <v>392</v>
      </c>
      <c r="H627" s="63">
        <f>SUM(H622:H626)</f>
        <v>12.62856</v>
      </c>
    </row>
    <row r="628" spans="1:8" x14ac:dyDescent="0.25">
      <c r="A628" s="64"/>
      <c r="B628" s="65"/>
      <c r="C628" s="65"/>
      <c r="D628" s="65"/>
      <c r="E628" s="65"/>
      <c r="F628" s="65"/>
      <c r="G628" s="66"/>
      <c r="H628" s="67"/>
    </row>
    <row r="629" spans="1:8" x14ac:dyDescent="0.25">
      <c r="A629" s="64"/>
      <c r="B629" s="65"/>
      <c r="C629" s="65"/>
      <c r="D629" s="65"/>
      <c r="E629" s="65"/>
      <c r="F629" s="65"/>
      <c r="G629" s="68"/>
      <c r="H629" s="67"/>
    </row>
    <row r="630" spans="1:8" x14ac:dyDescent="0.25">
      <c r="A630" s="69" t="s">
        <v>393</v>
      </c>
      <c r="B630" s="70"/>
      <c r="C630" s="70"/>
      <c r="D630" s="71"/>
      <c r="E630" s="59" t="s">
        <v>36</v>
      </c>
      <c r="F630" s="59" t="s">
        <v>266</v>
      </c>
      <c r="G630" s="52"/>
      <c r="H630" s="72"/>
    </row>
    <row r="631" spans="1:8" x14ac:dyDescent="0.25">
      <c r="A631" s="73" t="s">
        <v>811</v>
      </c>
      <c r="B631" s="70"/>
      <c r="C631" s="70"/>
      <c r="D631" s="71"/>
      <c r="E631" s="75">
        <f>F631*E619</f>
        <v>8</v>
      </c>
      <c r="F631" s="61">
        <v>8</v>
      </c>
      <c r="G631" s="76"/>
      <c r="H631" s="77"/>
    </row>
    <row r="632" spans="1:8" x14ac:dyDescent="0.25">
      <c r="A632" s="73" t="s">
        <v>839</v>
      </c>
      <c r="B632" s="70"/>
      <c r="C632" s="70"/>
      <c r="D632" s="71"/>
      <c r="E632" s="75">
        <f>F632*E619</f>
        <v>1</v>
      </c>
      <c r="F632" s="61">
        <v>1</v>
      </c>
      <c r="G632" s="65"/>
      <c r="H632" s="77"/>
    </row>
    <row r="633" spans="1:8" x14ac:dyDescent="0.25">
      <c r="A633" s="73" t="s">
        <v>870</v>
      </c>
      <c r="B633" s="70"/>
      <c r="C633" s="70"/>
      <c r="D633" s="71"/>
      <c r="E633" s="75">
        <f>F633*E619</f>
        <v>1</v>
      </c>
      <c r="F633" s="61">
        <v>1</v>
      </c>
      <c r="G633" s="65"/>
      <c r="H633" s="77"/>
    </row>
    <row r="634" spans="1:8" x14ac:dyDescent="0.25">
      <c r="A634" s="73" t="s">
        <v>859</v>
      </c>
      <c r="B634" s="70"/>
      <c r="C634" s="70"/>
      <c r="D634" s="71"/>
      <c r="E634" s="75">
        <f>F634*E619</f>
        <v>2</v>
      </c>
      <c r="F634" s="61">
        <v>2</v>
      </c>
      <c r="G634" s="65"/>
      <c r="H634" s="77"/>
    </row>
    <row r="635" spans="1:8" x14ac:dyDescent="0.25">
      <c r="A635" s="73" t="s">
        <v>843</v>
      </c>
      <c r="B635" s="70"/>
      <c r="C635" s="70"/>
      <c r="D635" s="71"/>
      <c r="E635" s="75">
        <f>4*(A619/1000)+4*(C619/1000)*E619</f>
        <v>20</v>
      </c>
      <c r="F635" s="61" t="s">
        <v>398</v>
      </c>
      <c r="G635" s="65"/>
      <c r="H635" s="77"/>
    </row>
    <row r="636" spans="1:8" x14ac:dyDescent="0.25">
      <c r="A636" s="73" t="s">
        <v>550</v>
      </c>
      <c r="B636" s="70"/>
      <c r="C636" s="70"/>
      <c r="D636" s="71"/>
      <c r="E636" s="75">
        <f>2*(A619/1000)+2*(C619/1000)*E619</f>
        <v>10</v>
      </c>
      <c r="F636" s="61" t="s">
        <v>448</v>
      </c>
      <c r="G636" s="65"/>
      <c r="H636" s="77"/>
    </row>
    <row r="637" spans="1:8" x14ac:dyDescent="0.25">
      <c r="A637" s="52"/>
      <c r="B637" s="53"/>
      <c r="C637" s="53"/>
      <c r="D637" s="53"/>
      <c r="E637" s="53"/>
      <c r="F637" s="65"/>
      <c r="G637" s="65"/>
      <c r="H637" s="51"/>
    </row>
    <row r="638" spans="1:8" x14ac:dyDescent="0.25">
      <c r="A638" s="52"/>
      <c r="B638" s="53"/>
      <c r="C638" s="53"/>
      <c r="D638" s="53"/>
      <c r="E638" s="53"/>
      <c r="F638" s="53"/>
      <c r="G638" s="53"/>
      <c r="H638" s="83"/>
    </row>
    <row r="639" spans="1:8" x14ac:dyDescent="0.25">
      <c r="A639" s="59" t="s">
        <v>413</v>
      </c>
      <c r="B639" s="84" t="s">
        <v>266</v>
      </c>
      <c r="C639" s="84" t="s">
        <v>383</v>
      </c>
      <c r="D639" s="405" t="s">
        <v>414</v>
      </c>
      <c r="E639" s="406"/>
      <c r="F639" s="85" t="s">
        <v>415</v>
      </c>
      <c r="G639" s="59" t="s">
        <v>416</v>
      </c>
      <c r="H639" s="86"/>
    </row>
    <row r="640" spans="1:8" x14ac:dyDescent="0.25">
      <c r="A640" s="87"/>
      <c r="B640" s="61">
        <f>1*E619</f>
        <v>1</v>
      </c>
      <c r="C640" s="61" t="s">
        <v>850</v>
      </c>
      <c r="D640" s="407">
        <f>A619-130</f>
        <v>2370</v>
      </c>
      <c r="E640" s="408"/>
      <c r="F640" s="61">
        <f>C619-130</f>
        <v>2370</v>
      </c>
      <c r="G640" s="91">
        <f>+(D640/1000)*(F640/1000)*B640</f>
        <v>5.6169000000000002</v>
      </c>
      <c r="H640" s="92"/>
    </row>
    <row r="641" spans="1:8" x14ac:dyDescent="0.25">
      <c r="A641" s="79"/>
      <c r="B641" s="53"/>
      <c r="C641" s="53"/>
      <c r="D641" s="53"/>
      <c r="E641" s="53"/>
      <c r="F641" s="94" t="s">
        <v>815</v>
      </c>
      <c r="G641" s="95">
        <f>SUM(G640:G640)</f>
        <v>5.6169000000000002</v>
      </c>
      <c r="H641" s="51"/>
    </row>
    <row r="642" spans="1:8" x14ac:dyDescent="0.25">
      <c r="A642" s="79"/>
      <c r="B642" s="53"/>
      <c r="C642" s="53"/>
      <c r="D642" s="53"/>
      <c r="E642" s="53"/>
      <c r="F642" s="94"/>
      <c r="G642" s="96"/>
      <c r="H642" s="51"/>
    </row>
    <row r="643" spans="1:8" x14ac:dyDescent="0.25">
      <c r="A643" s="79"/>
      <c r="B643" s="53"/>
      <c r="C643" s="53"/>
      <c r="D643" s="53"/>
      <c r="E643" s="53"/>
      <c r="F643" s="94"/>
      <c r="G643" s="96"/>
      <c r="H643" s="51"/>
    </row>
    <row r="644" spans="1:8" x14ac:dyDescent="0.25">
      <c r="A644" s="79"/>
      <c r="B644" s="53"/>
      <c r="C644" s="53"/>
      <c r="D644" s="53"/>
      <c r="E644" s="53"/>
      <c r="F644" s="94"/>
      <c r="G644" s="96"/>
      <c r="H644" s="51"/>
    </row>
    <row r="645" spans="1:8" x14ac:dyDescent="0.25">
      <c r="A645" s="79"/>
      <c r="B645" s="53"/>
      <c r="C645" s="53"/>
      <c r="D645" s="53"/>
      <c r="E645" s="53"/>
      <c r="F645" s="94"/>
      <c r="G645" s="96"/>
      <c r="H645" s="51"/>
    </row>
    <row r="646" spans="1:8" x14ac:dyDescent="0.25">
      <c r="A646" s="79"/>
      <c r="B646" s="53"/>
      <c r="C646" s="53"/>
      <c r="D646" s="53"/>
      <c r="E646" s="53"/>
      <c r="F646" s="94"/>
      <c r="G646" s="96"/>
      <c r="H646" s="51"/>
    </row>
    <row r="647" spans="1:8" x14ac:dyDescent="0.25">
      <c r="A647" s="79"/>
      <c r="B647" s="53"/>
      <c r="C647" s="53"/>
      <c r="D647" s="53"/>
      <c r="E647" s="53"/>
      <c r="F647" s="94"/>
      <c r="G647" s="96"/>
      <c r="H647" s="51"/>
    </row>
    <row r="648" spans="1:8" x14ac:dyDescent="0.25">
      <c r="A648" s="79"/>
      <c r="B648" s="53"/>
      <c r="C648" s="53"/>
      <c r="D648" s="53"/>
      <c r="E648" s="53"/>
      <c r="F648" s="94"/>
      <c r="G648" s="96"/>
      <c r="H648" s="51"/>
    </row>
    <row r="649" spans="1:8" x14ac:dyDescent="0.25">
      <c r="A649" s="79"/>
      <c r="B649" s="53"/>
      <c r="C649" s="53"/>
      <c r="D649" s="53"/>
      <c r="E649" s="53"/>
      <c r="F649" s="94"/>
      <c r="G649" s="96"/>
      <c r="H649" s="51"/>
    </row>
    <row r="650" spans="1:8" x14ac:dyDescent="0.25">
      <c r="A650" s="79"/>
      <c r="B650" s="53"/>
      <c r="C650" s="53"/>
      <c r="D650" s="53"/>
      <c r="E650" s="53"/>
      <c r="F650" s="94"/>
      <c r="G650" s="96"/>
      <c r="H650" s="51"/>
    </row>
    <row r="651" spans="1:8" x14ac:dyDescent="0.25">
      <c r="A651" s="79"/>
      <c r="B651" s="53"/>
      <c r="C651" s="53"/>
      <c r="D651" s="53"/>
      <c r="E651" s="53"/>
      <c r="F651" s="94"/>
      <c r="G651" s="96"/>
      <c r="H651" s="51"/>
    </row>
    <row r="652" spans="1:8" x14ac:dyDescent="0.25">
      <c r="A652" s="79"/>
      <c r="B652" s="53"/>
      <c r="C652" s="53"/>
      <c r="D652" s="53"/>
      <c r="E652" s="53"/>
      <c r="F652" s="94"/>
      <c r="G652" s="96"/>
      <c r="H652" s="51"/>
    </row>
    <row r="653" spans="1:8" x14ac:dyDescent="0.25">
      <c r="A653" s="79"/>
      <c r="B653" s="53"/>
      <c r="C653" s="53"/>
      <c r="D653" s="53"/>
      <c r="E653" s="53"/>
      <c r="F653" s="94"/>
      <c r="G653" s="96"/>
      <c r="H653" s="51"/>
    </row>
    <row r="654" spans="1:8" x14ac:dyDescent="0.25">
      <c r="A654" s="79"/>
      <c r="B654" s="53"/>
      <c r="C654" s="53"/>
      <c r="D654" s="53"/>
      <c r="E654" s="53"/>
      <c r="F654" s="94"/>
      <c r="G654" s="96"/>
      <c r="H654" s="51"/>
    </row>
    <row r="655" spans="1:8" x14ac:dyDescent="0.25">
      <c r="A655" s="79"/>
      <c r="B655" s="53"/>
      <c r="C655" s="53"/>
      <c r="D655" s="53"/>
      <c r="E655" s="53"/>
      <c r="F655" s="94"/>
      <c r="G655" s="96"/>
      <c r="H655" s="51"/>
    </row>
    <row r="656" spans="1:8" x14ac:dyDescent="0.25">
      <c r="A656" s="79"/>
      <c r="B656" s="53"/>
      <c r="C656" s="53"/>
      <c r="D656" s="53"/>
      <c r="E656" s="53"/>
      <c r="F656" s="94"/>
      <c r="G656" s="96"/>
      <c r="H656" s="51"/>
    </row>
    <row r="657" spans="1:8" x14ac:dyDescent="0.25">
      <c r="A657" s="79"/>
      <c r="B657" s="53"/>
      <c r="C657" s="53"/>
      <c r="D657" s="53"/>
      <c r="E657" s="53"/>
      <c r="F657" s="94"/>
      <c r="G657" s="96"/>
      <c r="H657" s="51"/>
    </row>
    <row r="658" spans="1:8" x14ac:dyDescent="0.25">
      <c r="A658" s="79"/>
      <c r="B658" s="53"/>
      <c r="C658" s="53"/>
      <c r="D658" s="53"/>
      <c r="E658" s="53"/>
      <c r="F658" s="94"/>
      <c r="G658" s="96"/>
      <c r="H658" s="51"/>
    </row>
    <row r="659" spans="1:8" x14ac:dyDescent="0.25">
      <c r="A659" s="79"/>
      <c r="B659" s="53"/>
      <c r="C659" s="53"/>
      <c r="D659" s="53"/>
      <c r="E659" s="53"/>
      <c r="F659" s="94"/>
      <c r="G659" s="96"/>
      <c r="H659" s="51"/>
    </row>
    <row r="660" spans="1:8" x14ac:dyDescent="0.25">
      <c r="A660" s="79"/>
      <c r="B660" s="53"/>
      <c r="C660" s="53"/>
      <c r="D660" s="53"/>
      <c r="E660" s="53"/>
      <c r="F660" s="94"/>
      <c r="G660" s="96"/>
      <c r="H660" s="51"/>
    </row>
    <row r="661" spans="1:8" x14ac:dyDescent="0.25">
      <c r="A661" s="79"/>
      <c r="B661" s="53"/>
      <c r="C661" s="53"/>
      <c r="D661" s="53"/>
      <c r="E661" s="53"/>
      <c r="F661" s="94"/>
      <c r="G661" s="96"/>
      <c r="H661" s="51"/>
    </row>
    <row r="662" spans="1:8" x14ac:dyDescent="0.25">
      <c r="A662" s="79"/>
      <c r="B662" s="53"/>
      <c r="C662" s="53"/>
      <c r="D662" s="53"/>
      <c r="E662" s="53"/>
      <c r="F662" s="94"/>
      <c r="G662" s="96"/>
      <c r="H662" s="51"/>
    </row>
    <row r="663" spans="1:8" x14ac:dyDescent="0.25">
      <c r="A663" s="79"/>
      <c r="B663" s="53"/>
      <c r="C663" s="53"/>
      <c r="D663" s="53"/>
      <c r="E663" s="53"/>
      <c r="F663" s="94"/>
      <c r="G663" s="96"/>
      <c r="H663" s="51"/>
    </row>
    <row r="664" spans="1:8" x14ac:dyDescent="0.25">
      <c r="A664" s="79"/>
      <c r="B664" s="53"/>
      <c r="C664" s="53"/>
      <c r="D664" s="53"/>
      <c r="E664" s="53"/>
      <c r="F664" s="94"/>
      <c r="G664" s="96"/>
      <c r="H664" s="51"/>
    </row>
    <row r="665" spans="1:8" x14ac:dyDescent="0.25">
      <c r="A665" s="79"/>
      <c r="B665" s="53"/>
      <c r="C665" s="53"/>
      <c r="D665" s="53"/>
      <c r="E665" s="53"/>
      <c r="F665" s="94"/>
      <c r="G665" s="96"/>
      <c r="H665" s="51"/>
    </row>
    <row r="666" spans="1:8" x14ac:dyDescent="0.25">
      <c r="A666" s="79"/>
      <c r="B666" s="53"/>
      <c r="C666" s="53"/>
      <c r="D666" s="53"/>
      <c r="E666" s="53"/>
      <c r="F666" s="94"/>
      <c r="G666" s="96"/>
      <c r="H666" s="51"/>
    </row>
    <row r="667" spans="1:8" x14ac:dyDescent="0.25">
      <c r="A667" s="52"/>
      <c r="B667" s="53"/>
      <c r="C667" s="53"/>
      <c r="D667" s="53"/>
      <c r="E667" s="53"/>
      <c r="F667" s="53"/>
      <c r="G667" s="53"/>
      <c r="H667" s="51"/>
    </row>
    <row r="668" spans="1:8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x14ac:dyDescent="0.25">
      <c r="A669" s="100"/>
      <c r="B669" s="100"/>
      <c r="C669" s="100"/>
      <c r="D669" s="100"/>
      <c r="E669" s="100"/>
      <c r="F669" s="100"/>
      <c r="G669" s="100"/>
      <c r="H669" s="100"/>
    </row>
    <row r="670" spans="1:8" x14ac:dyDescent="0.25">
      <c r="A670" s="44"/>
      <c r="B670" s="45"/>
      <c r="C670" s="45"/>
      <c r="D670" s="45"/>
      <c r="E670" s="45"/>
      <c r="F670" s="45"/>
      <c r="G670" s="45"/>
      <c r="H670" s="46"/>
    </row>
    <row r="671" spans="1:8" x14ac:dyDescent="0.25">
      <c r="A671" s="52"/>
      <c r="B671" s="53"/>
      <c r="C671" s="53"/>
      <c r="D671" s="53"/>
      <c r="E671" s="53"/>
      <c r="F671" s="53"/>
      <c r="G671" s="53"/>
      <c r="H671" s="51"/>
    </row>
    <row r="672" spans="1:8" x14ac:dyDescent="0.25">
      <c r="A672" s="47" t="s">
        <v>874</v>
      </c>
      <c r="B672" s="48"/>
      <c r="C672" s="49"/>
      <c r="D672" s="122"/>
      <c r="E672" s="122"/>
      <c r="F672" s="50"/>
      <c r="G672" s="54" t="s">
        <v>875</v>
      </c>
      <c r="H672" s="103"/>
    </row>
    <row r="673" spans="1:8" ht="16.5" thickBot="1" x14ac:dyDescent="0.3">
      <c r="A673" s="52"/>
      <c r="B673" s="53"/>
      <c r="C673" s="53"/>
      <c r="D673" s="53"/>
      <c r="E673" s="53"/>
      <c r="F673" s="53"/>
      <c r="G673" s="53"/>
      <c r="H673" s="51"/>
    </row>
    <row r="674" spans="1:8" ht="16.5" thickBot="1" x14ac:dyDescent="0.3">
      <c r="A674" s="400" t="s">
        <v>381</v>
      </c>
      <c r="B674" s="401"/>
      <c r="C674" s="402" t="s">
        <v>382</v>
      </c>
      <c r="D674" s="401"/>
      <c r="E674" s="55" t="s">
        <v>266</v>
      </c>
      <c r="F674" s="53"/>
      <c r="G674" s="53"/>
      <c r="H674" s="51"/>
    </row>
    <row r="675" spans="1:8" ht="16.5" thickBot="1" x14ac:dyDescent="0.3">
      <c r="A675" s="403">
        <v>2500</v>
      </c>
      <c r="B675" s="404"/>
      <c r="C675" s="403">
        <v>2500</v>
      </c>
      <c r="D675" s="404"/>
      <c r="E675" s="56">
        <v>1</v>
      </c>
      <c r="F675" s="53"/>
      <c r="G675" s="53"/>
      <c r="H675" s="51"/>
    </row>
    <row r="676" spans="1:8" x14ac:dyDescent="0.25">
      <c r="A676" s="52"/>
      <c r="B676" s="58"/>
      <c r="C676" s="58"/>
      <c r="D676" s="58"/>
      <c r="E676" s="58"/>
      <c r="F676" s="58"/>
      <c r="G676" s="53"/>
      <c r="H676" s="83"/>
    </row>
    <row r="677" spans="1:8" x14ac:dyDescent="0.25">
      <c r="A677" s="59" t="s">
        <v>323</v>
      </c>
      <c r="B677" s="59" t="s">
        <v>266</v>
      </c>
      <c r="C677" s="59" t="s">
        <v>383</v>
      </c>
      <c r="D677" s="59" t="s">
        <v>384</v>
      </c>
      <c r="E677" s="59" t="s">
        <v>332</v>
      </c>
      <c r="F677" s="59" t="s">
        <v>385</v>
      </c>
      <c r="G677" s="59" t="s">
        <v>386</v>
      </c>
      <c r="H677" s="59" t="s">
        <v>387</v>
      </c>
    </row>
    <row r="678" spans="1:8" x14ac:dyDescent="0.25">
      <c r="A678" s="60">
        <v>4301</v>
      </c>
      <c r="B678" s="61">
        <f>2*E675</f>
        <v>2</v>
      </c>
      <c r="C678" s="61" t="s">
        <v>335</v>
      </c>
      <c r="D678" s="61">
        <f>A675</f>
        <v>2500</v>
      </c>
      <c r="E678" s="61" t="s">
        <v>336</v>
      </c>
      <c r="F678" s="62" t="s">
        <v>809</v>
      </c>
      <c r="G678" s="63">
        <v>0.436</v>
      </c>
      <c r="H678" s="63">
        <f t="shared" ref="H678:H684" si="5">(D678/1000)*B678*G678</f>
        <v>2.1800000000000002</v>
      </c>
    </row>
    <row r="679" spans="1:8" x14ac:dyDescent="0.25">
      <c r="A679" s="60">
        <v>4301</v>
      </c>
      <c r="B679" s="61">
        <f>2*E675</f>
        <v>2</v>
      </c>
      <c r="C679" s="61" t="s">
        <v>337</v>
      </c>
      <c r="D679" s="61">
        <f>C675</f>
        <v>2500</v>
      </c>
      <c r="E679" s="61" t="s">
        <v>336</v>
      </c>
      <c r="F679" s="62" t="s">
        <v>809</v>
      </c>
      <c r="G679" s="63">
        <v>0.436</v>
      </c>
      <c r="H679" s="63">
        <f t="shared" si="5"/>
        <v>2.1800000000000002</v>
      </c>
    </row>
    <row r="680" spans="1:8" x14ac:dyDescent="0.25">
      <c r="A680" s="60">
        <v>4302</v>
      </c>
      <c r="B680" s="61">
        <f>2*E675</f>
        <v>2</v>
      </c>
      <c r="C680" s="61" t="s">
        <v>832</v>
      </c>
      <c r="D680" s="61">
        <f>A675-32</f>
        <v>2468</v>
      </c>
      <c r="E680" s="61" t="s">
        <v>336</v>
      </c>
      <c r="F680" s="62" t="s">
        <v>853</v>
      </c>
      <c r="G680" s="63">
        <v>0.68700000000000006</v>
      </c>
      <c r="H680" s="63">
        <f t="shared" si="5"/>
        <v>3.391032</v>
      </c>
    </row>
    <row r="681" spans="1:8" x14ac:dyDescent="0.25">
      <c r="A681" s="60">
        <v>4302</v>
      </c>
      <c r="B681" s="61">
        <f>2*E675</f>
        <v>2</v>
      </c>
      <c r="C681" s="61" t="s">
        <v>834</v>
      </c>
      <c r="D681" s="61">
        <f>C675-32</f>
        <v>2468</v>
      </c>
      <c r="E681" s="61" t="s">
        <v>336</v>
      </c>
      <c r="F681" s="62" t="s">
        <v>853</v>
      </c>
      <c r="G681" s="63">
        <v>0.68700000000000006</v>
      </c>
      <c r="H681" s="63">
        <f t="shared" si="5"/>
        <v>3.391032</v>
      </c>
    </row>
    <row r="682" spans="1:8" x14ac:dyDescent="0.25">
      <c r="A682" s="60">
        <v>4308</v>
      </c>
      <c r="B682" s="61">
        <f>2*E675</f>
        <v>2</v>
      </c>
      <c r="C682" s="61" t="s">
        <v>835</v>
      </c>
      <c r="D682" s="61">
        <f>A675-112</f>
        <v>2388</v>
      </c>
      <c r="E682" s="61" t="s">
        <v>336</v>
      </c>
      <c r="F682" s="62" t="s">
        <v>866</v>
      </c>
      <c r="G682" s="63">
        <v>0.17699999999999999</v>
      </c>
      <c r="H682" s="63">
        <f t="shared" si="5"/>
        <v>0.84535199999999988</v>
      </c>
    </row>
    <row r="683" spans="1:8" x14ac:dyDescent="0.25">
      <c r="A683" s="60">
        <v>4308</v>
      </c>
      <c r="B683" s="61">
        <f>2*E675</f>
        <v>2</v>
      </c>
      <c r="C683" s="61" t="s">
        <v>836</v>
      </c>
      <c r="D683" s="61">
        <f>C675-112</f>
        <v>2388</v>
      </c>
      <c r="E683" s="61" t="s">
        <v>336</v>
      </c>
      <c r="F683" s="62" t="s">
        <v>866</v>
      </c>
      <c r="G683" s="63">
        <v>0.17699999999999999</v>
      </c>
      <c r="H683" s="63">
        <f t="shared" si="5"/>
        <v>0.84535199999999988</v>
      </c>
    </row>
    <row r="684" spans="1:8" x14ac:dyDescent="0.25">
      <c r="A684" s="60">
        <v>4311</v>
      </c>
      <c r="B684" s="61">
        <f>2*E675</f>
        <v>2</v>
      </c>
      <c r="C684" s="61" t="s">
        <v>873</v>
      </c>
      <c r="D684" s="61">
        <f>C675/2-148</f>
        <v>1102</v>
      </c>
      <c r="E684" s="61" t="s">
        <v>340</v>
      </c>
      <c r="F684" s="62" t="s">
        <v>838</v>
      </c>
      <c r="G684" s="63">
        <v>0.128</v>
      </c>
      <c r="H684" s="63">
        <f t="shared" si="5"/>
        <v>0.28211200000000003</v>
      </c>
    </row>
    <row r="685" spans="1:8" x14ac:dyDescent="0.25">
      <c r="A685" s="64"/>
      <c r="B685" s="65"/>
      <c r="C685" s="65"/>
      <c r="D685" s="65"/>
      <c r="E685" s="65"/>
      <c r="F685" s="65"/>
      <c r="G685" s="63" t="s">
        <v>392</v>
      </c>
      <c r="H685" s="63">
        <f>SUM(H678:H684)</f>
        <v>13.114880000000001</v>
      </c>
    </row>
    <row r="686" spans="1:8" x14ac:dyDescent="0.25">
      <c r="A686" s="64"/>
      <c r="B686" s="65"/>
      <c r="C686" s="65"/>
      <c r="D686" s="65"/>
      <c r="E686" s="65"/>
      <c r="F686" s="65"/>
      <c r="G686" s="66"/>
      <c r="H686" s="67"/>
    </row>
    <row r="687" spans="1:8" x14ac:dyDescent="0.25">
      <c r="A687" s="64"/>
      <c r="B687" s="65"/>
      <c r="C687" s="65"/>
      <c r="D687" s="65"/>
      <c r="E687" s="65"/>
      <c r="F687" s="65"/>
      <c r="G687" s="68"/>
      <c r="H687" s="67"/>
    </row>
    <row r="688" spans="1:8" x14ac:dyDescent="0.25">
      <c r="A688" s="69" t="s">
        <v>393</v>
      </c>
      <c r="B688" s="70"/>
      <c r="C688" s="70"/>
      <c r="D688" s="71"/>
      <c r="E688" s="59" t="s">
        <v>36</v>
      </c>
      <c r="F688" s="59" t="s">
        <v>266</v>
      </c>
      <c r="G688" s="52"/>
      <c r="H688" s="72"/>
    </row>
    <row r="689" spans="1:8" x14ac:dyDescent="0.25">
      <c r="A689" s="73" t="s">
        <v>811</v>
      </c>
      <c r="B689" s="70"/>
      <c r="C689" s="70"/>
      <c r="D689" s="71"/>
      <c r="E689" s="75">
        <f>F689*E675</f>
        <v>8</v>
      </c>
      <c r="F689" s="61">
        <v>8</v>
      </c>
      <c r="G689" s="76"/>
      <c r="H689" s="77"/>
    </row>
    <row r="690" spans="1:8" x14ac:dyDescent="0.25">
      <c r="A690" s="73" t="s">
        <v>839</v>
      </c>
      <c r="B690" s="70"/>
      <c r="C690" s="70"/>
      <c r="D690" s="71"/>
      <c r="E690" s="75">
        <f>F690*E675</f>
        <v>1</v>
      </c>
      <c r="F690" s="61">
        <v>1</v>
      </c>
      <c r="G690" s="65"/>
      <c r="H690" s="77"/>
    </row>
    <row r="691" spans="1:8" x14ac:dyDescent="0.25">
      <c r="A691" s="73" t="s">
        <v>870</v>
      </c>
      <c r="B691" s="70"/>
      <c r="C691" s="70"/>
      <c r="D691" s="71"/>
      <c r="E691" s="75">
        <f>F691*E675</f>
        <v>1</v>
      </c>
      <c r="F691" s="61">
        <v>1</v>
      </c>
      <c r="G691" s="65"/>
      <c r="H691" s="77"/>
    </row>
    <row r="692" spans="1:8" x14ac:dyDescent="0.25">
      <c r="A692" s="73" t="s">
        <v>859</v>
      </c>
      <c r="B692" s="70"/>
      <c r="C692" s="70"/>
      <c r="D692" s="71"/>
      <c r="E692" s="75">
        <f>F692*E675</f>
        <v>2</v>
      </c>
      <c r="F692" s="61">
        <v>2</v>
      </c>
      <c r="G692" s="65"/>
      <c r="H692" s="77"/>
    </row>
    <row r="693" spans="1:8" x14ac:dyDescent="0.25">
      <c r="A693" s="73" t="s">
        <v>843</v>
      </c>
      <c r="B693" s="70"/>
      <c r="C693" s="70"/>
      <c r="D693" s="71"/>
      <c r="E693" s="75">
        <f>4*(A675/1000)+4*(C675/1000)*E675</f>
        <v>20</v>
      </c>
      <c r="F693" s="61" t="s">
        <v>398</v>
      </c>
      <c r="G693" s="64"/>
      <c r="H693" s="77"/>
    </row>
    <row r="694" spans="1:8" x14ac:dyDescent="0.25">
      <c r="A694" s="73" t="s">
        <v>528</v>
      </c>
      <c r="B694" s="70"/>
      <c r="C694" s="70"/>
      <c r="D694" s="71"/>
      <c r="E694" s="75">
        <f>2*(A675/1000)+2*(C675/1000)*E675</f>
        <v>10</v>
      </c>
      <c r="F694" s="61" t="s">
        <v>448</v>
      </c>
      <c r="G694" s="64"/>
      <c r="H694" s="77"/>
    </row>
    <row r="695" spans="1:8" x14ac:dyDescent="0.25">
      <c r="A695" s="73" t="s">
        <v>530</v>
      </c>
      <c r="B695" s="70"/>
      <c r="C695" s="70"/>
      <c r="D695" s="71"/>
      <c r="E695" s="75">
        <f>2*(A675/1000)+2*(C675/1000)*E675</f>
        <v>10</v>
      </c>
      <c r="F695" s="61" t="s">
        <v>448</v>
      </c>
      <c r="G695" s="64"/>
      <c r="H695" s="77"/>
    </row>
    <row r="696" spans="1:8" x14ac:dyDescent="0.25">
      <c r="A696" s="73" t="s">
        <v>584</v>
      </c>
      <c r="B696" s="70"/>
      <c r="C696" s="70"/>
      <c r="D696" s="71"/>
      <c r="E696" s="75">
        <f>A675/100+C675/100*E675</f>
        <v>50</v>
      </c>
      <c r="F696" s="61" t="s">
        <v>824</v>
      </c>
      <c r="G696" s="64"/>
      <c r="H696" s="77"/>
    </row>
    <row r="697" spans="1:8" x14ac:dyDescent="0.25">
      <c r="A697" s="52"/>
      <c r="B697" s="53"/>
      <c r="C697" s="53"/>
      <c r="D697" s="53"/>
      <c r="E697" s="53"/>
      <c r="F697" s="65"/>
      <c r="G697" s="65"/>
      <c r="H697" s="51"/>
    </row>
    <row r="698" spans="1:8" x14ac:dyDescent="0.25">
      <c r="A698" s="52"/>
      <c r="B698" s="53"/>
      <c r="C698" s="53"/>
      <c r="D698" s="53"/>
      <c r="E698" s="53"/>
      <c r="F698" s="53"/>
      <c r="G698" s="53"/>
      <c r="H698" s="83"/>
    </row>
    <row r="699" spans="1:8" x14ac:dyDescent="0.25">
      <c r="A699" s="59" t="s">
        <v>413</v>
      </c>
      <c r="B699" s="84" t="s">
        <v>266</v>
      </c>
      <c r="C699" s="84" t="s">
        <v>383</v>
      </c>
      <c r="D699" s="405" t="s">
        <v>414</v>
      </c>
      <c r="E699" s="406"/>
      <c r="F699" s="85" t="s">
        <v>415</v>
      </c>
      <c r="G699" s="59" t="s">
        <v>416</v>
      </c>
      <c r="H699" s="86"/>
    </row>
    <row r="700" spans="1:8" x14ac:dyDescent="0.25">
      <c r="A700" s="87"/>
      <c r="B700" s="61">
        <f>1*E675</f>
        <v>1</v>
      </c>
      <c r="C700" s="61" t="s">
        <v>854</v>
      </c>
      <c r="D700" s="407">
        <f>A675-134</f>
        <v>2366</v>
      </c>
      <c r="E700" s="408"/>
      <c r="F700" s="61">
        <f>C675-134</f>
        <v>2366</v>
      </c>
      <c r="G700" s="91">
        <f>+(D700/1000)*(F700/1000)*B700</f>
        <v>5.5979560000000008</v>
      </c>
      <c r="H700" s="92"/>
    </row>
    <row r="701" spans="1:8" x14ac:dyDescent="0.25">
      <c r="A701" s="79"/>
      <c r="B701" s="53"/>
      <c r="C701" s="53"/>
      <c r="D701" s="53"/>
      <c r="E701" s="53"/>
      <c r="F701" s="94" t="s">
        <v>815</v>
      </c>
      <c r="G701" s="95">
        <f>SUM(G700:G700)</f>
        <v>5.5979560000000008</v>
      </c>
      <c r="H701" s="51"/>
    </row>
    <row r="702" spans="1:8" x14ac:dyDescent="0.25">
      <c r="A702" s="79"/>
      <c r="B702" s="53"/>
      <c r="C702" s="53"/>
      <c r="D702" s="53"/>
      <c r="E702" s="53"/>
      <c r="F702" s="94"/>
      <c r="G702" s="96"/>
      <c r="H702" s="51"/>
    </row>
    <row r="703" spans="1:8" x14ac:dyDescent="0.25">
      <c r="A703" s="79"/>
      <c r="B703" s="53"/>
      <c r="C703" s="53"/>
      <c r="D703" s="53"/>
      <c r="E703" s="53"/>
      <c r="F703" s="94"/>
      <c r="G703" s="96"/>
      <c r="H703" s="51"/>
    </row>
    <row r="704" spans="1:8" x14ac:dyDescent="0.25">
      <c r="A704" s="79"/>
      <c r="B704" s="53"/>
      <c r="C704" s="53"/>
      <c r="D704" s="53"/>
      <c r="E704" s="53"/>
      <c r="F704" s="94"/>
      <c r="G704" s="96"/>
      <c r="H704" s="51"/>
    </row>
    <row r="705" spans="1:8" x14ac:dyDescent="0.25">
      <c r="A705" s="79"/>
      <c r="B705" s="53"/>
      <c r="C705" s="53"/>
      <c r="D705" s="53"/>
      <c r="E705" s="53"/>
      <c r="F705" s="94"/>
      <c r="G705" s="96"/>
      <c r="H705" s="51"/>
    </row>
    <row r="706" spans="1:8" x14ac:dyDescent="0.25">
      <c r="A706" s="79"/>
      <c r="B706" s="53"/>
      <c r="C706" s="53"/>
      <c r="D706" s="53"/>
      <c r="E706" s="53"/>
      <c r="F706" s="94"/>
      <c r="G706" s="96"/>
      <c r="H706" s="51"/>
    </row>
    <row r="707" spans="1:8" x14ac:dyDescent="0.25">
      <c r="A707" s="79"/>
      <c r="B707" s="53"/>
      <c r="C707" s="53"/>
      <c r="D707" s="53"/>
      <c r="E707" s="53"/>
      <c r="F707" s="94"/>
      <c r="G707" s="96"/>
      <c r="H707" s="51"/>
    </row>
    <row r="708" spans="1:8" x14ac:dyDescent="0.25">
      <c r="A708" s="79"/>
      <c r="B708" s="53"/>
      <c r="C708" s="53"/>
      <c r="D708" s="53"/>
      <c r="E708" s="53"/>
      <c r="F708" s="94"/>
      <c r="G708" s="96"/>
      <c r="H708" s="51"/>
    </row>
    <row r="709" spans="1:8" x14ac:dyDescent="0.25">
      <c r="A709" s="79"/>
      <c r="B709" s="53"/>
      <c r="C709" s="53"/>
      <c r="D709" s="53"/>
      <c r="E709" s="53"/>
      <c r="F709" s="94"/>
      <c r="G709" s="96"/>
      <c r="H709" s="51"/>
    </row>
    <row r="710" spans="1:8" x14ac:dyDescent="0.25">
      <c r="A710" s="79"/>
      <c r="B710" s="53"/>
      <c r="C710" s="53"/>
      <c r="D710" s="53"/>
      <c r="E710" s="53"/>
      <c r="F710" s="94"/>
      <c r="G710" s="96"/>
      <c r="H710" s="51"/>
    </row>
    <row r="711" spans="1:8" x14ac:dyDescent="0.25">
      <c r="A711" s="79"/>
      <c r="B711" s="53"/>
      <c r="C711" s="53"/>
      <c r="D711" s="53"/>
      <c r="E711" s="53"/>
      <c r="F711" s="94"/>
      <c r="G711" s="96"/>
      <c r="H711" s="51"/>
    </row>
    <row r="712" spans="1:8" x14ac:dyDescent="0.25">
      <c r="A712" s="79"/>
      <c r="B712" s="53"/>
      <c r="C712" s="53"/>
      <c r="D712" s="53"/>
      <c r="E712" s="53"/>
      <c r="F712" s="94"/>
      <c r="G712" s="96"/>
      <c r="H712" s="51"/>
    </row>
    <row r="713" spans="1:8" x14ac:dyDescent="0.25">
      <c r="A713" s="79"/>
      <c r="B713" s="53"/>
      <c r="C713" s="53"/>
      <c r="D713" s="53"/>
      <c r="E713" s="53"/>
      <c r="F713" s="94"/>
      <c r="G713" s="96"/>
      <c r="H713" s="51"/>
    </row>
    <row r="714" spans="1:8" x14ac:dyDescent="0.25">
      <c r="A714" s="79"/>
      <c r="B714" s="53"/>
      <c r="C714" s="53"/>
      <c r="D714" s="53"/>
      <c r="E714" s="53"/>
      <c r="F714" s="94"/>
      <c r="G714" s="96"/>
      <c r="H714" s="51"/>
    </row>
    <row r="715" spans="1:8" x14ac:dyDescent="0.25">
      <c r="A715" s="79"/>
      <c r="B715" s="53"/>
      <c r="C715" s="53"/>
      <c r="D715" s="53"/>
      <c r="E715" s="53"/>
      <c r="F715" s="94"/>
      <c r="G715" s="96"/>
      <c r="H715" s="51"/>
    </row>
    <row r="716" spans="1:8" x14ac:dyDescent="0.25">
      <c r="A716" s="79"/>
      <c r="B716" s="53"/>
      <c r="C716" s="53"/>
      <c r="D716" s="53"/>
      <c r="E716" s="53"/>
      <c r="F716" s="94"/>
      <c r="G716" s="96"/>
      <c r="H716" s="51"/>
    </row>
    <row r="717" spans="1:8" x14ac:dyDescent="0.25">
      <c r="A717" s="79"/>
      <c r="B717" s="53"/>
      <c r="C717" s="53"/>
      <c r="D717" s="53"/>
      <c r="E717" s="53"/>
      <c r="F717" s="94"/>
      <c r="G717" s="96"/>
      <c r="H717" s="51"/>
    </row>
    <row r="718" spans="1:8" x14ac:dyDescent="0.25">
      <c r="A718" s="79"/>
      <c r="B718" s="53"/>
      <c r="C718" s="53"/>
      <c r="D718" s="53"/>
      <c r="E718" s="53"/>
      <c r="F718" s="94"/>
      <c r="G718" s="96"/>
      <c r="H718" s="51"/>
    </row>
    <row r="719" spans="1:8" x14ac:dyDescent="0.25">
      <c r="A719" s="79"/>
      <c r="B719" s="53"/>
      <c r="C719" s="53"/>
      <c r="D719" s="53"/>
      <c r="E719" s="53"/>
      <c r="F719" s="94"/>
      <c r="G719" s="96"/>
      <c r="H719" s="51"/>
    </row>
    <row r="720" spans="1:8" x14ac:dyDescent="0.25">
      <c r="A720" s="79"/>
      <c r="B720" s="53"/>
      <c r="C720" s="53"/>
      <c r="D720" s="53"/>
      <c r="E720" s="53"/>
      <c r="F720" s="94"/>
      <c r="G720" s="96"/>
      <c r="H720" s="51"/>
    </row>
    <row r="721" spans="1:8" x14ac:dyDescent="0.25">
      <c r="A721" s="79"/>
      <c r="B721" s="53"/>
      <c r="C721" s="53"/>
      <c r="D721" s="53"/>
      <c r="E721" s="53"/>
      <c r="F721" s="94"/>
      <c r="G721" s="96"/>
      <c r="H721" s="51"/>
    </row>
    <row r="722" spans="1:8" x14ac:dyDescent="0.25">
      <c r="A722" s="79"/>
      <c r="B722" s="53"/>
      <c r="C722" s="53"/>
      <c r="D722" s="53"/>
      <c r="E722" s="53"/>
      <c r="F722" s="94"/>
      <c r="G722" s="96"/>
      <c r="H722" s="51"/>
    </row>
    <row r="723" spans="1:8" x14ac:dyDescent="0.25">
      <c r="A723" s="79"/>
      <c r="B723" s="53"/>
      <c r="C723" s="53"/>
      <c r="D723" s="53"/>
      <c r="E723" s="53"/>
      <c r="F723" s="94"/>
      <c r="G723" s="96"/>
      <c r="H723" s="51"/>
    </row>
    <row r="724" spans="1:8" x14ac:dyDescent="0.25">
      <c r="A724" s="97"/>
      <c r="B724" s="45"/>
      <c r="C724" s="45"/>
      <c r="D724" s="45"/>
      <c r="E724" s="45"/>
      <c r="F724" s="98"/>
      <c r="G724" s="99"/>
      <c r="H724" s="45"/>
    </row>
    <row r="725" spans="1:8" x14ac:dyDescent="0.25">
      <c r="A725" s="100"/>
      <c r="B725" s="100"/>
      <c r="C725" s="100"/>
      <c r="D725" s="100"/>
      <c r="E725" s="100"/>
      <c r="F725" s="100"/>
      <c r="G725" s="100"/>
      <c r="H725" s="100"/>
    </row>
    <row r="726" spans="1:8" x14ac:dyDescent="0.25">
      <c r="A726" s="44"/>
      <c r="B726" s="45"/>
      <c r="C726" s="45"/>
      <c r="D726" s="45"/>
      <c r="E726" s="45"/>
      <c r="F726" s="45"/>
      <c r="G726" s="45"/>
      <c r="H726" s="46"/>
    </row>
    <row r="727" spans="1:8" x14ac:dyDescent="0.25">
      <c r="A727" s="52"/>
      <c r="B727" s="53"/>
      <c r="C727" s="53"/>
      <c r="D727" s="53"/>
      <c r="E727" s="53"/>
      <c r="F727" s="53"/>
      <c r="G727" s="53"/>
      <c r="H727" s="51"/>
    </row>
    <row r="728" spans="1:8" x14ac:dyDescent="0.25">
      <c r="A728" s="179" t="s">
        <v>876</v>
      </c>
      <c r="B728" s="48"/>
      <c r="C728" s="49"/>
      <c r="D728" s="122"/>
      <c r="E728" s="122"/>
      <c r="F728" s="50"/>
      <c r="G728" s="54" t="s">
        <v>877</v>
      </c>
      <c r="H728" s="103"/>
    </row>
    <row r="729" spans="1:8" ht="16.5" thickBot="1" x14ac:dyDescent="0.3">
      <c r="A729" s="52"/>
      <c r="B729" s="53"/>
      <c r="C729" s="53"/>
      <c r="D729" s="53"/>
      <c r="E729" s="53"/>
      <c r="F729" s="53"/>
      <c r="G729" s="53"/>
      <c r="H729" s="51"/>
    </row>
    <row r="730" spans="1:8" ht="16.5" thickBot="1" x14ac:dyDescent="0.3">
      <c r="A730" s="400" t="s">
        <v>381</v>
      </c>
      <c r="B730" s="401"/>
      <c r="C730" s="402" t="s">
        <v>382</v>
      </c>
      <c r="D730" s="401"/>
      <c r="E730" s="55" t="s">
        <v>266</v>
      </c>
      <c r="F730" s="53"/>
      <c r="G730" s="53"/>
      <c r="H730" s="51"/>
    </row>
    <row r="731" spans="1:8" ht="16.5" thickBot="1" x14ac:dyDescent="0.3">
      <c r="A731" s="403">
        <v>900</v>
      </c>
      <c r="B731" s="404"/>
      <c r="C731" s="403">
        <v>2100</v>
      </c>
      <c r="D731" s="404"/>
      <c r="E731" s="56">
        <v>1</v>
      </c>
      <c r="F731" s="53"/>
      <c r="G731" s="53"/>
      <c r="H731" s="51"/>
    </row>
    <row r="732" spans="1:8" x14ac:dyDescent="0.25">
      <c r="A732" s="52"/>
      <c r="B732" s="58"/>
      <c r="C732" s="58"/>
      <c r="D732" s="58"/>
      <c r="E732" s="58"/>
      <c r="F732" s="58"/>
      <c r="G732" s="53"/>
      <c r="H732" s="83"/>
    </row>
    <row r="733" spans="1:8" x14ac:dyDescent="0.25">
      <c r="A733" s="59" t="s">
        <v>323</v>
      </c>
      <c r="B733" s="59" t="s">
        <v>266</v>
      </c>
      <c r="C733" s="59" t="s">
        <v>383</v>
      </c>
      <c r="D733" s="59" t="s">
        <v>384</v>
      </c>
      <c r="E733" s="59" t="s">
        <v>332</v>
      </c>
      <c r="F733" s="59" t="s">
        <v>385</v>
      </c>
      <c r="G733" s="59" t="s">
        <v>386</v>
      </c>
      <c r="H733" s="59" t="s">
        <v>387</v>
      </c>
    </row>
    <row r="734" spans="1:8" x14ac:dyDescent="0.25">
      <c r="A734" s="60">
        <v>4301</v>
      </c>
      <c r="B734" s="61">
        <f>1*E731</f>
        <v>1</v>
      </c>
      <c r="C734" s="61" t="s">
        <v>335</v>
      </c>
      <c r="D734" s="61">
        <f>A731</f>
        <v>900</v>
      </c>
      <c r="E734" s="61" t="s">
        <v>336</v>
      </c>
      <c r="F734" s="62" t="s">
        <v>809</v>
      </c>
      <c r="G734" s="63">
        <v>0.436</v>
      </c>
      <c r="H734" s="63">
        <f t="shared" ref="H734:H740" si="6">(D734/1000)*B734*G734</f>
        <v>0.39240000000000003</v>
      </c>
    </row>
    <row r="735" spans="1:8" x14ac:dyDescent="0.25">
      <c r="A735" s="60">
        <v>4301</v>
      </c>
      <c r="B735" s="61">
        <f>2*E731</f>
        <v>2</v>
      </c>
      <c r="C735" s="61" t="s">
        <v>337</v>
      </c>
      <c r="D735" s="61">
        <f>C731</f>
        <v>2100</v>
      </c>
      <c r="E735" s="61" t="s">
        <v>336</v>
      </c>
      <c r="F735" s="62" t="s">
        <v>809</v>
      </c>
      <c r="G735" s="63">
        <v>0.436</v>
      </c>
      <c r="H735" s="63">
        <f t="shared" si="6"/>
        <v>1.8312000000000002</v>
      </c>
    </row>
    <row r="736" spans="1:8" x14ac:dyDescent="0.25">
      <c r="A736" s="60">
        <v>4312</v>
      </c>
      <c r="B736" s="61">
        <f>1*E731</f>
        <v>1</v>
      </c>
      <c r="C736" s="61" t="s">
        <v>878</v>
      </c>
      <c r="D736" s="61">
        <f>A731-30</f>
        <v>870</v>
      </c>
      <c r="E736" s="61" t="s">
        <v>336</v>
      </c>
      <c r="F736" s="62" t="s">
        <v>879</v>
      </c>
      <c r="G736" s="63">
        <v>1.0469999999999999</v>
      </c>
      <c r="H736" s="63">
        <f t="shared" si="6"/>
        <v>0.91088999999999998</v>
      </c>
    </row>
    <row r="737" spans="1:8" x14ac:dyDescent="0.25">
      <c r="A737" s="60">
        <v>4312</v>
      </c>
      <c r="B737" s="61">
        <f>2*E731</f>
        <v>2</v>
      </c>
      <c r="C737" s="61" t="s">
        <v>880</v>
      </c>
      <c r="D737" s="61">
        <f>C731-25</f>
        <v>2075</v>
      </c>
      <c r="E737" s="61" t="s">
        <v>336</v>
      </c>
      <c r="F737" s="62" t="s">
        <v>879</v>
      </c>
      <c r="G737" s="63">
        <v>1.0469999999999999</v>
      </c>
      <c r="H737" s="63">
        <f t="shared" si="6"/>
        <v>4.3450500000000005</v>
      </c>
    </row>
    <row r="738" spans="1:8" x14ac:dyDescent="0.25">
      <c r="A738" s="60">
        <v>4313</v>
      </c>
      <c r="B738" s="61">
        <f>1*E731</f>
        <v>1</v>
      </c>
      <c r="C738" s="61" t="s">
        <v>881</v>
      </c>
      <c r="D738" s="61">
        <f>A731-212</f>
        <v>688</v>
      </c>
      <c r="E738" s="61" t="s">
        <v>340</v>
      </c>
      <c r="F738" s="62" t="s">
        <v>882</v>
      </c>
      <c r="G738" s="63">
        <v>0.80100000000000005</v>
      </c>
      <c r="H738" s="63">
        <f t="shared" si="6"/>
        <v>0.55108800000000002</v>
      </c>
    </row>
    <row r="739" spans="1:8" x14ac:dyDescent="0.25">
      <c r="A739" s="60">
        <v>4308</v>
      </c>
      <c r="B739" s="61">
        <f>4*E731</f>
        <v>4</v>
      </c>
      <c r="C739" s="61" t="s">
        <v>883</v>
      </c>
      <c r="D739" s="61">
        <f>C731-212</f>
        <v>1888</v>
      </c>
      <c r="E739" s="61" t="s">
        <v>336</v>
      </c>
      <c r="F739" s="62" t="s">
        <v>117</v>
      </c>
      <c r="G739" s="63">
        <v>0.17699999999999999</v>
      </c>
      <c r="H739" s="63">
        <f t="shared" si="6"/>
        <v>1.3367039999999999</v>
      </c>
    </row>
    <row r="740" spans="1:8" x14ac:dyDescent="0.25">
      <c r="A740" s="60">
        <v>4308</v>
      </c>
      <c r="B740" s="61">
        <f>4*E731</f>
        <v>4</v>
      </c>
      <c r="C740" s="61" t="s">
        <v>884</v>
      </c>
      <c r="D740" s="61">
        <f>C731-174</f>
        <v>1926</v>
      </c>
      <c r="E740" s="61" t="s">
        <v>336</v>
      </c>
      <c r="F740" s="62" t="s">
        <v>117</v>
      </c>
      <c r="G740" s="63">
        <v>0.17699999999999999</v>
      </c>
      <c r="H740" s="63">
        <f t="shared" si="6"/>
        <v>1.3636079999999999</v>
      </c>
    </row>
    <row r="741" spans="1:8" x14ac:dyDescent="0.25">
      <c r="A741" s="64"/>
      <c r="B741" s="65"/>
      <c r="C741" s="65"/>
      <c r="D741" s="65"/>
      <c r="E741" s="65"/>
      <c r="F741" s="65"/>
      <c r="G741" s="63" t="s">
        <v>392</v>
      </c>
      <c r="H741" s="63">
        <f>SUM(H734:H740)</f>
        <v>10.730939999999999</v>
      </c>
    </row>
    <row r="742" spans="1:8" x14ac:dyDescent="0.25">
      <c r="A742" s="64"/>
      <c r="B742" s="65"/>
      <c r="C742" s="65"/>
      <c r="D742" s="65"/>
      <c r="E742" s="65"/>
      <c r="F742" s="65"/>
      <c r="G742" s="66"/>
      <c r="H742" s="67"/>
    </row>
    <row r="743" spans="1:8" x14ac:dyDescent="0.25">
      <c r="A743" s="64"/>
      <c r="B743" s="65"/>
      <c r="C743" s="65"/>
      <c r="D743" s="65"/>
      <c r="E743" s="65"/>
      <c r="F743" s="65"/>
      <c r="G743" s="68"/>
      <c r="H743" s="67"/>
    </row>
    <row r="744" spans="1:8" x14ac:dyDescent="0.25">
      <c r="A744" s="69" t="s">
        <v>393</v>
      </c>
      <c r="B744" s="70"/>
      <c r="C744" s="70"/>
      <c r="D744" s="71"/>
      <c r="E744" s="59" t="s">
        <v>36</v>
      </c>
      <c r="F744" s="59" t="s">
        <v>266</v>
      </c>
      <c r="G744" s="52"/>
      <c r="H744" s="72"/>
    </row>
    <row r="745" spans="1:8" x14ac:dyDescent="0.25">
      <c r="A745" s="73" t="s">
        <v>885</v>
      </c>
      <c r="B745" s="70"/>
      <c r="C745" s="70"/>
      <c r="D745" s="71"/>
      <c r="E745" s="75">
        <f>F745*E731</f>
        <v>4</v>
      </c>
      <c r="F745" s="61">
        <v>4</v>
      </c>
      <c r="G745" s="76"/>
      <c r="H745" s="77"/>
    </row>
    <row r="746" spans="1:8" x14ac:dyDescent="0.25">
      <c r="A746" s="73" t="s">
        <v>886</v>
      </c>
      <c r="B746" s="70"/>
      <c r="C746" s="70"/>
      <c r="D746" s="71"/>
      <c r="E746" s="75">
        <f>F746*E731</f>
        <v>3</v>
      </c>
      <c r="F746" s="61">
        <v>3</v>
      </c>
      <c r="G746" s="65"/>
      <c r="H746" s="77"/>
    </row>
    <row r="747" spans="1:8" x14ac:dyDescent="0.25">
      <c r="A747" s="73" t="s">
        <v>887</v>
      </c>
      <c r="B747" s="70"/>
      <c r="C747" s="70"/>
      <c r="D747" s="71"/>
      <c r="E747" s="75">
        <f>1*E731</f>
        <v>1</v>
      </c>
      <c r="F747" s="61" t="s">
        <v>888</v>
      </c>
      <c r="G747" s="65"/>
      <c r="H747" s="77"/>
    </row>
    <row r="748" spans="1:8" x14ac:dyDescent="0.25">
      <c r="A748" s="73" t="s">
        <v>889</v>
      </c>
      <c r="B748" s="70"/>
      <c r="C748" s="70"/>
      <c r="D748" s="71"/>
      <c r="E748" s="75">
        <f>F748*E731</f>
        <v>1</v>
      </c>
      <c r="F748" s="61">
        <v>1</v>
      </c>
      <c r="G748" s="65"/>
      <c r="H748" s="77"/>
    </row>
    <row r="749" spans="1:8" x14ac:dyDescent="0.25">
      <c r="A749" s="73" t="s">
        <v>890</v>
      </c>
      <c r="B749" s="70"/>
      <c r="C749" s="70"/>
      <c r="D749" s="71"/>
      <c r="E749" s="75">
        <f>F749*E731</f>
        <v>1</v>
      </c>
      <c r="F749" s="61">
        <v>1</v>
      </c>
      <c r="G749" s="65"/>
      <c r="H749" s="77"/>
    </row>
    <row r="750" spans="1:8" x14ac:dyDescent="0.25">
      <c r="A750" s="73" t="s">
        <v>891</v>
      </c>
      <c r="B750" s="70"/>
      <c r="C750" s="70"/>
      <c r="D750" s="71"/>
      <c r="E750" s="75">
        <f>A731/100+C731/100*E731</f>
        <v>30</v>
      </c>
      <c r="F750" s="61" t="s">
        <v>824</v>
      </c>
      <c r="G750" s="64"/>
      <c r="H750" s="77"/>
    </row>
    <row r="751" spans="1:8" x14ac:dyDescent="0.25">
      <c r="A751" s="73" t="s">
        <v>892</v>
      </c>
      <c r="B751" s="70"/>
      <c r="C751" s="70"/>
      <c r="D751" s="71"/>
      <c r="E751" s="75">
        <f>2*(A731/1000)+4*(C731/1000)*E731</f>
        <v>10.200000000000001</v>
      </c>
      <c r="F751" s="61" t="s">
        <v>402</v>
      </c>
      <c r="G751" s="64"/>
      <c r="H751" s="77"/>
    </row>
    <row r="752" spans="1:8" x14ac:dyDescent="0.25">
      <c r="A752" s="73" t="s">
        <v>528</v>
      </c>
      <c r="B752" s="70"/>
      <c r="C752" s="70"/>
      <c r="D752" s="71"/>
      <c r="E752" s="75">
        <f>2*(A731/1000)+2*(C731/1000)*E731</f>
        <v>6</v>
      </c>
      <c r="F752" s="61" t="s">
        <v>448</v>
      </c>
      <c r="G752" s="64"/>
      <c r="H752" s="77"/>
    </row>
    <row r="753" spans="1:8" x14ac:dyDescent="0.25">
      <c r="A753" s="73" t="s">
        <v>530</v>
      </c>
      <c r="B753" s="70"/>
      <c r="C753" s="70"/>
      <c r="D753" s="71"/>
      <c r="E753" s="75">
        <f>2*(A731/1000)+2*(C731/1000)*E731</f>
        <v>6</v>
      </c>
      <c r="F753" s="61" t="s">
        <v>448</v>
      </c>
      <c r="G753" s="64"/>
      <c r="H753" s="77"/>
    </row>
    <row r="754" spans="1:8" x14ac:dyDescent="0.25">
      <c r="A754" s="73" t="s">
        <v>893</v>
      </c>
      <c r="B754" s="70"/>
      <c r="C754" s="70"/>
      <c r="D754" s="71"/>
      <c r="E754" s="75">
        <f>F754*E731</f>
        <v>14</v>
      </c>
      <c r="F754" s="61">
        <v>14</v>
      </c>
      <c r="G754" s="65"/>
      <c r="H754" s="77"/>
    </row>
    <row r="755" spans="1:8" x14ac:dyDescent="0.25">
      <c r="A755" s="73" t="s">
        <v>894</v>
      </c>
      <c r="B755" s="70"/>
      <c r="C755" s="70"/>
      <c r="D755" s="71"/>
      <c r="E755" s="75">
        <f>F755*E731</f>
        <v>2</v>
      </c>
      <c r="F755" s="61">
        <v>2</v>
      </c>
      <c r="G755" s="65"/>
      <c r="H755" s="77"/>
    </row>
    <row r="756" spans="1:8" x14ac:dyDescent="0.25">
      <c r="A756" s="52"/>
      <c r="B756" s="53"/>
      <c r="C756" s="53"/>
      <c r="D756" s="53"/>
      <c r="E756" s="53"/>
      <c r="F756" s="65"/>
      <c r="G756" s="65"/>
      <c r="H756" s="51"/>
    </row>
    <row r="757" spans="1:8" x14ac:dyDescent="0.25">
      <c r="A757" s="52"/>
      <c r="B757" s="53"/>
      <c r="C757" s="53"/>
      <c r="D757" s="53"/>
      <c r="E757" s="53"/>
      <c r="F757" s="53"/>
      <c r="G757" s="53"/>
      <c r="H757" s="83"/>
    </row>
    <row r="758" spans="1:8" x14ac:dyDescent="0.25">
      <c r="A758" s="59" t="s">
        <v>413</v>
      </c>
      <c r="B758" s="84" t="s">
        <v>266</v>
      </c>
      <c r="C758" s="84" t="s">
        <v>383</v>
      </c>
      <c r="D758" s="405" t="s">
        <v>414</v>
      </c>
      <c r="E758" s="406"/>
      <c r="F758" s="85" t="s">
        <v>415</v>
      </c>
      <c r="G758" s="59" t="s">
        <v>416</v>
      </c>
      <c r="H758" s="86"/>
    </row>
    <row r="759" spans="1:8" x14ac:dyDescent="0.25">
      <c r="A759" s="87"/>
      <c r="B759" s="61">
        <f>1*E731</f>
        <v>1</v>
      </c>
      <c r="C759" s="61" t="s">
        <v>895</v>
      </c>
      <c r="D759" s="407">
        <f>A731-230</f>
        <v>670</v>
      </c>
      <c r="E759" s="408"/>
      <c r="F759" s="61">
        <f>C731-193</f>
        <v>1907</v>
      </c>
      <c r="G759" s="91">
        <f>+(D759/1000)*(F759/1000)*B759</f>
        <v>1.27769</v>
      </c>
      <c r="H759" s="92"/>
    </row>
    <row r="760" spans="1:8" x14ac:dyDescent="0.25">
      <c r="A760" s="79"/>
      <c r="B760" s="53"/>
      <c r="C760" s="53"/>
      <c r="D760" s="53"/>
      <c r="E760" s="53"/>
      <c r="F760" s="94" t="s">
        <v>815</v>
      </c>
      <c r="G760" s="95">
        <f>SUM(G759:G759)</f>
        <v>1.27769</v>
      </c>
      <c r="H760" s="51"/>
    </row>
    <row r="761" spans="1:8" x14ac:dyDescent="0.25">
      <c r="A761" s="79"/>
      <c r="B761" s="53"/>
      <c r="C761" s="53"/>
      <c r="D761" s="53"/>
      <c r="E761" s="53"/>
      <c r="F761" s="94"/>
      <c r="G761" s="96"/>
      <c r="H761" s="51"/>
    </row>
    <row r="762" spans="1:8" x14ac:dyDescent="0.25">
      <c r="A762" s="79"/>
      <c r="B762" s="53"/>
      <c r="C762" s="53"/>
      <c r="D762" s="53"/>
      <c r="E762" s="53"/>
      <c r="F762" s="94"/>
      <c r="G762" s="96"/>
      <c r="H762" s="51"/>
    </row>
    <row r="763" spans="1:8" x14ac:dyDescent="0.25">
      <c r="A763" s="79"/>
      <c r="B763" s="53"/>
      <c r="C763" s="53"/>
      <c r="D763" s="53"/>
      <c r="E763" s="53"/>
      <c r="F763" s="94"/>
      <c r="G763" s="96"/>
      <c r="H763" s="51"/>
    </row>
    <row r="764" spans="1:8" x14ac:dyDescent="0.25">
      <c r="A764" s="79"/>
      <c r="B764" s="53"/>
      <c r="C764" s="53"/>
      <c r="D764" s="53"/>
      <c r="E764" s="53"/>
      <c r="F764" s="94"/>
      <c r="G764" s="96"/>
      <c r="H764" s="51"/>
    </row>
    <row r="765" spans="1:8" x14ac:dyDescent="0.25">
      <c r="A765" s="79"/>
      <c r="B765" s="53"/>
      <c r="C765" s="53"/>
      <c r="D765" s="53"/>
      <c r="E765" s="53"/>
      <c r="F765" s="94"/>
      <c r="G765" s="96"/>
      <c r="H765" s="51"/>
    </row>
    <row r="766" spans="1:8" x14ac:dyDescent="0.25">
      <c r="A766" s="79"/>
      <c r="B766" s="53"/>
      <c r="C766" s="53"/>
      <c r="D766" s="53"/>
      <c r="E766" s="53"/>
      <c r="F766" s="94"/>
      <c r="G766" s="96"/>
      <c r="H766" s="51"/>
    </row>
    <row r="767" spans="1:8" x14ac:dyDescent="0.25">
      <c r="A767" s="79"/>
      <c r="B767" s="53"/>
      <c r="C767" s="53"/>
      <c r="D767" s="53"/>
      <c r="E767" s="53"/>
      <c r="F767" s="94"/>
      <c r="G767" s="96"/>
      <c r="H767" s="51"/>
    </row>
    <row r="768" spans="1:8" x14ac:dyDescent="0.25">
      <c r="A768" s="79"/>
      <c r="B768" s="53"/>
      <c r="C768" s="53"/>
      <c r="D768" s="53"/>
      <c r="E768" s="53"/>
      <c r="F768" s="94"/>
      <c r="G768" s="96"/>
      <c r="H768" s="51"/>
    </row>
    <row r="769" spans="1:8" x14ac:dyDescent="0.25">
      <c r="A769" s="79"/>
      <c r="B769" s="53"/>
      <c r="C769" s="53"/>
      <c r="D769" s="53"/>
      <c r="E769" s="53"/>
      <c r="F769" s="94"/>
      <c r="G769" s="96"/>
      <c r="H769" s="51"/>
    </row>
    <row r="770" spans="1:8" x14ac:dyDescent="0.25">
      <c r="A770" s="79"/>
      <c r="B770" s="53"/>
      <c r="C770" s="53"/>
      <c r="D770" s="53"/>
      <c r="E770" s="53"/>
      <c r="F770" s="94"/>
      <c r="G770" s="96"/>
      <c r="H770" s="51"/>
    </row>
    <row r="771" spans="1:8" x14ac:dyDescent="0.25">
      <c r="A771" s="79"/>
      <c r="B771" s="53"/>
      <c r="C771" s="53"/>
      <c r="D771" s="53"/>
      <c r="E771" s="53"/>
      <c r="F771" s="94"/>
      <c r="G771" s="96"/>
      <c r="H771" s="51"/>
    </row>
    <row r="772" spans="1:8" x14ac:dyDescent="0.25">
      <c r="A772" s="79"/>
      <c r="B772" s="53"/>
      <c r="C772" s="53"/>
      <c r="D772" s="53"/>
      <c r="E772" s="53"/>
      <c r="F772" s="94"/>
      <c r="G772" s="96"/>
      <c r="H772" s="51"/>
    </row>
    <row r="773" spans="1:8" x14ac:dyDescent="0.25">
      <c r="A773" s="79"/>
      <c r="B773" s="53"/>
      <c r="C773" s="53"/>
      <c r="D773" s="53"/>
      <c r="E773" s="53"/>
      <c r="F773" s="94"/>
      <c r="G773" s="96"/>
      <c r="H773" s="51"/>
    </row>
    <row r="774" spans="1:8" x14ac:dyDescent="0.25">
      <c r="A774" s="79"/>
      <c r="B774" s="53"/>
      <c r="C774" s="53"/>
      <c r="D774" s="53"/>
      <c r="E774" s="53"/>
      <c r="F774" s="94"/>
      <c r="G774" s="96"/>
      <c r="H774" s="51"/>
    </row>
    <row r="775" spans="1:8" x14ac:dyDescent="0.25">
      <c r="A775" s="79"/>
      <c r="B775" s="53"/>
      <c r="C775" s="53"/>
      <c r="D775" s="53"/>
      <c r="E775" s="53"/>
      <c r="F775" s="94"/>
      <c r="G775" s="96"/>
      <c r="H775" s="51"/>
    </row>
    <row r="776" spans="1:8" x14ac:dyDescent="0.25">
      <c r="A776" s="79"/>
      <c r="B776" s="53"/>
      <c r="C776" s="53"/>
      <c r="D776" s="53"/>
      <c r="E776" s="53"/>
      <c r="F776" s="94"/>
      <c r="G776" s="96"/>
      <c r="H776" s="51"/>
    </row>
    <row r="777" spans="1:8" x14ac:dyDescent="0.25">
      <c r="A777" s="79"/>
      <c r="B777" s="53"/>
      <c r="C777" s="53"/>
      <c r="D777" s="53"/>
      <c r="E777" s="53"/>
      <c r="F777" s="94"/>
      <c r="G777" s="96"/>
      <c r="H777" s="51"/>
    </row>
    <row r="778" spans="1:8" x14ac:dyDescent="0.25">
      <c r="A778" s="79"/>
      <c r="B778" s="53"/>
      <c r="C778" s="53"/>
      <c r="D778" s="53"/>
      <c r="E778" s="53"/>
      <c r="F778" s="94"/>
      <c r="G778" s="96"/>
      <c r="H778" s="51"/>
    </row>
    <row r="779" spans="1:8" x14ac:dyDescent="0.25">
      <c r="A779" s="52"/>
      <c r="B779" s="53"/>
      <c r="C779" s="53"/>
      <c r="D779" s="53"/>
      <c r="E779" s="53"/>
      <c r="F779" s="53"/>
      <c r="G779" s="53"/>
      <c r="H779" s="51"/>
    </row>
    <row r="780" spans="1:8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x14ac:dyDescent="0.25">
      <c r="A781" s="100"/>
      <c r="B781" s="100"/>
      <c r="C781" s="100"/>
      <c r="D781" s="100"/>
      <c r="E781" s="100"/>
      <c r="F781" s="100"/>
      <c r="G781" s="100"/>
      <c r="H781" s="100"/>
    </row>
    <row r="782" spans="1:8" x14ac:dyDescent="0.25">
      <c r="A782" s="44"/>
      <c r="B782" s="45"/>
      <c r="C782" s="45"/>
      <c r="D782" s="45"/>
      <c r="E782" s="45"/>
      <c r="F782" s="45"/>
      <c r="G782" s="45"/>
      <c r="H782" s="46"/>
    </row>
    <row r="783" spans="1:8" x14ac:dyDescent="0.25">
      <c r="A783" s="52"/>
      <c r="B783" s="53"/>
      <c r="C783" s="53"/>
      <c r="D783" s="53"/>
      <c r="E783" s="53"/>
      <c r="F783" s="53"/>
      <c r="G783" s="53"/>
      <c r="H783" s="51"/>
    </row>
    <row r="784" spans="1:8" x14ac:dyDescent="0.25">
      <c r="A784" s="179" t="s">
        <v>896</v>
      </c>
      <c r="B784" s="48"/>
      <c r="C784" s="49"/>
      <c r="D784" s="122"/>
      <c r="E784" s="122"/>
      <c r="F784" s="50"/>
      <c r="G784" s="54" t="s">
        <v>897</v>
      </c>
      <c r="H784" s="103"/>
    </row>
    <row r="785" spans="1:8" ht="16.5" thickBot="1" x14ac:dyDescent="0.3">
      <c r="A785" s="52"/>
      <c r="B785" s="53"/>
      <c r="C785" s="53"/>
      <c r="D785" s="53"/>
      <c r="E785" s="53"/>
      <c r="F785" s="53"/>
      <c r="G785" s="53"/>
      <c r="H785" s="51"/>
    </row>
    <row r="786" spans="1:8" ht="16.5" thickBot="1" x14ac:dyDescent="0.3">
      <c r="A786" s="400" t="s">
        <v>381</v>
      </c>
      <c r="B786" s="401"/>
      <c r="C786" s="402" t="s">
        <v>382</v>
      </c>
      <c r="D786" s="401"/>
      <c r="E786" s="55" t="s">
        <v>266</v>
      </c>
      <c r="F786" s="53"/>
      <c r="G786" s="53"/>
      <c r="H786" s="51"/>
    </row>
    <row r="787" spans="1:8" ht="16.5" thickBot="1" x14ac:dyDescent="0.3">
      <c r="A787" s="403">
        <v>2000</v>
      </c>
      <c r="B787" s="404"/>
      <c r="C787" s="403">
        <v>2100</v>
      </c>
      <c r="D787" s="404"/>
      <c r="E787" s="56">
        <v>1</v>
      </c>
      <c r="F787" s="53"/>
      <c r="G787" s="53"/>
      <c r="H787" s="51"/>
    </row>
    <row r="788" spans="1:8" x14ac:dyDescent="0.25">
      <c r="A788" s="52"/>
      <c r="B788" s="58"/>
      <c r="C788" s="58"/>
      <c r="D788" s="58"/>
      <c r="E788" s="58"/>
      <c r="F788" s="58"/>
      <c r="G788" s="53"/>
      <c r="H788" s="83"/>
    </row>
    <row r="789" spans="1:8" x14ac:dyDescent="0.25">
      <c r="A789" s="59" t="s">
        <v>323</v>
      </c>
      <c r="B789" s="59" t="s">
        <v>266</v>
      </c>
      <c r="C789" s="59" t="s">
        <v>383</v>
      </c>
      <c r="D789" s="59" t="s">
        <v>384</v>
      </c>
      <c r="E789" s="59" t="s">
        <v>332</v>
      </c>
      <c r="F789" s="59" t="s">
        <v>385</v>
      </c>
      <c r="G789" s="59" t="s">
        <v>386</v>
      </c>
      <c r="H789" s="59" t="s">
        <v>387</v>
      </c>
    </row>
    <row r="790" spans="1:8" x14ac:dyDescent="0.25">
      <c r="A790" s="60">
        <v>4301</v>
      </c>
      <c r="B790" s="61">
        <f>1*E787</f>
        <v>1</v>
      </c>
      <c r="C790" s="61" t="s">
        <v>335</v>
      </c>
      <c r="D790" s="61">
        <f>A787</f>
        <v>2000</v>
      </c>
      <c r="E790" s="61" t="s">
        <v>336</v>
      </c>
      <c r="F790" s="62" t="s">
        <v>809</v>
      </c>
      <c r="G790" s="63">
        <v>0.436</v>
      </c>
      <c r="H790" s="63">
        <f t="shared" ref="H790:H797" si="7">(D790/1000)*B790*G790</f>
        <v>0.872</v>
      </c>
    </row>
    <row r="791" spans="1:8" x14ac:dyDescent="0.25">
      <c r="A791" s="60">
        <v>4301</v>
      </c>
      <c r="B791" s="61">
        <f>2*E787</f>
        <v>2</v>
      </c>
      <c r="C791" s="61" t="s">
        <v>337</v>
      </c>
      <c r="D791" s="61">
        <f>C787</f>
        <v>2100</v>
      </c>
      <c r="E791" s="61" t="s">
        <v>338</v>
      </c>
      <c r="F791" s="62" t="s">
        <v>809</v>
      </c>
      <c r="G791" s="63">
        <v>0.436</v>
      </c>
      <c r="H791" s="63">
        <f t="shared" si="7"/>
        <v>1.8312000000000002</v>
      </c>
    </row>
    <row r="792" spans="1:8" x14ac:dyDescent="0.25">
      <c r="A792" s="60">
        <v>4306</v>
      </c>
      <c r="B792" s="61">
        <f>1*E787</f>
        <v>1</v>
      </c>
      <c r="C792" s="61" t="s">
        <v>637</v>
      </c>
      <c r="D792" s="61">
        <f>C787-54</f>
        <v>2046</v>
      </c>
      <c r="E792" s="61" t="s">
        <v>340</v>
      </c>
      <c r="F792" s="62" t="s">
        <v>898</v>
      </c>
      <c r="G792" s="63">
        <v>0.47199999999999998</v>
      </c>
      <c r="H792" s="63">
        <f t="shared" si="7"/>
        <v>0.9657119999999999</v>
      </c>
    </row>
    <row r="793" spans="1:8" x14ac:dyDescent="0.25">
      <c r="A793" s="60">
        <v>4312</v>
      </c>
      <c r="B793" s="61">
        <f>2*E787</f>
        <v>2</v>
      </c>
      <c r="C793" s="61" t="s">
        <v>899</v>
      </c>
      <c r="D793" s="61">
        <f>A787/2-20</f>
        <v>980</v>
      </c>
      <c r="E793" s="61" t="s">
        <v>336</v>
      </c>
      <c r="F793" s="62" t="s">
        <v>879</v>
      </c>
      <c r="G793" s="63">
        <v>1.0469999999999999</v>
      </c>
      <c r="H793" s="63">
        <f t="shared" si="7"/>
        <v>2.0521199999999999</v>
      </c>
    </row>
    <row r="794" spans="1:8" x14ac:dyDescent="0.25">
      <c r="A794" s="60">
        <v>4312</v>
      </c>
      <c r="B794" s="61">
        <f>4*E787</f>
        <v>4</v>
      </c>
      <c r="C794" s="61" t="s">
        <v>880</v>
      </c>
      <c r="D794" s="61">
        <f>C787-25</f>
        <v>2075</v>
      </c>
      <c r="E794" s="61" t="s">
        <v>338</v>
      </c>
      <c r="F794" s="62" t="s">
        <v>879</v>
      </c>
      <c r="G794" s="63">
        <v>1.0469999999999999</v>
      </c>
      <c r="H794" s="63">
        <f t="shared" si="7"/>
        <v>8.690100000000001</v>
      </c>
    </row>
    <row r="795" spans="1:8" x14ac:dyDescent="0.25">
      <c r="A795" s="60">
        <v>4313</v>
      </c>
      <c r="B795" s="61">
        <f>2*E787</f>
        <v>2</v>
      </c>
      <c r="C795" s="61" t="s">
        <v>900</v>
      </c>
      <c r="D795" s="61">
        <f>A787/2-201</f>
        <v>799</v>
      </c>
      <c r="E795" s="61" t="s">
        <v>340</v>
      </c>
      <c r="F795" s="62" t="s">
        <v>882</v>
      </c>
      <c r="G795" s="63">
        <v>0.80100000000000005</v>
      </c>
      <c r="H795" s="63">
        <f t="shared" si="7"/>
        <v>1.2799980000000002</v>
      </c>
    </row>
    <row r="796" spans="1:8" x14ac:dyDescent="0.25">
      <c r="A796" s="60">
        <v>4308</v>
      </c>
      <c r="B796" s="61">
        <f>8*E787</f>
        <v>8</v>
      </c>
      <c r="C796" s="61" t="s">
        <v>900</v>
      </c>
      <c r="D796" s="61">
        <f>A787/2-201</f>
        <v>799</v>
      </c>
      <c r="E796" s="61" t="s">
        <v>336</v>
      </c>
      <c r="F796" s="62" t="s">
        <v>117</v>
      </c>
      <c r="G796" s="63">
        <v>0.17699999999999999</v>
      </c>
      <c r="H796" s="63">
        <f t="shared" si="7"/>
        <v>1.1313839999999999</v>
      </c>
    </row>
    <row r="797" spans="1:8" x14ac:dyDescent="0.25">
      <c r="A797" s="60">
        <v>4308</v>
      </c>
      <c r="B797" s="61">
        <f>8*E787</f>
        <v>8</v>
      </c>
      <c r="C797" s="61" t="s">
        <v>884</v>
      </c>
      <c r="D797" s="61">
        <f>C787-174</f>
        <v>1926</v>
      </c>
      <c r="E797" s="61" t="s">
        <v>336</v>
      </c>
      <c r="F797" s="62" t="s">
        <v>117</v>
      </c>
      <c r="G797" s="63">
        <v>0.17699999999999999</v>
      </c>
      <c r="H797" s="63">
        <f t="shared" si="7"/>
        <v>2.7272159999999999</v>
      </c>
    </row>
    <row r="798" spans="1:8" x14ac:dyDescent="0.25">
      <c r="A798" s="64"/>
      <c r="B798" s="65"/>
      <c r="C798" s="65"/>
      <c r="D798" s="65"/>
      <c r="E798" s="65"/>
      <c r="F798" s="65"/>
      <c r="G798" s="63" t="s">
        <v>392</v>
      </c>
      <c r="H798" s="63">
        <f>SUM(H790:H797)</f>
        <v>19.54973</v>
      </c>
    </row>
    <row r="799" spans="1:8" x14ac:dyDescent="0.25">
      <c r="A799" s="64"/>
      <c r="B799" s="65"/>
      <c r="C799" s="65"/>
      <c r="D799" s="65"/>
      <c r="E799" s="65"/>
      <c r="F799" s="65"/>
      <c r="G799" s="66"/>
      <c r="H799" s="67"/>
    </row>
    <row r="800" spans="1:8" x14ac:dyDescent="0.25">
      <c r="A800" s="64"/>
      <c r="B800" s="65"/>
      <c r="C800" s="65"/>
      <c r="D800" s="65"/>
      <c r="E800" s="65"/>
      <c r="F800" s="65"/>
      <c r="G800" s="68"/>
      <c r="H800" s="67"/>
    </row>
    <row r="801" spans="1:8" x14ac:dyDescent="0.25">
      <c r="A801" s="69" t="s">
        <v>393</v>
      </c>
      <c r="B801" s="70"/>
      <c r="C801" s="70"/>
      <c r="D801" s="71"/>
      <c r="E801" s="59" t="s">
        <v>36</v>
      </c>
      <c r="F801" s="59" t="s">
        <v>266</v>
      </c>
      <c r="G801" s="52"/>
      <c r="H801" s="72"/>
    </row>
    <row r="802" spans="1:8" x14ac:dyDescent="0.25">
      <c r="A802" s="73" t="s">
        <v>885</v>
      </c>
      <c r="B802" s="70"/>
      <c r="C802" s="70"/>
      <c r="D802" s="71"/>
      <c r="E802" s="75">
        <f>F802*E787</f>
        <v>6</v>
      </c>
      <c r="F802" s="61">
        <v>6</v>
      </c>
      <c r="G802" s="76"/>
      <c r="H802" s="77"/>
    </row>
    <row r="803" spans="1:8" x14ac:dyDescent="0.25">
      <c r="A803" s="73" t="s">
        <v>886</v>
      </c>
      <c r="B803" s="70"/>
      <c r="C803" s="70"/>
      <c r="D803" s="71"/>
      <c r="E803" s="75">
        <f>F803*E787</f>
        <v>4</v>
      </c>
      <c r="F803" s="61">
        <v>4</v>
      </c>
      <c r="G803" s="65"/>
      <c r="H803" s="77"/>
    </row>
    <row r="804" spans="1:8" x14ac:dyDescent="0.25">
      <c r="A804" s="73" t="s">
        <v>887</v>
      </c>
      <c r="B804" s="70"/>
      <c r="C804" s="70"/>
      <c r="D804" s="71"/>
      <c r="E804" s="75">
        <f>F804*E787</f>
        <v>1</v>
      </c>
      <c r="F804" s="61">
        <v>1</v>
      </c>
      <c r="G804" s="65"/>
      <c r="H804" s="77"/>
    </row>
    <row r="805" spans="1:8" x14ac:dyDescent="0.25">
      <c r="A805" s="73" t="s">
        <v>889</v>
      </c>
      <c r="B805" s="70"/>
      <c r="C805" s="70"/>
      <c r="D805" s="71"/>
      <c r="E805" s="75">
        <f>F805*E787</f>
        <v>1</v>
      </c>
      <c r="F805" s="61">
        <v>1</v>
      </c>
      <c r="G805" s="65"/>
      <c r="H805" s="77"/>
    </row>
    <row r="806" spans="1:8" x14ac:dyDescent="0.25">
      <c r="A806" s="73" t="s">
        <v>890</v>
      </c>
      <c r="B806" s="70"/>
      <c r="C806" s="70"/>
      <c r="D806" s="71"/>
      <c r="E806" s="75">
        <f>F806*E787</f>
        <v>1</v>
      </c>
      <c r="F806" s="61">
        <v>1</v>
      </c>
      <c r="G806" s="65"/>
      <c r="H806" s="77"/>
    </row>
    <row r="807" spans="1:8" x14ac:dyDescent="0.25">
      <c r="A807" s="73" t="s">
        <v>891</v>
      </c>
      <c r="B807" s="70"/>
      <c r="C807" s="70"/>
      <c r="D807" s="71"/>
      <c r="E807" s="75">
        <f>A787/100+C787/50*E787</f>
        <v>62</v>
      </c>
      <c r="F807" s="61" t="s">
        <v>828</v>
      </c>
      <c r="G807" s="64"/>
      <c r="H807" s="77"/>
    </row>
    <row r="808" spans="1:8" x14ac:dyDescent="0.25">
      <c r="A808" s="73" t="s">
        <v>901</v>
      </c>
      <c r="B808" s="70"/>
      <c r="C808" s="70"/>
      <c r="D808" s="71"/>
      <c r="E808" s="75">
        <f>2*(A787/1000)+6*(C787/1000)*E787</f>
        <v>16.600000000000001</v>
      </c>
      <c r="F808" s="61" t="s">
        <v>424</v>
      </c>
      <c r="G808" s="64"/>
      <c r="H808" s="77"/>
    </row>
    <row r="809" spans="1:8" x14ac:dyDescent="0.25">
      <c r="A809" s="73" t="s">
        <v>528</v>
      </c>
      <c r="B809" s="70"/>
      <c r="C809" s="70"/>
      <c r="D809" s="71"/>
      <c r="E809" s="75">
        <f>2*(A787/1000)+4*(C787/1000)*E787</f>
        <v>12.4</v>
      </c>
      <c r="F809" s="61" t="s">
        <v>402</v>
      </c>
      <c r="G809" s="64"/>
      <c r="H809" s="77"/>
    </row>
    <row r="810" spans="1:8" x14ac:dyDescent="0.25">
      <c r="A810" s="73" t="s">
        <v>530</v>
      </c>
      <c r="B810" s="70"/>
      <c r="C810" s="70"/>
      <c r="D810" s="71"/>
      <c r="E810" s="75">
        <f>2*(A787/1000)+4*(C787/1000)*E787</f>
        <v>12.4</v>
      </c>
      <c r="F810" s="61" t="s">
        <v>402</v>
      </c>
      <c r="G810" s="64"/>
      <c r="H810" s="77"/>
    </row>
    <row r="811" spans="1:8" x14ac:dyDescent="0.25">
      <c r="A811" s="73" t="s">
        <v>902</v>
      </c>
      <c r="B811" s="70"/>
      <c r="C811" s="70"/>
      <c r="D811" s="71"/>
      <c r="E811" s="75">
        <f>F811*E787</f>
        <v>2</v>
      </c>
      <c r="F811" s="61">
        <v>2</v>
      </c>
      <c r="G811" s="65"/>
      <c r="H811" s="77"/>
    </row>
    <row r="812" spans="1:8" x14ac:dyDescent="0.25">
      <c r="A812" s="73" t="s">
        <v>893</v>
      </c>
      <c r="B812" s="70"/>
      <c r="C812" s="70"/>
      <c r="D812" s="71"/>
      <c r="E812" s="75">
        <f>F812*E787</f>
        <v>28</v>
      </c>
      <c r="F812" s="61">
        <v>28</v>
      </c>
      <c r="G812" s="65"/>
      <c r="H812" s="77"/>
    </row>
    <row r="813" spans="1:8" x14ac:dyDescent="0.25">
      <c r="A813" s="73" t="s">
        <v>894</v>
      </c>
      <c r="B813" s="70"/>
      <c r="C813" s="70"/>
      <c r="D813" s="71"/>
      <c r="E813" s="75">
        <f>F813*E787</f>
        <v>4</v>
      </c>
      <c r="F813" s="61">
        <v>4</v>
      </c>
      <c r="G813" s="65"/>
      <c r="H813" s="77"/>
    </row>
    <row r="814" spans="1:8" x14ac:dyDescent="0.25">
      <c r="A814" s="52"/>
      <c r="B814" s="53"/>
      <c r="C814" s="53"/>
      <c r="D814" s="53"/>
      <c r="E814" s="53"/>
      <c r="F814" s="65"/>
      <c r="G814" s="65"/>
      <c r="H814" s="51"/>
    </row>
    <row r="815" spans="1:8" x14ac:dyDescent="0.25">
      <c r="A815" s="52"/>
      <c r="B815" s="53"/>
      <c r="C815" s="53"/>
      <c r="D815" s="53"/>
      <c r="E815" s="53"/>
      <c r="F815" s="53"/>
      <c r="G815" s="53"/>
      <c r="H815" s="83"/>
    </row>
    <row r="816" spans="1:8" x14ac:dyDescent="0.25">
      <c r="A816" s="59" t="s">
        <v>413</v>
      </c>
      <c r="B816" s="84" t="s">
        <v>266</v>
      </c>
      <c r="C816" s="84" t="s">
        <v>383</v>
      </c>
      <c r="D816" s="405" t="s">
        <v>414</v>
      </c>
      <c r="E816" s="406"/>
      <c r="F816" s="85" t="s">
        <v>415</v>
      </c>
      <c r="G816" s="59" t="s">
        <v>416</v>
      </c>
      <c r="H816" s="86"/>
    </row>
    <row r="817" spans="1:8" x14ac:dyDescent="0.25">
      <c r="A817" s="87"/>
      <c r="B817" s="61">
        <f>2*E787</f>
        <v>2</v>
      </c>
      <c r="C817" s="61" t="s">
        <v>903</v>
      </c>
      <c r="D817" s="407">
        <f>A787/2-220</f>
        <v>780</v>
      </c>
      <c r="E817" s="408"/>
      <c r="F817" s="61">
        <f>C787-193</f>
        <v>1907</v>
      </c>
      <c r="G817" s="91">
        <f>+(D817/1000)*(F817/1000)*B817</f>
        <v>2.97492</v>
      </c>
      <c r="H817" s="92"/>
    </row>
    <row r="818" spans="1:8" x14ac:dyDescent="0.25">
      <c r="A818" s="79"/>
      <c r="B818" s="53"/>
      <c r="C818" s="53"/>
      <c r="D818" s="53"/>
      <c r="E818" s="53"/>
      <c r="F818" s="94" t="s">
        <v>815</v>
      </c>
      <c r="G818" s="95">
        <f>SUM(G817:G817)</f>
        <v>2.97492</v>
      </c>
      <c r="H818" s="51"/>
    </row>
    <row r="819" spans="1:8" x14ac:dyDescent="0.25">
      <c r="A819" s="79"/>
      <c r="B819" s="53"/>
      <c r="C819" s="53"/>
      <c r="D819" s="53"/>
      <c r="E819" s="53"/>
      <c r="F819" s="94"/>
      <c r="G819" s="96"/>
      <c r="H819" s="51"/>
    </row>
    <row r="820" spans="1:8" x14ac:dyDescent="0.25">
      <c r="A820" s="79"/>
      <c r="B820" s="53"/>
      <c r="C820" s="53"/>
      <c r="D820" s="53"/>
      <c r="E820" s="53"/>
      <c r="F820" s="94"/>
      <c r="G820" s="96"/>
      <c r="H820" s="51"/>
    </row>
    <row r="821" spans="1:8" x14ac:dyDescent="0.25">
      <c r="A821" s="79"/>
      <c r="B821" s="53"/>
      <c r="C821" s="53"/>
      <c r="D821" s="53"/>
      <c r="E821" s="53"/>
      <c r="F821" s="94"/>
      <c r="G821" s="96"/>
      <c r="H821" s="51"/>
    </row>
    <row r="822" spans="1:8" x14ac:dyDescent="0.25">
      <c r="A822" s="79"/>
      <c r="B822" s="53"/>
      <c r="C822" s="53"/>
      <c r="D822" s="53"/>
      <c r="E822" s="53"/>
      <c r="F822" s="94"/>
      <c r="G822" s="96"/>
      <c r="H822" s="51"/>
    </row>
    <row r="823" spans="1:8" x14ac:dyDescent="0.25">
      <c r="A823" s="79"/>
      <c r="B823" s="53"/>
      <c r="C823" s="53"/>
      <c r="D823" s="53"/>
      <c r="E823" s="53"/>
      <c r="F823" s="94"/>
      <c r="G823" s="96"/>
      <c r="H823" s="51"/>
    </row>
    <row r="824" spans="1:8" x14ac:dyDescent="0.25">
      <c r="A824" s="79"/>
      <c r="B824" s="53"/>
      <c r="C824" s="53"/>
      <c r="D824" s="53"/>
      <c r="E824" s="53"/>
      <c r="F824" s="94"/>
      <c r="G824" s="96"/>
      <c r="H824" s="51"/>
    </row>
    <row r="825" spans="1:8" x14ac:dyDescent="0.25">
      <c r="A825" s="79"/>
      <c r="B825" s="53"/>
      <c r="C825" s="53"/>
      <c r="D825" s="53"/>
      <c r="E825" s="53"/>
      <c r="F825" s="94"/>
      <c r="G825" s="96"/>
      <c r="H825" s="51"/>
    </row>
    <row r="826" spans="1:8" x14ac:dyDescent="0.25">
      <c r="A826" s="79"/>
      <c r="B826" s="53"/>
      <c r="C826" s="53"/>
      <c r="D826" s="53"/>
      <c r="E826" s="53"/>
      <c r="F826" s="94"/>
      <c r="G826" s="96"/>
      <c r="H826" s="51"/>
    </row>
    <row r="827" spans="1:8" x14ac:dyDescent="0.25">
      <c r="A827" s="79"/>
      <c r="B827" s="53"/>
      <c r="C827" s="53"/>
      <c r="D827" s="53"/>
      <c r="E827" s="53"/>
      <c r="F827" s="94"/>
      <c r="G827" s="96"/>
      <c r="H827" s="51"/>
    </row>
    <row r="828" spans="1:8" x14ac:dyDescent="0.25">
      <c r="A828" s="79"/>
      <c r="B828" s="53"/>
      <c r="C828" s="53"/>
      <c r="D828" s="53"/>
      <c r="E828" s="53"/>
      <c r="F828" s="94"/>
      <c r="G828" s="96"/>
      <c r="H828" s="51"/>
    </row>
    <row r="829" spans="1:8" x14ac:dyDescent="0.25">
      <c r="A829" s="79"/>
      <c r="B829" s="53"/>
      <c r="C829" s="53"/>
      <c r="D829" s="53"/>
      <c r="E829" s="53"/>
      <c r="F829" s="94"/>
      <c r="G829" s="96"/>
      <c r="H829" s="51"/>
    </row>
    <row r="830" spans="1:8" x14ac:dyDescent="0.25">
      <c r="A830" s="79"/>
      <c r="B830" s="53"/>
      <c r="C830" s="53"/>
      <c r="D830" s="53"/>
      <c r="E830" s="53"/>
      <c r="F830" s="94"/>
      <c r="G830" s="96"/>
      <c r="H830" s="51"/>
    </row>
    <row r="831" spans="1:8" x14ac:dyDescent="0.25">
      <c r="A831" s="79"/>
      <c r="B831" s="53"/>
      <c r="C831" s="53"/>
      <c r="D831" s="53"/>
      <c r="E831" s="53"/>
      <c r="F831" s="94"/>
      <c r="G831" s="96"/>
      <c r="H831" s="51"/>
    </row>
    <row r="832" spans="1:8" x14ac:dyDescent="0.25">
      <c r="A832" s="79"/>
      <c r="B832" s="53"/>
      <c r="C832" s="53"/>
      <c r="D832" s="53"/>
      <c r="E832" s="53"/>
      <c r="F832" s="94"/>
      <c r="G832" s="96"/>
      <c r="H832" s="51"/>
    </row>
    <row r="833" spans="1:8" x14ac:dyDescent="0.25">
      <c r="A833" s="79"/>
      <c r="B833" s="53"/>
      <c r="C833" s="53"/>
      <c r="D833" s="53"/>
      <c r="E833" s="53"/>
      <c r="F833" s="94"/>
      <c r="G833" s="96"/>
      <c r="H833" s="51"/>
    </row>
    <row r="834" spans="1:8" x14ac:dyDescent="0.25">
      <c r="A834" s="79"/>
      <c r="B834" s="53"/>
      <c r="C834" s="53"/>
      <c r="D834" s="53"/>
      <c r="E834" s="53"/>
      <c r="F834" s="94"/>
      <c r="G834" s="96"/>
      <c r="H834" s="51"/>
    </row>
    <row r="835" spans="1:8" x14ac:dyDescent="0.25">
      <c r="A835" s="79"/>
      <c r="B835" s="53"/>
      <c r="C835" s="53"/>
      <c r="D835" s="53"/>
      <c r="E835" s="53"/>
      <c r="F835" s="94"/>
      <c r="G835" s="96"/>
      <c r="H835" s="51"/>
    </row>
    <row r="836" spans="1:8" x14ac:dyDescent="0.25">
      <c r="A836" s="97"/>
      <c r="B836" s="45"/>
      <c r="C836" s="45"/>
      <c r="D836" s="45"/>
      <c r="E836" s="45"/>
      <c r="F836" s="98"/>
      <c r="G836" s="99"/>
      <c r="H836" s="45"/>
    </row>
    <row r="837" spans="1:8" x14ac:dyDescent="0.25">
      <c r="A837" s="100"/>
      <c r="B837" s="100"/>
      <c r="C837" s="100"/>
      <c r="D837" s="100"/>
      <c r="E837" s="100"/>
      <c r="F837" s="100"/>
      <c r="G837" s="100"/>
      <c r="H837" s="100"/>
    </row>
    <row r="838" spans="1:8" x14ac:dyDescent="0.25">
      <c r="A838" s="44"/>
      <c r="B838" s="45"/>
      <c r="C838" s="45"/>
      <c r="D838" s="45"/>
      <c r="E838" s="45"/>
      <c r="F838" s="45"/>
      <c r="G838" s="45"/>
      <c r="H838" s="46"/>
    </row>
    <row r="839" spans="1:8" x14ac:dyDescent="0.25">
      <c r="A839" s="52"/>
      <c r="B839" s="53"/>
      <c r="C839" s="53"/>
      <c r="D839" s="53"/>
      <c r="E839" s="53"/>
      <c r="F839" s="53"/>
      <c r="G839" s="53"/>
      <c r="H839" s="51"/>
    </row>
    <row r="840" spans="1:8" x14ac:dyDescent="0.25">
      <c r="A840" s="179" t="s">
        <v>904</v>
      </c>
      <c r="B840" s="48"/>
      <c r="C840" s="49"/>
      <c r="D840" s="122"/>
      <c r="E840" s="122"/>
      <c r="F840" s="50"/>
      <c r="G840" s="54" t="s">
        <v>905</v>
      </c>
      <c r="H840" s="103"/>
    </row>
    <row r="841" spans="1:8" ht="16.5" thickBot="1" x14ac:dyDescent="0.3">
      <c r="A841" s="52"/>
      <c r="B841" s="53"/>
      <c r="C841" s="53"/>
      <c r="D841" s="53"/>
      <c r="E841" s="53"/>
      <c r="F841" s="53"/>
      <c r="G841" s="53"/>
      <c r="H841" s="51"/>
    </row>
    <row r="842" spans="1:8" ht="16.5" thickBot="1" x14ac:dyDescent="0.3">
      <c r="A842" s="400" t="s">
        <v>381</v>
      </c>
      <c r="B842" s="401"/>
      <c r="C842" s="402" t="s">
        <v>382</v>
      </c>
      <c r="D842" s="401"/>
      <c r="E842" s="55" t="s">
        <v>266</v>
      </c>
      <c r="F842" s="53"/>
      <c r="G842" s="53"/>
      <c r="H842" s="51"/>
    </row>
    <row r="843" spans="1:8" ht="16.5" thickBot="1" x14ac:dyDescent="0.3">
      <c r="A843" s="403">
        <v>770</v>
      </c>
      <c r="B843" s="404"/>
      <c r="C843" s="403">
        <v>2000</v>
      </c>
      <c r="D843" s="404"/>
      <c r="E843" s="56">
        <v>1</v>
      </c>
      <c r="F843" s="53"/>
      <c r="G843" s="53"/>
      <c r="H843" s="51"/>
    </row>
    <row r="844" spans="1:8" x14ac:dyDescent="0.25">
      <c r="A844" s="52"/>
      <c r="B844" s="58"/>
      <c r="C844" s="58"/>
      <c r="D844" s="58"/>
      <c r="E844" s="58"/>
      <c r="F844" s="58"/>
      <c r="G844" s="53"/>
      <c r="H844" s="83"/>
    </row>
    <row r="845" spans="1:8" x14ac:dyDescent="0.25">
      <c r="A845" s="59" t="s">
        <v>323</v>
      </c>
      <c r="B845" s="59" t="s">
        <v>266</v>
      </c>
      <c r="C845" s="59" t="s">
        <v>383</v>
      </c>
      <c r="D845" s="59" t="s">
        <v>384</v>
      </c>
      <c r="E845" s="59" t="s">
        <v>332</v>
      </c>
      <c r="F845" s="59" t="s">
        <v>385</v>
      </c>
      <c r="G845" s="59" t="s">
        <v>386</v>
      </c>
      <c r="H845" s="59" t="s">
        <v>387</v>
      </c>
    </row>
    <row r="846" spans="1:8" x14ac:dyDescent="0.25">
      <c r="A846" s="60">
        <v>4301</v>
      </c>
      <c r="B846" s="61">
        <f>1*E843</f>
        <v>1</v>
      </c>
      <c r="C846" s="61" t="s">
        <v>335</v>
      </c>
      <c r="D846" s="61">
        <f>A843</f>
        <v>770</v>
      </c>
      <c r="E846" s="61" t="s">
        <v>336</v>
      </c>
      <c r="F846" s="62" t="s">
        <v>809</v>
      </c>
      <c r="G846" s="63">
        <v>0.436</v>
      </c>
      <c r="H846" s="63">
        <f t="shared" ref="H846:H852" si="8">(D846/1000)*B846*G846</f>
        <v>0.33572000000000002</v>
      </c>
    </row>
    <row r="847" spans="1:8" x14ac:dyDescent="0.25">
      <c r="A847" s="60">
        <v>4301</v>
      </c>
      <c r="B847" s="61">
        <f>2*E843</f>
        <v>2</v>
      </c>
      <c r="C847" s="61" t="s">
        <v>337</v>
      </c>
      <c r="D847" s="61">
        <f>C843</f>
        <v>2000</v>
      </c>
      <c r="E847" s="61" t="s">
        <v>338</v>
      </c>
      <c r="F847" s="62" t="s">
        <v>809</v>
      </c>
      <c r="G847" s="63">
        <v>0.436</v>
      </c>
      <c r="H847" s="63">
        <f t="shared" si="8"/>
        <v>1.744</v>
      </c>
    </row>
    <row r="848" spans="1:8" x14ac:dyDescent="0.25">
      <c r="A848" s="60">
        <v>4312</v>
      </c>
      <c r="B848" s="61">
        <f>1*E843</f>
        <v>1</v>
      </c>
      <c r="C848" s="61" t="s">
        <v>878</v>
      </c>
      <c r="D848" s="61">
        <f>A843-30</f>
        <v>740</v>
      </c>
      <c r="E848" s="61" t="s">
        <v>336</v>
      </c>
      <c r="F848" s="62" t="s">
        <v>879</v>
      </c>
      <c r="G848" s="63">
        <v>1.0469999999999999</v>
      </c>
      <c r="H848" s="63">
        <f t="shared" si="8"/>
        <v>0.77477999999999991</v>
      </c>
    </row>
    <row r="849" spans="1:8" x14ac:dyDescent="0.25">
      <c r="A849" s="60">
        <v>4312</v>
      </c>
      <c r="B849" s="61">
        <f>2*E843</f>
        <v>2</v>
      </c>
      <c r="C849" s="61" t="s">
        <v>880</v>
      </c>
      <c r="D849" s="61">
        <f>C843-25</f>
        <v>1975</v>
      </c>
      <c r="E849" s="61" t="s">
        <v>338</v>
      </c>
      <c r="F849" s="62" t="s">
        <v>879</v>
      </c>
      <c r="G849" s="63">
        <v>1.0469999999999999</v>
      </c>
      <c r="H849" s="63">
        <f t="shared" si="8"/>
        <v>4.13565</v>
      </c>
    </row>
    <row r="850" spans="1:8" x14ac:dyDescent="0.25">
      <c r="A850" s="60">
        <v>4313</v>
      </c>
      <c r="B850" s="61">
        <f>1*E843</f>
        <v>1</v>
      </c>
      <c r="C850" s="61" t="s">
        <v>881</v>
      </c>
      <c r="D850" s="61">
        <f>A843-212</f>
        <v>558</v>
      </c>
      <c r="E850" s="61" t="s">
        <v>340</v>
      </c>
      <c r="F850" s="62" t="s">
        <v>882</v>
      </c>
      <c r="G850" s="63">
        <v>0.80100000000000005</v>
      </c>
      <c r="H850" s="63">
        <f t="shared" si="8"/>
        <v>0.44695800000000008</v>
      </c>
    </row>
    <row r="851" spans="1:8" x14ac:dyDescent="0.25">
      <c r="A851" s="60">
        <v>4314</v>
      </c>
      <c r="B851" s="61">
        <f>4*E843</f>
        <v>4</v>
      </c>
      <c r="C851" s="61" t="s">
        <v>881</v>
      </c>
      <c r="D851" s="61">
        <f>A843-212</f>
        <v>558</v>
      </c>
      <c r="E851" s="61" t="s">
        <v>336</v>
      </c>
      <c r="F851" s="62" t="s">
        <v>117</v>
      </c>
      <c r="G851" s="63">
        <v>0.158</v>
      </c>
      <c r="H851" s="63">
        <f t="shared" si="8"/>
        <v>0.35265600000000003</v>
      </c>
    </row>
    <row r="852" spans="1:8" x14ac:dyDescent="0.25">
      <c r="A852" s="60">
        <v>4314</v>
      </c>
      <c r="B852" s="61">
        <f>4*E843</f>
        <v>4</v>
      </c>
      <c r="C852" s="61" t="s">
        <v>884</v>
      </c>
      <c r="D852" s="61">
        <f>C843-174</f>
        <v>1826</v>
      </c>
      <c r="E852" s="61" t="s">
        <v>336</v>
      </c>
      <c r="F852" s="62" t="s">
        <v>117</v>
      </c>
      <c r="G852" s="63">
        <v>0.158</v>
      </c>
      <c r="H852" s="63">
        <f t="shared" si="8"/>
        <v>1.1540319999999999</v>
      </c>
    </row>
    <row r="853" spans="1:8" x14ac:dyDescent="0.25">
      <c r="A853" s="64"/>
      <c r="B853" s="65"/>
      <c r="C853" s="65"/>
      <c r="D853" s="65"/>
      <c r="E853" s="65"/>
      <c r="F853" s="65"/>
      <c r="G853" s="63" t="s">
        <v>392</v>
      </c>
      <c r="H853" s="63">
        <f>SUM(H846:H852)</f>
        <v>8.943795999999999</v>
      </c>
    </row>
    <row r="854" spans="1:8" x14ac:dyDescent="0.25">
      <c r="A854" s="64"/>
      <c r="B854" s="65"/>
      <c r="C854" s="65"/>
      <c r="D854" s="65"/>
      <c r="E854" s="65"/>
      <c r="F854" s="65"/>
      <c r="G854" s="66"/>
      <c r="H854" s="67"/>
    </row>
    <row r="855" spans="1:8" x14ac:dyDescent="0.25">
      <c r="A855" s="64"/>
      <c r="B855" s="65"/>
      <c r="C855" s="65"/>
      <c r="D855" s="65"/>
      <c r="E855" s="65"/>
      <c r="F855" s="65"/>
      <c r="G855" s="68"/>
      <c r="H855" s="67"/>
    </row>
    <row r="856" spans="1:8" x14ac:dyDescent="0.25">
      <c r="A856" s="69" t="s">
        <v>393</v>
      </c>
      <c r="B856" s="70"/>
      <c r="C856" s="70"/>
      <c r="D856" s="71"/>
      <c r="E856" s="59" t="s">
        <v>36</v>
      </c>
      <c r="F856" s="59" t="s">
        <v>266</v>
      </c>
      <c r="G856" s="52"/>
      <c r="H856" s="72"/>
    </row>
    <row r="857" spans="1:8" x14ac:dyDescent="0.25">
      <c r="A857" s="73" t="s">
        <v>885</v>
      </c>
      <c r="B857" s="70"/>
      <c r="C857" s="70"/>
      <c r="D857" s="71"/>
      <c r="E857" s="75">
        <f>F857*E843</f>
        <v>4</v>
      </c>
      <c r="F857" s="61">
        <v>4</v>
      </c>
      <c r="G857" s="76"/>
      <c r="H857" s="77"/>
    </row>
    <row r="858" spans="1:8" x14ac:dyDescent="0.25">
      <c r="A858" s="73" t="s">
        <v>886</v>
      </c>
      <c r="B858" s="70"/>
      <c r="C858" s="70"/>
      <c r="D858" s="71"/>
      <c r="E858" s="75">
        <f>F858*E843</f>
        <v>3</v>
      </c>
      <c r="F858" s="61">
        <v>3</v>
      </c>
      <c r="G858" s="65"/>
      <c r="H858" s="77"/>
    </row>
    <row r="859" spans="1:8" x14ac:dyDescent="0.25">
      <c r="A859" s="73" t="s">
        <v>887</v>
      </c>
      <c r="B859" s="70"/>
      <c r="C859" s="70"/>
      <c r="D859" s="71"/>
      <c r="E859" s="75">
        <f>1*E843</f>
        <v>1</v>
      </c>
      <c r="F859" s="61" t="s">
        <v>906</v>
      </c>
      <c r="G859" s="65"/>
      <c r="H859" s="77"/>
    </row>
    <row r="860" spans="1:8" x14ac:dyDescent="0.25">
      <c r="A860" s="73" t="s">
        <v>889</v>
      </c>
      <c r="B860" s="70"/>
      <c r="C860" s="70"/>
      <c r="D860" s="71"/>
      <c r="E860" s="75">
        <f>F860*E843</f>
        <v>1</v>
      </c>
      <c r="F860" s="61">
        <v>1</v>
      </c>
      <c r="G860" s="65"/>
      <c r="H860" s="77"/>
    </row>
    <row r="861" spans="1:8" x14ac:dyDescent="0.25">
      <c r="A861" s="73" t="s">
        <v>890</v>
      </c>
      <c r="B861" s="70"/>
      <c r="C861" s="70"/>
      <c r="D861" s="71"/>
      <c r="E861" s="75">
        <f>F861*E843</f>
        <v>1</v>
      </c>
      <c r="F861" s="61">
        <v>1</v>
      </c>
      <c r="G861" s="65"/>
      <c r="H861" s="77"/>
    </row>
    <row r="862" spans="1:8" x14ac:dyDescent="0.25">
      <c r="A862" s="73" t="s">
        <v>891</v>
      </c>
      <c r="B862" s="70"/>
      <c r="C862" s="70"/>
      <c r="D862" s="71"/>
      <c r="E862" s="75">
        <f>A843/100+C843/100</f>
        <v>27.7</v>
      </c>
      <c r="F862" s="61" t="s">
        <v>824</v>
      </c>
      <c r="G862" s="64"/>
      <c r="H862" s="77"/>
    </row>
    <row r="863" spans="1:8" x14ac:dyDescent="0.25">
      <c r="A863" s="73" t="s">
        <v>907</v>
      </c>
      <c r="B863" s="70"/>
      <c r="C863" s="70"/>
      <c r="D863" s="71"/>
      <c r="E863" s="75">
        <f>2*(A843/1000)+4*(C843/1000)*E843</f>
        <v>9.5399999999999991</v>
      </c>
      <c r="F863" s="61" t="s">
        <v>402</v>
      </c>
      <c r="G863" s="64"/>
      <c r="H863" s="77"/>
    </row>
    <row r="864" spans="1:8" x14ac:dyDescent="0.25">
      <c r="A864" s="73" t="s">
        <v>528</v>
      </c>
      <c r="B864" s="70"/>
      <c r="C864" s="70"/>
      <c r="D864" s="71"/>
      <c r="E864" s="75">
        <f>2*(A843/1000)+2*(C843/1000)*E843</f>
        <v>5.54</v>
      </c>
      <c r="F864" s="61" t="s">
        <v>448</v>
      </c>
      <c r="G864" s="64"/>
      <c r="H864" s="77"/>
    </row>
    <row r="865" spans="1:8" x14ac:dyDescent="0.25">
      <c r="A865" s="73" t="s">
        <v>530</v>
      </c>
      <c r="B865" s="70"/>
      <c r="C865" s="70"/>
      <c r="D865" s="71"/>
      <c r="E865" s="75">
        <f>2*(A843/1000)+2*(C843/1000)*E843</f>
        <v>5.54</v>
      </c>
      <c r="F865" s="61" t="s">
        <v>448</v>
      </c>
      <c r="G865" s="64"/>
      <c r="H865" s="77"/>
    </row>
    <row r="866" spans="1:8" x14ac:dyDescent="0.25">
      <c r="A866" s="73" t="s">
        <v>893</v>
      </c>
      <c r="B866" s="70"/>
      <c r="C866" s="70"/>
      <c r="D866" s="71"/>
      <c r="E866" s="75">
        <f>F866*E843</f>
        <v>14</v>
      </c>
      <c r="F866" s="61">
        <v>14</v>
      </c>
      <c r="G866" s="65"/>
      <c r="H866" s="77"/>
    </row>
    <row r="867" spans="1:8" x14ac:dyDescent="0.25">
      <c r="A867" s="73" t="s">
        <v>894</v>
      </c>
      <c r="B867" s="70"/>
      <c r="C867" s="70"/>
      <c r="D867" s="71"/>
      <c r="E867" s="75">
        <f>F5856*E843</f>
        <v>0</v>
      </c>
      <c r="F867" s="61">
        <v>2</v>
      </c>
      <c r="G867" s="65"/>
      <c r="H867" s="77"/>
    </row>
    <row r="868" spans="1:8" x14ac:dyDescent="0.25">
      <c r="A868" s="52"/>
      <c r="B868" s="53"/>
      <c r="C868" s="53"/>
      <c r="D868" s="53"/>
      <c r="E868" s="53"/>
      <c r="F868" s="65"/>
      <c r="G868" s="65"/>
      <c r="H868" s="51"/>
    </row>
    <row r="869" spans="1:8" x14ac:dyDescent="0.25">
      <c r="A869" s="52"/>
      <c r="B869" s="53"/>
      <c r="C869" s="53"/>
      <c r="D869" s="53"/>
      <c r="E869" s="53"/>
      <c r="F869" s="53"/>
      <c r="G869" s="53"/>
      <c r="H869" s="83"/>
    </row>
    <row r="870" spans="1:8" x14ac:dyDescent="0.25">
      <c r="A870" s="59" t="s">
        <v>413</v>
      </c>
      <c r="B870" s="84" t="s">
        <v>266</v>
      </c>
      <c r="C870" s="84" t="s">
        <v>383</v>
      </c>
      <c r="D870" s="405" t="s">
        <v>414</v>
      </c>
      <c r="E870" s="406"/>
      <c r="F870" s="85" t="s">
        <v>415</v>
      </c>
      <c r="G870" s="59" t="s">
        <v>416</v>
      </c>
      <c r="H870" s="86"/>
    </row>
    <row r="871" spans="1:8" x14ac:dyDescent="0.25">
      <c r="A871" s="87"/>
      <c r="B871" s="61">
        <f>1*E843</f>
        <v>1</v>
      </c>
      <c r="C871" s="61" t="s">
        <v>908</v>
      </c>
      <c r="D871" s="407">
        <f>A843-230</f>
        <v>540</v>
      </c>
      <c r="E871" s="408"/>
      <c r="F871" s="61">
        <f>C843-193</f>
        <v>1807</v>
      </c>
      <c r="G871" s="91">
        <f>+(D871/1000)*(F871/1000)*B871</f>
        <v>0.97577999999999998</v>
      </c>
      <c r="H871" s="92"/>
    </row>
    <row r="872" spans="1:8" x14ac:dyDescent="0.25">
      <c r="A872" s="79"/>
      <c r="B872" s="53"/>
      <c r="C872" s="53"/>
      <c r="D872" s="53"/>
      <c r="E872" s="53"/>
      <c r="F872" s="94" t="s">
        <v>815</v>
      </c>
      <c r="G872" s="95">
        <f>SUM(G871:G871)</f>
        <v>0.97577999999999998</v>
      </c>
      <c r="H872" s="51"/>
    </row>
    <row r="873" spans="1:8" x14ac:dyDescent="0.25">
      <c r="A873" s="79"/>
      <c r="B873" s="53"/>
      <c r="C873" s="53"/>
      <c r="D873" s="53"/>
      <c r="E873" s="53"/>
      <c r="F873" s="94"/>
      <c r="G873" s="96"/>
      <c r="H873" s="51"/>
    </row>
    <row r="874" spans="1:8" x14ac:dyDescent="0.25">
      <c r="A874" s="79"/>
      <c r="B874" s="53"/>
      <c r="C874" s="53"/>
      <c r="D874" s="53"/>
      <c r="E874" s="53"/>
      <c r="F874" s="94"/>
      <c r="G874" s="96"/>
      <c r="H874" s="51"/>
    </row>
    <row r="875" spans="1:8" x14ac:dyDescent="0.25">
      <c r="A875" s="79"/>
      <c r="B875" s="53"/>
      <c r="C875" s="53"/>
      <c r="D875" s="53"/>
      <c r="E875" s="53"/>
      <c r="F875" s="94"/>
      <c r="G875" s="96"/>
      <c r="H875" s="51"/>
    </row>
    <row r="876" spans="1:8" x14ac:dyDescent="0.25">
      <c r="A876" s="79"/>
      <c r="B876" s="53"/>
      <c r="C876" s="53"/>
      <c r="D876" s="53"/>
      <c r="E876" s="53"/>
      <c r="F876" s="94"/>
      <c r="G876" s="96"/>
      <c r="H876" s="51"/>
    </row>
    <row r="877" spans="1:8" x14ac:dyDescent="0.25">
      <c r="A877" s="79"/>
      <c r="B877" s="53"/>
      <c r="C877" s="53"/>
      <c r="D877" s="53"/>
      <c r="E877" s="53"/>
      <c r="F877" s="94"/>
      <c r="G877" s="96"/>
      <c r="H877" s="51"/>
    </row>
    <row r="878" spans="1:8" x14ac:dyDescent="0.25">
      <c r="A878" s="79"/>
      <c r="B878" s="53"/>
      <c r="C878" s="53"/>
      <c r="D878" s="53"/>
      <c r="E878" s="53"/>
      <c r="F878" s="94"/>
      <c r="G878" s="96"/>
      <c r="H878" s="51"/>
    </row>
    <row r="879" spans="1:8" x14ac:dyDescent="0.25">
      <c r="A879" s="79"/>
      <c r="B879" s="53"/>
      <c r="C879" s="53"/>
      <c r="D879" s="53"/>
      <c r="E879" s="53"/>
      <c r="F879" s="94"/>
      <c r="G879" s="96"/>
      <c r="H879" s="51"/>
    </row>
    <row r="880" spans="1:8" x14ac:dyDescent="0.25">
      <c r="A880" s="79"/>
      <c r="B880" s="53"/>
      <c r="C880" s="53"/>
      <c r="D880" s="53"/>
      <c r="E880" s="53"/>
      <c r="F880" s="94"/>
      <c r="G880" s="96"/>
      <c r="H880" s="51"/>
    </row>
    <row r="881" spans="1:8" x14ac:dyDescent="0.25">
      <c r="A881" s="79"/>
      <c r="B881" s="53"/>
      <c r="C881" s="53"/>
      <c r="D881" s="53"/>
      <c r="E881" s="53"/>
      <c r="F881" s="94"/>
      <c r="G881" s="96"/>
      <c r="H881" s="51"/>
    </row>
    <row r="882" spans="1:8" x14ac:dyDescent="0.25">
      <c r="A882" s="79"/>
      <c r="B882" s="53"/>
      <c r="C882" s="53"/>
      <c r="D882" s="53"/>
      <c r="E882" s="53"/>
      <c r="F882" s="94"/>
      <c r="G882" s="96"/>
      <c r="H882" s="51"/>
    </row>
    <row r="883" spans="1:8" x14ac:dyDescent="0.25">
      <c r="A883" s="79"/>
      <c r="B883" s="53"/>
      <c r="C883" s="53"/>
      <c r="D883" s="53"/>
      <c r="E883" s="53"/>
      <c r="F883" s="94"/>
      <c r="G883" s="96"/>
      <c r="H883" s="51"/>
    </row>
    <row r="884" spans="1:8" x14ac:dyDescent="0.25">
      <c r="A884" s="79"/>
      <c r="B884" s="53"/>
      <c r="C884" s="53"/>
      <c r="D884" s="53"/>
      <c r="E884" s="53"/>
      <c r="F884" s="94"/>
      <c r="G884" s="96"/>
      <c r="H884" s="51"/>
    </row>
    <row r="885" spans="1:8" x14ac:dyDescent="0.25">
      <c r="A885" s="79"/>
      <c r="B885" s="53"/>
      <c r="C885" s="53"/>
      <c r="D885" s="53"/>
      <c r="E885" s="53"/>
      <c r="F885" s="94"/>
      <c r="G885" s="96"/>
      <c r="H885" s="51"/>
    </row>
    <row r="886" spans="1:8" x14ac:dyDescent="0.25">
      <c r="A886" s="79"/>
      <c r="B886" s="53"/>
      <c r="C886" s="53"/>
      <c r="D886" s="53"/>
      <c r="E886" s="53"/>
      <c r="F886" s="94"/>
      <c r="G886" s="96"/>
      <c r="H886" s="51"/>
    </row>
    <row r="887" spans="1:8" x14ac:dyDescent="0.25">
      <c r="A887" s="79"/>
      <c r="B887" s="53"/>
      <c r="C887" s="53"/>
      <c r="D887" s="53"/>
      <c r="E887" s="53"/>
      <c r="F887" s="94"/>
      <c r="G887" s="96"/>
      <c r="H887" s="51"/>
    </row>
    <row r="888" spans="1:8" x14ac:dyDescent="0.25">
      <c r="A888" s="79"/>
      <c r="B888" s="53"/>
      <c r="C888" s="53"/>
      <c r="D888" s="53"/>
      <c r="E888" s="53"/>
      <c r="F888" s="94"/>
      <c r="G888" s="96"/>
      <c r="H888" s="51"/>
    </row>
    <row r="889" spans="1:8" x14ac:dyDescent="0.25">
      <c r="A889" s="79"/>
      <c r="B889" s="53"/>
      <c r="C889" s="53"/>
      <c r="D889" s="53"/>
      <c r="E889" s="53"/>
      <c r="F889" s="94"/>
      <c r="G889" s="96"/>
      <c r="H889" s="51"/>
    </row>
    <row r="890" spans="1:8" x14ac:dyDescent="0.25">
      <c r="A890" s="79"/>
      <c r="B890" s="53"/>
      <c r="C890" s="53"/>
      <c r="D890" s="53"/>
      <c r="E890" s="53"/>
      <c r="F890" s="94"/>
      <c r="G890" s="96"/>
      <c r="H890" s="51"/>
    </row>
    <row r="891" spans="1:8" x14ac:dyDescent="0.25">
      <c r="A891" s="52"/>
      <c r="B891" s="53"/>
      <c r="C891" s="53"/>
      <c r="D891" s="53"/>
      <c r="E891" s="53"/>
      <c r="F891" s="53"/>
      <c r="G891" s="53"/>
      <c r="H891" s="51"/>
    </row>
    <row r="892" spans="1:8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x14ac:dyDescent="0.25">
      <c r="A893" s="100"/>
      <c r="B893" s="100"/>
      <c r="C893" s="100"/>
      <c r="D893" s="100"/>
      <c r="E893" s="100"/>
      <c r="F893" s="100"/>
      <c r="G893" s="100"/>
      <c r="H893" s="100"/>
    </row>
    <row r="894" spans="1:8" x14ac:dyDescent="0.25">
      <c r="A894" s="44"/>
      <c r="B894" s="45"/>
      <c r="C894" s="45"/>
      <c r="D894" s="45"/>
      <c r="E894" s="45"/>
      <c r="F894" s="45"/>
      <c r="G894" s="45"/>
      <c r="H894" s="46"/>
    </row>
    <row r="895" spans="1:8" x14ac:dyDescent="0.25">
      <c r="A895" s="52"/>
      <c r="B895" s="53"/>
      <c r="C895" s="53"/>
      <c r="D895" s="53"/>
      <c r="E895" s="53"/>
      <c r="F895" s="53"/>
      <c r="G895" s="53"/>
      <c r="H895" s="51"/>
    </row>
    <row r="896" spans="1:8" x14ac:dyDescent="0.25">
      <c r="A896" s="179" t="s">
        <v>909</v>
      </c>
      <c r="B896" s="48"/>
      <c r="C896" s="49"/>
      <c r="D896" s="122"/>
      <c r="E896" s="122"/>
      <c r="F896" s="50"/>
      <c r="G896" s="54" t="s">
        <v>910</v>
      </c>
      <c r="H896" s="103"/>
    </row>
    <row r="897" spans="1:8" ht="16.5" thickBot="1" x14ac:dyDescent="0.3">
      <c r="A897" s="52"/>
      <c r="B897" s="53"/>
      <c r="C897" s="53"/>
      <c r="D897" s="53"/>
      <c r="E897" s="53"/>
      <c r="F897" s="53"/>
      <c r="G897" s="53"/>
      <c r="H897" s="51"/>
    </row>
    <row r="898" spans="1:8" ht="16.5" thickBot="1" x14ac:dyDescent="0.3">
      <c r="A898" s="400" t="s">
        <v>381</v>
      </c>
      <c r="B898" s="401"/>
      <c r="C898" s="402" t="s">
        <v>382</v>
      </c>
      <c r="D898" s="401"/>
      <c r="E898" s="55" t="s">
        <v>266</v>
      </c>
      <c r="F898" s="53"/>
      <c r="G898" s="53"/>
      <c r="H898" s="51"/>
    </row>
    <row r="899" spans="1:8" ht="16.5" thickBot="1" x14ac:dyDescent="0.3">
      <c r="A899" s="403">
        <v>1450</v>
      </c>
      <c r="B899" s="404"/>
      <c r="C899" s="403">
        <v>2500</v>
      </c>
      <c r="D899" s="404"/>
      <c r="E899" s="56">
        <v>1</v>
      </c>
      <c r="F899" s="53"/>
      <c r="G899" s="53"/>
      <c r="H899" s="51"/>
    </row>
    <row r="900" spans="1:8" x14ac:dyDescent="0.25">
      <c r="A900" s="52"/>
      <c r="B900" s="58"/>
      <c r="C900" s="58"/>
      <c r="D900" s="58"/>
      <c r="E900" s="58"/>
      <c r="F900" s="58"/>
      <c r="G900" s="53"/>
      <c r="H900" s="83"/>
    </row>
    <row r="901" spans="1:8" x14ac:dyDescent="0.25">
      <c r="A901" s="59" t="s">
        <v>323</v>
      </c>
      <c r="B901" s="59" t="s">
        <v>266</v>
      </c>
      <c r="C901" s="59" t="s">
        <v>383</v>
      </c>
      <c r="D901" s="59" t="s">
        <v>384</v>
      </c>
      <c r="E901" s="59" t="s">
        <v>332</v>
      </c>
      <c r="F901" s="59" t="s">
        <v>385</v>
      </c>
      <c r="G901" s="59" t="s">
        <v>386</v>
      </c>
      <c r="H901" s="59" t="s">
        <v>387</v>
      </c>
    </row>
    <row r="902" spans="1:8" x14ac:dyDescent="0.25">
      <c r="A902" s="60">
        <v>4301</v>
      </c>
      <c r="B902" s="61">
        <f>1*E899</f>
        <v>1</v>
      </c>
      <c r="C902" s="61" t="s">
        <v>335</v>
      </c>
      <c r="D902" s="61">
        <f>A899</f>
        <v>1450</v>
      </c>
      <c r="E902" s="61" t="s">
        <v>336</v>
      </c>
      <c r="F902" s="62" t="s">
        <v>809</v>
      </c>
      <c r="G902" s="63">
        <v>0.436</v>
      </c>
      <c r="H902" s="63">
        <f t="shared" ref="H902:H909" si="9">(D902/1000)*B902*G902</f>
        <v>0.63219999999999998</v>
      </c>
    </row>
    <row r="903" spans="1:8" x14ac:dyDescent="0.25">
      <c r="A903" s="60">
        <v>4301</v>
      </c>
      <c r="B903" s="61">
        <f>2*E899</f>
        <v>2</v>
      </c>
      <c r="C903" s="61" t="s">
        <v>337</v>
      </c>
      <c r="D903" s="61">
        <f>C899</f>
        <v>2500</v>
      </c>
      <c r="E903" s="61" t="s">
        <v>338</v>
      </c>
      <c r="F903" s="62" t="s">
        <v>809</v>
      </c>
      <c r="G903" s="63">
        <v>0.436</v>
      </c>
      <c r="H903" s="63">
        <f t="shared" si="9"/>
        <v>2.1800000000000002</v>
      </c>
    </row>
    <row r="904" spans="1:8" x14ac:dyDescent="0.25">
      <c r="A904" s="60">
        <v>4306</v>
      </c>
      <c r="B904" s="61">
        <f>1*E899</f>
        <v>1</v>
      </c>
      <c r="C904" s="61" t="s">
        <v>637</v>
      </c>
      <c r="D904" s="61">
        <f>C899-54</f>
        <v>2446</v>
      </c>
      <c r="E904" s="61" t="s">
        <v>340</v>
      </c>
      <c r="F904" s="62" t="s">
        <v>898</v>
      </c>
      <c r="G904" s="63">
        <v>0.47199999999999998</v>
      </c>
      <c r="H904" s="63">
        <f t="shared" si="9"/>
        <v>1.154512</v>
      </c>
    </row>
    <row r="905" spans="1:8" x14ac:dyDescent="0.25">
      <c r="A905" s="60">
        <v>4312</v>
      </c>
      <c r="B905" s="61">
        <f>2*E899</f>
        <v>2</v>
      </c>
      <c r="C905" s="61" t="s">
        <v>899</v>
      </c>
      <c r="D905" s="61">
        <f>A899/2-20</f>
        <v>705</v>
      </c>
      <c r="E905" s="61" t="s">
        <v>336</v>
      </c>
      <c r="F905" s="62" t="s">
        <v>879</v>
      </c>
      <c r="G905" s="63">
        <v>1.0469999999999999</v>
      </c>
      <c r="H905" s="63">
        <f t="shared" si="9"/>
        <v>1.4762699999999997</v>
      </c>
    </row>
    <row r="906" spans="1:8" x14ac:dyDescent="0.25">
      <c r="A906" s="60">
        <v>4312</v>
      </c>
      <c r="B906" s="61">
        <f>4*E899</f>
        <v>4</v>
      </c>
      <c r="C906" s="61" t="s">
        <v>880</v>
      </c>
      <c r="D906" s="61">
        <f>C899-25</f>
        <v>2475</v>
      </c>
      <c r="E906" s="61" t="s">
        <v>338</v>
      </c>
      <c r="F906" s="62" t="s">
        <v>879</v>
      </c>
      <c r="G906" s="63">
        <v>1.0469999999999999</v>
      </c>
      <c r="H906" s="63">
        <f t="shared" si="9"/>
        <v>10.3653</v>
      </c>
    </row>
    <row r="907" spans="1:8" x14ac:dyDescent="0.25">
      <c r="A907" s="60">
        <v>4313</v>
      </c>
      <c r="B907" s="61">
        <f>2*E899</f>
        <v>2</v>
      </c>
      <c r="C907" s="61" t="s">
        <v>900</v>
      </c>
      <c r="D907" s="61">
        <f>A899/2-201</f>
        <v>524</v>
      </c>
      <c r="E907" s="61" t="s">
        <v>340</v>
      </c>
      <c r="F907" s="62" t="s">
        <v>882</v>
      </c>
      <c r="G907" s="63">
        <v>0.80100000000000005</v>
      </c>
      <c r="H907" s="63">
        <f t="shared" si="9"/>
        <v>0.83944800000000008</v>
      </c>
    </row>
    <row r="908" spans="1:8" x14ac:dyDescent="0.25">
      <c r="A908" s="60">
        <v>4314</v>
      </c>
      <c r="B908" s="61">
        <f>8*E899</f>
        <v>8</v>
      </c>
      <c r="C908" s="61" t="s">
        <v>900</v>
      </c>
      <c r="D908" s="61">
        <f>A899/2-201</f>
        <v>524</v>
      </c>
      <c r="E908" s="61" t="s">
        <v>336</v>
      </c>
      <c r="F908" s="62" t="s">
        <v>117</v>
      </c>
      <c r="G908" s="63">
        <v>0.158</v>
      </c>
      <c r="H908" s="63">
        <f t="shared" si="9"/>
        <v>0.66233600000000004</v>
      </c>
    </row>
    <row r="909" spans="1:8" x14ac:dyDescent="0.25">
      <c r="A909" s="60">
        <v>4314</v>
      </c>
      <c r="B909" s="61">
        <f>8*E899</f>
        <v>8</v>
      </c>
      <c r="C909" s="61" t="s">
        <v>884</v>
      </c>
      <c r="D909" s="61">
        <f>C899-174</f>
        <v>2326</v>
      </c>
      <c r="E909" s="61" t="s">
        <v>336</v>
      </c>
      <c r="F909" s="62" t="s">
        <v>117</v>
      </c>
      <c r="G909" s="63">
        <v>0.158</v>
      </c>
      <c r="H909" s="63">
        <f t="shared" si="9"/>
        <v>2.940064</v>
      </c>
    </row>
    <row r="910" spans="1:8" x14ac:dyDescent="0.25">
      <c r="A910" s="64"/>
      <c r="B910" s="65"/>
      <c r="C910" s="65"/>
      <c r="D910" s="65"/>
      <c r="E910" s="65"/>
      <c r="F910" s="65"/>
      <c r="G910" s="63" t="s">
        <v>392</v>
      </c>
      <c r="H910" s="63">
        <f>SUM(H902:H909)</f>
        <v>20.250129999999999</v>
      </c>
    </row>
    <row r="911" spans="1:8" x14ac:dyDescent="0.25">
      <c r="A911" s="64"/>
      <c r="B911" s="65"/>
      <c r="C911" s="65"/>
      <c r="D911" s="65"/>
      <c r="E911" s="65"/>
      <c r="F911" s="65"/>
      <c r="G911" s="66"/>
      <c r="H911" s="67"/>
    </row>
    <row r="912" spans="1:8" x14ac:dyDescent="0.25">
      <c r="A912" s="64"/>
      <c r="B912" s="65"/>
      <c r="C912" s="65"/>
      <c r="D912" s="65"/>
      <c r="E912" s="65"/>
      <c r="F912" s="65"/>
      <c r="G912" s="68"/>
      <c r="H912" s="67"/>
    </row>
    <row r="913" spans="1:8" x14ac:dyDescent="0.25">
      <c r="A913" s="69" t="s">
        <v>393</v>
      </c>
      <c r="B913" s="70"/>
      <c r="C913" s="70"/>
      <c r="D913" s="71"/>
      <c r="E913" s="59" t="s">
        <v>36</v>
      </c>
      <c r="F913" s="59" t="s">
        <v>266</v>
      </c>
      <c r="G913" s="52"/>
      <c r="H913" s="72"/>
    </row>
    <row r="914" spans="1:8" x14ac:dyDescent="0.25">
      <c r="A914" s="73" t="s">
        <v>885</v>
      </c>
      <c r="B914" s="70"/>
      <c r="C914" s="70"/>
      <c r="D914" s="71"/>
      <c r="E914" s="75">
        <f>F914*E899</f>
        <v>6</v>
      </c>
      <c r="F914" s="61">
        <v>6</v>
      </c>
      <c r="G914" s="76"/>
      <c r="H914" s="77"/>
    </row>
    <row r="915" spans="1:8" x14ac:dyDescent="0.25">
      <c r="A915" s="73" t="s">
        <v>886</v>
      </c>
      <c r="B915" s="70"/>
      <c r="C915" s="70"/>
      <c r="D915" s="71"/>
      <c r="E915" s="75">
        <f>F915*E899</f>
        <v>4</v>
      </c>
      <c r="F915" s="61">
        <v>4</v>
      </c>
      <c r="G915" s="65"/>
      <c r="H915" s="77"/>
    </row>
    <row r="916" spans="1:8" x14ac:dyDescent="0.25">
      <c r="A916" s="73" t="s">
        <v>887</v>
      </c>
      <c r="B916" s="70"/>
      <c r="C916" s="70"/>
      <c r="D916" s="71"/>
      <c r="E916" s="75">
        <f>1*E899</f>
        <v>1</v>
      </c>
      <c r="F916" s="61" t="s">
        <v>888</v>
      </c>
      <c r="G916" s="65"/>
      <c r="H916" s="77"/>
    </row>
    <row r="917" spans="1:8" x14ac:dyDescent="0.25">
      <c r="A917" s="73" t="s">
        <v>889</v>
      </c>
      <c r="B917" s="70"/>
      <c r="C917" s="70"/>
      <c r="D917" s="71"/>
      <c r="E917" s="75">
        <f>F917*E899</f>
        <v>1</v>
      </c>
      <c r="F917" s="61">
        <v>1</v>
      </c>
      <c r="G917" s="65"/>
      <c r="H917" s="77"/>
    </row>
    <row r="918" spans="1:8" x14ac:dyDescent="0.25">
      <c r="A918" s="73" t="s">
        <v>890</v>
      </c>
      <c r="B918" s="70"/>
      <c r="C918" s="70"/>
      <c r="D918" s="71"/>
      <c r="E918" s="75">
        <f>F918*E899</f>
        <v>1</v>
      </c>
      <c r="F918" s="61">
        <v>1</v>
      </c>
      <c r="G918" s="65"/>
      <c r="H918" s="77"/>
    </row>
    <row r="919" spans="1:8" x14ac:dyDescent="0.25">
      <c r="A919" s="73" t="s">
        <v>891</v>
      </c>
      <c r="B919" s="70"/>
      <c r="C919" s="70"/>
      <c r="D919" s="71"/>
      <c r="E919" s="75">
        <f>A899/100+C899/50*E899</f>
        <v>64.5</v>
      </c>
      <c r="F919" s="61" t="s">
        <v>828</v>
      </c>
      <c r="G919" s="64"/>
      <c r="H919" s="77"/>
    </row>
    <row r="920" spans="1:8" x14ac:dyDescent="0.25">
      <c r="A920" s="73" t="s">
        <v>907</v>
      </c>
      <c r="B920" s="70"/>
      <c r="C920" s="70"/>
      <c r="D920" s="71"/>
      <c r="E920" s="75">
        <f>2*(A899/1000)+6*(C899/1000)*E899</f>
        <v>17.899999999999999</v>
      </c>
      <c r="F920" s="61" t="s">
        <v>424</v>
      </c>
      <c r="G920" s="64"/>
      <c r="H920" s="77"/>
    </row>
    <row r="921" spans="1:8" x14ac:dyDescent="0.25">
      <c r="A921" s="73" t="s">
        <v>528</v>
      </c>
      <c r="B921" s="70"/>
      <c r="C921" s="70"/>
      <c r="D921" s="71"/>
      <c r="E921" s="75">
        <f>2*(A899/1000)+4*(C899/1000)*E899</f>
        <v>12.9</v>
      </c>
      <c r="F921" s="61" t="s">
        <v>402</v>
      </c>
      <c r="G921" s="64"/>
      <c r="H921" s="77"/>
    </row>
    <row r="922" spans="1:8" x14ac:dyDescent="0.25">
      <c r="A922" s="73" t="s">
        <v>530</v>
      </c>
      <c r="B922" s="70"/>
      <c r="C922" s="70"/>
      <c r="D922" s="71"/>
      <c r="E922" s="75">
        <f>2*(A899/1000)+4*(C899/1000)*E899</f>
        <v>12.9</v>
      </c>
      <c r="F922" s="61" t="s">
        <v>402</v>
      </c>
      <c r="G922" s="64"/>
      <c r="H922" s="77"/>
    </row>
    <row r="923" spans="1:8" x14ac:dyDescent="0.25">
      <c r="A923" s="73" t="s">
        <v>911</v>
      </c>
      <c r="B923" s="70"/>
      <c r="C923" s="70"/>
      <c r="D923" s="71"/>
      <c r="E923" s="75">
        <f>F923*E899</f>
        <v>2</v>
      </c>
      <c r="F923" s="61">
        <v>2</v>
      </c>
      <c r="G923" s="65"/>
      <c r="H923" s="77"/>
    </row>
    <row r="924" spans="1:8" x14ac:dyDescent="0.25">
      <c r="A924" s="73" t="s">
        <v>893</v>
      </c>
      <c r="B924" s="70"/>
      <c r="C924" s="70"/>
      <c r="D924" s="71"/>
      <c r="E924" s="75">
        <f>F924*E899</f>
        <v>28</v>
      </c>
      <c r="F924" s="61">
        <v>28</v>
      </c>
      <c r="G924" s="65"/>
      <c r="H924" s="77"/>
    </row>
    <row r="925" spans="1:8" x14ac:dyDescent="0.25">
      <c r="A925" s="73" t="s">
        <v>894</v>
      </c>
      <c r="B925" s="70"/>
      <c r="C925" s="70"/>
      <c r="D925" s="71"/>
      <c r="E925" s="75">
        <f>F925*E899</f>
        <v>4</v>
      </c>
      <c r="F925" s="61">
        <v>4</v>
      </c>
      <c r="G925" s="65"/>
      <c r="H925" s="77"/>
    </row>
    <row r="926" spans="1:8" x14ac:dyDescent="0.25">
      <c r="A926" s="52"/>
      <c r="B926" s="53"/>
      <c r="C926" s="53"/>
      <c r="D926" s="53"/>
      <c r="E926" s="53"/>
      <c r="F926" s="65"/>
      <c r="G926" s="65"/>
      <c r="H926" s="51"/>
    </row>
    <row r="927" spans="1:8" x14ac:dyDescent="0.25">
      <c r="A927" s="52"/>
      <c r="B927" s="53"/>
      <c r="C927" s="53"/>
      <c r="D927" s="53"/>
      <c r="E927" s="53"/>
      <c r="F927" s="53"/>
      <c r="G927" s="53"/>
      <c r="H927" s="83"/>
    </row>
    <row r="928" spans="1:8" x14ac:dyDescent="0.25">
      <c r="A928" s="59" t="s">
        <v>413</v>
      </c>
      <c r="B928" s="84" t="s">
        <v>266</v>
      </c>
      <c r="C928" s="84" t="s">
        <v>383</v>
      </c>
      <c r="D928" s="405" t="s">
        <v>414</v>
      </c>
      <c r="E928" s="406"/>
      <c r="F928" s="85" t="s">
        <v>415</v>
      </c>
      <c r="G928" s="59" t="s">
        <v>416</v>
      </c>
      <c r="H928" s="86"/>
    </row>
    <row r="929" spans="1:8" x14ac:dyDescent="0.25">
      <c r="A929" s="87"/>
      <c r="B929" s="61">
        <f>2*E899</f>
        <v>2</v>
      </c>
      <c r="C929" s="61" t="s">
        <v>903</v>
      </c>
      <c r="D929" s="407">
        <f>A899/2-220</f>
        <v>505</v>
      </c>
      <c r="E929" s="408"/>
      <c r="F929" s="61">
        <f>C899-193</f>
        <v>2307</v>
      </c>
      <c r="G929" s="91">
        <f>+(D929/1000)*(F929/1000)*B929</f>
        <v>2.3300700000000001</v>
      </c>
      <c r="H929" s="92"/>
    </row>
    <row r="930" spans="1:8" x14ac:dyDescent="0.25">
      <c r="A930" s="79"/>
      <c r="B930" s="53"/>
      <c r="C930" s="53"/>
      <c r="D930" s="53"/>
      <c r="E930" s="53"/>
      <c r="F930" s="94" t="s">
        <v>815</v>
      </c>
      <c r="G930" s="95">
        <f>SUM(G929:G929)</f>
        <v>2.3300700000000001</v>
      </c>
      <c r="H930" s="51"/>
    </row>
    <row r="931" spans="1:8" x14ac:dyDescent="0.25">
      <c r="A931" s="79"/>
      <c r="B931" s="53"/>
      <c r="C931" s="53"/>
      <c r="D931" s="53"/>
      <c r="E931" s="53"/>
      <c r="F931" s="94"/>
      <c r="G931" s="96"/>
      <c r="H931" s="51"/>
    </row>
    <row r="932" spans="1:8" x14ac:dyDescent="0.25">
      <c r="A932" s="79"/>
      <c r="B932" s="53"/>
      <c r="C932" s="53"/>
      <c r="D932" s="53"/>
      <c r="E932" s="53"/>
      <c r="F932" s="94"/>
      <c r="G932" s="96"/>
      <c r="H932" s="51"/>
    </row>
    <row r="933" spans="1:8" x14ac:dyDescent="0.25">
      <c r="A933" s="79"/>
      <c r="B933" s="53"/>
      <c r="C933" s="53"/>
      <c r="D933" s="53"/>
      <c r="E933" s="53"/>
      <c r="F933" s="94"/>
      <c r="G933" s="96"/>
      <c r="H933" s="51"/>
    </row>
    <row r="934" spans="1:8" x14ac:dyDescent="0.25">
      <c r="A934" s="79"/>
      <c r="B934" s="53"/>
      <c r="C934" s="53"/>
      <c r="D934" s="53"/>
      <c r="E934" s="53"/>
      <c r="F934" s="94"/>
      <c r="G934" s="96"/>
      <c r="H934" s="51"/>
    </row>
    <row r="935" spans="1:8" x14ac:dyDescent="0.25">
      <c r="A935" s="79"/>
      <c r="B935" s="53"/>
      <c r="C935" s="53"/>
      <c r="D935" s="53"/>
      <c r="E935" s="53"/>
      <c r="F935" s="94"/>
      <c r="G935" s="96"/>
      <c r="H935" s="51"/>
    </row>
    <row r="936" spans="1:8" x14ac:dyDescent="0.25">
      <c r="A936" s="79"/>
      <c r="B936" s="53"/>
      <c r="C936" s="53"/>
      <c r="D936" s="53"/>
      <c r="E936" s="53"/>
      <c r="F936" s="94"/>
      <c r="G936" s="96"/>
      <c r="H936" s="51"/>
    </row>
    <row r="937" spans="1:8" x14ac:dyDescent="0.25">
      <c r="A937" s="79"/>
      <c r="B937" s="53"/>
      <c r="C937" s="53"/>
      <c r="D937" s="53"/>
      <c r="E937" s="53"/>
      <c r="F937" s="94"/>
      <c r="G937" s="96"/>
      <c r="H937" s="51"/>
    </row>
    <row r="938" spans="1:8" x14ac:dyDescent="0.25">
      <c r="A938" s="79"/>
      <c r="B938" s="53"/>
      <c r="C938" s="53"/>
      <c r="D938" s="53"/>
      <c r="E938" s="53"/>
      <c r="F938" s="94"/>
      <c r="G938" s="96"/>
      <c r="H938" s="51"/>
    </row>
    <row r="939" spans="1:8" x14ac:dyDescent="0.25">
      <c r="A939" s="79"/>
      <c r="B939" s="53"/>
      <c r="C939" s="53"/>
      <c r="D939" s="53"/>
      <c r="E939" s="53"/>
      <c r="F939" s="94"/>
      <c r="G939" s="96"/>
      <c r="H939" s="51"/>
    </row>
    <row r="940" spans="1:8" x14ac:dyDescent="0.25">
      <c r="A940" s="79"/>
      <c r="B940" s="53"/>
      <c r="C940" s="53"/>
      <c r="D940" s="53"/>
      <c r="E940" s="53"/>
      <c r="F940" s="94"/>
      <c r="G940" s="96"/>
      <c r="H940" s="51"/>
    </row>
    <row r="941" spans="1:8" x14ac:dyDescent="0.25">
      <c r="A941" s="79"/>
      <c r="B941" s="53"/>
      <c r="C941" s="53"/>
      <c r="D941" s="53"/>
      <c r="E941" s="53"/>
      <c r="F941" s="94"/>
      <c r="G941" s="96"/>
      <c r="H941" s="51"/>
    </row>
    <row r="942" spans="1:8" x14ac:dyDescent="0.25">
      <c r="A942" s="79"/>
      <c r="B942" s="53"/>
      <c r="C942" s="53"/>
      <c r="D942" s="53"/>
      <c r="E942" s="53"/>
      <c r="F942" s="94"/>
      <c r="G942" s="96"/>
      <c r="H942" s="51"/>
    </row>
    <row r="943" spans="1:8" x14ac:dyDescent="0.25">
      <c r="A943" s="79"/>
      <c r="B943" s="53"/>
      <c r="C943" s="53"/>
      <c r="D943" s="53"/>
      <c r="E943" s="53"/>
      <c r="F943" s="94"/>
      <c r="G943" s="96"/>
      <c r="H943" s="51"/>
    </row>
    <row r="944" spans="1:8" x14ac:dyDescent="0.25">
      <c r="A944" s="79"/>
      <c r="B944" s="53"/>
      <c r="C944" s="53"/>
      <c r="D944" s="53"/>
      <c r="E944" s="53"/>
      <c r="F944" s="94"/>
      <c r="G944" s="96"/>
      <c r="H944" s="51"/>
    </row>
    <row r="945" spans="1:8" x14ac:dyDescent="0.25">
      <c r="A945" s="79"/>
      <c r="B945" s="53"/>
      <c r="C945" s="53"/>
      <c r="D945" s="53"/>
      <c r="E945" s="53"/>
      <c r="F945" s="94"/>
      <c r="G945" s="96"/>
      <c r="H945" s="51"/>
    </row>
    <row r="946" spans="1:8" x14ac:dyDescent="0.25">
      <c r="A946" s="79"/>
      <c r="B946" s="53"/>
      <c r="C946" s="53"/>
      <c r="D946" s="53"/>
      <c r="E946" s="53"/>
      <c r="F946" s="94"/>
      <c r="G946" s="96"/>
      <c r="H946" s="51"/>
    </row>
    <row r="947" spans="1:8" x14ac:dyDescent="0.25">
      <c r="A947" s="52"/>
      <c r="B947" s="53"/>
      <c r="C947" s="53"/>
      <c r="D947" s="53"/>
      <c r="E947" s="53"/>
      <c r="F947" s="53"/>
      <c r="G947" s="53"/>
      <c r="H947" s="51"/>
    </row>
    <row r="948" spans="1:8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x14ac:dyDescent="0.25">
      <c r="A949" s="100"/>
      <c r="B949" s="100"/>
      <c r="C949" s="100"/>
      <c r="D949" s="100"/>
      <c r="E949" s="100"/>
      <c r="F949" s="100"/>
      <c r="G949" s="100"/>
      <c r="H949" s="100"/>
    </row>
    <row r="950" spans="1:8" x14ac:dyDescent="0.25">
      <c r="A950" s="44"/>
      <c r="B950" s="45"/>
      <c r="C950" s="45"/>
      <c r="D950" s="45"/>
      <c r="E950" s="45"/>
      <c r="F950" s="45"/>
      <c r="G950" s="45"/>
      <c r="H950" s="46"/>
    </row>
    <row r="951" spans="1:8" x14ac:dyDescent="0.25">
      <c r="A951" s="52"/>
      <c r="B951" s="53"/>
      <c r="C951" s="53"/>
      <c r="D951" s="53"/>
      <c r="E951" s="53"/>
      <c r="F951" s="53"/>
      <c r="G951" s="53"/>
      <c r="H951" s="51"/>
    </row>
    <row r="952" spans="1:8" x14ac:dyDescent="0.25">
      <c r="A952" s="179" t="s">
        <v>912</v>
      </c>
      <c r="B952" s="48"/>
      <c r="C952" s="49"/>
      <c r="D952" s="122"/>
      <c r="E952" s="122"/>
      <c r="F952" s="50"/>
      <c r="G952" s="54" t="s">
        <v>913</v>
      </c>
      <c r="H952" s="103"/>
    </row>
    <row r="953" spans="1:8" ht="16.5" thickBot="1" x14ac:dyDescent="0.3">
      <c r="A953" s="52"/>
      <c r="B953" s="53"/>
      <c r="C953" s="53"/>
      <c r="D953" s="53"/>
      <c r="E953" s="53"/>
      <c r="F953" s="53"/>
      <c r="G953" s="53"/>
      <c r="H953" s="51"/>
    </row>
    <row r="954" spans="1:8" ht="16.5" thickBot="1" x14ac:dyDescent="0.3">
      <c r="A954" s="400" t="s">
        <v>381</v>
      </c>
      <c r="B954" s="401"/>
      <c r="C954" s="402" t="s">
        <v>382</v>
      </c>
      <c r="D954" s="401"/>
      <c r="E954" s="55" t="s">
        <v>266</v>
      </c>
      <c r="F954" s="53"/>
      <c r="G954" s="53"/>
      <c r="H954" s="51"/>
    </row>
    <row r="955" spans="1:8" ht="16.5" thickBot="1" x14ac:dyDescent="0.3">
      <c r="A955" s="403">
        <v>2500</v>
      </c>
      <c r="B955" s="404"/>
      <c r="C955" s="403">
        <v>2500</v>
      </c>
      <c r="D955" s="404"/>
      <c r="E955" s="56">
        <v>1</v>
      </c>
      <c r="F955" s="53"/>
      <c r="G955" s="53"/>
      <c r="H955" s="51"/>
    </row>
    <row r="956" spans="1:8" x14ac:dyDescent="0.25">
      <c r="A956" s="52"/>
      <c r="B956" s="58"/>
      <c r="C956" s="58"/>
      <c r="D956" s="58"/>
      <c r="E956" s="58"/>
      <c r="F956" s="58"/>
      <c r="G956" s="53"/>
      <c r="H956" s="83"/>
    </row>
    <row r="957" spans="1:8" x14ac:dyDescent="0.25">
      <c r="A957" s="59" t="s">
        <v>323</v>
      </c>
      <c r="B957" s="59" t="s">
        <v>266</v>
      </c>
      <c r="C957" s="59" t="s">
        <v>383</v>
      </c>
      <c r="D957" s="59" t="s">
        <v>384</v>
      </c>
      <c r="E957" s="59" t="s">
        <v>332</v>
      </c>
      <c r="F957" s="59" t="s">
        <v>385</v>
      </c>
      <c r="G957" s="59" t="s">
        <v>386</v>
      </c>
      <c r="H957" s="59" t="s">
        <v>387</v>
      </c>
    </row>
    <row r="958" spans="1:8" x14ac:dyDescent="0.25">
      <c r="A958" s="60">
        <v>4315</v>
      </c>
      <c r="B958" s="61">
        <f>2*E955</f>
        <v>2</v>
      </c>
      <c r="C958" s="61" t="s">
        <v>914</v>
      </c>
      <c r="D958" s="61">
        <f>C955-12</f>
        <v>2488</v>
      </c>
      <c r="E958" s="61" t="s">
        <v>340</v>
      </c>
      <c r="F958" s="62" t="s">
        <v>915</v>
      </c>
      <c r="G958" s="63">
        <v>0.17599999999999999</v>
      </c>
      <c r="H958" s="63">
        <f>(D958/1000)*B958*G958</f>
        <v>0.875776</v>
      </c>
    </row>
    <row r="959" spans="1:8" x14ac:dyDescent="0.25">
      <c r="A959" s="60">
        <v>4313</v>
      </c>
      <c r="B959" s="61">
        <f>2*E955</f>
        <v>2</v>
      </c>
      <c r="C959" s="61" t="s">
        <v>916</v>
      </c>
      <c r="D959" s="61">
        <f>A955-128</f>
        <v>2372</v>
      </c>
      <c r="E959" s="61" t="s">
        <v>340</v>
      </c>
      <c r="F959" s="62" t="s">
        <v>882</v>
      </c>
      <c r="G959" s="63">
        <v>0.80100000000000005</v>
      </c>
      <c r="H959" s="63">
        <f>(D959/1000)*B959*G959</f>
        <v>3.799944</v>
      </c>
    </row>
    <row r="960" spans="1:8" x14ac:dyDescent="0.25">
      <c r="A960" s="60">
        <v>4308</v>
      </c>
      <c r="B960" s="61">
        <f>4*E955</f>
        <v>4</v>
      </c>
      <c r="C960" s="61" t="s">
        <v>916</v>
      </c>
      <c r="D960" s="61">
        <f>A955-128</f>
        <v>2372</v>
      </c>
      <c r="E960" s="61" t="s">
        <v>336</v>
      </c>
      <c r="F960" s="62" t="s">
        <v>917</v>
      </c>
      <c r="G960" s="63">
        <v>0.17699999999999999</v>
      </c>
      <c r="H960" s="63">
        <f>(D960/1000)*B960*G960</f>
        <v>1.6793759999999998</v>
      </c>
    </row>
    <row r="961" spans="1:8" x14ac:dyDescent="0.25">
      <c r="A961" s="60">
        <v>4313</v>
      </c>
      <c r="B961" s="61">
        <f>2*E955</f>
        <v>2</v>
      </c>
      <c r="C961" s="61" t="s">
        <v>914</v>
      </c>
      <c r="D961" s="61">
        <f>C955-12</f>
        <v>2488</v>
      </c>
      <c r="E961" s="61" t="s">
        <v>340</v>
      </c>
      <c r="F961" s="62" t="s">
        <v>882</v>
      </c>
      <c r="G961" s="63">
        <v>0.80100000000000005</v>
      </c>
      <c r="H961" s="63">
        <f>(D961/1000)*B961*G961</f>
        <v>3.9857760000000004</v>
      </c>
    </row>
    <row r="962" spans="1:8" x14ac:dyDescent="0.25">
      <c r="A962" s="60">
        <v>4308</v>
      </c>
      <c r="B962" s="61">
        <f>4*E955</f>
        <v>4</v>
      </c>
      <c r="C962" s="61" t="s">
        <v>918</v>
      </c>
      <c r="D962" s="61">
        <f>C955-128</f>
        <v>2372</v>
      </c>
      <c r="E962" s="61" t="s">
        <v>336</v>
      </c>
      <c r="F962" s="62" t="s">
        <v>919</v>
      </c>
      <c r="G962" s="63">
        <v>0.17699999999999999</v>
      </c>
      <c r="H962" s="63">
        <f>(D962/1000)*B962*G962</f>
        <v>1.6793759999999998</v>
      </c>
    </row>
    <row r="963" spans="1:8" x14ac:dyDescent="0.25">
      <c r="A963" s="64"/>
      <c r="B963" s="65"/>
      <c r="C963" s="65"/>
      <c r="D963" s="65"/>
      <c r="E963" s="65"/>
      <c r="F963" s="65"/>
      <c r="G963" s="63" t="s">
        <v>392</v>
      </c>
      <c r="H963" s="63">
        <f>SUM(H958:H962)</f>
        <v>12.020248</v>
      </c>
    </row>
    <row r="964" spans="1:8" x14ac:dyDescent="0.25">
      <c r="A964" s="64"/>
      <c r="B964" s="65"/>
      <c r="C964" s="65"/>
      <c r="D964" s="65"/>
      <c r="E964" s="65"/>
      <c r="F964" s="65"/>
      <c r="G964" s="66"/>
      <c r="H964" s="67"/>
    </row>
    <row r="965" spans="1:8" x14ac:dyDescent="0.25">
      <c r="A965" s="64"/>
      <c r="B965" s="65"/>
      <c r="C965" s="65"/>
      <c r="D965" s="65"/>
      <c r="E965" s="65"/>
      <c r="F965" s="65"/>
      <c r="G965" s="68"/>
      <c r="H965" s="67"/>
    </row>
    <row r="966" spans="1:8" x14ac:dyDescent="0.25">
      <c r="A966" s="69" t="s">
        <v>393</v>
      </c>
      <c r="B966" s="70"/>
      <c r="C966" s="70"/>
      <c r="D966" s="71"/>
      <c r="E966" s="59" t="s">
        <v>36</v>
      </c>
      <c r="F966" s="59" t="s">
        <v>266</v>
      </c>
      <c r="G966" s="52"/>
      <c r="H966" s="72"/>
    </row>
    <row r="967" spans="1:8" x14ac:dyDescent="0.25">
      <c r="A967" s="73" t="s">
        <v>920</v>
      </c>
      <c r="B967" s="70"/>
      <c r="C967" s="70"/>
      <c r="D967" s="71"/>
      <c r="E967" s="75">
        <f>F967*E955</f>
        <v>1</v>
      </c>
      <c r="F967" s="61">
        <v>1</v>
      </c>
      <c r="G967" s="76"/>
      <c r="H967" s="77"/>
    </row>
    <row r="968" spans="1:8" x14ac:dyDescent="0.25">
      <c r="A968" s="73" t="s">
        <v>921</v>
      </c>
      <c r="B968" s="70"/>
      <c r="C968" s="70"/>
      <c r="D968" s="71"/>
      <c r="E968" s="75">
        <f>1*E955</f>
        <v>1</v>
      </c>
      <c r="F968" s="61" t="s">
        <v>888</v>
      </c>
      <c r="G968" s="65"/>
      <c r="H968" s="77"/>
    </row>
    <row r="969" spans="1:8" x14ac:dyDescent="0.25">
      <c r="A969" s="73" t="s">
        <v>399</v>
      </c>
      <c r="B969" s="70"/>
      <c r="C969" s="70"/>
      <c r="D969" s="71"/>
      <c r="E969" s="75">
        <f>2*(C955/1000)*E955</f>
        <v>5</v>
      </c>
      <c r="F969" s="61" t="s">
        <v>400</v>
      </c>
      <c r="G969" s="65"/>
      <c r="H969" s="77"/>
    </row>
    <row r="970" spans="1:8" x14ac:dyDescent="0.25">
      <c r="A970" s="73" t="s">
        <v>922</v>
      </c>
      <c r="B970" s="70"/>
      <c r="C970" s="70"/>
      <c r="D970" s="71"/>
      <c r="E970" s="75">
        <f>A955/100+C955/100</f>
        <v>50</v>
      </c>
      <c r="F970" s="61" t="s">
        <v>824</v>
      </c>
      <c r="G970" s="65"/>
      <c r="H970" s="77"/>
    </row>
    <row r="971" spans="1:8" x14ac:dyDescent="0.25">
      <c r="A971" s="73" t="s">
        <v>528</v>
      </c>
      <c r="B971" s="70"/>
      <c r="C971" s="70"/>
      <c r="D971" s="71"/>
      <c r="E971" s="75">
        <f>2*(A955/1000)+2*(C955/1000)*E955</f>
        <v>10</v>
      </c>
      <c r="F971" s="61" t="s">
        <v>448</v>
      </c>
      <c r="G971" s="65"/>
      <c r="H971" s="77"/>
    </row>
    <row r="972" spans="1:8" x14ac:dyDescent="0.25">
      <c r="A972" s="73" t="s">
        <v>530</v>
      </c>
      <c r="B972" s="70"/>
      <c r="C972" s="70"/>
      <c r="D972" s="71"/>
      <c r="E972" s="75">
        <f>2*(A955/1000)+2*(C955/1000)*E955</f>
        <v>10</v>
      </c>
      <c r="F972" s="61" t="s">
        <v>448</v>
      </c>
      <c r="G972" s="65"/>
      <c r="H972" s="77"/>
    </row>
    <row r="973" spans="1:8" x14ac:dyDescent="0.25">
      <c r="A973" s="73" t="s">
        <v>923</v>
      </c>
      <c r="B973" s="70"/>
      <c r="C973" s="70"/>
      <c r="D973" s="71"/>
      <c r="E973" s="75">
        <f>F973*E955</f>
        <v>1</v>
      </c>
      <c r="F973" s="61">
        <v>1</v>
      </c>
      <c r="G973" s="65"/>
      <c r="H973" s="77"/>
    </row>
    <row r="974" spans="1:8" x14ac:dyDescent="0.25">
      <c r="A974" s="73" t="s">
        <v>893</v>
      </c>
      <c r="B974" s="70"/>
      <c r="C974" s="70"/>
      <c r="D974" s="71"/>
      <c r="E974" s="75">
        <f>F974*E955</f>
        <v>28</v>
      </c>
      <c r="F974" s="61">
        <v>28</v>
      </c>
      <c r="G974" s="65"/>
      <c r="H974" s="77"/>
    </row>
    <row r="975" spans="1:8" x14ac:dyDescent="0.25">
      <c r="A975" s="73" t="s">
        <v>894</v>
      </c>
      <c r="B975" s="70"/>
      <c r="C975" s="70"/>
      <c r="D975" s="71"/>
      <c r="E975" s="75">
        <f>F975*E955</f>
        <v>4</v>
      </c>
      <c r="F975" s="61">
        <v>4</v>
      </c>
      <c r="G975" s="65"/>
      <c r="H975" s="77"/>
    </row>
    <row r="976" spans="1:8" x14ac:dyDescent="0.25">
      <c r="A976" s="52"/>
      <c r="B976" s="53"/>
      <c r="C976" s="53"/>
      <c r="D976" s="53"/>
      <c r="E976" s="53"/>
      <c r="F976" s="65"/>
      <c r="G976" s="65"/>
      <c r="H976" s="51"/>
    </row>
    <row r="977" spans="1:8" x14ac:dyDescent="0.25">
      <c r="A977" s="52"/>
      <c r="B977" s="53"/>
      <c r="C977" s="53"/>
      <c r="D977" s="53"/>
      <c r="E977" s="53"/>
      <c r="F977" s="53"/>
      <c r="G977" s="53"/>
      <c r="H977" s="83"/>
    </row>
    <row r="978" spans="1:8" x14ac:dyDescent="0.25">
      <c r="A978" s="59" t="s">
        <v>413</v>
      </c>
      <c r="B978" s="84" t="s">
        <v>266</v>
      </c>
      <c r="C978" s="84" t="s">
        <v>383</v>
      </c>
      <c r="D978" s="405" t="s">
        <v>414</v>
      </c>
      <c r="E978" s="406"/>
      <c r="F978" s="85" t="s">
        <v>415</v>
      </c>
      <c r="G978" s="59" t="s">
        <v>416</v>
      </c>
      <c r="H978" s="86"/>
    </row>
    <row r="979" spans="1:8" x14ac:dyDescent="0.25">
      <c r="A979" s="87"/>
      <c r="B979" s="61">
        <f>2*E955</f>
        <v>2</v>
      </c>
      <c r="C979" s="61" t="s">
        <v>903</v>
      </c>
      <c r="D979" s="407">
        <f>A955/2-220</f>
        <v>1030</v>
      </c>
      <c r="E979" s="408"/>
      <c r="F979" s="61">
        <f>C955-193</f>
        <v>2307</v>
      </c>
      <c r="G979" s="91">
        <f>+(D979/1000)*(F979/1000)*B979</f>
        <v>4.7524199999999999</v>
      </c>
      <c r="H979" s="92"/>
    </row>
    <row r="980" spans="1:8" x14ac:dyDescent="0.25">
      <c r="A980" s="79"/>
      <c r="B980" s="53"/>
      <c r="C980" s="53"/>
      <c r="D980" s="53"/>
      <c r="E980" s="53"/>
      <c r="F980" s="94" t="s">
        <v>815</v>
      </c>
      <c r="G980" s="95">
        <f>SUM(G979:G979)</f>
        <v>4.7524199999999999</v>
      </c>
      <c r="H980" s="51"/>
    </row>
    <row r="981" spans="1:8" x14ac:dyDescent="0.25">
      <c r="A981" s="79"/>
      <c r="B981" s="53"/>
      <c r="C981" s="53"/>
      <c r="D981" s="53"/>
      <c r="E981" s="53"/>
      <c r="F981" s="94"/>
      <c r="G981" s="96"/>
      <c r="H981" s="51"/>
    </row>
    <row r="982" spans="1:8" x14ac:dyDescent="0.25">
      <c r="A982" s="79"/>
      <c r="B982" s="53"/>
      <c r="C982" s="53"/>
      <c r="D982" s="53"/>
      <c r="E982" s="53"/>
      <c r="F982" s="94"/>
      <c r="G982" s="96"/>
      <c r="H982" s="51"/>
    </row>
    <row r="983" spans="1:8" x14ac:dyDescent="0.25">
      <c r="A983" s="79"/>
      <c r="B983" s="53"/>
      <c r="C983" s="53"/>
      <c r="D983" s="53"/>
      <c r="E983" s="53"/>
      <c r="F983" s="94"/>
      <c r="G983" s="96"/>
      <c r="H983" s="51"/>
    </row>
    <row r="984" spans="1:8" x14ac:dyDescent="0.25">
      <c r="A984" s="79"/>
      <c r="B984" s="53"/>
      <c r="C984" s="53"/>
      <c r="D984" s="53"/>
      <c r="E984" s="53"/>
      <c r="F984" s="94"/>
      <c r="G984" s="96"/>
      <c r="H984" s="51"/>
    </row>
    <row r="985" spans="1:8" x14ac:dyDescent="0.25">
      <c r="A985" s="79"/>
      <c r="B985" s="53"/>
      <c r="C985" s="53"/>
      <c r="D985" s="53"/>
      <c r="E985" s="53"/>
      <c r="F985" s="94"/>
      <c r="G985" s="96"/>
      <c r="H985" s="51"/>
    </row>
    <row r="986" spans="1:8" x14ac:dyDescent="0.25">
      <c r="A986" s="79"/>
      <c r="B986" s="53"/>
      <c r="C986" s="53"/>
      <c r="D986" s="53"/>
      <c r="E986" s="53"/>
      <c r="F986" s="94"/>
      <c r="G986" s="96"/>
      <c r="H986" s="51"/>
    </row>
    <row r="987" spans="1:8" x14ac:dyDescent="0.25">
      <c r="A987" s="79"/>
      <c r="B987" s="53"/>
      <c r="C987" s="53"/>
      <c r="D987" s="53"/>
      <c r="E987" s="53"/>
      <c r="F987" s="94"/>
      <c r="G987" s="96"/>
      <c r="H987" s="51"/>
    </row>
    <row r="988" spans="1:8" x14ac:dyDescent="0.25">
      <c r="A988" s="79"/>
      <c r="B988" s="53"/>
      <c r="C988" s="53"/>
      <c r="D988" s="53"/>
      <c r="E988" s="53"/>
      <c r="F988" s="94"/>
      <c r="G988" s="96"/>
      <c r="H988" s="51"/>
    </row>
    <row r="989" spans="1:8" x14ac:dyDescent="0.25">
      <c r="A989" s="79"/>
      <c r="B989" s="53"/>
      <c r="C989" s="53"/>
      <c r="D989" s="53"/>
      <c r="E989" s="53"/>
      <c r="F989" s="94"/>
      <c r="G989" s="96"/>
      <c r="H989" s="51"/>
    </row>
    <row r="990" spans="1:8" x14ac:dyDescent="0.25">
      <c r="A990" s="79"/>
      <c r="B990" s="53"/>
      <c r="C990" s="53"/>
      <c r="D990" s="53"/>
      <c r="E990" s="53"/>
      <c r="F990" s="94"/>
      <c r="G990" s="96"/>
      <c r="H990" s="51"/>
    </row>
    <row r="991" spans="1:8" x14ac:dyDescent="0.25">
      <c r="A991" s="79"/>
      <c r="B991" s="53"/>
      <c r="C991" s="53"/>
      <c r="D991" s="53"/>
      <c r="E991" s="53"/>
      <c r="F991" s="94"/>
      <c r="G991" s="96"/>
      <c r="H991" s="51"/>
    </row>
    <row r="992" spans="1:8" x14ac:dyDescent="0.25">
      <c r="A992" s="79"/>
      <c r="B992" s="53"/>
      <c r="C992" s="53"/>
      <c r="D992" s="53"/>
      <c r="E992" s="53"/>
      <c r="F992" s="94"/>
      <c r="G992" s="96"/>
      <c r="H992" s="51"/>
    </row>
    <row r="993" spans="1:8" x14ac:dyDescent="0.25">
      <c r="A993" s="79"/>
      <c r="B993" s="53"/>
      <c r="C993" s="53"/>
      <c r="D993" s="53"/>
      <c r="E993" s="53"/>
      <c r="F993" s="94"/>
      <c r="G993" s="96"/>
      <c r="H993" s="51"/>
    </row>
    <row r="994" spans="1:8" x14ac:dyDescent="0.25">
      <c r="A994" s="79"/>
      <c r="B994" s="53"/>
      <c r="C994" s="53"/>
      <c r="D994" s="53"/>
      <c r="E994" s="53"/>
      <c r="F994" s="94"/>
      <c r="G994" s="96"/>
      <c r="H994" s="51"/>
    </row>
    <row r="995" spans="1:8" x14ac:dyDescent="0.25">
      <c r="A995" s="79"/>
      <c r="B995" s="53"/>
      <c r="C995" s="53"/>
      <c r="D995" s="53"/>
      <c r="E995" s="53"/>
      <c r="F995" s="94"/>
      <c r="G995" s="96"/>
      <c r="H995" s="51"/>
    </row>
    <row r="996" spans="1:8" x14ac:dyDescent="0.25">
      <c r="A996" s="79"/>
      <c r="B996" s="53"/>
      <c r="C996" s="53"/>
      <c r="D996" s="53"/>
      <c r="E996" s="53"/>
      <c r="F996" s="94"/>
      <c r="G996" s="96"/>
      <c r="H996" s="51"/>
    </row>
    <row r="997" spans="1:8" x14ac:dyDescent="0.25">
      <c r="A997" s="79"/>
      <c r="B997" s="53"/>
      <c r="C997" s="53"/>
      <c r="D997" s="53"/>
      <c r="E997" s="53"/>
      <c r="F997" s="94"/>
      <c r="G997" s="96"/>
      <c r="H997" s="51"/>
    </row>
    <row r="998" spans="1:8" x14ac:dyDescent="0.25">
      <c r="A998" s="79"/>
      <c r="B998" s="53"/>
      <c r="C998" s="53"/>
      <c r="D998" s="53"/>
      <c r="E998" s="53"/>
      <c r="F998" s="94"/>
      <c r="G998" s="96"/>
      <c r="H998" s="51"/>
    </row>
    <row r="999" spans="1:8" x14ac:dyDescent="0.25">
      <c r="A999" s="79"/>
      <c r="B999" s="53"/>
      <c r="C999" s="53"/>
      <c r="D999" s="53"/>
      <c r="E999" s="53"/>
      <c r="F999" s="94"/>
      <c r="G999" s="96"/>
      <c r="H999" s="51"/>
    </row>
    <row r="1000" spans="1:8" x14ac:dyDescent="0.25">
      <c r="A1000" s="52"/>
      <c r="B1000" s="53"/>
      <c r="C1000" s="53"/>
      <c r="D1000" s="53"/>
      <c r="E1000" s="53"/>
      <c r="F1000" s="53"/>
      <c r="G1000" s="53"/>
      <c r="H1000" s="51"/>
    </row>
    <row r="1001" spans="1:8" x14ac:dyDescent="0.25">
      <c r="A1001" s="52"/>
      <c r="B1001" s="53"/>
      <c r="C1001" s="53"/>
      <c r="D1001" s="53"/>
      <c r="E1001" s="53"/>
      <c r="F1001" s="53"/>
      <c r="G1001" s="53"/>
      <c r="H1001" s="51"/>
    </row>
    <row r="1002" spans="1:8" x14ac:dyDescent="0.25">
      <c r="A1002" s="52"/>
      <c r="B1002" s="53"/>
      <c r="C1002" s="53"/>
      <c r="D1002" s="53"/>
      <c r="E1002" s="53"/>
      <c r="F1002" s="53"/>
      <c r="G1002" s="53"/>
      <c r="H1002" s="51"/>
    </row>
    <row r="1003" spans="1:8" x14ac:dyDescent="0.25">
      <c r="A1003" s="52"/>
      <c r="B1003" s="53"/>
      <c r="C1003" s="53"/>
      <c r="D1003" s="53"/>
      <c r="E1003" s="53"/>
      <c r="F1003" s="53"/>
      <c r="G1003" s="53"/>
      <c r="H1003" s="51"/>
    </row>
    <row r="1004" spans="1:8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x14ac:dyDescent="0.25">
      <c r="A1005" s="100"/>
      <c r="B1005" s="100"/>
      <c r="C1005" s="100"/>
      <c r="D1005" s="100"/>
      <c r="E1005" s="100"/>
      <c r="F1005" s="100"/>
      <c r="G1005" s="100"/>
      <c r="H1005" s="100"/>
    </row>
    <row r="1006" spans="1:8" x14ac:dyDescent="0.25">
      <c r="A1006" s="44"/>
      <c r="B1006" s="45"/>
      <c r="C1006" s="45"/>
      <c r="D1006" s="45"/>
      <c r="E1006" s="45"/>
      <c r="F1006" s="45"/>
      <c r="G1006" s="45"/>
      <c r="H1006" s="46"/>
    </row>
    <row r="1007" spans="1:8" x14ac:dyDescent="0.25">
      <c r="A1007" s="52"/>
      <c r="B1007" s="53"/>
      <c r="C1007" s="53"/>
      <c r="D1007" s="53"/>
      <c r="E1007" s="53"/>
      <c r="F1007" s="53"/>
      <c r="G1007" s="53"/>
      <c r="H1007" s="51"/>
    </row>
    <row r="1008" spans="1:8" x14ac:dyDescent="0.25">
      <c r="A1008" s="179" t="s">
        <v>924</v>
      </c>
      <c r="B1008" s="48"/>
      <c r="C1008" s="49"/>
      <c r="D1008" s="122"/>
      <c r="E1008" s="122"/>
      <c r="F1008" s="50"/>
      <c r="G1008" s="54" t="s">
        <v>925</v>
      </c>
      <c r="H1008" s="103"/>
    </row>
    <row r="1009" spans="1:8" ht="16.5" thickBot="1" x14ac:dyDescent="0.3">
      <c r="A1009" s="52"/>
      <c r="B1009" s="53"/>
      <c r="C1009" s="53"/>
      <c r="D1009" s="53"/>
      <c r="E1009" s="53"/>
      <c r="F1009" s="53"/>
      <c r="G1009" s="53"/>
      <c r="H1009" s="51"/>
    </row>
    <row r="1010" spans="1:8" ht="16.5" thickBot="1" x14ac:dyDescent="0.3">
      <c r="A1010" s="400" t="s">
        <v>381</v>
      </c>
      <c r="B1010" s="401"/>
      <c r="C1010" s="402" t="s">
        <v>382</v>
      </c>
      <c r="D1010" s="401"/>
      <c r="E1010" s="55" t="s">
        <v>266</v>
      </c>
      <c r="F1010" s="53"/>
      <c r="G1010" s="53"/>
      <c r="H1010" s="51"/>
    </row>
    <row r="1011" spans="1:8" ht="16.5" thickBot="1" x14ac:dyDescent="0.3">
      <c r="A1011" s="403">
        <v>2500</v>
      </c>
      <c r="B1011" s="404"/>
      <c r="C1011" s="403">
        <v>2500</v>
      </c>
      <c r="D1011" s="404"/>
      <c r="E1011" s="56">
        <v>1</v>
      </c>
      <c r="F1011" s="53"/>
      <c r="G1011" s="53"/>
      <c r="H1011" s="51"/>
    </row>
    <row r="1012" spans="1:8" x14ac:dyDescent="0.25">
      <c r="A1012" s="52"/>
      <c r="B1012" s="58"/>
      <c r="C1012" s="58"/>
      <c r="D1012" s="58"/>
      <c r="E1012" s="58"/>
      <c r="F1012" s="58"/>
      <c r="G1012" s="53"/>
      <c r="H1012" s="83"/>
    </row>
    <row r="1013" spans="1:8" x14ac:dyDescent="0.25">
      <c r="A1013" s="59" t="s">
        <v>323</v>
      </c>
      <c r="B1013" s="59" t="s">
        <v>266</v>
      </c>
      <c r="C1013" s="59" t="s">
        <v>383</v>
      </c>
      <c r="D1013" s="59" t="s">
        <v>384</v>
      </c>
      <c r="E1013" s="59" t="s">
        <v>332</v>
      </c>
      <c r="F1013" s="59" t="s">
        <v>385</v>
      </c>
      <c r="G1013" s="59" t="s">
        <v>386</v>
      </c>
      <c r="H1013" s="59" t="s">
        <v>387</v>
      </c>
    </row>
    <row r="1014" spans="1:8" x14ac:dyDescent="0.25">
      <c r="A1014" s="60">
        <v>4315</v>
      </c>
      <c r="B1014" s="61">
        <f>3*E1011</f>
        <v>3</v>
      </c>
      <c r="C1014" s="61" t="s">
        <v>914</v>
      </c>
      <c r="D1014" s="61">
        <f>C1011-12</f>
        <v>2488</v>
      </c>
      <c r="E1014" s="61" t="s">
        <v>340</v>
      </c>
      <c r="F1014" s="62" t="s">
        <v>915</v>
      </c>
      <c r="G1014" s="63">
        <v>0.17599999999999999</v>
      </c>
      <c r="H1014" s="63">
        <f t="shared" ref="H1014:H1019" si="10">(D1014/1000)*B1014*G1014</f>
        <v>1.3136639999999999</v>
      </c>
    </row>
    <row r="1015" spans="1:8" x14ac:dyDescent="0.25">
      <c r="A1015" s="60">
        <v>4316</v>
      </c>
      <c r="B1015" s="61">
        <f>1*E1011</f>
        <v>1</v>
      </c>
      <c r="C1015" s="61" t="s">
        <v>926</v>
      </c>
      <c r="D1015" s="61">
        <f>A1011-12</f>
        <v>2488</v>
      </c>
      <c r="E1015" s="61" t="s">
        <v>340</v>
      </c>
      <c r="F1015" s="62" t="s">
        <v>927</v>
      </c>
      <c r="G1015" s="63">
        <v>0.13600000000000001</v>
      </c>
      <c r="H1015" s="63">
        <f t="shared" si="10"/>
        <v>0.338368</v>
      </c>
    </row>
    <row r="1016" spans="1:8" x14ac:dyDescent="0.25">
      <c r="A1016" s="60">
        <v>4313</v>
      </c>
      <c r="B1016" s="61">
        <f>4*E1011</f>
        <v>4</v>
      </c>
      <c r="C1016" s="61" t="s">
        <v>928</v>
      </c>
      <c r="D1016" s="61">
        <f>A1011/2-128</f>
        <v>1122</v>
      </c>
      <c r="E1016" s="61" t="s">
        <v>340</v>
      </c>
      <c r="F1016" s="62" t="s">
        <v>882</v>
      </c>
      <c r="G1016" s="63">
        <v>0.80100000000000005</v>
      </c>
      <c r="H1016" s="63">
        <f t="shared" si="10"/>
        <v>3.5948880000000005</v>
      </c>
    </row>
    <row r="1017" spans="1:8" x14ac:dyDescent="0.25">
      <c r="A1017" s="60">
        <v>4313</v>
      </c>
      <c r="B1017" s="61">
        <f>4*E1011</f>
        <v>4</v>
      </c>
      <c r="C1017" s="61" t="s">
        <v>914</v>
      </c>
      <c r="D1017" s="61">
        <f>C1011-12</f>
        <v>2488</v>
      </c>
      <c r="E1017" s="61" t="s">
        <v>340</v>
      </c>
      <c r="F1017" s="62" t="s">
        <v>882</v>
      </c>
      <c r="G1017" s="63">
        <v>0.80100000000000005</v>
      </c>
      <c r="H1017" s="63">
        <f t="shared" si="10"/>
        <v>7.9715520000000009</v>
      </c>
    </row>
    <row r="1018" spans="1:8" x14ac:dyDescent="0.25">
      <c r="A1018" s="60">
        <v>4308</v>
      </c>
      <c r="B1018" s="61">
        <f>8*E1011</f>
        <v>8</v>
      </c>
      <c r="C1018" s="61" t="s">
        <v>918</v>
      </c>
      <c r="D1018" s="61">
        <f>C1011-128</f>
        <v>2372</v>
      </c>
      <c r="E1018" s="61" t="s">
        <v>336</v>
      </c>
      <c r="F1018" s="62" t="s">
        <v>929</v>
      </c>
      <c r="G1018" s="63">
        <v>0.17699999999999999</v>
      </c>
      <c r="H1018" s="63">
        <f t="shared" si="10"/>
        <v>3.3587519999999995</v>
      </c>
    </row>
    <row r="1019" spans="1:8" x14ac:dyDescent="0.25">
      <c r="A1019" s="60">
        <v>4308</v>
      </c>
      <c r="B1019" s="61">
        <f>8*E1011</f>
        <v>8</v>
      </c>
      <c r="C1019" s="61" t="s">
        <v>928</v>
      </c>
      <c r="D1019" s="61">
        <f>A1011/2-128</f>
        <v>1122</v>
      </c>
      <c r="E1019" s="61" t="s">
        <v>336</v>
      </c>
      <c r="F1019" s="62" t="s">
        <v>929</v>
      </c>
      <c r="G1019" s="63">
        <v>0.17699999999999999</v>
      </c>
      <c r="H1019" s="63">
        <f t="shared" si="10"/>
        <v>1.5887520000000002</v>
      </c>
    </row>
    <row r="1020" spans="1:8" x14ac:dyDescent="0.25">
      <c r="A1020" s="64"/>
      <c r="B1020" s="65"/>
      <c r="C1020" s="65"/>
      <c r="D1020" s="65"/>
      <c r="E1020" s="65"/>
      <c r="F1020" s="65"/>
      <c r="G1020" s="63" t="s">
        <v>392</v>
      </c>
      <c r="H1020" s="63">
        <f>SUM(H1014:H1019)</f>
        <v>18.165976000000001</v>
      </c>
    </row>
    <row r="1021" spans="1:8" x14ac:dyDescent="0.25">
      <c r="A1021" s="64"/>
      <c r="B1021" s="65"/>
      <c r="C1021" s="65"/>
      <c r="D1021" s="65"/>
      <c r="E1021" s="65"/>
      <c r="F1021" s="65"/>
      <c r="G1021" s="66"/>
      <c r="H1021" s="67"/>
    </row>
    <row r="1022" spans="1:8" x14ac:dyDescent="0.25">
      <c r="A1022" s="64"/>
      <c r="B1022" s="65"/>
      <c r="C1022" s="65"/>
      <c r="D1022" s="65"/>
      <c r="E1022" s="65"/>
      <c r="F1022" s="65"/>
      <c r="G1022" s="68"/>
      <c r="H1022" s="67"/>
    </row>
    <row r="1023" spans="1:8" x14ac:dyDescent="0.25">
      <c r="A1023" s="69" t="s">
        <v>393</v>
      </c>
      <c r="B1023" s="70"/>
      <c r="C1023" s="70"/>
      <c r="D1023" s="71"/>
      <c r="E1023" s="59" t="s">
        <v>36</v>
      </c>
      <c r="F1023" s="59" t="s">
        <v>266</v>
      </c>
      <c r="G1023" s="52"/>
      <c r="H1023" s="72"/>
    </row>
    <row r="1024" spans="1:8" x14ac:dyDescent="0.25">
      <c r="A1024" s="73" t="s">
        <v>920</v>
      </c>
      <c r="B1024" s="70"/>
      <c r="C1024" s="70"/>
      <c r="D1024" s="71"/>
      <c r="E1024" s="75">
        <f>F1024*E1011</f>
        <v>2</v>
      </c>
      <c r="F1024" s="61">
        <v>2</v>
      </c>
      <c r="G1024" s="76"/>
      <c r="H1024" s="77"/>
    </row>
    <row r="1025" spans="1:8" x14ac:dyDescent="0.25">
      <c r="A1025" s="73" t="s">
        <v>921</v>
      </c>
      <c r="B1025" s="70"/>
      <c r="C1025" s="70"/>
      <c r="D1025" s="71"/>
      <c r="E1025" s="75">
        <f>2*E1011</f>
        <v>2</v>
      </c>
      <c r="F1025" s="61" t="s">
        <v>930</v>
      </c>
      <c r="G1025" s="65"/>
      <c r="H1025" s="77"/>
    </row>
    <row r="1026" spans="1:8" x14ac:dyDescent="0.25">
      <c r="A1026" s="73" t="s">
        <v>399</v>
      </c>
      <c r="B1026" s="70"/>
      <c r="C1026" s="70"/>
      <c r="D1026" s="71"/>
      <c r="E1026" s="75">
        <f>3*(C1011/1000)*E1011</f>
        <v>7.5</v>
      </c>
      <c r="F1026" s="61" t="s">
        <v>931</v>
      </c>
      <c r="G1026" s="65"/>
      <c r="H1026" s="77"/>
    </row>
    <row r="1027" spans="1:8" x14ac:dyDescent="0.25">
      <c r="A1027" s="73" t="s">
        <v>922</v>
      </c>
      <c r="B1027" s="70"/>
      <c r="C1027" s="70"/>
      <c r="D1027" s="71"/>
      <c r="E1027" s="75">
        <f>A1011/100+C1011/50*E1011</f>
        <v>75</v>
      </c>
      <c r="F1027" s="61" t="s">
        <v>828</v>
      </c>
      <c r="G1027" s="65"/>
      <c r="H1027" s="77"/>
    </row>
    <row r="1028" spans="1:8" x14ac:dyDescent="0.25">
      <c r="A1028" s="73" t="s">
        <v>528</v>
      </c>
      <c r="B1028" s="70"/>
      <c r="C1028" s="70"/>
      <c r="D1028" s="71"/>
      <c r="E1028" s="75"/>
      <c r="F1028" s="61" t="s">
        <v>402</v>
      </c>
      <c r="G1028" s="65"/>
      <c r="H1028" s="77"/>
    </row>
    <row r="1029" spans="1:8" x14ac:dyDescent="0.25">
      <c r="A1029" s="73" t="s">
        <v>530</v>
      </c>
      <c r="B1029" s="70"/>
      <c r="C1029" s="70"/>
      <c r="D1029" s="71"/>
      <c r="E1029" s="75"/>
      <c r="F1029" s="61" t="s">
        <v>402</v>
      </c>
      <c r="G1029" s="65"/>
      <c r="H1029" s="77"/>
    </row>
    <row r="1030" spans="1:8" x14ac:dyDescent="0.25">
      <c r="A1030" s="73" t="s">
        <v>923</v>
      </c>
      <c r="B1030" s="70"/>
      <c r="C1030" s="70"/>
      <c r="D1030" s="71"/>
      <c r="E1030" s="75">
        <f>F1030*E1011</f>
        <v>1</v>
      </c>
      <c r="F1030" s="61">
        <v>1</v>
      </c>
      <c r="G1030" s="65"/>
      <c r="H1030" s="77"/>
    </row>
    <row r="1031" spans="1:8" x14ac:dyDescent="0.25">
      <c r="A1031" s="73" t="s">
        <v>911</v>
      </c>
      <c r="B1031" s="70"/>
      <c r="C1031" s="70"/>
      <c r="D1031" s="71"/>
      <c r="E1031" s="75">
        <f>F1031*E1011</f>
        <v>2</v>
      </c>
      <c r="F1031" s="61">
        <v>2</v>
      </c>
      <c r="G1031" s="65"/>
      <c r="H1031" s="77"/>
    </row>
    <row r="1032" spans="1:8" x14ac:dyDescent="0.25">
      <c r="A1032" s="73" t="s">
        <v>893</v>
      </c>
      <c r="B1032" s="70"/>
      <c r="C1032" s="70"/>
      <c r="D1032" s="71"/>
      <c r="E1032" s="75">
        <f>F1032*E1011</f>
        <v>56</v>
      </c>
      <c r="F1032" s="61">
        <v>56</v>
      </c>
      <c r="G1032" s="65"/>
      <c r="H1032" s="77"/>
    </row>
    <row r="1033" spans="1:8" x14ac:dyDescent="0.25">
      <c r="A1033" s="73" t="s">
        <v>894</v>
      </c>
      <c r="B1033" s="70"/>
      <c r="C1033" s="70"/>
      <c r="D1033" s="71"/>
      <c r="E1033" s="75">
        <f>F1033*E1011</f>
        <v>8</v>
      </c>
      <c r="F1033" s="61">
        <v>8</v>
      </c>
      <c r="G1033" s="65"/>
      <c r="H1033" s="77"/>
    </row>
    <row r="1034" spans="1:8" x14ac:dyDescent="0.25">
      <c r="A1034" s="52"/>
      <c r="B1034" s="53"/>
      <c r="C1034" s="53"/>
      <c r="D1034" s="53"/>
      <c r="E1034" s="53"/>
      <c r="F1034" s="65"/>
      <c r="G1034" s="65"/>
      <c r="H1034" s="51"/>
    </row>
    <row r="1035" spans="1:8" x14ac:dyDescent="0.25">
      <c r="A1035" s="52"/>
      <c r="B1035" s="53"/>
      <c r="C1035" s="53"/>
      <c r="D1035" s="53"/>
      <c r="E1035" s="53"/>
      <c r="F1035" s="53"/>
      <c r="G1035" s="53"/>
      <c r="H1035" s="83"/>
    </row>
    <row r="1036" spans="1:8" x14ac:dyDescent="0.25">
      <c r="A1036" s="59" t="s">
        <v>413</v>
      </c>
      <c r="B1036" s="84" t="s">
        <v>266</v>
      </c>
      <c r="C1036" s="84" t="s">
        <v>383</v>
      </c>
      <c r="D1036" s="405" t="s">
        <v>414</v>
      </c>
      <c r="E1036" s="406"/>
      <c r="F1036" s="85" t="s">
        <v>415</v>
      </c>
      <c r="G1036" s="59" t="s">
        <v>416</v>
      </c>
      <c r="H1036" s="86"/>
    </row>
    <row r="1037" spans="1:8" x14ac:dyDescent="0.25">
      <c r="A1037" s="87"/>
      <c r="B1037" s="61">
        <f>2*E1011</f>
        <v>2</v>
      </c>
      <c r="C1037" s="61" t="s">
        <v>932</v>
      </c>
      <c r="D1037" s="407">
        <f>A1011/2-147</f>
        <v>1103</v>
      </c>
      <c r="E1037" s="408"/>
      <c r="F1037" s="61">
        <f>C1011-148</f>
        <v>2352</v>
      </c>
      <c r="G1037" s="91">
        <f>+(D1037/1000)*(F1037/1000)*B1037</f>
        <v>5.1885119999999993</v>
      </c>
      <c r="H1037" s="92"/>
    </row>
    <row r="1038" spans="1:8" x14ac:dyDescent="0.25">
      <c r="A1038" s="79"/>
      <c r="B1038" s="53"/>
      <c r="C1038" s="53"/>
      <c r="D1038" s="53"/>
      <c r="E1038" s="53"/>
      <c r="F1038" s="94" t="s">
        <v>815</v>
      </c>
      <c r="G1038" s="95">
        <f>SUM(G1037:G1037)</f>
        <v>5.1885119999999993</v>
      </c>
      <c r="H1038" s="51"/>
    </row>
    <row r="1039" spans="1:8" x14ac:dyDescent="0.25">
      <c r="A1039" s="79"/>
      <c r="B1039" s="53"/>
      <c r="C1039" s="53"/>
      <c r="D1039" s="53"/>
      <c r="E1039" s="53"/>
      <c r="F1039" s="94"/>
      <c r="G1039" s="96"/>
      <c r="H1039" s="51"/>
    </row>
    <row r="1040" spans="1:8" x14ac:dyDescent="0.25">
      <c r="A1040" s="79"/>
      <c r="B1040" s="53"/>
      <c r="C1040" s="53"/>
      <c r="D1040" s="53"/>
      <c r="E1040" s="53"/>
      <c r="F1040" s="94"/>
      <c r="G1040" s="96"/>
      <c r="H1040" s="51"/>
    </row>
    <row r="1041" spans="1:8" x14ac:dyDescent="0.25">
      <c r="A1041" s="79"/>
      <c r="B1041" s="53"/>
      <c r="C1041" s="53"/>
      <c r="D1041" s="53"/>
      <c r="E1041" s="53"/>
      <c r="F1041" s="94"/>
      <c r="G1041" s="96"/>
      <c r="H1041" s="51"/>
    </row>
    <row r="1042" spans="1:8" x14ac:dyDescent="0.25">
      <c r="A1042" s="79"/>
      <c r="B1042" s="53"/>
      <c r="C1042" s="53"/>
      <c r="D1042" s="53"/>
      <c r="E1042" s="53"/>
      <c r="F1042" s="94"/>
      <c r="G1042" s="96"/>
      <c r="H1042" s="51"/>
    </row>
    <row r="1043" spans="1:8" x14ac:dyDescent="0.25">
      <c r="A1043" s="79"/>
      <c r="B1043" s="53"/>
      <c r="C1043" s="53"/>
      <c r="D1043" s="53"/>
      <c r="E1043" s="53"/>
      <c r="F1043" s="94"/>
      <c r="G1043" s="96"/>
      <c r="H1043" s="51"/>
    </row>
    <row r="1044" spans="1:8" x14ac:dyDescent="0.25">
      <c r="A1044" s="79"/>
      <c r="B1044" s="53"/>
      <c r="C1044" s="53"/>
      <c r="D1044" s="53"/>
      <c r="E1044" s="53"/>
      <c r="F1044" s="94"/>
      <c r="G1044" s="96"/>
      <c r="H1044" s="51"/>
    </row>
    <row r="1045" spans="1:8" x14ac:dyDescent="0.25">
      <c r="A1045" s="79"/>
      <c r="B1045" s="53"/>
      <c r="C1045" s="53"/>
      <c r="D1045" s="53"/>
      <c r="E1045" s="53"/>
      <c r="F1045" s="94"/>
      <c r="G1045" s="96"/>
      <c r="H1045" s="51"/>
    </row>
    <row r="1046" spans="1:8" x14ac:dyDescent="0.25">
      <c r="A1046" s="79"/>
      <c r="B1046" s="53"/>
      <c r="C1046" s="53"/>
      <c r="D1046" s="53"/>
      <c r="E1046" s="53"/>
      <c r="F1046" s="94"/>
      <c r="G1046" s="96"/>
      <c r="H1046" s="51"/>
    </row>
    <row r="1047" spans="1:8" x14ac:dyDescent="0.25">
      <c r="A1047" s="79"/>
      <c r="B1047" s="53"/>
      <c r="C1047" s="53"/>
      <c r="D1047" s="53"/>
      <c r="E1047" s="53"/>
      <c r="F1047" s="94"/>
      <c r="G1047" s="96"/>
      <c r="H1047" s="51"/>
    </row>
    <row r="1048" spans="1:8" x14ac:dyDescent="0.25">
      <c r="A1048" s="79"/>
      <c r="B1048" s="53"/>
      <c r="C1048" s="53"/>
      <c r="D1048" s="53"/>
      <c r="E1048" s="53"/>
      <c r="F1048" s="94"/>
      <c r="G1048" s="96"/>
      <c r="H1048" s="51"/>
    </row>
    <row r="1049" spans="1:8" x14ac:dyDescent="0.25">
      <c r="A1049" s="79"/>
      <c r="B1049" s="53"/>
      <c r="C1049" s="53"/>
      <c r="D1049" s="53"/>
      <c r="E1049" s="53"/>
      <c r="F1049" s="94"/>
      <c r="G1049" s="96"/>
      <c r="H1049" s="51"/>
    </row>
    <row r="1050" spans="1:8" x14ac:dyDescent="0.25">
      <c r="A1050" s="79"/>
      <c r="B1050" s="53"/>
      <c r="C1050" s="53"/>
      <c r="D1050" s="53"/>
      <c r="E1050" s="53"/>
      <c r="F1050" s="94"/>
      <c r="G1050" s="96"/>
      <c r="H1050" s="51"/>
    </row>
    <row r="1051" spans="1:8" x14ac:dyDescent="0.25">
      <c r="A1051" s="79"/>
      <c r="B1051" s="53"/>
      <c r="C1051" s="53"/>
      <c r="D1051" s="53"/>
      <c r="E1051" s="53"/>
      <c r="F1051" s="94"/>
      <c r="G1051" s="96"/>
      <c r="H1051" s="51"/>
    </row>
    <row r="1052" spans="1:8" x14ac:dyDescent="0.25">
      <c r="A1052" s="79"/>
      <c r="B1052" s="53"/>
      <c r="C1052" s="53"/>
      <c r="D1052" s="53"/>
      <c r="E1052" s="53"/>
      <c r="F1052" s="94"/>
      <c r="G1052" s="96"/>
      <c r="H1052" s="51"/>
    </row>
    <row r="1053" spans="1:8" x14ac:dyDescent="0.25">
      <c r="A1053" s="79"/>
      <c r="B1053" s="53"/>
      <c r="C1053" s="53"/>
      <c r="D1053" s="53"/>
      <c r="E1053" s="53"/>
      <c r="F1053" s="94"/>
      <c r="G1053" s="96"/>
      <c r="H1053" s="51"/>
    </row>
    <row r="1054" spans="1:8" x14ac:dyDescent="0.25">
      <c r="A1054" s="79"/>
      <c r="B1054" s="53"/>
      <c r="C1054" s="53"/>
      <c r="D1054" s="53"/>
      <c r="E1054" s="53"/>
      <c r="F1054" s="94"/>
      <c r="G1054" s="96"/>
      <c r="H1054" s="51"/>
    </row>
    <row r="1055" spans="1:8" x14ac:dyDescent="0.25">
      <c r="A1055" s="79"/>
      <c r="B1055" s="53"/>
      <c r="C1055" s="53"/>
      <c r="D1055" s="53"/>
      <c r="E1055" s="53"/>
      <c r="F1055" s="94"/>
      <c r="G1055" s="96"/>
      <c r="H1055" s="51"/>
    </row>
    <row r="1056" spans="1:8" x14ac:dyDescent="0.25">
      <c r="A1056" s="79"/>
      <c r="B1056" s="53"/>
      <c r="C1056" s="53"/>
      <c r="D1056" s="53"/>
      <c r="E1056" s="53"/>
      <c r="F1056" s="94"/>
      <c r="G1056" s="96"/>
      <c r="H1056" s="51"/>
    </row>
    <row r="1057" spans="1:8" x14ac:dyDescent="0.25">
      <c r="A1057" s="79"/>
      <c r="B1057" s="53"/>
      <c r="C1057" s="53"/>
      <c r="D1057" s="53"/>
      <c r="E1057" s="53"/>
      <c r="F1057" s="94"/>
      <c r="G1057" s="96"/>
      <c r="H1057" s="51"/>
    </row>
    <row r="1058" spans="1:8" x14ac:dyDescent="0.25">
      <c r="A1058" s="79"/>
      <c r="B1058" s="53"/>
      <c r="C1058" s="53"/>
      <c r="D1058" s="53"/>
      <c r="E1058" s="53"/>
      <c r="F1058" s="94"/>
      <c r="G1058" s="96"/>
      <c r="H1058" s="51"/>
    </row>
    <row r="1059" spans="1:8" x14ac:dyDescent="0.25">
      <c r="A1059" s="52"/>
      <c r="B1059" s="53"/>
      <c r="C1059" s="53"/>
      <c r="D1059" s="53"/>
      <c r="E1059" s="53"/>
      <c r="F1059" s="53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0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45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53"/>
      <c r="G1063" s="53"/>
      <c r="H1063" s="51"/>
    </row>
    <row r="1064" spans="1:8" x14ac:dyDescent="0.25">
      <c r="A1064" s="179" t="s">
        <v>933</v>
      </c>
      <c r="B1064" s="48"/>
      <c r="C1064" s="49"/>
      <c r="D1064" s="122"/>
      <c r="E1064" s="122"/>
      <c r="F1064" s="50"/>
      <c r="G1064" s="54" t="s">
        <v>934</v>
      </c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53"/>
      <c r="G1065" s="53"/>
      <c r="H1065" s="51"/>
    </row>
    <row r="1066" spans="1:8" ht="16.5" thickBot="1" x14ac:dyDescent="0.3">
      <c r="A1066" s="400" t="s">
        <v>381</v>
      </c>
      <c r="B1066" s="401"/>
      <c r="C1066" s="402" t="s">
        <v>382</v>
      </c>
      <c r="D1066" s="401"/>
      <c r="E1066" s="55" t="s">
        <v>266</v>
      </c>
      <c r="F1066" s="53"/>
      <c r="G1066" s="53"/>
      <c r="H1066" s="51"/>
    </row>
    <row r="1067" spans="1:8" ht="16.5" thickBot="1" x14ac:dyDescent="0.3">
      <c r="A1067" s="403">
        <v>2500</v>
      </c>
      <c r="B1067" s="404"/>
      <c r="C1067" s="403">
        <v>2500</v>
      </c>
      <c r="D1067" s="404"/>
      <c r="E1067" s="56">
        <v>1</v>
      </c>
      <c r="F1067" s="53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4315</v>
      </c>
      <c r="B1070" s="61">
        <f>2*E1067</f>
        <v>2</v>
      </c>
      <c r="C1070" s="61" t="s">
        <v>914</v>
      </c>
      <c r="D1070" s="61">
        <f>C1067-12</f>
        <v>2488</v>
      </c>
      <c r="E1070" s="61" t="s">
        <v>340</v>
      </c>
      <c r="F1070" s="62" t="s">
        <v>915</v>
      </c>
      <c r="G1070" s="63">
        <v>0.17599999999999999</v>
      </c>
      <c r="H1070" s="63">
        <f>(D1070/1000)*B1070*G1070</f>
        <v>0.875776</v>
      </c>
    </row>
    <row r="1071" spans="1:8" x14ac:dyDescent="0.25">
      <c r="A1071" s="60">
        <v>4313</v>
      </c>
      <c r="B1071" s="61">
        <f>2*E1067</f>
        <v>2</v>
      </c>
      <c r="C1071" s="61" t="s">
        <v>916</v>
      </c>
      <c r="D1071" s="61">
        <f>A1067-128</f>
        <v>2372</v>
      </c>
      <c r="E1071" s="61" t="s">
        <v>340</v>
      </c>
      <c r="F1071" s="62" t="s">
        <v>935</v>
      </c>
      <c r="G1071" s="63">
        <v>0.80100000000000005</v>
      </c>
      <c r="H1071" s="63">
        <f>(D1071/1000)*B1071*G1071</f>
        <v>3.799944</v>
      </c>
    </row>
    <row r="1072" spans="1:8" x14ac:dyDescent="0.25">
      <c r="A1072" s="60">
        <v>4314</v>
      </c>
      <c r="B1072" s="61">
        <f>4*E1067</f>
        <v>4</v>
      </c>
      <c r="C1072" s="61" t="s">
        <v>916</v>
      </c>
      <c r="D1072" s="61">
        <f>A1067-128</f>
        <v>2372</v>
      </c>
      <c r="E1072" s="61" t="s">
        <v>336</v>
      </c>
      <c r="F1072" s="62" t="s">
        <v>936</v>
      </c>
      <c r="G1072" s="63">
        <v>0.158</v>
      </c>
      <c r="H1072" s="63">
        <f>(D1072/1000)*B1072*G1072</f>
        <v>1.499104</v>
      </c>
    </row>
    <row r="1073" spans="1:8" x14ac:dyDescent="0.25">
      <c r="A1073" s="60">
        <v>4313</v>
      </c>
      <c r="B1073" s="61">
        <f>2*E1067</f>
        <v>2</v>
      </c>
      <c r="C1073" s="61" t="s">
        <v>914</v>
      </c>
      <c r="D1073" s="61">
        <f>C1067-12</f>
        <v>2488</v>
      </c>
      <c r="E1073" s="61" t="s">
        <v>340</v>
      </c>
      <c r="F1073" s="62" t="s">
        <v>937</v>
      </c>
      <c r="G1073" s="63">
        <v>0.80100000000000005</v>
      </c>
      <c r="H1073" s="63">
        <f>(D1073/1000)*B1073*G1073</f>
        <v>3.9857760000000004</v>
      </c>
    </row>
    <row r="1074" spans="1:8" x14ac:dyDescent="0.25">
      <c r="A1074" s="60">
        <v>4314</v>
      </c>
      <c r="B1074" s="61">
        <f>4*E1067</f>
        <v>4</v>
      </c>
      <c r="C1074" s="61" t="s">
        <v>342</v>
      </c>
      <c r="D1074" s="61">
        <f>C1067-28</f>
        <v>2472</v>
      </c>
      <c r="E1074" s="61" t="s">
        <v>336</v>
      </c>
      <c r="F1074" s="62" t="s">
        <v>919</v>
      </c>
      <c r="G1074" s="63">
        <v>0.158</v>
      </c>
      <c r="H1074" s="63">
        <f>(D1074/1000)*B1074*G1074</f>
        <v>1.5623039999999999</v>
      </c>
    </row>
    <row r="1075" spans="1:8" x14ac:dyDescent="0.25">
      <c r="A1075" s="64"/>
      <c r="B1075" s="65"/>
      <c r="C1075" s="65"/>
      <c r="D1075" s="65"/>
      <c r="E1075" s="65"/>
      <c r="F1075" s="65"/>
      <c r="G1075" s="63" t="s">
        <v>392</v>
      </c>
      <c r="H1075" s="63">
        <f>SUM(H1070:H1074)</f>
        <v>11.722904</v>
      </c>
    </row>
    <row r="1076" spans="1:8" x14ac:dyDescent="0.25">
      <c r="A1076" s="64"/>
      <c r="B1076" s="65"/>
      <c r="C1076" s="65"/>
      <c r="D1076" s="65"/>
      <c r="E1076" s="65"/>
      <c r="F1076" s="65"/>
      <c r="G1076" s="66"/>
      <c r="H1076" s="67"/>
    </row>
    <row r="1077" spans="1:8" x14ac:dyDescent="0.25">
      <c r="A1077" s="64"/>
      <c r="B1077" s="65"/>
      <c r="C1077" s="65"/>
      <c r="D1077" s="65"/>
      <c r="E1077" s="65"/>
      <c r="F1077" s="65"/>
      <c r="G1077" s="68"/>
      <c r="H1077" s="67"/>
    </row>
    <row r="1078" spans="1:8" x14ac:dyDescent="0.25">
      <c r="A1078" s="69" t="s">
        <v>393</v>
      </c>
      <c r="B1078" s="70"/>
      <c r="C1078" s="70"/>
      <c r="D1078" s="71"/>
      <c r="E1078" s="59" t="s">
        <v>36</v>
      </c>
      <c r="F1078" s="59" t="s">
        <v>266</v>
      </c>
      <c r="G1078" s="52"/>
      <c r="H1078" s="72"/>
    </row>
    <row r="1079" spans="1:8" x14ac:dyDescent="0.25">
      <c r="A1079" s="73" t="s">
        <v>920</v>
      </c>
      <c r="B1079" s="70"/>
      <c r="C1079" s="70"/>
      <c r="D1079" s="71"/>
      <c r="E1079" s="75">
        <f>F1079*E1067</f>
        <v>1</v>
      </c>
      <c r="F1079" s="61">
        <v>1</v>
      </c>
      <c r="G1079" s="76"/>
      <c r="H1079" s="77"/>
    </row>
    <row r="1080" spans="1:8" x14ac:dyDescent="0.25">
      <c r="A1080" s="73" t="s">
        <v>921</v>
      </c>
      <c r="B1080" s="70"/>
      <c r="C1080" s="70"/>
      <c r="D1080" s="71"/>
      <c r="E1080" s="75">
        <f>1*E1067</f>
        <v>1</v>
      </c>
      <c r="F1080" s="61" t="s">
        <v>888</v>
      </c>
      <c r="G1080" s="65"/>
      <c r="H1080" s="77"/>
    </row>
    <row r="1081" spans="1:8" x14ac:dyDescent="0.25">
      <c r="A1081" s="73" t="s">
        <v>399</v>
      </c>
      <c r="B1081" s="70"/>
      <c r="C1081" s="70"/>
      <c r="D1081" s="71"/>
      <c r="E1081" s="75">
        <f>2*(C1067/1000)*E1067</f>
        <v>5</v>
      </c>
      <c r="F1081" s="61" t="s">
        <v>400</v>
      </c>
      <c r="G1081" s="65"/>
      <c r="H1081" s="77"/>
    </row>
    <row r="1082" spans="1:8" x14ac:dyDescent="0.25">
      <c r="A1082" s="73" t="s">
        <v>922</v>
      </c>
      <c r="B1082" s="70"/>
      <c r="C1082" s="70"/>
      <c r="D1082" s="71"/>
      <c r="E1082" s="75">
        <f>A1067/100+C1067/100*E1067</f>
        <v>50</v>
      </c>
      <c r="F1082" s="61" t="s">
        <v>824</v>
      </c>
      <c r="G1082" s="65"/>
      <c r="H1082" s="77"/>
    </row>
    <row r="1083" spans="1:8" x14ac:dyDescent="0.25">
      <c r="A1083" s="73" t="s">
        <v>528</v>
      </c>
      <c r="B1083" s="70"/>
      <c r="C1083" s="70"/>
      <c r="D1083" s="71"/>
      <c r="E1083" s="75">
        <f>2*(A1067/1000)+2*(C1067/1000)*E1067</f>
        <v>10</v>
      </c>
      <c r="F1083" s="61" t="s">
        <v>448</v>
      </c>
      <c r="G1083" s="65"/>
      <c r="H1083" s="77"/>
    </row>
    <row r="1084" spans="1:8" x14ac:dyDescent="0.25">
      <c r="A1084" s="73" t="s">
        <v>530</v>
      </c>
      <c r="B1084" s="70"/>
      <c r="C1084" s="70"/>
      <c r="D1084" s="71"/>
      <c r="E1084" s="75">
        <f>2*(A1067/1000)+2*(C1067/1000)*E1067</f>
        <v>10</v>
      </c>
      <c r="F1084" s="61" t="s">
        <v>448</v>
      </c>
      <c r="G1084" s="65"/>
      <c r="H1084" s="77"/>
    </row>
    <row r="1085" spans="1:8" x14ac:dyDescent="0.25">
      <c r="A1085" s="73" t="s">
        <v>923</v>
      </c>
      <c r="B1085" s="70"/>
      <c r="C1085" s="70"/>
      <c r="D1085" s="71"/>
      <c r="E1085" s="75">
        <f>F1085*E1067</f>
        <v>1</v>
      </c>
      <c r="F1085" s="61">
        <v>1</v>
      </c>
      <c r="G1085" s="65"/>
      <c r="H1085" s="77"/>
    </row>
    <row r="1086" spans="1:8" x14ac:dyDescent="0.25">
      <c r="A1086" s="73" t="s">
        <v>893</v>
      </c>
      <c r="B1086" s="70"/>
      <c r="C1086" s="70"/>
      <c r="D1086" s="71"/>
      <c r="E1086" s="75">
        <f>F1086*E1067</f>
        <v>28</v>
      </c>
      <c r="F1086" s="61">
        <v>28</v>
      </c>
      <c r="G1086" s="65"/>
      <c r="H1086" s="77"/>
    </row>
    <row r="1087" spans="1:8" x14ac:dyDescent="0.25">
      <c r="A1087" s="73" t="s">
        <v>894</v>
      </c>
      <c r="B1087" s="70"/>
      <c r="C1087" s="70"/>
      <c r="D1087" s="71"/>
      <c r="E1087" s="75">
        <f>F1087*E1067</f>
        <v>4</v>
      </c>
      <c r="F1087" s="61">
        <v>4</v>
      </c>
      <c r="G1087" s="65"/>
      <c r="H1087" s="77"/>
    </row>
    <row r="1088" spans="1:8" x14ac:dyDescent="0.25">
      <c r="A1088" s="52"/>
      <c r="B1088" s="53"/>
      <c r="C1088" s="53"/>
      <c r="D1088" s="53"/>
      <c r="E1088" s="53"/>
      <c r="F1088" s="65"/>
      <c r="G1088" s="65"/>
      <c r="H1088" s="51"/>
    </row>
    <row r="1089" spans="1:8" x14ac:dyDescent="0.25">
      <c r="A1089" s="52"/>
      <c r="B1089" s="53"/>
      <c r="C1089" s="53"/>
      <c r="D1089" s="53"/>
      <c r="E1089" s="53"/>
      <c r="F1089" s="53"/>
      <c r="G1089" s="53"/>
      <c r="H1089" s="83"/>
    </row>
    <row r="1090" spans="1:8" x14ac:dyDescent="0.25">
      <c r="A1090" s="59" t="s">
        <v>413</v>
      </c>
      <c r="B1090" s="84" t="s">
        <v>266</v>
      </c>
      <c r="C1090" s="84" t="s">
        <v>383</v>
      </c>
      <c r="D1090" s="405" t="s">
        <v>414</v>
      </c>
      <c r="E1090" s="406"/>
      <c r="F1090" s="85" t="s">
        <v>415</v>
      </c>
      <c r="G1090" s="59" t="s">
        <v>416</v>
      </c>
      <c r="H1090" s="86"/>
    </row>
    <row r="1091" spans="1:8" x14ac:dyDescent="0.25">
      <c r="A1091" s="87"/>
      <c r="B1091" s="61">
        <f>1*E1067</f>
        <v>1</v>
      </c>
      <c r="C1091" s="61" t="s">
        <v>938</v>
      </c>
      <c r="D1091" s="407">
        <f>A1067-148</f>
        <v>2352</v>
      </c>
      <c r="E1091" s="408"/>
      <c r="F1091" s="61">
        <f>C1067-148</f>
        <v>2352</v>
      </c>
      <c r="G1091" s="91">
        <f>+(D1091/1000)*(F1091/1000)*B1091</f>
        <v>5.531903999999999</v>
      </c>
      <c r="H1091" s="92"/>
    </row>
    <row r="1092" spans="1:8" x14ac:dyDescent="0.25">
      <c r="A1092" s="79"/>
      <c r="B1092" s="53"/>
      <c r="C1092" s="53"/>
      <c r="D1092" s="53"/>
      <c r="E1092" s="53"/>
      <c r="F1092" s="94" t="s">
        <v>815</v>
      </c>
      <c r="G1092" s="95">
        <f>SUM(G1091:G1091)</f>
        <v>5.531903999999999</v>
      </c>
      <c r="H1092" s="51"/>
    </row>
    <row r="1093" spans="1:8" x14ac:dyDescent="0.25">
      <c r="A1093" s="79"/>
      <c r="B1093" s="53"/>
      <c r="C1093" s="53"/>
      <c r="D1093" s="53"/>
      <c r="E1093" s="53"/>
      <c r="F1093" s="94"/>
      <c r="G1093" s="96"/>
      <c r="H1093" s="51"/>
    </row>
    <row r="1094" spans="1:8" x14ac:dyDescent="0.25">
      <c r="A1094" s="79"/>
      <c r="B1094" s="53"/>
      <c r="C1094" s="53"/>
      <c r="D1094" s="53"/>
      <c r="E1094" s="53"/>
      <c r="F1094" s="94"/>
      <c r="G1094" s="96"/>
      <c r="H1094" s="51"/>
    </row>
    <row r="1095" spans="1:8" x14ac:dyDescent="0.25">
      <c r="A1095" s="79"/>
      <c r="B1095" s="53"/>
      <c r="C1095" s="53"/>
      <c r="D1095" s="53"/>
      <c r="E1095" s="53"/>
      <c r="F1095" s="94"/>
      <c r="G1095" s="96"/>
      <c r="H1095" s="51"/>
    </row>
    <row r="1096" spans="1:8" x14ac:dyDescent="0.25">
      <c r="A1096" s="79"/>
      <c r="B1096" s="53"/>
      <c r="C1096" s="53"/>
      <c r="D1096" s="53"/>
      <c r="E1096" s="53"/>
      <c r="F1096" s="94"/>
      <c r="G1096" s="96"/>
      <c r="H1096" s="51"/>
    </row>
    <row r="1097" spans="1:8" x14ac:dyDescent="0.25">
      <c r="A1097" s="79"/>
      <c r="B1097" s="53"/>
      <c r="C1097" s="53"/>
      <c r="D1097" s="53"/>
      <c r="E1097" s="53"/>
      <c r="F1097" s="94"/>
      <c r="G1097" s="96"/>
      <c r="H1097" s="51"/>
    </row>
    <row r="1098" spans="1:8" x14ac:dyDescent="0.25">
      <c r="A1098" s="79"/>
      <c r="B1098" s="53"/>
      <c r="C1098" s="53"/>
      <c r="D1098" s="53"/>
      <c r="E1098" s="53"/>
      <c r="F1098" s="94"/>
      <c r="G1098" s="96"/>
      <c r="H1098" s="51"/>
    </row>
    <row r="1099" spans="1:8" x14ac:dyDescent="0.25">
      <c r="A1099" s="79"/>
      <c r="B1099" s="53"/>
      <c r="C1099" s="53"/>
      <c r="D1099" s="53"/>
      <c r="E1099" s="53"/>
      <c r="F1099" s="94"/>
      <c r="G1099" s="96"/>
      <c r="H1099" s="51"/>
    </row>
    <row r="1100" spans="1:8" x14ac:dyDescent="0.25">
      <c r="A1100" s="79"/>
      <c r="B1100" s="53"/>
      <c r="C1100" s="53"/>
      <c r="D1100" s="53"/>
      <c r="E1100" s="53"/>
      <c r="F1100" s="94"/>
      <c r="G1100" s="96"/>
      <c r="H1100" s="51"/>
    </row>
    <row r="1101" spans="1:8" x14ac:dyDescent="0.25">
      <c r="A1101" s="79"/>
      <c r="B1101" s="53"/>
      <c r="C1101" s="53"/>
      <c r="D1101" s="53"/>
      <c r="E1101" s="53"/>
      <c r="F1101" s="94"/>
      <c r="G1101" s="96"/>
      <c r="H1101" s="51"/>
    </row>
    <row r="1102" spans="1:8" x14ac:dyDescent="0.25">
      <c r="A1102" s="79"/>
      <c r="B1102" s="53"/>
      <c r="C1102" s="53"/>
      <c r="D1102" s="53"/>
      <c r="E1102" s="53"/>
      <c r="F1102" s="94"/>
      <c r="G1102" s="96"/>
      <c r="H1102" s="51"/>
    </row>
    <row r="1103" spans="1:8" x14ac:dyDescent="0.25">
      <c r="A1103" s="79"/>
      <c r="B1103" s="53"/>
      <c r="C1103" s="53"/>
      <c r="D1103" s="53"/>
      <c r="E1103" s="53"/>
      <c r="F1103" s="94"/>
      <c r="G1103" s="96"/>
      <c r="H1103" s="51"/>
    </row>
    <row r="1104" spans="1:8" x14ac:dyDescent="0.25">
      <c r="A1104" s="79"/>
      <c r="B1104" s="53"/>
      <c r="C1104" s="53"/>
      <c r="D1104" s="53"/>
      <c r="E1104" s="53"/>
      <c r="F1104" s="94"/>
      <c r="G1104" s="96"/>
      <c r="H1104" s="51"/>
    </row>
    <row r="1105" spans="1:8" x14ac:dyDescent="0.25">
      <c r="A1105" s="79"/>
      <c r="B1105" s="53"/>
      <c r="C1105" s="53"/>
      <c r="D1105" s="53"/>
      <c r="E1105" s="53"/>
      <c r="F1105" s="94"/>
      <c r="G1105" s="96"/>
      <c r="H1105" s="51"/>
    </row>
    <row r="1106" spans="1:8" x14ac:dyDescent="0.25">
      <c r="A1106" s="79"/>
      <c r="B1106" s="53"/>
      <c r="C1106" s="53"/>
      <c r="D1106" s="53"/>
      <c r="E1106" s="53"/>
      <c r="F1106" s="94"/>
      <c r="G1106" s="96"/>
      <c r="H1106" s="51"/>
    </row>
    <row r="1107" spans="1:8" x14ac:dyDescent="0.25">
      <c r="A1107" s="79"/>
      <c r="B1107" s="53"/>
      <c r="C1107" s="53"/>
      <c r="D1107" s="53"/>
      <c r="E1107" s="53"/>
      <c r="F1107" s="94"/>
      <c r="G1107" s="96"/>
      <c r="H1107" s="51"/>
    </row>
    <row r="1108" spans="1:8" x14ac:dyDescent="0.25">
      <c r="A1108" s="79"/>
      <c r="B1108" s="53"/>
      <c r="C1108" s="53"/>
      <c r="D1108" s="53"/>
      <c r="E1108" s="53"/>
      <c r="F1108" s="94"/>
      <c r="G1108" s="96"/>
      <c r="H1108" s="51"/>
    </row>
    <row r="1109" spans="1:8" x14ac:dyDescent="0.25">
      <c r="A1109" s="79"/>
      <c r="B1109" s="53"/>
      <c r="C1109" s="53"/>
      <c r="D1109" s="53"/>
      <c r="E1109" s="53"/>
      <c r="F1109" s="94"/>
      <c r="G1109" s="96"/>
      <c r="H1109" s="51"/>
    </row>
    <row r="1110" spans="1:8" x14ac:dyDescent="0.25">
      <c r="A1110" s="79"/>
      <c r="B1110" s="53"/>
      <c r="C1110" s="53"/>
      <c r="D1110" s="53"/>
      <c r="E1110" s="53"/>
      <c r="F1110" s="94"/>
      <c r="G1110" s="96"/>
      <c r="H1110" s="51"/>
    </row>
    <row r="1111" spans="1:8" x14ac:dyDescent="0.25">
      <c r="A1111" s="79"/>
      <c r="B1111" s="53"/>
      <c r="C1111" s="53"/>
      <c r="D1111" s="53"/>
      <c r="E1111" s="53"/>
      <c r="F1111" s="94"/>
      <c r="G1111" s="96"/>
      <c r="H1111" s="51"/>
    </row>
    <row r="1112" spans="1:8" x14ac:dyDescent="0.25">
      <c r="A1112" s="79"/>
      <c r="B1112" s="5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53"/>
      <c r="C1113" s="53"/>
      <c r="D1113" s="53"/>
      <c r="E1113" s="53"/>
      <c r="F1113" s="53"/>
      <c r="G1113" s="53"/>
      <c r="H1113" s="51"/>
    </row>
    <row r="1114" spans="1:8" x14ac:dyDescent="0.25">
      <c r="A1114" s="52"/>
      <c r="B1114" s="53"/>
      <c r="C1114" s="53"/>
      <c r="D1114" s="53"/>
      <c r="E1114" s="53"/>
      <c r="F1114" s="53"/>
      <c r="G1114" s="53"/>
      <c r="H1114" s="51"/>
    </row>
    <row r="1115" spans="1:8" x14ac:dyDescent="0.25">
      <c r="A1115" s="52"/>
      <c r="B1115" s="53"/>
      <c r="C1115" s="53"/>
      <c r="D1115" s="53"/>
      <c r="E1115" s="53"/>
      <c r="F1115" s="53"/>
      <c r="G1115" s="53"/>
      <c r="H1115" s="51"/>
    </row>
    <row r="1116" spans="1:8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x14ac:dyDescent="0.25">
      <c r="A1117" s="100"/>
      <c r="B1117" s="100"/>
      <c r="C1117" s="100"/>
      <c r="D1117" s="100"/>
      <c r="E1117" s="100"/>
      <c r="F1117" s="100"/>
      <c r="G1117" s="100"/>
      <c r="H1117" s="100"/>
    </row>
    <row r="1118" spans="1:8" x14ac:dyDescent="0.25">
      <c r="A1118" s="44"/>
      <c r="B1118" s="45"/>
      <c r="C1118" s="45"/>
      <c r="D1118" s="45"/>
      <c r="E1118" s="45"/>
      <c r="F1118" s="45"/>
      <c r="G1118" s="45"/>
      <c r="H1118" s="46"/>
    </row>
    <row r="1119" spans="1:8" x14ac:dyDescent="0.25">
      <c r="A1119" s="52"/>
      <c r="B1119" s="53"/>
      <c r="C1119" s="53"/>
      <c r="D1119" s="53"/>
      <c r="E1119" s="53"/>
      <c r="F1119" s="53"/>
      <c r="G1119" s="53"/>
      <c r="H1119" s="51"/>
    </row>
    <row r="1120" spans="1:8" x14ac:dyDescent="0.25">
      <c r="A1120" s="179" t="s">
        <v>939</v>
      </c>
      <c r="B1120" s="48"/>
      <c r="C1120" s="49"/>
      <c r="D1120" s="122"/>
      <c r="E1120" s="122"/>
      <c r="F1120" s="50"/>
      <c r="G1120" s="54" t="s">
        <v>940</v>
      </c>
      <c r="H1120" s="103"/>
    </row>
    <row r="1121" spans="1:8" ht="16.5" thickBot="1" x14ac:dyDescent="0.3">
      <c r="A1121" s="52"/>
      <c r="B1121" s="53"/>
      <c r="C1121" s="53"/>
      <c r="D1121" s="53"/>
      <c r="E1121" s="53"/>
      <c r="F1121" s="53"/>
      <c r="G1121" s="53"/>
      <c r="H1121" s="51"/>
    </row>
    <row r="1122" spans="1:8" ht="16.5" thickBot="1" x14ac:dyDescent="0.3">
      <c r="A1122" s="400" t="s">
        <v>381</v>
      </c>
      <c r="B1122" s="401"/>
      <c r="C1122" s="402" t="s">
        <v>382</v>
      </c>
      <c r="D1122" s="401"/>
      <c r="E1122" s="55" t="s">
        <v>266</v>
      </c>
      <c r="F1122" s="53"/>
      <c r="G1122" s="53"/>
      <c r="H1122" s="51"/>
    </row>
    <row r="1123" spans="1:8" ht="16.5" thickBot="1" x14ac:dyDescent="0.3">
      <c r="A1123" s="403">
        <v>2500</v>
      </c>
      <c r="B1123" s="404"/>
      <c r="C1123" s="403">
        <v>2500</v>
      </c>
      <c r="D1123" s="404"/>
      <c r="E1123" s="56">
        <v>1</v>
      </c>
      <c r="F1123" s="53"/>
      <c r="G1123" s="53"/>
      <c r="H1123" s="51"/>
    </row>
    <row r="1124" spans="1:8" x14ac:dyDescent="0.25">
      <c r="A1124" s="52"/>
      <c r="B1124" s="58"/>
      <c r="C1124" s="58"/>
      <c r="D1124" s="58"/>
      <c r="E1124" s="58"/>
      <c r="F1124" s="58"/>
      <c r="G1124" s="53"/>
      <c r="H1124" s="83"/>
    </row>
    <row r="1125" spans="1:8" x14ac:dyDescent="0.25">
      <c r="A1125" s="59" t="s">
        <v>323</v>
      </c>
      <c r="B1125" s="59" t="s">
        <v>266</v>
      </c>
      <c r="C1125" s="59" t="s">
        <v>383</v>
      </c>
      <c r="D1125" s="59" t="s">
        <v>384</v>
      </c>
      <c r="E1125" s="59" t="s">
        <v>332</v>
      </c>
      <c r="F1125" s="59" t="s">
        <v>385</v>
      </c>
      <c r="G1125" s="59" t="s">
        <v>386</v>
      </c>
      <c r="H1125" s="59" t="s">
        <v>387</v>
      </c>
    </row>
    <row r="1126" spans="1:8" x14ac:dyDescent="0.25">
      <c r="A1126" s="60">
        <v>4315</v>
      </c>
      <c r="B1126" s="61">
        <f>3*E1123</f>
        <v>3</v>
      </c>
      <c r="C1126" s="61" t="s">
        <v>914</v>
      </c>
      <c r="D1126" s="61">
        <f>C1123-12</f>
        <v>2488</v>
      </c>
      <c r="E1126" s="61" t="s">
        <v>340</v>
      </c>
      <c r="F1126" s="62" t="s">
        <v>915</v>
      </c>
      <c r="G1126" s="63">
        <v>0.17599999999999999</v>
      </c>
      <c r="H1126" s="63">
        <f t="shared" ref="H1126:H1131" si="11">(D1126/1000)*B1126*G1126</f>
        <v>1.3136639999999999</v>
      </c>
    </row>
    <row r="1127" spans="1:8" x14ac:dyDescent="0.25">
      <c r="A1127" s="60">
        <v>4316</v>
      </c>
      <c r="B1127" s="61">
        <f>1*E1123</f>
        <v>1</v>
      </c>
      <c r="C1127" s="61" t="s">
        <v>914</v>
      </c>
      <c r="D1127" s="61">
        <f>C1123-12</f>
        <v>2488</v>
      </c>
      <c r="E1127" s="61" t="s">
        <v>340</v>
      </c>
      <c r="F1127" s="62" t="s">
        <v>927</v>
      </c>
      <c r="G1127" s="63">
        <v>0.13600000000000001</v>
      </c>
      <c r="H1127" s="63">
        <f t="shared" si="11"/>
        <v>0.338368</v>
      </c>
    </row>
    <row r="1128" spans="1:8" x14ac:dyDescent="0.25">
      <c r="A1128" s="60">
        <v>4313</v>
      </c>
      <c r="B1128" s="61">
        <f>4*E1123</f>
        <v>4</v>
      </c>
      <c r="C1128" s="61" t="s">
        <v>928</v>
      </c>
      <c r="D1128" s="61">
        <f>A1123/2-128</f>
        <v>1122</v>
      </c>
      <c r="E1128" s="61" t="s">
        <v>340</v>
      </c>
      <c r="F1128" s="62" t="s">
        <v>882</v>
      </c>
      <c r="G1128" s="63">
        <v>0.80100000000000005</v>
      </c>
      <c r="H1128" s="63">
        <f t="shared" si="11"/>
        <v>3.5948880000000005</v>
      </c>
    </row>
    <row r="1129" spans="1:8" x14ac:dyDescent="0.25">
      <c r="A1129" s="60">
        <v>4313</v>
      </c>
      <c r="B1129" s="61">
        <f>4*E1123</f>
        <v>4</v>
      </c>
      <c r="C1129" s="61" t="s">
        <v>914</v>
      </c>
      <c r="D1129" s="61">
        <f>C1123-12</f>
        <v>2488</v>
      </c>
      <c r="E1129" s="61" t="s">
        <v>340</v>
      </c>
      <c r="F1129" s="62" t="s">
        <v>882</v>
      </c>
      <c r="G1129" s="63">
        <v>0.80100000000000005</v>
      </c>
      <c r="H1129" s="63">
        <f t="shared" si="11"/>
        <v>7.9715520000000009</v>
      </c>
    </row>
    <row r="1130" spans="1:8" x14ac:dyDescent="0.25">
      <c r="A1130" s="60">
        <v>4314</v>
      </c>
      <c r="B1130" s="61">
        <f>8*E1123</f>
        <v>8</v>
      </c>
      <c r="C1130" s="61" t="s">
        <v>918</v>
      </c>
      <c r="D1130" s="61">
        <f>C1123-128</f>
        <v>2372</v>
      </c>
      <c r="E1130" s="61" t="s">
        <v>336</v>
      </c>
      <c r="F1130" s="62" t="s">
        <v>117</v>
      </c>
      <c r="G1130" s="63">
        <v>0.158</v>
      </c>
      <c r="H1130" s="63">
        <f t="shared" si="11"/>
        <v>2.998208</v>
      </c>
    </row>
    <row r="1131" spans="1:8" x14ac:dyDescent="0.25">
      <c r="A1131" s="60">
        <v>4314</v>
      </c>
      <c r="B1131" s="61">
        <f>8*E1123</f>
        <v>8</v>
      </c>
      <c r="C1131" s="61" t="s">
        <v>928</v>
      </c>
      <c r="D1131" s="61">
        <f>A1123/2-128</f>
        <v>1122</v>
      </c>
      <c r="E1131" s="61" t="s">
        <v>336</v>
      </c>
      <c r="F1131" s="62" t="s">
        <v>117</v>
      </c>
      <c r="G1131" s="63">
        <v>0.158</v>
      </c>
      <c r="H1131" s="63">
        <f t="shared" si="11"/>
        <v>1.4182080000000001</v>
      </c>
    </row>
    <row r="1132" spans="1:8" x14ac:dyDescent="0.25">
      <c r="A1132" s="64"/>
      <c r="B1132" s="65"/>
      <c r="C1132" s="65"/>
      <c r="D1132" s="65"/>
      <c r="E1132" s="65"/>
      <c r="F1132" s="65"/>
      <c r="G1132" s="63" t="s">
        <v>392</v>
      </c>
      <c r="H1132" s="63">
        <f>SUM(H1126:H1131)</f>
        <v>17.634888000000004</v>
      </c>
    </row>
    <row r="1133" spans="1:8" x14ac:dyDescent="0.25">
      <c r="A1133" s="64"/>
      <c r="B1133" s="65"/>
      <c r="C1133" s="65"/>
      <c r="D1133" s="65"/>
      <c r="E1133" s="65"/>
      <c r="F1133" s="65"/>
      <c r="G1133" s="66"/>
      <c r="H1133" s="67"/>
    </row>
    <row r="1134" spans="1:8" x14ac:dyDescent="0.25">
      <c r="A1134" s="64"/>
      <c r="B1134" s="65"/>
      <c r="C1134" s="65"/>
      <c r="D1134" s="65"/>
      <c r="E1134" s="65"/>
      <c r="F1134" s="65"/>
      <c r="G1134" s="68"/>
      <c r="H1134" s="67"/>
    </row>
    <row r="1135" spans="1:8" x14ac:dyDescent="0.25">
      <c r="A1135" s="69" t="s">
        <v>393</v>
      </c>
      <c r="B1135" s="70"/>
      <c r="C1135" s="70"/>
      <c r="D1135" s="71"/>
      <c r="E1135" s="59" t="s">
        <v>36</v>
      </c>
      <c r="F1135" s="59" t="s">
        <v>266</v>
      </c>
      <c r="G1135" s="52"/>
      <c r="H1135" s="72"/>
    </row>
    <row r="1136" spans="1:8" x14ac:dyDescent="0.25">
      <c r="A1136" s="73" t="s">
        <v>920</v>
      </c>
      <c r="B1136" s="70"/>
      <c r="C1136" s="70"/>
      <c r="D1136" s="71"/>
      <c r="E1136" s="180">
        <f>F1136*E1123</f>
        <v>2</v>
      </c>
      <c r="F1136" s="61">
        <v>2</v>
      </c>
      <c r="G1136" s="76"/>
      <c r="H1136" s="77"/>
    </row>
    <row r="1137" spans="1:8" x14ac:dyDescent="0.25">
      <c r="A1137" s="73" t="s">
        <v>921</v>
      </c>
      <c r="B1137" s="70"/>
      <c r="C1137" s="70"/>
      <c r="D1137" s="71"/>
      <c r="E1137" s="180">
        <f>2*E1123</f>
        <v>2</v>
      </c>
      <c r="F1137" s="61" t="s">
        <v>930</v>
      </c>
      <c r="G1137" s="65"/>
      <c r="H1137" s="77"/>
    </row>
    <row r="1138" spans="1:8" x14ac:dyDescent="0.25">
      <c r="A1138" s="73" t="s">
        <v>399</v>
      </c>
      <c r="B1138" s="70"/>
      <c r="C1138" s="70"/>
      <c r="D1138" s="71"/>
      <c r="E1138" s="180">
        <f>3*(C1123/1000)*E1123</f>
        <v>7.5</v>
      </c>
      <c r="F1138" s="61" t="s">
        <v>931</v>
      </c>
      <c r="G1138" s="65"/>
      <c r="H1138" s="77"/>
    </row>
    <row r="1139" spans="1:8" x14ac:dyDescent="0.25">
      <c r="A1139" s="73" t="s">
        <v>922</v>
      </c>
      <c r="B1139" s="70"/>
      <c r="C1139" s="70"/>
      <c r="D1139" s="71"/>
      <c r="E1139" s="180">
        <f>A1123/100+C1123/50*E1123</f>
        <v>75</v>
      </c>
      <c r="F1139" s="61" t="s">
        <v>828</v>
      </c>
      <c r="G1139" s="65"/>
      <c r="H1139" s="77"/>
    </row>
    <row r="1140" spans="1:8" x14ac:dyDescent="0.25">
      <c r="A1140" s="73" t="s">
        <v>528</v>
      </c>
      <c r="B1140" s="70"/>
      <c r="C1140" s="70"/>
      <c r="D1140" s="71"/>
      <c r="E1140" s="180">
        <f>2*(A1123/1000)+4*(C1123/1000)*E1123</f>
        <v>15</v>
      </c>
      <c r="F1140" s="61" t="s">
        <v>402</v>
      </c>
      <c r="G1140" s="64"/>
      <c r="H1140" s="77"/>
    </row>
    <row r="1141" spans="1:8" x14ac:dyDescent="0.25">
      <c r="A1141" s="73" t="s">
        <v>530</v>
      </c>
      <c r="B1141" s="70"/>
      <c r="C1141" s="70"/>
      <c r="D1141" s="71"/>
      <c r="E1141" s="180">
        <f>2*(A1123/1000)+4*(C1123/1000)*E1123</f>
        <v>15</v>
      </c>
      <c r="F1141" s="61" t="s">
        <v>402</v>
      </c>
      <c r="G1141" s="64"/>
      <c r="H1141" s="77"/>
    </row>
    <row r="1142" spans="1:8" x14ac:dyDescent="0.25">
      <c r="A1142" s="73" t="s">
        <v>923</v>
      </c>
      <c r="B1142" s="70"/>
      <c r="C1142" s="70"/>
      <c r="D1142" s="71"/>
      <c r="E1142" s="180">
        <f>F1142*E1123</f>
        <v>1</v>
      </c>
      <c r="F1142" s="61">
        <v>1</v>
      </c>
      <c r="G1142" s="65"/>
      <c r="H1142" s="77"/>
    </row>
    <row r="1143" spans="1:8" x14ac:dyDescent="0.25">
      <c r="A1143" s="73" t="s">
        <v>911</v>
      </c>
      <c r="B1143" s="70"/>
      <c r="C1143" s="70"/>
      <c r="D1143" s="71"/>
      <c r="E1143" s="180">
        <f>F1143*E1123</f>
        <v>2</v>
      </c>
      <c r="F1143" s="61">
        <v>2</v>
      </c>
      <c r="G1143" s="65"/>
      <c r="H1143" s="77"/>
    </row>
    <row r="1144" spans="1:8" x14ac:dyDescent="0.25">
      <c r="A1144" s="60" t="s">
        <v>893</v>
      </c>
      <c r="B1144" s="162"/>
      <c r="C1144" s="70"/>
      <c r="D1144" s="71"/>
      <c r="E1144" s="87">
        <f>F1144*E1123</f>
        <v>56</v>
      </c>
      <c r="F1144" s="61">
        <v>56</v>
      </c>
      <c r="G1144" s="65"/>
      <c r="H1144" s="51"/>
    </row>
    <row r="1145" spans="1:8" x14ac:dyDescent="0.25">
      <c r="A1145" s="73" t="s">
        <v>894</v>
      </c>
      <c r="B1145" s="70"/>
      <c r="C1145" s="70"/>
      <c r="D1145" s="71"/>
      <c r="E1145" s="87">
        <f>F1145*E1123</f>
        <v>8</v>
      </c>
      <c r="F1145" s="61">
        <v>8</v>
      </c>
      <c r="G1145" s="65"/>
      <c r="H1145" s="51"/>
    </row>
    <row r="1146" spans="1:8" x14ac:dyDescent="0.25">
      <c r="A1146" s="79"/>
      <c r="B1146" s="53"/>
      <c r="C1146" s="53"/>
      <c r="D1146" s="53"/>
      <c r="E1146" s="53"/>
      <c r="F1146" s="65"/>
      <c r="G1146" s="65"/>
      <c r="H1146" s="51"/>
    </row>
    <row r="1147" spans="1:8" x14ac:dyDescent="0.25">
      <c r="A1147" s="52"/>
      <c r="B1147" s="53"/>
      <c r="C1147" s="53"/>
      <c r="D1147" s="53"/>
      <c r="E1147" s="53"/>
      <c r="F1147" s="53"/>
      <c r="G1147" s="53"/>
      <c r="H1147" s="83"/>
    </row>
    <row r="1148" spans="1:8" x14ac:dyDescent="0.25">
      <c r="A1148" s="59" t="s">
        <v>413</v>
      </c>
      <c r="B1148" s="84" t="s">
        <v>266</v>
      </c>
      <c r="C1148" s="84" t="s">
        <v>383</v>
      </c>
      <c r="D1148" s="405" t="s">
        <v>414</v>
      </c>
      <c r="E1148" s="406"/>
      <c r="F1148" s="85" t="s">
        <v>415</v>
      </c>
      <c r="G1148" s="59" t="s">
        <v>416</v>
      </c>
      <c r="H1148" s="86"/>
    </row>
    <row r="1149" spans="1:8" x14ac:dyDescent="0.25">
      <c r="A1149" s="87"/>
      <c r="B1149" s="61">
        <f>2*E1123</f>
        <v>2</v>
      </c>
      <c r="C1149" s="61" t="s">
        <v>932</v>
      </c>
      <c r="D1149" s="407">
        <f>A1123/2-147</f>
        <v>1103</v>
      </c>
      <c r="E1149" s="408"/>
      <c r="F1149" s="61">
        <f>C1123-148</f>
        <v>2352</v>
      </c>
      <c r="G1149" s="91">
        <f>+(D1149/1000)*(F1149/1000)*B1149</f>
        <v>5.1885119999999993</v>
      </c>
      <c r="H1149" s="92"/>
    </row>
    <row r="1150" spans="1:8" x14ac:dyDescent="0.25">
      <c r="A1150" s="79"/>
      <c r="B1150" s="53"/>
      <c r="C1150" s="53"/>
      <c r="D1150" s="53"/>
      <c r="E1150" s="53"/>
      <c r="F1150" s="94" t="s">
        <v>815</v>
      </c>
      <c r="G1150" s="95">
        <f>SUM(G1149:G1149)</f>
        <v>5.1885119999999993</v>
      </c>
      <c r="H1150" s="51"/>
    </row>
    <row r="1151" spans="1:8" x14ac:dyDescent="0.25">
      <c r="A1151" s="52"/>
      <c r="B1151" s="53"/>
      <c r="C1151" s="53"/>
      <c r="D1151" s="53"/>
      <c r="E1151" s="53"/>
      <c r="F1151" s="53"/>
      <c r="G1151" s="53"/>
      <c r="H1151" s="51"/>
    </row>
    <row r="1152" spans="1:8" x14ac:dyDescent="0.25">
      <c r="A1152" s="52"/>
      <c r="B1152" s="53"/>
      <c r="C1152" s="53"/>
      <c r="D1152" s="53"/>
      <c r="E1152" s="53"/>
      <c r="F1152" s="53"/>
      <c r="G1152" s="53"/>
      <c r="H1152" s="51"/>
    </row>
    <row r="1153" spans="1:8" x14ac:dyDescent="0.25">
      <c r="A1153" s="52"/>
      <c r="B1153" s="53"/>
      <c r="C1153" s="53"/>
      <c r="D1153" s="53"/>
      <c r="E1153" s="53"/>
      <c r="F1153" s="53"/>
      <c r="G1153" s="53"/>
      <c r="H1153" s="51"/>
    </row>
    <row r="1154" spans="1:8" x14ac:dyDescent="0.25">
      <c r="A1154" s="52"/>
      <c r="B1154" s="53"/>
      <c r="C1154" s="53"/>
      <c r="D1154" s="53"/>
      <c r="E1154" s="53"/>
      <c r="F1154" s="53"/>
      <c r="G1154" s="53"/>
      <c r="H1154" s="51"/>
    </row>
    <row r="1155" spans="1:8" x14ac:dyDescent="0.25">
      <c r="A1155" s="52"/>
      <c r="B1155" s="53"/>
      <c r="C1155" s="53"/>
      <c r="D1155" s="53"/>
      <c r="E1155" s="53"/>
      <c r="F1155" s="53"/>
      <c r="G1155" s="53"/>
      <c r="H1155" s="51"/>
    </row>
    <row r="1156" spans="1:8" x14ac:dyDescent="0.25">
      <c r="A1156" s="52"/>
      <c r="B1156" s="53"/>
      <c r="C1156" s="53"/>
      <c r="D1156" s="53"/>
      <c r="E1156" s="53"/>
      <c r="F1156" s="53"/>
      <c r="G1156" s="53"/>
      <c r="H1156" s="51"/>
    </row>
    <row r="1157" spans="1:8" x14ac:dyDescent="0.25">
      <c r="A1157" s="52"/>
      <c r="B1157" s="53"/>
      <c r="C1157" s="53"/>
      <c r="D1157" s="53"/>
      <c r="E1157" s="53"/>
      <c r="F1157" s="53"/>
      <c r="G1157" s="53"/>
      <c r="H1157" s="51"/>
    </row>
    <row r="1158" spans="1:8" x14ac:dyDescent="0.25">
      <c r="A1158" s="52"/>
      <c r="B1158" s="53"/>
      <c r="C1158" s="53"/>
      <c r="D1158" s="53"/>
      <c r="E1158" s="53"/>
      <c r="F1158" s="53"/>
      <c r="G1158" s="53"/>
      <c r="H1158" s="51"/>
    </row>
    <row r="1159" spans="1:8" x14ac:dyDescent="0.25">
      <c r="A1159" s="52"/>
      <c r="B1159" s="53"/>
      <c r="C1159" s="53"/>
      <c r="D1159" s="53"/>
      <c r="E1159" s="53"/>
      <c r="F1159" s="53"/>
      <c r="G1159" s="53"/>
      <c r="H1159" s="51"/>
    </row>
    <row r="1160" spans="1:8" x14ac:dyDescent="0.25">
      <c r="A1160" s="52"/>
      <c r="B1160" s="53"/>
      <c r="C1160" s="53"/>
      <c r="D1160" s="53"/>
      <c r="E1160" s="53"/>
      <c r="F1160" s="53"/>
      <c r="G1160" s="53"/>
      <c r="H1160" s="51"/>
    </row>
    <row r="1161" spans="1:8" x14ac:dyDescent="0.25">
      <c r="A1161" s="52"/>
      <c r="B1161" s="53"/>
      <c r="C1161" s="53"/>
      <c r="D1161" s="53"/>
      <c r="E1161" s="53"/>
      <c r="F1161" s="53"/>
      <c r="G1161" s="53"/>
      <c r="H1161" s="51"/>
    </row>
    <row r="1162" spans="1:8" x14ac:dyDescent="0.25">
      <c r="A1162" s="52"/>
      <c r="B1162" s="53"/>
      <c r="C1162" s="53"/>
      <c r="D1162" s="53"/>
      <c r="E1162" s="53"/>
      <c r="F1162" s="53"/>
      <c r="G1162" s="53"/>
      <c r="H1162" s="51"/>
    </row>
    <row r="1163" spans="1:8" x14ac:dyDescent="0.25">
      <c r="A1163" s="52"/>
      <c r="B1163" s="53"/>
      <c r="C1163" s="53"/>
      <c r="D1163" s="53"/>
      <c r="E1163" s="53"/>
      <c r="F1163" s="53"/>
      <c r="G1163" s="53"/>
      <c r="H1163" s="51"/>
    </row>
    <row r="1164" spans="1:8" x14ac:dyDescent="0.25">
      <c r="A1164" s="52"/>
      <c r="B1164" s="53"/>
      <c r="C1164" s="53"/>
      <c r="D1164" s="53"/>
      <c r="E1164" s="53"/>
      <c r="F1164" s="53"/>
      <c r="G1164" s="53"/>
      <c r="H1164" s="51"/>
    </row>
    <row r="1165" spans="1:8" x14ac:dyDescent="0.25">
      <c r="A1165" s="52"/>
      <c r="B1165" s="53"/>
      <c r="C1165" s="53"/>
      <c r="D1165" s="53"/>
      <c r="E1165" s="53"/>
      <c r="F1165" s="53"/>
      <c r="G1165" s="53"/>
      <c r="H1165" s="51"/>
    </row>
    <row r="1166" spans="1:8" x14ac:dyDescent="0.25">
      <c r="A1166" s="52"/>
      <c r="B1166" s="53"/>
      <c r="C1166" s="53"/>
      <c r="D1166" s="53"/>
      <c r="E1166" s="53"/>
      <c r="F1166" s="53"/>
      <c r="G1166" s="53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51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51"/>
    </row>
    <row r="1169" spans="1:8" x14ac:dyDescent="0.25">
      <c r="A1169" s="52"/>
      <c r="B1169" s="53"/>
      <c r="C1169" s="53"/>
      <c r="D1169" s="53"/>
      <c r="E1169" s="53"/>
      <c r="F1169" s="53"/>
      <c r="G1169" s="53"/>
      <c r="H1169" s="51"/>
    </row>
    <row r="1170" spans="1:8" x14ac:dyDescent="0.25">
      <c r="A1170" s="52"/>
      <c r="B1170" s="53"/>
      <c r="C1170" s="53"/>
      <c r="D1170" s="53"/>
      <c r="E1170" s="53"/>
      <c r="F1170" s="53"/>
      <c r="G1170" s="53"/>
      <c r="H1170" s="51"/>
    </row>
    <row r="1171" spans="1:8" x14ac:dyDescent="0.25">
      <c r="A1171" s="52"/>
      <c r="B1171" s="53"/>
      <c r="C1171" s="53"/>
      <c r="D1171" s="53"/>
      <c r="E1171" s="53"/>
      <c r="F1171" s="53"/>
      <c r="G1171" s="53"/>
      <c r="H1171" s="51"/>
    </row>
    <row r="1172" spans="1:8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x14ac:dyDescent="0.25">
      <c r="A1173" s="100"/>
      <c r="B1173" s="100"/>
      <c r="C1173" s="100"/>
      <c r="D1173" s="100"/>
      <c r="E1173" s="100"/>
      <c r="F1173" s="100"/>
      <c r="G1173" s="100"/>
      <c r="H1173" s="100"/>
    </row>
    <row r="1174" spans="1:8" x14ac:dyDescent="0.25">
      <c r="A1174" s="44"/>
      <c r="B1174" s="45"/>
      <c r="C1174" s="45"/>
      <c r="D1174" s="45"/>
      <c r="E1174" s="45"/>
      <c r="F1174" s="45"/>
      <c r="G1174" s="45"/>
      <c r="H1174" s="46"/>
    </row>
    <row r="1175" spans="1:8" x14ac:dyDescent="0.25">
      <c r="A1175" s="52"/>
      <c r="B1175" s="53"/>
      <c r="C1175" s="53"/>
      <c r="D1175" s="53"/>
      <c r="E1175" s="53"/>
      <c r="F1175" s="53"/>
      <c r="G1175" s="53"/>
      <c r="H1175" s="51"/>
    </row>
    <row r="1176" spans="1:8" x14ac:dyDescent="0.25">
      <c r="A1176" s="181" t="s">
        <v>941</v>
      </c>
      <c r="B1176" s="182"/>
      <c r="C1176" s="49"/>
      <c r="D1176" s="122"/>
      <c r="E1176" s="122"/>
      <c r="F1176" s="50"/>
      <c r="G1176" s="50"/>
      <c r="H1176" s="103"/>
    </row>
    <row r="1177" spans="1:8" ht="16.5" thickBot="1" x14ac:dyDescent="0.3">
      <c r="A1177" s="52"/>
      <c r="B1177" s="53"/>
      <c r="C1177" s="53"/>
      <c r="D1177" s="53"/>
      <c r="E1177" s="53"/>
      <c r="F1177" s="53"/>
      <c r="G1177" s="54" t="s">
        <v>942</v>
      </c>
      <c r="H1177" s="51"/>
    </row>
    <row r="1178" spans="1:8" ht="16.5" thickBot="1" x14ac:dyDescent="0.3">
      <c r="A1178" s="400" t="s">
        <v>381</v>
      </c>
      <c r="B1178" s="401"/>
      <c r="C1178" s="402" t="s">
        <v>382</v>
      </c>
      <c r="D1178" s="401"/>
      <c r="E1178" s="55" t="s">
        <v>266</v>
      </c>
      <c r="F1178" s="53"/>
      <c r="G1178" s="53"/>
      <c r="H1178" s="51"/>
    </row>
    <row r="1179" spans="1:8" ht="16.5" thickBot="1" x14ac:dyDescent="0.3">
      <c r="A1179" s="403">
        <v>1710</v>
      </c>
      <c r="B1179" s="404"/>
      <c r="C1179" s="403">
        <v>700</v>
      </c>
      <c r="D1179" s="404"/>
      <c r="E1179" s="56">
        <v>1</v>
      </c>
      <c r="F1179" s="53"/>
      <c r="G1179" s="53"/>
      <c r="H1179" s="51"/>
    </row>
    <row r="1180" spans="1:8" x14ac:dyDescent="0.25">
      <c r="A1180" s="52"/>
      <c r="B1180" s="58"/>
      <c r="C1180" s="58"/>
      <c r="D1180" s="58"/>
      <c r="E1180" s="58"/>
      <c r="F1180" s="58"/>
      <c r="G1180" s="53"/>
      <c r="H1180" s="83"/>
    </row>
    <row r="1181" spans="1:8" x14ac:dyDescent="0.25">
      <c r="A1181" s="59" t="s">
        <v>323</v>
      </c>
      <c r="B1181" s="59" t="s">
        <v>266</v>
      </c>
      <c r="C1181" s="59" t="s">
        <v>383</v>
      </c>
      <c r="D1181" s="59" t="s">
        <v>384</v>
      </c>
      <c r="E1181" s="59" t="s">
        <v>332</v>
      </c>
      <c r="F1181" s="59" t="s">
        <v>385</v>
      </c>
      <c r="G1181" s="59" t="s">
        <v>386</v>
      </c>
      <c r="H1181" s="59" t="s">
        <v>387</v>
      </c>
    </row>
    <row r="1182" spans="1:8" x14ac:dyDescent="0.25">
      <c r="A1182" s="134">
        <v>4301</v>
      </c>
      <c r="B1182" s="135">
        <f>2*E1179</f>
        <v>2</v>
      </c>
      <c r="C1182" s="135" t="s">
        <v>335</v>
      </c>
      <c r="D1182" s="61">
        <f>A1179</f>
        <v>1710</v>
      </c>
      <c r="E1182" s="135" t="s">
        <v>595</v>
      </c>
      <c r="F1182" s="136" t="s">
        <v>943</v>
      </c>
      <c r="G1182" s="63">
        <v>0.436</v>
      </c>
      <c r="H1182" s="63">
        <f t="shared" ref="H1182:H1188" si="12">(D1182/1000)*B1182*G1182</f>
        <v>1.49112</v>
      </c>
    </row>
    <row r="1183" spans="1:8" x14ac:dyDescent="0.25">
      <c r="A1183" s="134">
        <v>4301</v>
      </c>
      <c r="B1183" s="135">
        <f>2*E1179</f>
        <v>2</v>
      </c>
      <c r="C1183" s="135" t="s">
        <v>337</v>
      </c>
      <c r="D1183" s="61">
        <f>C1179</f>
        <v>700</v>
      </c>
      <c r="E1183" s="135" t="s">
        <v>595</v>
      </c>
      <c r="F1183" s="136" t="s">
        <v>943</v>
      </c>
      <c r="G1183" s="63">
        <v>0.436</v>
      </c>
      <c r="H1183" s="63">
        <f t="shared" si="12"/>
        <v>0.61039999999999994</v>
      </c>
    </row>
    <row r="1184" spans="1:8" x14ac:dyDescent="0.25">
      <c r="A1184" s="134">
        <v>4304</v>
      </c>
      <c r="B1184" s="135">
        <f>1*E1179</f>
        <v>1</v>
      </c>
      <c r="C1184" s="135" t="s">
        <v>470</v>
      </c>
      <c r="D1184" s="61">
        <f>C1179-38</f>
        <v>662</v>
      </c>
      <c r="E1184" s="135" t="s">
        <v>590</v>
      </c>
      <c r="F1184" s="136" t="s">
        <v>119</v>
      </c>
      <c r="G1184" s="63">
        <v>0.67700000000000005</v>
      </c>
      <c r="H1184" s="63">
        <f t="shared" si="12"/>
        <v>0.44817400000000007</v>
      </c>
    </row>
    <row r="1185" spans="1:8" x14ac:dyDescent="0.25">
      <c r="A1185" s="134">
        <v>4319</v>
      </c>
      <c r="B1185" s="135">
        <f>2*E1179</f>
        <v>2</v>
      </c>
      <c r="C1185" s="135" t="s">
        <v>944</v>
      </c>
      <c r="D1185" s="61">
        <f>A1179/2-19</f>
        <v>836</v>
      </c>
      <c r="E1185" s="135" t="s">
        <v>595</v>
      </c>
      <c r="F1185" s="136" t="s">
        <v>833</v>
      </c>
      <c r="G1185" s="63">
        <v>0.70599999999999996</v>
      </c>
      <c r="H1185" s="63">
        <f t="shared" si="12"/>
        <v>1.1804319999999999</v>
      </c>
    </row>
    <row r="1186" spans="1:8" x14ac:dyDescent="0.25">
      <c r="A1186" s="134">
        <v>4319</v>
      </c>
      <c r="B1186" s="135">
        <f>2*E1179</f>
        <v>2</v>
      </c>
      <c r="C1186" s="135" t="s">
        <v>686</v>
      </c>
      <c r="D1186" s="61">
        <f>C1179-30</f>
        <v>670</v>
      </c>
      <c r="E1186" s="135" t="s">
        <v>595</v>
      </c>
      <c r="F1186" s="136" t="s">
        <v>833</v>
      </c>
      <c r="G1186" s="63">
        <v>0.70599999999999996</v>
      </c>
      <c r="H1186" s="63">
        <f t="shared" si="12"/>
        <v>0.94603999999999999</v>
      </c>
    </row>
    <row r="1187" spans="1:8" x14ac:dyDescent="0.25">
      <c r="A1187" s="134">
        <v>4318</v>
      </c>
      <c r="B1187" s="135">
        <f>2*E1179</f>
        <v>2</v>
      </c>
      <c r="C1187" s="135" t="s">
        <v>944</v>
      </c>
      <c r="D1187" s="61">
        <f>A1179/2-19</f>
        <v>836</v>
      </c>
      <c r="E1187" s="135" t="s">
        <v>595</v>
      </c>
      <c r="F1187" s="136" t="s">
        <v>945</v>
      </c>
      <c r="G1187" s="63">
        <v>0.44500000000000001</v>
      </c>
      <c r="H1187" s="63">
        <f t="shared" si="12"/>
        <v>0.74404000000000003</v>
      </c>
    </row>
    <row r="1188" spans="1:8" x14ac:dyDescent="0.25">
      <c r="A1188" s="134">
        <v>4318</v>
      </c>
      <c r="B1188" s="135">
        <f>2*E1179</f>
        <v>2</v>
      </c>
      <c r="C1188" s="135" t="s">
        <v>686</v>
      </c>
      <c r="D1188" s="61">
        <f>C1179-30</f>
        <v>670</v>
      </c>
      <c r="E1188" s="135" t="s">
        <v>595</v>
      </c>
      <c r="F1188" s="136" t="s">
        <v>946</v>
      </c>
      <c r="G1188" s="63">
        <v>0.44500000000000001</v>
      </c>
      <c r="H1188" s="63">
        <f t="shared" si="12"/>
        <v>0.59630000000000005</v>
      </c>
    </row>
    <row r="1189" spans="1:8" x14ac:dyDescent="0.25">
      <c r="A1189" s="64"/>
      <c r="B1189" s="65"/>
      <c r="C1189" s="65"/>
      <c r="D1189" s="65"/>
      <c r="E1189" s="65"/>
      <c r="F1189" s="65"/>
      <c r="G1189" s="63" t="s">
        <v>392</v>
      </c>
      <c r="H1189" s="63">
        <f>SUM(H1182:H1188)</f>
        <v>6.0165059999999997</v>
      </c>
    </row>
    <row r="1190" spans="1:8" x14ac:dyDescent="0.25">
      <c r="A1190" s="64"/>
      <c r="B1190" s="65"/>
      <c r="C1190" s="65"/>
      <c r="D1190" s="65"/>
      <c r="E1190" s="65"/>
      <c r="F1190" s="65"/>
      <c r="G1190" s="66"/>
      <c r="H1190" s="67"/>
    </row>
    <row r="1191" spans="1:8" x14ac:dyDescent="0.25">
      <c r="A1191" s="64"/>
      <c r="B1191" s="65"/>
      <c r="C1191" s="65"/>
      <c r="D1191" s="65"/>
      <c r="E1191" s="65"/>
      <c r="F1191" s="65"/>
      <c r="G1191" s="68"/>
      <c r="H1191" s="67"/>
    </row>
    <row r="1192" spans="1:8" x14ac:dyDescent="0.25">
      <c r="A1192" s="69" t="s">
        <v>393</v>
      </c>
      <c r="B1192" s="70"/>
      <c r="C1192" s="70"/>
      <c r="D1192" s="71"/>
      <c r="E1192" s="59" t="s">
        <v>36</v>
      </c>
      <c r="F1192" s="59" t="s">
        <v>266</v>
      </c>
      <c r="G1192" s="52"/>
      <c r="H1192" s="72"/>
    </row>
    <row r="1193" spans="1:8" x14ac:dyDescent="0.25">
      <c r="A1193" s="139" t="s">
        <v>947</v>
      </c>
      <c r="B1193" s="70"/>
      <c r="C1193" s="70"/>
      <c r="D1193" s="71"/>
      <c r="E1193" s="180">
        <f>4*E1179</f>
        <v>4</v>
      </c>
      <c r="F1193" s="135">
        <v>4</v>
      </c>
      <c r="G1193" s="76"/>
      <c r="H1193" s="77"/>
    </row>
    <row r="1194" spans="1:8" x14ac:dyDescent="0.25">
      <c r="A1194" s="142" t="s">
        <v>948</v>
      </c>
      <c r="B1194" s="70"/>
      <c r="C1194" s="70"/>
      <c r="D1194" s="71"/>
      <c r="E1194" s="180">
        <f>4*E1179</f>
        <v>4</v>
      </c>
      <c r="F1194" s="135">
        <v>4</v>
      </c>
      <c r="G1194" s="65"/>
      <c r="H1194" s="77"/>
    </row>
    <row r="1195" spans="1:8" x14ac:dyDescent="0.25">
      <c r="A1195" s="139" t="s">
        <v>949</v>
      </c>
      <c r="B1195" s="70"/>
      <c r="C1195" s="70"/>
      <c r="D1195" s="71"/>
      <c r="E1195" s="180">
        <f>2*E1179</f>
        <v>2</v>
      </c>
      <c r="F1195" s="135">
        <v>2</v>
      </c>
      <c r="G1195" s="65"/>
      <c r="H1195" s="77"/>
    </row>
    <row r="1196" spans="1:8" x14ac:dyDescent="0.25">
      <c r="A1196" s="139" t="s">
        <v>841</v>
      </c>
      <c r="B1196" s="70"/>
      <c r="C1196" s="70"/>
      <c r="D1196" s="71"/>
      <c r="E1196" s="180">
        <f>1*E1179</f>
        <v>1</v>
      </c>
      <c r="F1196" s="135" t="s">
        <v>842</v>
      </c>
      <c r="G1196" s="65"/>
      <c r="H1196" s="77"/>
    </row>
    <row r="1197" spans="1:8" x14ac:dyDescent="0.25">
      <c r="A1197" s="139" t="s">
        <v>950</v>
      </c>
      <c r="B1197" s="70"/>
      <c r="C1197" s="70"/>
      <c r="D1197" s="71"/>
      <c r="E1197" s="180">
        <f>4*(A1179/1000)+8*(C1179/1000)*E1179</f>
        <v>12.44</v>
      </c>
      <c r="F1197" s="135" t="s">
        <v>481</v>
      </c>
      <c r="G1197" s="183"/>
      <c r="H1197" s="77"/>
    </row>
    <row r="1198" spans="1:8" x14ac:dyDescent="0.25">
      <c r="A1198" s="139" t="s">
        <v>951</v>
      </c>
      <c r="B1198" s="70"/>
      <c r="C1198" s="70"/>
      <c r="D1198" s="71"/>
      <c r="E1198" s="180">
        <f>1*E1179</f>
        <v>1</v>
      </c>
      <c r="F1198" s="135">
        <v>1</v>
      </c>
      <c r="G1198" s="184"/>
      <c r="H1198" s="77"/>
    </row>
    <row r="1199" spans="1:8" x14ac:dyDescent="0.25">
      <c r="A1199" s="139" t="s">
        <v>952</v>
      </c>
      <c r="B1199" s="70"/>
      <c r="C1199" s="70"/>
      <c r="D1199" s="71"/>
      <c r="E1199" s="180">
        <f>2*(A1179/1000)+4*(C1179/1000)*E1179</f>
        <v>6.22</v>
      </c>
      <c r="F1199" s="135" t="s">
        <v>402</v>
      </c>
      <c r="G1199" s="184"/>
      <c r="H1199" s="77"/>
    </row>
    <row r="1200" spans="1:8" x14ac:dyDescent="0.25">
      <c r="A1200" s="139" t="s">
        <v>953</v>
      </c>
      <c r="B1200" s="70"/>
      <c r="C1200" s="70"/>
      <c r="D1200" s="71"/>
      <c r="E1200" s="180">
        <f>1*(C1179/1000)*E1179</f>
        <v>0.7</v>
      </c>
      <c r="F1200" s="135" t="s">
        <v>954</v>
      </c>
      <c r="G1200" s="183"/>
      <c r="H1200" s="77"/>
    </row>
    <row r="1201" spans="1:8" x14ac:dyDescent="0.25">
      <c r="A1201" s="79"/>
      <c r="B1201" s="53"/>
      <c r="C1201" s="53"/>
      <c r="D1201" s="53"/>
      <c r="E1201" s="53"/>
      <c r="F1201" s="65"/>
      <c r="G1201" s="65"/>
      <c r="H1201" s="51"/>
    </row>
    <row r="1202" spans="1:8" x14ac:dyDescent="0.25">
      <c r="A1202" s="52"/>
      <c r="B1202" s="53"/>
      <c r="C1202" s="53"/>
      <c r="D1202" s="53"/>
      <c r="E1202" s="53"/>
      <c r="F1202" s="53"/>
      <c r="G1202" s="53"/>
      <c r="H1202" s="83"/>
    </row>
    <row r="1203" spans="1:8" x14ac:dyDescent="0.25">
      <c r="A1203" s="59" t="s">
        <v>413</v>
      </c>
      <c r="B1203" s="84" t="s">
        <v>266</v>
      </c>
      <c r="C1203" s="84" t="s">
        <v>383</v>
      </c>
      <c r="D1203" s="405" t="s">
        <v>414</v>
      </c>
      <c r="E1203" s="406"/>
      <c r="F1203" s="85" t="s">
        <v>415</v>
      </c>
      <c r="G1203" s="59" t="s">
        <v>416</v>
      </c>
      <c r="H1203" s="86"/>
    </row>
    <row r="1204" spans="1:8" x14ac:dyDescent="0.25">
      <c r="A1204" s="87"/>
      <c r="B1204" s="61">
        <f>2*E1179</f>
        <v>2</v>
      </c>
      <c r="C1204" s="61" t="s">
        <v>955</v>
      </c>
      <c r="D1204" s="407">
        <f>A1179/2-19</f>
        <v>836</v>
      </c>
      <c r="E1204" s="408"/>
      <c r="F1204" s="61">
        <f>C1179-30</f>
        <v>670</v>
      </c>
      <c r="G1204" s="91">
        <f>(D1204/1000)*(F1204/1000)*B1204</f>
        <v>1.1202400000000001</v>
      </c>
      <c r="H1204" s="92"/>
    </row>
    <row r="1205" spans="1:8" x14ac:dyDescent="0.25">
      <c r="A1205" s="79"/>
      <c r="B1205" s="53"/>
      <c r="C1205" s="53"/>
      <c r="D1205" s="53"/>
      <c r="E1205" s="53"/>
      <c r="F1205" s="94" t="s">
        <v>815</v>
      </c>
      <c r="G1205" s="95">
        <f>SUM(G1204:G1204)</f>
        <v>1.1202400000000001</v>
      </c>
      <c r="H1205" s="51"/>
    </row>
    <row r="1206" spans="1:8" x14ac:dyDescent="0.25">
      <c r="A1206" s="79"/>
      <c r="B1206" s="53"/>
      <c r="C1206" s="53"/>
      <c r="D1206" s="53"/>
      <c r="E1206" s="53"/>
      <c r="F1206" s="94"/>
      <c r="G1206" s="96"/>
      <c r="H1206" s="51"/>
    </row>
    <row r="1207" spans="1:8" x14ac:dyDescent="0.25">
      <c r="A1207" s="79"/>
      <c r="B1207" s="53"/>
      <c r="C1207" s="53"/>
      <c r="D1207" s="53"/>
      <c r="E1207" s="53"/>
      <c r="F1207" s="94"/>
      <c r="G1207" s="96"/>
      <c r="H1207" s="51"/>
    </row>
    <row r="1208" spans="1:8" x14ac:dyDescent="0.25">
      <c r="A1208" s="79"/>
      <c r="B1208" s="53"/>
      <c r="C1208" s="53"/>
      <c r="D1208" s="53"/>
      <c r="E1208" s="53"/>
      <c r="F1208" s="94"/>
      <c r="G1208" s="96"/>
      <c r="H1208" s="51"/>
    </row>
    <row r="1209" spans="1:8" x14ac:dyDescent="0.25">
      <c r="A1209" s="79"/>
      <c r="B1209" s="53"/>
      <c r="C1209" s="53"/>
      <c r="D1209" s="53"/>
      <c r="E1209" s="53"/>
      <c r="F1209" s="94"/>
      <c r="G1209" s="96"/>
      <c r="H1209" s="51"/>
    </row>
    <row r="1210" spans="1:8" x14ac:dyDescent="0.25">
      <c r="A1210" s="79"/>
      <c r="B1210" s="53"/>
      <c r="C1210" s="53"/>
      <c r="D1210" s="53"/>
      <c r="E1210" s="53"/>
      <c r="F1210" s="94"/>
      <c r="G1210" s="96"/>
      <c r="H1210" s="51"/>
    </row>
    <row r="1211" spans="1:8" x14ac:dyDescent="0.25">
      <c r="A1211" s="79"/>
      <c r="B1211" s="53"/>
      <c r="C1211" s="53"/>
      <c r="D1211" s="53"/>
      <c r="E1211" s="53"/>
      <c r="F1211" s="94"/>
      <c r="G1211" s="96"/>
      <c r="H1211" s="51"/>
    </row>
    <row r="1212" spans="1:8" x14ac:dyDescent="0.25">
      <c r="A1212" s="79"/>
      <c r="B1212" s="53"/>
      <c r="C1212" s="53"/>
      <c r="D1212" s="53"/>
      <c r="E1212" s="53"/>
      <c r="F1212" s="94"/>
      <c r="G1212" s="96"/>
      <c r="H1212" s="51"/>
    </row>
    <row r="1213" spans="1:8" x14ac:dyDescent="0.25">
      <c r="A1213" s="79"/>
      <c r="B1213" s="53"/>
      <c r="C1213" s="53"/>
      <c r="D1213" s="53"/>
      <c r="E1213" s="53"/>
      <c r="F1213" s="94"/>
      <c r="G1213" s="96"/>
      <c r="H1213" s="51"/>
    </row>
    <row r="1214" spans="1:8" x14ac:dyDescent="0.25">
      <c r="A1214" s="79"/>
      <c r="B1214" s="53"/>
      <c r="C1214" s="53"/>
      <c r="D1214" s="53"/>
      <c r="E1214" s="53"/>
      <c r="F1214" s="94"/>
      <c r="G1214" s="96"/>
      <c r="H1214" s="51"/>
    </row>
    <row r="1215" spans="1:8" x14ac:dyDescent="0.25">
      <c r="A1215" s="79"/>
      <c r="B1215" s="53"/>
      <c r="C1215" s="53"/>
      <c r="D1215" s="53"/>
      <c r="E1215" s="53"/>
      <c r="F1215" s="94"/>
      <c r="G1215" s="96"/>
      <c r="H1215" s="51"/>
    </row>
    <row r="1216" spans="1:8" x14ac:dyDescent="0.25">
      <c r="A1216" s="79"/>
      <c r="B1216" s="53"/>
      <c r="C1216" s="53"/>
      <c r="D1216" s="53"/>
      <c r="E1216" s="53"/>
      <c r="F1216" s="94"/>
      <c r="G1216" s="96"/>
      <c r="H1216" s="51"/>
    </row>
    <row r="1217" spans="1:8" x14ac:dyDescent="0.25">
      <c r="A1217" s="79"/>
      <c r="B1217" s="53"/>
      <c r="C1217" s="53"/>
      <c r="D1217" s="53"/>
      <c r="E1217" s="53"/>
      <c r="F1217" s="94"/>
      <c r="G1217" s="96"/>
      <c r="H1217" s="51"/>
    </row>
    <row r="1218" spans="1:8" x14ac:dyDescent="0.25">
      <c r="A1218" s="79"/>
      <c r="B1218" s="53"/>
      <c r="C1218" s="53"/>
      <c r="D1218" s="53"/>
      <c r="E1218" s="53"/>
      <c r="F1218" s="94"/>
      <c r="G1218" s="96"/>
      <c r="H1218" s="51"/>
    </row>
    <row r="1219" spans="1:8" x14ac:dyDescent="0.25">
      <c r="A1219" s="79"/>
      <c r="B1219" s="53"/>
      <c r="C1219" s="53"/>
      <c r="D1219" s="53"/>
      <c r="E1219" s="53"/>
      <c r="F1219" s="94"/>
      <c r="G1219" s="96"/>
      <c r="H1219" s="51"/>
    </row>
    <row r="1220" spans="1:8" x14ac:dyDescent="0.25">
      <c r="A1220" s="79"/>
      <c r="B1220" s="53"/>
      <c r="C1220" s="53"/>
      <c r="D1220" s="53"/>
      <c r="E1220" s="53"/>
      <c r="F1220" s="94"/>
      <c r="G1220" s="96"/>
      <c r="H1220" s="51"/>
    </row>
    <row r="1221" spans="1:8" x14ac:dyDescent="0.25">
      <c r="A1221" s="79"/>
      <c r="B1221" s="53"/>
      <c r="C1221" s="53"/>
      <c r="D1221" s="53"/>
      <c r="E1221" s="53"/>
      <c r="F1221" s="94"/>
      <c r="G1221" s="96"/>
      <c r="H1221" s="51"/>
    </row>
    <row r="1222" spans="1:8" x14ac:dyDescent="0.25">
      <c r="A1222" s="79"/>
      <c r="B1222" s="53"/>
      <c r="C1222" s="53"/>
      <c r="D1222" s="53"/>
      <c r="E1222" s="53"/>
      <c r="F1222" s="94"/>
      <c r="G1222" s="96"/>
      <c r="H1222" s="51"/>
    </row>
    <row r="1223" spans="1:8" x14ac:dyDescent="0.25">
      <c r="A1223" s="79"/>
      <c r="B1223" s="53"/>
      <c r="C1223" s="53"/>
      <c r="D1223" s="53"/>
      <c r="E1223" s="53"/>
      <c r="F1223" s="94"/>
      <c r="G1223" s="96"/>
      <c r="H1223" s="51"/>
    </row>
    <row r="1224" spans="1:8" x14ac:dyDescent="0.25">
      <c r="A1224" s="79"/>
      <c r="B1224" s="53"/>
      <c r="C1224" s="53"/>
      <c r="D1224" s="53"/>
      <c r="E1224" s="53"/>
      <c r="F1224" s="94"/>
      <c r="G1224" s="96"/>
      <c r="H1224" s="51"/>
    </row>
    <row r="1225" spans="1:8" x14ac:dyDescent="0.25">
      <c r="A1225" s="79"/>
      <c r="B1225" s="53"/>
      <c r="C1225" s="53"/>
      <c r="D1225" s="53"/>
      <c r="E1225" s="53"/>
      <c r="F1225" s="94"/>
      <c r="G1225" s="96"/>
      <c r="H1225" s="51"/>
    </row>
    <row r="1226" spans="1:8" x14ac:dyDescent="0.25">
      <c r="A1226" s="79"/>
      <c r="B1226" s="53"/>
      <c r="C1226" s="53"/>
      <c r="D1226" s="53"/>
      <c r="E1226" s="53"/>
      <c r="F1226" s="94"/>
      <c r="G1226" s="96"/>
      <c r="H1226" s="51"/>
    </row>
    <row r="1227" spans="1:8" x14ac:dyDescent="0.25">
      <c r="A1227" s="52"/>
      <c r="B1227" s="53"/>
      <c r="C1227" s="53"/>
      <c r="D1227" s="53"/>
      <c r="E1227" s="53"/>
      <c r="F1227" s="53"/>
      <c r="G1227" s="53"/>
      <c r="H1227" s="51"/>
    </row>
    <row r="1228" spans="1:8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x14ac:dyDescent="0.25">
      <c r="A1229" s="100"/>
      <c r="B1229" s="100"/>
      <c r="C1229" s="100"/>
      <c r="D1229" s="100"/>
      <c r="E1229" s="100"/>
      <c r="F1229" s="100"/>
      <c r="G1229" s="100"/>
      <c r="H1229" s="100"/>
    </row>
    <row r="1230" spans="1:8" x14ac:dyDescent="0.25">
      <c r="A1230" s="44"/>
      <c r="B1230" s="45"/>
      <c r="C1230" s="45"/>
      <c r="D1230" s="45"/>
      <c r="E1230" s="45"/>
      <c r="F1230" s="45"/>
      <c r="G1230" s="45"/>
      <c r="H1230" s="46"/>
    </row>
    <row r="1231" spans="1:8" x14ac:dyDescent="0.25">
      <c r="A1231" s="52"/>
      <c r="B1231" s="53"/>
      <c r="C1231" s="53"/>
      <c r="D1231" s="53"/>
      <c r="E1231" s="53"/>
      <c r="F1231" s="53"/>
      <c r="G1231" s="53"/>
      <c r="H1231" s="51"/>
    </row>
    <row r="1232" spans="1:8" x14ac:dyDescent="0.25">
      <c r="A1232" s="181" t="s">
        <v>956</v>
      </c>
      <c r="B1232" s="182"/>
      <c r="C1232" s="49"/>
      <c r="D1232" s="122"/>
      <c r="E1232" s="122"/>
      <c r="F1232" s="50"/>
      <c r="G1232" s="50"/>
      <c r="H1232" s="133"/>
    </row>
    <row r="1233" spans="1:8" ht="16.5" thickBot="1" x14ac:dyDescent="0.3">
      <c r="A1233" s="52"/>
      <c r="B1233" s="53"/>
      <c r="C1233" s="53"/>
      <c r="D1233" s="53"/>
      <c r="E1233" s="53"/>
      <c r="F1233" s="53"/>
      <c r="G1233" s="54" t="s">
        <v>957</v>
      </c>
      <c r="H1233" s="51"/>
    </row>
    <row r="1234" spans="1:8" ht="16.5" thickBot="1" x14ac:dyDescent="0.3">
      <c r="A1234" s="400" t="s">
        <v>381</v>
      </c>
      <c r="B1234" s="401"/>
      <c r="C1234" s="402" t="s">
        <v>382</v>
      </c>
      <c r="D1234" s="401"/>
      <c r="E1234" s="55" t="s">
        <v>266</v>
      </c>
      <c r="F1234" s="53"/>
      <c r="G1234" s="53"/>
      <c r="H1234" s="51"/>
    </row>
    <row r="1235" spans="1:8" ht="16.5" thickBot="1" x14ac:dyDescent="0.3">
      <c r="A1235" s="403">
        <v>2500</v>
      </c>
      <c r="B1235" s="404"/>
      <c r="C1235" s="403">
        <v>2500</v>
      </c>
      <c r="D1235" s="404"/>
      <c r="E1235" s="56">
        <v>1</v>
      </c>
      <c r="F1235" s="53"/>
      <c r="G1235" s="53"/>
      <c r="H1235" s="51"/>
    </row>
    <row r="1236" spans="1:8" x14ac:dyDescent="0.25">
      <c r="A1236" s="52"/>
      <c r="B1236" s="58"/>
      <c r="C1236" s="58"/>
      <c r="D1236" s="58"/>
      <c r="E1236" s="58"/>
      <c r="F1236" s="58"/>
      <c r="G1236" s="53"/>
      <c r="H1236" s="83"/>
    </row>
    <row r="1237" spans="1:8" x14ac:dyDescent="0.25">
      <c r="A1237" s="59" t="s">
        <v>323</v>
      </c>
      <c r="B1237" s="59" t="s">
        <v>266</v>
      </c>
      <c r="C1237" s="59" t="s">
        <v>383</v>
      </c>
      <c r="D1237" s="59" t="s">
        <v>384</v>
      </c>
      <c r="E1237" s="59" t="s">
        <v>332</v>
      </c>
      <c r="F1237" s="59" t="s">
        <v>385</v>
      </c>
      <c r="G1237" s="59" t="s">
        <v>386</v>
      </c>
      <c r="H1237" s="59" t="s">
        <v>387</v>
      </c>
    </row>
    <row r="1238" spans="1:8" x14ac:dyDescent="0.25">
      <c r="A1238" s="134">
        <v>4301</v>
      </c>
      <c r="B1238" s="135">
        <f>2*E1235</f>
        <v>2</v>
      </c>
      <c r="C1238" s="135" t="s">
        <v>335</v>
      </c>
      <c r="D1238" s="61">
        <f>A1235</f>
        <v>2500</v>
      </c>
      <c r="E1238" s="135" t="s">
        <v>595</v>
      </c>
      <c r="F1238" s="136" t="s">
        <v>943</v>
      </c>
      <c r="G1238" s="63">
        <v>0.436</v>
      </c>
      <c r="H1238" s="63">
        <f t="shared" ref="H1238:H1244" si="13">(D1238/1000)*B1238*G1238</f>
        <v>2.1800000000000002</v>
      </c>
    </row>
    <row r="1239" spans="1:8" x14ac:dyDescent="0.25">
      <c r="A1239" s="134">
        <v>4301</v>
      </c>
      <c r="B1239" s="135">
        <f>2*E1235</f>
        <v>2</v>
      </c>
      <c r="C1239" s="135" t="s">
        <v>337</v>
      </c>
      <c r="D1239" s="61">
        <f>C1235</f>
        <v>2500</v>
      </c>
      <c r="E1239" s="135" t="s">
        <v>595</v>
      </c>
      <c r="F1239" s="136" t="s">
        <v>943</v>
      </c>
      <c r="G1239" s="63">
        <v>0.436</v>
      </c>
      <c r="H1239" s="63">
        <f t="shared" si="13"/>
        <v>2.1800000000000002</v>
      </c>
    </row>
    <row r="1240" spans="1:8" x14ac:dyDescent="0.25">
      <c r="A1240" s="134">
        <v>4304</v>
      </c>
      <c r="B1240" s="135">
        <f>1*E1235</f>
        <v>1</v>
      </c>
      <c r="C1240" s="135" t="s">
        <v>470</v>
      </c>
      <c r="D1240" s="61">
        <f>C1235-38</f>
        <v>2462</v>
      </c>
      <c r="E1240" s="135" t="s">
        <v>590</v>
      </c>
      <c r="F1240" s="136" t="s">
        <v>119</v>
      </c>
      <c r="G1240" s="63">
        <v>0.67700000000000005</v>
      </c>
      <c r="H1240" s="63">
        <f t="shared" si="13"/>
        <v>1.6667740000000002</v>
      </c>
    </row>
    <row r="1241" spans="1:8" x14ac:dyDescent="0.25">
      <c r="A1241" s="134">
        <v>4319</v>
      </c>
      <c r="B1241" s="135">
        <f>2*E1235</f>
        <v>2</v>
      </c>
      <c r="C1241" s="135" t="s">
        <v>944</v>
      </c>
      <c r="D1241" s="61">
        <f>A1235/2-19</f>
        <v>1231</v>
      </c>
      <c r="E1241" s="135" t="s">
        <v>595</v>
      </c>
      <c r="F1241" s="136" t="s">
        <v>833</v>
      </c>
      <c r="G1241" s="63">
        <v>0.70599999999999996</v>
      </c>
      <c r="H1241" s="63">
        <f t="shared" si="13"/>
        <v>1.7381720000000001</v>
      </c>
    </row>
    <row r="1242" spans="1:8" x14ac:dyDescent="0.25">
      <c r="A1242" s="134">
        <v>4319</v>
      </c>
      <c r="B1242" s="135">
        <f>2*E1235</f>
        <v>2</v>
      </c>
      <c r="C1242" s="135" t="s">
        <v>686</v>
      </c>
      <c r="D1242" s="61">
        <f>C1235-30</f>
        <v>2470</v>
      </c>
      <c r="E1242" s="135" t="s">
        <v>595</v>
      </c>
      <c r="F1242" s="136" t="s">
        <v>833</v>
      </c>
      <c r="G1242" s="63">
        <v>0.70599999999999996</v>
      </c>
      <c r="H1242" s="63">
        <f t="shared" si="13"/>
        <v>3.4876400000000003</v>
      </c>
    </row>
    <row r="1243" spans="1:8" x14ac:dyDescent="0.25">
      <c r="A1243" s="134">
        <v>4318</v>
      </c>
      <c r="B1243" s="135">
        <f>2*E1235</f>
        <v>2</v>
      </c>
      <c r="C1243" s="135" t="s">
        <v>944</v>
      </c>
      <c r="D1243" s="61">
        <f>A1235/2-19</f>
        <v>1231</v>
      </c>
      <c r="E1243" s="135" t="s">
        <v>595</v>
      </c>
      <c r="F1243" s="136" t="s">
        <v>945</v>
      </c>
      <c r="G1243" s="63">
        <v>0.44500000000000001</v>
      </c>
      <c r="H1243" s="63">
        <f t="shared" si="13"/>
        <v>1.0955900000000001</v>
      </c>
    </row>
    <row r="1244" spans="1:8" x14ac:dyDescent="0.25">
      <c r="A1244" s="134">
        <v>4318</v>
      </c>
      <c r="B1244" s="135">
        <f>2*E1235</f>
        <v>2</v>
      </c>
      <c r="C1244" s="135" t="s">
        <v>686</v>
      </c>
      <c r="D1244" s="61">
        <f>C1235-30</f>
        <v>2470</v>
      </c>
      <c r="E1244" s="135" t="s">
        <v>595</v>
      </c>
      <c r="F1244" s="136" t="s">
        <v>946</v>
      </c>
      <c r="G1244" s="63">
        <v>0.44500000000000001</v>
      </c>
      <c r="H1244" s="63">
        <f t="shared" si="13"/>
        <v>2.1983000000000001</v>
      </c>
    </row>
    <row r="1245" spans="1:8" x14ac:dyDescent="0.25">
      <c r="A1245" s="64"/>
      <c r="B1245" s="65"/>
      <c r="C1245" s="65"/>
      <c r="D1245" s="65"/>
      <c r="E1245" s="65"/>
      <c r="F1245" s="65"/>
      <c r="G1245" s="63" t="s">
        <v>392</v>
      </c>
      <c r="H1245" s="63">
        <f>SUM(H1238:H1244)</f>
        <v>14.546476</v>
      </c>
    </row>
    <row r="1246" spans="1:8" x14ac:dyDescent="0.25">
      <c r="A1246" s="64"/>
      <c r="B1246" s="65"/>
      <c r="C1246" s="65"/>
      <c r="D1246" s="65"/>
      <c r="E1246" s="65"/>
      <c r="F1246" s="65"/>
      <c r="G1246" s="66"/>
      <c r="H1246" s="67"/>
    </row>
    <row r="1247" spans="1:8" x14ac:dyDescent="0.25">
      <c r="A1247" s="64"/>
      <c r="B1247" s="65"/>
      <c r="C1247" s="65"/>
      <c r="D1247" s="65"/>
      <c r="E1247" s="65"/>
      <c r="F1247" s="65"/>
      <c r="G1247" s="68"/>
      <c r="H1247" s="67"/>
    </row>
    <row r="1248" spans="1:8" x14ac:dyDescent="0.25">
      <c r="A1248" s="69" t="s">
        <v>393</v>
      </c>
      <c r="B1248" s="70"/>
      <c r="C1248" s="70"/>
      <c r="D1248" s="71"/>
      <c r="E1248" s="59" t="s">
        <v>36</v>
      </c>
      <c r="F1248" s="59" t="s">
        <v>266</v>
      </c>
      <c r="G1248" s="52"/>
      <c r="H1248" s="72"/>
    </row>
    <row r="1249" spans="1:8" x14ac:dyDescent="0.25">
      <c r="A1249" s="139" t="s">
        <v>947</v>
      </c>
      <c r="B1249" s="70"/>
      <c r="C1249" s="70"/>
      <c r="D1249" s="71"/>
      <c r="E1249" s="180"/>
      <c r="F1249" s="135">
        <v>4</v>
      </c>
      <c r="G1249" s="76"/>
      <c r="H1249" s="77"/>
    </row>
    <row r="1250" spans="1:8" x14ac:dyDescent="0.25">
      <c r="A1250" s="142" t="s">
        <v>948</v>
      </c>
      <c r="B1250" s="70"/>
      <c r="C1250" s="70"/>
      <c r="D1250" s="71"/>
      <c r="E1250" s="180"/>
      <c r="F1250" s="135">
        <v>4</v>
      </c>
      <c r="G1250" s="65"/>
      <c r="H1250" s="77"/>
    </row>
    <row r="1251" spans="1:8" x14ac:dyDescent="0.25">
      <c r="A1251" s="139" t="s">
        <v>949</v>
      </c>
      <c r="B1251" s="70"/>
      <c r="C1251" s="70"/>
      <c r="D1251" s="71"/>
      <c r="E1251" s="180"/>
      <c r="F1251" s="135">
        <v>2</v>
      </c>
      <c r="G1251" s="65"/>
      <c r="H1251" s="77"/>
    </row>
    <row r="1252" spans="1:8" x14ac:dyDescent="0.25">
      <c r="A1252" s="139" t="s">
        <v>841</v>
      </c>
      <c r="B1252" s="70"/>
      <c r="C1252" s="70"/>
      <c r="D1252" s="71"/>
      <c r="E1252" s="180"/>
      <c r="F1252" s="135" t="s">
        <v>842</v>
      </c>
      <c r="G1252" s="65"/>
      <c r="H1252" s="77"/>
    </row>
    <row r="1253" spans="1:8" x14ac:dyDescent="0.25">
      <c r="A1253" s="139" t="s">
        <v>950</v>
      </c>
      <c r="B1253" s="70"/>
      <c r="C1253" s="70"/>
      <c r="D1253" s="71"/>
      <c r="E1253" s="180"/>
      <c r="F1253" s="135" t="s">
        <v>481</v>
      </c>
      <c r="G1253" s="141"/>
      <c r="H1253" s="77"/>
    </row>
    <row r="1254" spans="1:8" x14ac:dyDescent="0.25">
      <c r="A1254" s="139" t="s">
        <v>951</v>
      </c>
      <c r="B1254" s="70"/>
      <c r="C1254" s="70"/>
      <c r="D1254" s="71"/>
      <c r="E1254" s="180"/>
      <c r="F1254" s="135">
        <v>1</v>
      </c>
      <c r="G1254" s="64"/>
      <c r="H1254" s="77"/>
    </row>
    <row r="1255" spans="1:8" x14ac:dyDescent="0.25">
      <c r="A1255" s="139" t="s">
        <v>952</v>
      </c>
      <c r="B1255" s="70"/>
      <c r="C1255" s="70"/>
      <c r="D1255" s="71"/>
      <c r="E1255" s="180"/>
      <c r="F1255" s="135" t="s">
        <v>402</v>
      </c>
      <c r="G1255" s="64"/>
      <c r="H1255" s="77"/>
    </row>
    <row r="1256" spans="1:8" x14ac:dyDescent="0.25">
      <c r="A1256" s="139" t="s">
        <v>953</v>
      </c>
      <c r="B1256" s="70"/>
      <c r="C1256" s="70"/>
      <c r="D1256" s="71"/>
      <c r="E1256" s="180"/>
      <c r="F1256" s="135" t="s">
        <v>954</v>
      </c>
      <c r="G1256" s="141"/>
      <c r="H1256" s="77"/>
    </row>
    <row r="1257" spans="1:8" x14ac:dyDescent="0.25">
      <c r="A1257" s="79"/>
      <c r="B1257" s="53"/>
      <c r="C1257" s="53"/>
      <c r="D1257" s="53"/>
      <c r="E1257" s="53"/>
      <c r="F1257" s="65"/>
      <c r="G1257" s="65"/>
      <c r="H1257" s="51"/>
    </row>
    <row r="1258" spans="1:8" x14ac:dyDescent="0.25">
      <c r="A1258" s="52"/>
      <c r="B1258" s="53"/>
      <c r="C1258" s="53"/>
      <c r="D1258" s="53"/>
      <c r="E1258" s="53"/>
      <c r="F1258" s="53"/>
      <c r="G1258" s="53"/>
      <c r="H1258" s="83"/>
    </row>
    <row r="1259" spans="1:8" x14ac:dyDescent="0.25">
      <c r="A1259" s="59" t="s">
        <v>413</v>
      </c>
      <c r="B1259" s="84" t="s">
        <v>266</v>
      </c>
      <c r="C1259" s="84" t="s">
        <v>383</v>
      </c>
      <c r="D1259" s="405" t="s">
        <v>414</v>
      </c>
      <c r="E1259" s="406"/>
      <c r="F1259" s="85" t="s">
        <v>415</v>
      </c>
      <c r="G1259" s="59" t="s">
        <v>416</v>
      </c>
      <c r="H1259" s="86"/>
    </row>
    <row r="1260" spans="1:8" x14ac:dyDescent="0.25">
      <c r="A1260" s="87"/>
      <c r="B1260" s="61">
        <f>2*E1235</f>
        <v>2</v>
      </c>
      <c r="C1260" s="61" t="s">
        <v>958</v>
      </c>
      <c r="D1260" s="407">
        <f>A1235/2-19</f>
        <v>1231</v>
      </c>
      <c r="E1260" s="408"/>
      <c r="F1260" s="61">
        <f>C1235-30</f>
        <v>2470</v>
      </c>
      <c r="G1260" s="91">
        <f>(D1260/1000)*(F1260/1000)*B1260</f>
        <v>6.0811400000000013</v>
      </c>
      <c r="H1260" s="92"/>
    </row>
    <row r="1261" spans="1:8" x14ac:dyDescent="0.25">
      <c r="A1261" s="79"/>
      <c r="B1261" s="53"/>
      <c r="C1261" s="53"/>
      <c r="D1261" s="53"/>
      <c r="E1261" s="53"/>
      <c r="F1261" s="94" t="s">
        <v>815</v>
      </c>
      <c r="G1261" s="95">
        <f>SUM(G1260:G1260)</f>
        <v>6.0811400000000013</v>
      </c>
      <c r="H1261" s="51"/>
    </row>
    <row r="1262" spans="1:8" x14ac:dyDescent="0.25">
      <c r="A1262" s="79"/>
      <c r="B1262" s="53"/>
      <c r="C1262" s="53"/>
      <c r="D1262" s="53"/>
      <c r="E1262" s="53"/>
      <c r="F1262" s="94"/>
      <c r="G1262" s="96"/>
      <c r="H1262" s="51"/>
    </row>
    <row r="1263" spans="1:8" x14ac:dyDescent="0.25">
      <c r="A1263" s="79"/>
      <c r="B1263" s="53"/>
      <c r="C1263" s="53"/>
      <c r="D1263" s="53"/>
      <c r="E1263" s="53"/>
      <c r="F1263" s="94"/>
      <c r="G1263" s="96"/>
      <c r="H1263" s="51"/>
    </row>
    <row r="1264" spans="1:8" x14ac:dyDescent="0.25">
      <c r="A1264" s="79"/>
      <c r="B1264" s="53"/>
      <c r="C1264" s="53"/>
      <c r="D1264" s="53"/>
      <c r="E1264" s="53"/>
      <c r="F1264" s="94"/>
      <c r="G1264" s="96"/>
      <c r="H1264" s="51"/>
    </row>
    <row r="1265" spans="1:8" x14ac:dyDescent="0.25">
      <c r="A1265" s="79"/>
      <c r="B1265" s="53"/>
      <c r="C1265" s="53"/>
      <c r="D1265" s="53"/>
      <c r="E1265" s="53"/>
      <c r="F1265" s="94"/>
      <c r="G1265" s="96"/>
      <c r="H1265" s="51"/>
    </row>
    <row r="1266" spans="1:8" x14ac:dyDescent="0.25">
      <c r="A1266" s="79"/>
      <c r="B1266" s="53"/>
      <c r="C1266" s="53"/>
      <c r="D1266" s="53"/>
      <c r="E1266" s="53"/>
      <c r="F1266" s="94"/>
      <c r="G1266" s="96"/>
      <c r="H1266" s="51"/>
    </row>
    <row r="1267" spans="1:8" x14ac:dyDescent="0.25">
      <c r="A1267" s="79"/>
      <c r="B1267" s="53"/>
      <c r="C1267" s="53"/>
      <c r="D1267" s="53"/>
      <c r="E1267" s="53"/>
      <c r="F1267" s="94"/>
      <c r="G1267" s="96"/>
      <c r="H1267" s="51"/>
    </row>
    <row r="1268" spans="1:8" x14ac:dyDescent="0.25">
      <c r="A1268" s="79"/>
      <c r="B1268" s="53"/>
      <c r="C1268" s="53"/>
      <c r="D1268" s="53"/>
      <c r="E1268" s="53"/>
      <c r="F1268" s="94"/>
      <c r="G1268" s="96"/>
      <c r="H1268" s="51"/>
    </row>
    <row r="1269" spans="1:8" x14ac:dyDescent="0.25">
      <c r="A1269" s="79"/>
      <c r="B1269" s="53"/>
      <c r="C1269" s="53"/>
      <c r="D1269" s="53"/>
      <c r="E1269" s="53"/>
      <c r="F1269" s="94"/>
      <c r="G1269" s="96"/>
      <c r="H1269" s="51"/>
    </row>
    <row r="1270" spans="1:8" x14ac:dyDescent="0.25">
      <c r="A1270" s="79"/>
      <c r="B1270" s="53"/>
      <c r="C1270" s="53"/>
      <c r="D1270" s="53"/>
      <c r="E1270" s="53"/>
      <c r="F1270" s="94"/>
      <c r="G1270" s="96"/>
      <c r="H1270" s="51"/>
    </row>
    <row r="1271" spans="1:8" x14ac:dyDescent="0.25">
      <c r="A1271" s="79"/>
      <c r="B1271" s="53"/>
      <c r="C1271" s="53"/>
      <c r="D1271" s="53"/>
      <c r="E1271" s="53"/>
      <c r="F1271" s="94"/>
      <c r="G1271" s="96"/>
      <c r="H1271" s="51"/>
    </row>
    <row r="1272" spans="1:8" x14ac:dyDescent="0.25">
      <c r="A1272" s="79"/>
      <c r="B1272" s="53"/>
      <c r="C1272" s="53"/>
      <c r="D1272" s="53"/>
      <c r="E1272" s="53"/>
      <c r="F1272" s="94"/>
      <c r="G1272" s="96"/>
      <c r="H1272" s="51"/>
    </row>
    <row r="1273" spans="1:8" x14ac:dyDescent="0.25">
      <c r="A1273" s="79"/>
      <c r="B1273" s="53"/>
      <c r="C1273" s="53"/>
      <c r="D1273" s="53"/>
      <c r="E1273" s="53"/>
      <c r="F1273" s="94"/>
      <c r="G1273" s="96"/>
      <c r="H1273" s="51"/>
    </row>
    <row r="1274" spans="1:8" x14ac:dyDescent="0.25">
      <c r="A1274" s="79"/>
      <c r="B1274" s="53"/>
      <c r="C1274" s="53"/>
      <c r="D1274" s="53"/>
      <c r="E1274" s="53"/>
      <c r="F1274" s="94"/>
      <c r="G1274" s="96"/>
      <c r="H1274" s="51"/>
    </row>
    <row r="1275" spans="1:8" x14ac:dyDescent="0.25">
      <c r="A1275" s="52"/>
      <c r="B1275" s="185"/>
      <c r="C1275" s="53"/>
      <c r="D1275" s="53"/>
      <c r="E1275" s="53"/>
      <c r="F1275" s="53"/>
      <c r="G1275" s="53"/>
      <c r="H1275" s="51"/>
    </row>
    <row r="1276" spans="1:8" x14ac:dyDescent="0.25">
      <c r="A1276" s="52"/>
      <c r="B1276" s="53"/>
      <c r="C1276" s="53"/>
      <c r="D1276" s="53"/>
      <c r="E1276" s="53"/>
      <c r="F1276" s="53"/>
      <c r="G1276" s="53"/>
      <c r="H1276" s="51"/>
    </row>
    <row r="1277" spans="1:8" x14ac:dyDescent="0.25">
      <c r="A1277" s="177"/>
      <c r="B1277" s="100"/>
      <c r="C1277" s="100"/>
      <c r="D1277" s="100"/>
      <c r="E1277" s="100"/>
      <c r="F1277" s="100"/>
      <c r="G1277" s="100"/>
      <c r="H1277" s="178"/>
    </row>
  </sheetData>
  <mergeCells count="138">
    <mergeCell ref="A1234:B1234"/>
    <mergeCell ref="C1234:D1234"/>
    <mergeCell ref="A1235:B1235"/>
    <mergeCell ref="C1235:D1235"/>
    <mergeCell ref="D1259:E1259"/>
    <mergeCell ref="D1260:E1260"/>
    <mergeCell ref="A1178:B1178"/>
    <mergeCell ref="C1178:D1178"/>
    <mergeCell ref="A1179:B1179"/>
    <mergeCell ref="C1179:D1179"/>
    <mergeCell ref="D1203:E1203"/>
    <mergeCell ref="D1204:E1204"/>
    <mergeCell ref="A1122:B1122"/>
    <mergeCell ref="C1122:D1122"/>
    <mergeCell ref="A1123:B1123"/>
    <mergeCell ref="C1123:D1123"/>
    <mergeCell ref="D1148:E1148"/>
    <mergeCell ref="D1149:E1149"/>
    <mergeCell ref="A1066:B1066"/>
    <mergeCell ref="C1066:D1066"/>
    <mergeCell ref="A1067:B1067"/>
    <mergeCell ref="C1067:D1067"/>
    <mergeCell ref="D1090:E1090"/>
    <mergeCell ref="D1091:E1091"/>
    <mergeCell ref="A1010:B1010"/>
    <mergeCell ref="C1010:D1010"/>
    <mergeCell ref="A1011:B1011"/>
    <mergeCell ref="C1011:D1011"/>
    <mergeCell ref="D1036:E1036"/>
    <mergeCell ref="D1037:E1037"/>
    <mergeCell ref="A954:B954"/>
    <mergeCell ref="C954:D954"/>
    <mergeCell ref="A955:B955"/>
    <mergeCell ref="C955:D955"/>
    <mergeCell ref="D978:E978"/>
    <mergeCell ref="D979:E979"/>
    <mergeCell ref="A898:B898"/>
    <mergeCell ref="C898:D898"/>
    <mergeCell ref="A899:B899"/>
    <mergeCell ref="C899:D899"/>
    <mergeCell ref="D928:E928"/>
    <mergeCell ref="D929:E929"/>
    <mergeCell ref="A842:B842"/>
    <mergeCell ref="C842:D842"/>
    <mergeCell ref="A843:B843"/>
    <mergeCell ref="C843:D843"/>
    <mergeCell ref="D870:E870"/>
    <mergeCell ref="D871:E871"/>
    <mergeCell ref="A786:B786"/>
    <mergeCell ref="C786:D786"/>
    <mergeCell ref="A787:B787"/>
    <mergeCell ref="C787:D787"/>
    <mergeCell ref="D816:E816"/>
    <mergeCell ref="D817:E817"/>
    <mergeCell ref="A730:B730"/>
    <mergeCell ref="C730:D730"/>
    <mergeCell ref="A731:B731"/>
    <mergeCell ref="C731:D731"/>
    <mergeCell ref="D758:E758"/>
    <mergeCell ref="D759:E759"/>
    <mergeCell ref="A674:B674"/>
    <mergeCell ref="C674:D674"/>
    <mergeCell ref="A675:B675"/>
    <mergeCell ref="C675:D675"/>
    <mergeCell ref="D699:E699"/>
    <mergeCell ref="D700:E700"/>
    <mergeCell ref="A618:B618"/>
    <mergeCell ref="C618:D618"/>
    <mergeCell ref="A619:B619"/>
    <mergeCell ref="C619:D619"/>
    <mergeCell ref="D639:E639"/>
    <mergeCell ref="D640:E640"/>
    <mergeCell ref="A562:B562"/>
    <mergeCell ref="C562:D562"/>
    <mergeCell ref="A563:B563"/>
    <mergeCell ref="C563:D563"/>
    <mergeCell ref="D587:E587"/>
    <mergeCell ref="D588:E588"/>
    <mergeCell ref="A506:B506"/>
    <mergeCell ref="C506:D506"/>
    <mergeCell ref="A507:B507"/>
    <mergeCell ref="C507:D507"/>
    <mergeCell ref="D533:E533"/>
    <mergeCell ref="D534:E534"/>
    <mergeCell ref="A450:B450"/>
    <mergeCell ref="C450:D450"/>
    <mergeCell ref="A451:B451"/>
    <mergeCell ref="C451:D451"/>
    <mergeCell ref="D473:E473"/>
    <mergeCell ref="D474:E474"/>
    <mergeCell ref="A394:B394"/>
    <mergeCell ref="C394:D394"/>
    <mergeCell ref="A395:B395"/>
    <mergeCell ref="C395:D395"/>
    <mergeCell ref="D421:E421"/>
    <mergeCell ref="D422:E422"/>
    <mergeCell ref="A338:B338"/>
    <mergeCell ref="C338:D338"/>
    <mergeCell ref="A339:B339"/>
    <mergeCell ref="C339:D339"/>
    <mergeCell ref="D365:E365"/>
    <mergeCell ref="D366:E366"/>
    <mergeCell ref="A282:B282"/>
    <mergeCell ref="C282:D282"/>
    <mergeCell ref="A283:B283"/>
    <mergeCell ref="C283:D283"/>
    <mergeCell ref="D305:E305"/>
    <mergeCell ref="D306:E306"/>
    <mergeCell ref="A227:B227"/>
    <mergeCell ref="C227:D227"/>
    <mergeCell ref="D253:E253"/>
    <mergeCell ref="D254:E254"/>
    <mergeCell ref="A170:B170"/>
    <mergeCell ref="C170:D170"/>
    <mergeCell ref="A171:B171"/>
    <mergeCell ref="C171:D171"/>
    <mergeCell ref="D190:E190"/>
    <mergeCell ref="D191:E191"/>
    <mergeCell ref="D132:E132"/>
    <mergeCell ref="D133:E133"/>
    <mergeCell ref="A58:B58"/>
    <mergeCell ref="C58:D58"/>
    <mergeCell ref="A59:B59"/>
    <mergeCell ref="C59:D59"/>
    <mergeCell ref="D78:E78"/>
    <mergeCell ref="D79:E79"/>
    <mergeCell ref="A226:B226"/>
    <mergeCell ref="C226:D226"/>
    <mergeCell ref="A4:B4"/>
    <mergeCell ref="C4:D4"/>
    <mergeCell ref="A5:B5"/>
    <mergeCell ref="C5:D5"/>
    <mergeCell ref="D22:E22"/>
    <mergeCell ref="D23:E23"/>
    <mergeCell ref="A114:B114"/>
    <mergeCell ref="C114:D114"/>
    <mergeCell ref="A115:B115"/>
    <mergeCell ref="C115:D115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INICIO</vt:lpstr>
      <vt:lpstr>CARRITO</vt:lpstr>
      <vt:lpstr>AL25 CORREDERA</vt:lpstr>
      <vt:lpstr>AL42 ABATIBLE Y PROY</vt:lpstr>
      <vt:lpstr>PVC CORREDERA BL</vt:lpstr>
      <vt:lpstr>PVC CORREDERA FOLIO</vt:lpstr>
      <vt:lpstr>PVC ABATIBLE Y PROY BL</vt:lpstr>
      <vt:lpstr>PVC ABATIBLE Y PROY FOLIO</vt:lpstr>
      <vt:lpstr>Hoja1</vt:lpstr>
      <vt:lpstr>Lugar de instalación</vt:lpstr>
      <vt:lpstr>COSTOS ALUMINIO</vt:lpstr>
      <vt:lpstr>COSTOS PVC</vt:lpstr>
      <vt:lpstr>IMAGENES</vt:lpstr>
      <vt:lpstr>COSTOS VIDRIOS</vt:lpstr>
      <vt:lpstr>COSTOS XELENTIA</vt:lpstr>
      <vt:lpstr>AL25 LAMINADO</vt:lpstr>
      <vt:lpstr>S-35</vt:lpstr>
      <vt:lpstr>X69</vt:lpstr>
      <vt:lpstr>X43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Sebastián Salas Sepúlveda</dc:creator>
  <cp:keywords/>
  <dc:description/>
  <cp:lastModifiedBy>Ignacio  Ibañez Alfaro</cp:lastModifiedBy>
  <cp:revision/>
  <dcterms:created xsi:type="dcterms:W3CDTF">2025-08-05T00:34:53Z</dcterms:created>
  <dcterms:modified xsi:type="dcterms:W3CDTF">2025-08-12T14:33:41Z</dcterms:modified>
  <cp:category/>
  <cp:contentStatus/>
</cp:coreProperties>
</file>