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lopez\Desktop\"/>
    </mc:Choice>
  </mc:AlternateContent>
  <bookViews>
    <workbookView xWindow="0" yWindow="0" windowWidth="25170" windowHeight="11460" tabRatio="488" activeTab="1"/>
  </bookViews>
  <sheets>
    <sheet name="Total" sheetId="1" r:id="rId1"/>
    <sheet name="Persimmon" sheetId="2" r:id="rId2"/>
    <sheet name="Kiwi" sheetId="3" r:id="rId3"/>
  </sheets>
  <calcPr calcId="152511"/>
</workbook>
</file>

<file path=xl/calcChain.xml><?xml version="1.0" encoding="utf-8"?>
<calcChain xmlns="http://schemas.openxmlformats.org/spreadsheetml/2006/main">
  <c r="M40" i="3" l="1"/>
  <c r="L40" i="3"/>
  <c r="C24" i="1" s="1"/>
  <c r="E40" i="3"/>
  <c r="K39" i="3"/>
  <c r="K38" i="3"/>
  <c r="K37" i="3"/>
  <c r="K36" i="3"/>
  <c r="K35" i="3"/>
  <c r="K34" i="3"/>
  <c r="K33" i="3"/>
  <c r="K32" i="3"/>
  <c r="K31" i="3"/>
  <c r="K30" i="3"/>
  <c r="K29" i="3"/>
  <c r="J28" i="3"/>
  <c r="K28" i="3" s="1"/>
  <c r="K27" i="3"/>
  <c r="K26" i="3"/>
  <c r="J26" i="3"/>
  <c r="K25" i="3"/>
  <c r="K24" i="3"/>
  <c r="J24" i="3"/>
  <c r="K23" i="3"/>
  <c r="J22" i="3"/>
  <c r="K22" i="3" s="1"/>
  <c r="K21" i="3"/>
  <c r="J21" i="3"/>
  <c r="K20" i="3"/>
  <c r="K19" i="3"/>
  <c r="K18" i="3"/>
  <c r="K17" i="3"/>
  <c r="K16" i="3"/>
  <c r="K15" i="3"/>
  <c r="K40" i="3" s="1"/>
  <c r="B33" i="1" s="1"/>
  <c r="J15" i="3"/>
  <c r="K14" i="3"/>
  <c r="C8" i="3"/>
  <c r="B8" i="3"/>
  <c r="M71" i="2"/>
  <c r="L71" i="2"/>
  <c r="E71" i="2"/>
  <c r="K70" i="2"/>
  <c r="J70" i="2"/>
  <c r="K69" i="2"/>
  <c r="K68" i="2"/>
  <c r="K67" i="2"/>
  <c r="K66" i="2"/>
  <c r="K65" i="2"/>
  <c r="K64" i="2"/>
  <c r="J64" i="2"/>
  <c r="K63" i="2"/>
  <c r="J62" i="2"/>
  <c r="K62" i="2" s="1"/>
  <c r="K61" i="2"/>
  <c r="J61" i="2"/>
  <c r="K60" i="2"/>
  <c r="K59" i="2"/>
  <c r="K58" i="2"/>
  <c r="K57" i="2"/>
  <c r="K56" i="2"/>
  <c r="K55" i="2"/>
  <c r="K54" i="2"/>
  <c r="K53" i="2"/>
  <c r="K52" i="2"/>
  <c r="K51" i="2"/>
  <c r="J51" i="2"/>
  <c r="K50" i="2"/>
  <c r="K49" i="2"/>
  <c r="K48" i="2"/>
  <c r="K47" i="2"/>
  <c r="K46" i="2"/>
  <c r="K45" i="2"/>
  <c r="K44" i="2"/>
  <c r="K43" i="2"/>
  <c r="J43" i="2"/>
  <c r="J42" i="2"/>
  <c r="K42" i="2" s="1"/>
  <c r="K41" i="2"/>
  <c r="J41" i="2"/>
  <c r="J40" i="2"/>
  <c r="K40" i="2" s="1"/>
  <c r="K39" i="2"/>
  <c r="J39" i="2"/>
  <c r="K38" i="2"/>
  <c r="K37" i="2"/>
  <c r="K36" i="2"/>
  <c r="K35" i="2"/>
  <c r="J34" i="2"/>
  <c r="K34" i="2" s="1"/>
  <c r="K33" i="2"/>
  <c r="J33" i="2"/>
  <c r="J32" i="2"/>
  <c r="K32" i="2" s="1"/>
  <c r="K31" i="2"/>
  <c r="J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C8" i="2"/>
  <c r="B8" i="2"/>
  <c r="D39" i="1"/>
  <c r="A33" i="1"/>
  <c r="A32" i="1"/>
  <c r="C25" i="1"/>
  <c r="A24" i="1"/>
  <c r="C23" i="1"/>
  <c r="C22" i="1"/>
  <c r="F22" i="1" s="1"/>
  <c r="F26" i="1" s="1"/>
  <c r="A22" i="1"/>
  <c r="H18" i="1"/>
  <c r="K71" i="2" l="1"/>
  <c r="B32" i="1" s="1"/>
  <c r="B34" i="1" s="1"/>
  <c r="G41" i="1" s="1"/>
</calcChain>
</file>

<file path=xl/sharedStrings.xml><?xml version="1.0" encoding="utf-8"?>
<sst xmlns="http://schemas.openxmlformats.org/spreadsheetml/2006/main" count="926" uniqueCount="406">
  <si>
    <t>Elecrow PCBA Quotation</t>
  </si>
  <si>
    <t>Basic info:</t>
  </si>
  <si>
    <t xml:space="preserve"> Customer address </t>
  </si>
  <si>
    <t>Elecrow address</t>
  </si>
  <si>
    <r>
      <rPr>
        <b/>
        <sz val="10"/>
        <rFont val="Arial"/>
        <family val="2"/>
      </rPr>
      <t xml:space="preserve">Vendor: </t>
    </r>
    <r>
      <rPr>
        <sz val="10"/>
        <rFont val="Arial"/>
        <family val="2"/>
      </rPr>
      <t>Elecrow</t>
    </r>
  </si>
  <si>
    <r>
      <rPr>
        <b/>
        <sz val="10"/>
        <rFont val="Arial"/>
        <family val="2"/>
      </rPr>
      <t xml:space="preserve">Customer: </t>
    </r>
    <r>
      <rPr>
        <sz val="10"/>
        <rFont val="Arial"/>
        <family val="2"/>
      </rPr>
      <t xml:space="preserve"> </t>
    </r>
  </si>
  <si>
    <t>USA</t>
  </si>
  <si>
    <t>5 Floor F1 Building, 
Fanshen Hua Feng Industrial Park, 
Hangcheng Road, Gushu, Bao'an District, 
Shenzhen, 518126
China
Tel: +86 0755 66814728</t>
  </si>
  <si>
    <r>
      <rPr>
        <b/>
        <sz val="10"/>
        <rFont val="Arial"/>
        <family val="2"/>
      </rPr>
      <t>Contact Person:</t>
    </r>
    <r>
      <rPr>
        <sz val="10"/>
        <rFont val="Arial"/>
        <family val="2"/>
      </rPr>
      <t>wade</t>
    </r>
  </si>
  <si>
    <r>
      <rPr>
        <b/>
        <sz val="10"/>
        <rFont val="Arial"/>
        <family val="2"/>
      </rPr>
      <t>Contact Person:</t>
    </r>
    <r>
      <rPr>
        <sz val="10"/>
        <rFont val="Arial"/>
        <family val="2"/>
      </rPr>
      <t xml:space="preserve"> </t>
    </r>
  </si>
  <si>
    <t>Tel:+86 0755 66814728</t>
  </si>
  <si>
    <r>
      <rPr>
        <b/>
        <sz val="10"/>
        <rFont val="Arial"/>
        <family val="2"/>
      </rPr>
      <t>Tel:</t>
    </r>
    <r>
      <rPr>
        <sz val="10"/>
        <rFont val="Arial"/>
        <family val="2"/>
      </rPr>
      <t xml:space="preserve"> </t>
    </r>
  </si>
  <si>
    <r>
      <rPr>
        <b/>
        <sz val="10"/>
        <rFont val="Arial"/>
        <family val="2"/>
      </rPr>
      <t>Email:</t>
    </r>
    <r>
      <rPr>
        <sz val="10"/>
        <rFont val="Arial"/>
        <family val="2"/>
      </rPr>
      <t xml:space="preserve"> wade@elecrow.com</t>
    </r>
  </si>
  <si>
    <r>
      <rPr>
        <b/>
        <sz val="10"/>
        <rFont val="Arial"/>
        <family val="2"/>
      </rPr>
      <t>Email:</t>
    </r>
    <r>
      <rPr>
        <sz val="10"/>
        <rFont val="Arial"/>
        <family val="2"/>
      </rPr>
      <t xml:space="preserve">
</t>
    </r>
  </si>
  <si>
    <r>
      <rPr>
        <b/>
        <sz val="10"/>
        <rFont val="Arial"/>
        <family val="2"/>
      </rPr>
      <t xml:space="preserve">Shipping method: </t>
    </r>
    <r>
      <rPr>
        <sz val="10"/>
        <rFont val="Arial"/>
        <family val="2"/>
      </rPr>
      <t xml:space="preserve"> DHL </t>
    </r>
  </si>
  <si>
    <t>Date: 2016/7</t>
  </si>
  <si>
    <t xml:space="preserve">Important: </t>
  </si>
  <si>
    <r>
      <rPr>
        <sz val="11"/>
        <color theme="1"/>
        <rFont val="Arial"/>
        <family val="2"/>
      </rPr>
      <t xml:space="preserve">     </t>
    </r>
    <r>
      <rPr>
        <i/>
        <sz val="11"/>
        <color theme="1"/>
        <rFont val="Arial"/>
        <family val="2"/>
      </rPr>
      <t xml:space="preserve">Elecrow may use subtitute brand components for your project, please refer to Elecrow PCBA Service: </t>
    </r>
    <r>
      <rPr>
        <i/>
        <sz val="11"/>
        <color rgb="FFFF0000"/>
        <rFont val="Arial"/>
        <family val="2"/>
      </rPr>
      <t xml:space="preserve">http://www.elecrow.com/pcb-assembly-p-366.html </t>
    </r>
    <r>
      <rPr>
        <i/>
        <sz val="11"/>
        <color theme="1"/>
        <rFont val="Arial"/>
        <family val="2"/>
      </rPr>
      <t>for the detailed explantion. If you have strict requirements on brand/spec for some important components, please leave us a message</t>
    </r>
  </si>
  <si>
    <t>For PCB fabricate</t>
  </si>
  <si>
    <t>Project Name</t>
  </si>
  <si>
    <t>Layers</t>
  </si>
  <si>
    <t>Dimension</t>
  </si>
  <si>
    <t>Thickness</t>
  </si>
  <si>
    <t>Surface Finished</t>
  </si>
  <si>
    <t>Solder Mask</t>
  </si>
  <si>
    <t>Qty</t>
  </si>
  <si>
    <r>
      <rPr>
        <sz val="11"/>
        <color theme="1"/>
        <rFont val="Arial"/>
        <family val="2"/>
      </rPr>
      <t>Quotation</t>
    </r>
    <r>
      <rPr>
        <sz val="11"/>
        <color theme="1"/>
        <rFont val="宋体"/>
        <charset val="134"/>
      </rPr>
      <t>（</t>
    </r>
    <r>
      <rPr>
        <sz val="11"/>
        <color theme="1"/>
        <rFont val="Arial"/>
        <family val="2"/>
      </rPr>
      <t>$)</t>
    </r>
  </si>
  <si>
    <t>Weight(g)</t>
  </si>
  <si>
    <t>Remark</t>
  </si>
  <si>
    <t>Persimmon</t>
  </si>
  <si>
    <t>9.3*10</t>
  </si>
  <si>
    <t>Hasl (Lead free)</t>
  </si>
  <si>
    <t>Blue</t>
  </si>
  <si>
    <t>Kiwi</t>
  </si>
  <si>
    <t>4*7.5</t>
  </si>
  <si>
    <t>Stencil</t>
  </si>
  <si>
    <t xml:space="preserve"> Electropolishing stencil</t>
  </si>
  <si>
    <t>Total:</t>
  </si>
  <si>
    <t>For PCB Assembly</t>
  </si>
  <si>
    <t>Pads</t>
  </si>
  <si>
    <t>Price</t>
  </si>
  <si>
    <t>Qty of Boards</t>
  </si>
  <si>
    <t>Quotation</t>
  </si>
  <si>
    <t>SMT</t>
  </si>
  <si>
    <t xml:space="preserve">            $5 is added for less than 20pcs</t>
  </si>
  <si>
    <t>THT</t>
  </si>
  <si>
    <t xml:space="preserve">$30 is starting fee </t>
  </si>
  <si>
    <t>Engineer Start</t>
  </si>
  <si>
    <t>Components purchased by Eelcrow</t>
  </si>
  <si>
    <t xml:space="preserve"> $30 sourcing fee</t>
  </si>
  <si>
    <t>Shipping</t>
  </si>
  <si>
    <t>Products</t>
  </si>
  <si>
    <t>Shipping Method</t>
  </si>
  <si>
    <t>PCBAs</t>
  </si>
  <si>
    <t>DHL</t>
  </si>
  <si>
    <t>Total Quatation($):</t>
  </si>
  <si>
    <t>2 projects</t>
  </si>
  <si>
    <t>Bill of Materials</t>
  </si>
  <si>
    <t>Main Board</t>
  </si>
  <si>
    <t>Source Data From:</t>
  </si>
  <si>
    <t>H2H Main Board v1.1.PrjPCB</t>
  </si>
  <si>
    <t>Project:</t>
  </si>
  <si>
    <t>Variant:</t>
  </si>
  <si>
    <t>H2H Main Board (Main Flash Boot)</t>
  </si>
  <si>
    <t>Creation Date:</t>
  </si>
  <si>
    <t>04/07/2016</t>
  </si>
  <si>
    <t>18:04:44</t>
  </si>
  <si>
    <t>Print Date:</t>
  </si>
  <si>
    <t>Production Quantity:</t>
  </si>
  <si>
    <t>1</t>
  </si>
  <si>
    <t>Currency</t>
  </si>
  <si>
    <t>&lt;none&gt;</t>
  </si>
  <si>
    <t>Comment</t>
  </si>
  <si>
    <t>LibRef</t>
  </si>
  <si>
    <t>Designator</t>
  </si>
  <si>
    <t>Description</t>
  </si>
  <si>
    <t>Quantity</t>
  </si>
  <si>
    <t>Supplier 1</t>
  </si>
  <si>
    <t>Supplier Part Number 1</t>
  </si>
  <si>
    <t>Manufacturer 1</t>
  </si>
  <si>
    <t>Manufacturer Part Number 1</t>
  </si>
  <si>
    <t>UnitPrice</t>
  </si>
  <si>
    <t>TotalPrice</t>
  </si>
  <si>
    <t>SMD</t>
  </si>
  <si>
    <t>Original</t>
  </si>
  <si>
    <t>Note</t>
  </si>
  <si>
    <t>1n</t>
  </si>
  <si>
    <t>Capacitor</t>
  </si>
  <si>
    <t>C1, C2</t>
  </si>
  <si>
    <t/>
  </si>
  <si>
    <t>N</t>
  </si>
  <si>
    <t>47p</t>
  </si>
  <si>
    <t>C3, C4, C5</t>
  </si>
  <si>
    <t>1.5n</t>
  </si>
  <si>
    <t>C6</t>
  </si>
  <si>
    <t>4.7n</t>
  </si>
  <si>
    <t>C7, C8</t>
  </si>
  <si>
    <t>1u</t>
  </si>
  <si>
    <t>C9, C11, C15, C16, C17, C22, C25, C34, C60, C61, C62, C63, C65, C66, C67, C68, C69, C70, C71, C72</t>
  </si>
  <si>
    <t>0.1u</t>
  </si>
  <si>
    <t>C10, C12, C14, C18, C19, C20, C23, C24, C29, C30, C31, C32, C33, C35, C42, C43, C64</t>
  </si>
  <si>
    <t>10u</t>
  </si>
  <si>
    <t>C13, C28</t>
  </si>
  <si>
    <t>0.47u</t>
  </si>
  <si>
    <t>C21</t>
  </si>
  <si>
    <t>10n</t>
  </si>
  <si>
    <t>C27, C40</t>
  </si>
  <si>
    <t>6p</t>
  </si>
  <si>
    <t>C36, C37</t>
  </si>
  <si>
    <t>10p</t>
  </si>
  <si>
    <t>C38, C39</t>
  </si>
  <si>
    <t>22p</t>
  </si>
  <si>
    <t>C41</t>
  </si>
  <si>
    <t>12p</t>
  </si>
  <si>
    <t>C44, C45</t>
  </si>
  <si>
    <t>C46, C47</t>
  </si>
  <si>
    <t>C48, C49, C50, C51, C52, C53, C54, C55, C56, C57</t>
  </si>
  <si>
    <t>C58, C59</t>
  </si>
  <si>
    <t>BAS70DW-04</t>
  </si>
  <si>
    <t>D1, D2</t>
  </si>
  <si>
    <t>TVS - Dual Schottky Rail-to-rail Protection</t>
  </si>
  <si>
    <t>Digi-Key</t>
  </si>
  <si>
    <t>BAS70DW-04FDICT-ND</t>
  </si>
  <si>
    <t>Diodes Incorporated</t>
  </si>
  <si>
    <t>BAS70DW-04-7-F</t>
  </si>
  <si>
    <t>Y</t>
  </si>
  <si>
    <t>PESD5V0X1</t>
  </si>
  <si>
    <t>D3, D4, D5</t>
  </si>
  <si>
    <t>TVS - Bidirectional Zener Diode</t>
  </si>
  <si>
    <t>568-4676-1-ND</t>
  </si>
  <si>
    <t>NXP Semiconductors</t>
  </si>
  <si>
    <t>PESD5V0X1BT,215</t>
  </si>
  <si>
    <t>BAS16L</t>
  </si>
  <si>
    <t>D6</t>
  </si>
  <si>
    <t>Diode - Switching diode, 1 V, 200 mA</t>
  </si>
  <si>
    <t>BAS16LT1GOSCT-ND</t>
  </si>
  <si>
    <t>ON Semiconductor</t>
  </si>
  <si>
    <t>BAS16LT1G</t>
  </si>
  <si>
    <t>OVSRRGBCC3</t>
  </si>
  <si>
    <t>D7</t>
  </si>
  <si>
    <t>LED - RGB, Top/Side-emmiting</t>
  </si>
  <si>
    <t>365-1981-1-ND</t>
  </si>
  <si>
    <t>TT Electronics/Optek Technology</t>
  </si>
  <si>
    <t>OVSRRGBCC3TM</t>
  </si>
  <si>
    <t>LFB212G45SG8A127</t>
  </si>
  <si>
    <t>F1</t>
  </si>
  <si>
    <t>Filter - RF 2.4 GHz</t>
  </si>
  <si>
    <t>490-5021-1-ND</t>
  </si>
  <si>
    <t>Murata Electronics North America</t>
  </si>
  <si>
    <t>JST PH 2 Pin</t>
  </si>
  <si>
    <t>S2B-PH-K-S</t>
  </si>
  <si>
    <t>J1</t>
  </si>
  <si>
    <t>Conn - Battery, Male, 2 Pin, PCB, Right Angle</t>
  </si>
  <si>
    <t>455-1719-ND</t>
  </si>
  <si>
    <t>JST Sales America Inc.</t>
  </si>
  <si>
    <t>S2B-PH-K-S(LF)(SN)</t>
  </si>
  <si>
    <t>PJ-018H-SMT</t>
  </si>
  <si>
    <t>J2</t>
  </si>
  <si>
    <t>Conn - DC Power Plug - 4.0 mmOD / 1.7 mmID</t>
  </si>
  <si>
    <t>CP-018HPJCT-ND</t>
  </si>
  <si>
    <t>CUI Inc.</t>
  </si>
  <si>
    <t>PJ-018H-SMT-TR</t>
  </si>
  <si>
    <t>JTAG 10 Pin</t>
  </si>
  <si>
    <t>3220-10-0200-00</t>
  </si>
  <si>
    <t>J3</t>
  </si>
  <si>
    <t>Conn - JTAG, Header, Male, Right Angle, 10 Pin, 1.27mm Pitch, ARM Standard</t>
  </si>
  <si>
    <t>1175-1628-ND</t>
  </si>
  <si>
    <t>CNC Tech</t>
  </si>
  <si>
    <t>FFC 40 Pin</t>
  </si>
  <si>
    <t>ER-CON40HB-2</t>
  </si>
  <si>
    <t>J4</t>
  </si>
  <si>
    <t>Conn - FFC/FPC, 40 Pin, 1.0mm Pitch, ZIF</t>
  </si>
  <si>
    <t>Banana Jack</t>
  </si>
  <si>
    <t>CT3151SP-6</t>
  </si>
  <si>
    <t>JE1, JE2, JE3, JE4</t>
  </si>
  <si>
    <t>Conn - 4mm Banana Female Jack, PCB mount, Right Angle</t>
  </si>
  <si>
    <t>BKCT3151SP-6-ND</t>
  </si>
  <si>
    <t>B&amp;K Precision</t>
  </si>
  <si>
    <t>GDT</t>
  </si>
  <si>
    <t>2051-09-SM</t>
  </si>
  <si>
    <t>N1, N2, N3</t>
  </si>
  <si>
    <t>TVS - Gas Discharge Tube</t>
  </si>
  <si>
    <t>2051-09-SM-RPLFCT-ND</t>
  </si>
  <si>
    <t>Bourns Inc.</t>
  </si>
  <si>
    <t>2051-09-SM-RPLF</t>
  </si>
  <si>
    <t>DMP3056L</t>
  </si>
  <si>
    <t>Q1</t>
  </si>
  <si>
    <t>Transistor - MOSFET, P-Channel, 30V, 4.3A</t>
  </si>
  <si>
    <t>DMP3056L-7DICT-ND</t>
  </si>
  <si>
    <t>DMP3056L-7</t>
  </si>
  <si>
    <t>BSS84</t>
  </si>
  <si>
    <t>Q2</t>
  </si>
  <si>
    <t>Transistor - MOSFET, P-Channel, 50V, 130mA</t>
  </si>
  <si>
    <t>BSS84CT-ND</t>
  </si>
  <si>
    <t>Fairchild Semiconductor</t>
  </si>
  <si>
    <t>2N7002P</t>
  </si>
  <si>
    <t>Q3, Q4, Q5, Q6</t>
  </si>
  <si>
    <t>Transistor - MOSFET, N-Channel, 60V, 300mA</t>
  </si>
  <si>
    <t>568-5818-1-ND</t>
  </si>
  <si>
    <t>2N7002P,215</t>
  </si>
  <si>
    <t>22k</t>
  </si>
  <si>
    <t>Resistor</t>
  </si>
  <si>
    <t>R1, R2, R3, R4, R5, R6</t>
  </si>
  <si>
    <t>541-22KXCT-ND</t>
  </si>
  <si>
    <t>Vishay Dale</t>
  </si>
  <si>
    <t>CRCW251222K0JNEG</t>
  </si>
  <si>
    <t>47k</t>
  </si>
  <si>
    <t>R7, R8, R9</t>
  </si>
  <si>
    <t>0</t>
  </si>
  <si>
    <t>R10, R27, R33, R41, R42</t>
  </si>
  <si>
    <t>1M</t>
  </si>
  <si>
    <t>R11, R20, R50, R51, R52, R53, R54</t>
  </si>
  <si>
    <t>100k</t>
  </si>
  <si>
    <t>R12, R25, R31, R32, R36, R37, R43, R47, R48, R49</t>
  </si>
  <si>
    <t>100</t>
  </si>
  <si>
    <t>R13, R14, R18, R23</t>
  </si>
  <si>
    <t>10k</t>
  </si>
  <si>
    <t>R15, R16, R17, R29, R38, R40</t>
  </si>
  <si>
    <t>0.01</t>
  </si>
  <si>
    <t>R19</t>
  </si>
  <si>
    <t>MCS1632R010FERCT-ND</t>
  </si>
  <si>
    <t>Ohmite</t>
  </si>
  <si>
    <t>MCS1632R010FER</t>
  </si>
  <si>
    <t>1.2k</t>
  </si>
  <si>
    <t>R26</t>
  </si>
  <si>
    <t>2k</t>
  </si>
  <si>
    <t>R28</t>
  </si>
  <si>
    <t>680</t>
  </si>
  <si>
    <t>R44</t>
  </si>
  <si>
    <t>220</t>
  </si>
  <si>
    <t>R45, R46</t>
  </si>
  <si>
    <t>WS-TASU 436331045822</t>
  </si>
  <si>
    <t>SW1</t>
  </si>
  <si>
    <t>Switch - Tactile, Off-Mom, SPST, Side-Actuated</t>
  </si>
  <si>
    <t>732-7059-1-ND</t>
  </si>
  <si>
    <t>Wurth Electronics Inc</t>
  </si>
  <si>
    <t>436331045822</t>
  </si>
  <si>
    <t>EVQ-Q2K01W</t>
  </si>
  <si>
    <t>SW2</t>
  </si>
  <si>
    <t>Switch - Tactile, Off-Mom, SPST</t>
  </si>
  <si>
    <t>P12941SCT-ND</t>
  </si>
  <si>
    <t>Panasonic Electronic Components</t>
  </si>
  <si>
    <t>ADS1292</t>
  </si>
  <si>
    <t>U1</t>
  </si>
  <si>
    <t>IC - Analog Front End - Medical</t>
  </si>
  <si>
    <t>296-30137-5-ND</t>
  </si>
  <si>
    <t>Texas Instruments</t>
  </si>
  <si>
    <t>ADS1292IPBS</t>
  </si>
  <si>
    <t>BQ27441DRZR-G1A</t>
  </si>
  <si>
    <t>U2</t>
  </si>
  <si>
    <t>IC - Fuel Gauge, System-Side Impedance Track</t>
  </si>
  <si>
    <t>296-39941-1-ND</t>
  </si>
  <si>
    <t>BQ24090</t>
  </si>
  <si>
    <t>U3</t>
  </si>
  <si>
    <t>IC - Battery Charger, Single Cell Li-Ion/LiPo, 1A</t>
  </si>
  <si>
    <t>296-38875-1-ND</t>
  </si>
  <si>
    <t>BQ24090DGQR</t>
  </si>
  <si>
    <t>STM32L162VDT6</t>
  </si>
  <si>
    <t>U4</t>
  </si>
  <si>
    <t>ARM Cortex-M3 32-bit MCU, 384 KB Flash, 48 KB Internal RAM, 83 I/Os, 100-pin LQFP, -40 to 85 degC, Tray</t>
  </si>
  <si>
    <t>Farnell</t>
  </si>
  <si>
    <t>2333341</t>
  </si>
  <si>
    <t>STMICROELECTRONICS</t>
  </si>
  <si>
    <t>SN74LV4T125</t>
  </si>
  <si>
    <t>U5, U7</t>
  </si>
  <si>
    <t>IC - Voltage Level Translator</t>
  </si>
  <si>
    <t>296-40546-1-ND</t>
  </si>
  <si>
    <t>SN74LV4T125RGYR</t>
  </si>
  <si>
    <t>CC2560B</t>
  </si>
  <si>
    <t>U6</t>
  </si>
  <si>
    <t>IC - Bluetooth 4.0 controller (BR/EDR)</t>
  </si>
  <si>
    <t>TEXAS INSTRUMENTS</t>
  </si>
  <si>
    <t>CC2560BRVMR</t>
  </si>
  <si>
    <t>LP5907-3.3</t>
  </si>
  <si>
    <t>U8, U10, U12, U13</t>
  </si>
  <si>
    <t>Voltage Regulator - Linear</t>
  </si>
  <si>
    <t>296-38557-1-ND</t>
  </si>
  <si>
    <t>LP5907MFX-3.3/NOPB</t>
  </si>
  <si>
    <t>TPS73633</t>
  </si>
  <si>
    <t>U9</t>
  </si>
  <si>
    <t>296-17884-1-ND</t>
  </si>
  <si>
    <t>TPS73633DRBR</t>
  </si>
  <si>
    <t>LP5907-1.8</t>
  </si>
  <si>
    <t>U11</t>
  </si>
  <si>
    <t>296-41463-1-ND</t>
  </si>
  <si>
    <t>LP5907MFX-1.8/NOPB</t>
  </si>
  <si>
    <t>ABS07-120-32.768KHZ-T</t>
  </si>
  <si>
    <t>X1</t>
  </si>
  <si>
    <t>Crystal - 32.768 kHz</t>
  </si>
  <si>
    <t>535-11937-1-ND</t>
  </si>
  <si>
    <t>Abracon LLC</t>
  </si>
  <si>
    <t>ABM3B-16.000MHZ-10-1-U</t>
  </si>
  <si>
    <t>X2</t>
  </si>
  <si>
    <t>Crystal - 16 MHz</t>
  </si>
  <si>
    <t>300-8206-1-ND</t>
  </si>
  <si>
    <t>ABM3B-16.000MHZ-10-1-U-T</t>
  </si>
  <si>
    <t>NX2016SA</t>
  </si>
  <si>
    <t>X3</t>
  </si>
  <si>
    <t>Crystal - 26 MHz</t>
  </si>
  <si>
    <t>644-1220-1-ND</t>
  </si>
  <si>
    <t>NDK</t>
  </si>
  <si>
    <t>NX2016SA-26M-STD-CZS-1</t>
  </si>
  <si>
    <t>2.7 kHz</t>
  </si>
  <si>
    <t>KSSG74B16</t>
  </si>
  <si>
    <t>Z1</t>
  </si>
  <si>
    <t>Transductor - Buzzer 2.7 kHz</t>
  </si>
  <si>
    <t>2215090</t>
  </si>
  <si>
    <t>KINGSTATE</t>
  </si>
  <si>
    <t>Total</t>
  </si>
  <si>
    <t>Bill of Materials For Project [H2H Power Supply v1.1.PrjPCB] (No PCB Document Selected)</t>
  </si>
  <si>
    <t>H2H Power Supply v1.1.PrjPCB</t>
  </si>
  <si>
    <t>None</t>
  </si>
  <si>
    <t>18:14:20</t>
  </si>
  <si>
    <t>6.8u</t>
  </si>
  <si>
    <t>450BXC6R8MEFC10X16</t>
  </si>
  <si>
    <t>Capacitor - Electrolytic Capacitor, 6.8 uF, 450 V, 20%, 10 mm</t>
  </si>
  <si>
    <t>1831315</t>
  </si>
  <si>
    <t>RUBYCON</t>
  </si>
  <si>
    <t>680p</t>
  </si>
  <si>
    <t>C3</t>
  </si>
  <si>
    <t>http://www.digikey.com/product-search/en?keywords=1276-3290-1-ND</t>
  </si>
  <si>
    <t>C4, C7, C11</t>
  </si>
  <si>
    <t>C5, C9</t>
  </si>
  <si>
    <t>4.7u</t>
  </si>
  <si>
    <t>EXV475M035A9BAA</t>
  </si>
  <si>
    <t>Capacitor - Electrolytic Capacitor, SMD, 4.7 uF, 35 V, 4 mm</t>
  </si>
  <si>
    <t>2069186</t>
  </si>
  <si>
    <t>KEMET</t>
  </si>
  <si>
    <t>1200u</t>
  </si>
  <si>
    <t>EEUFM1A122</t>
  </si>
  <si>
    <t>C8</t>
  </si>
  <si>
    <t>Capacitor - Electrolytic Capacitor, 1200 uF, 10 V, 20%, 10 mm</t>
  </si>
  <si>
    <t>1848381</t>
  </si>
  <si>
    <t>PANASONIC ELECTRONIC COMPONENTS</t>
  </si>
  <si>
    <t>C10</t>
  </si>
  <si>
    <t>MB6S-E3/45</t>
  </si>
  <si>
    <t>D1</t>
  </si>
  <si>
    <t>Diode - Bridge Rectifier, 600 V, 0.5 A</t>
  </si>
  <si>
    <t>1815631</t>
  </si>
  <si>
    <t>VISHAY</t>
  </si>
  <si>
    <t>US1M-13-F</t>
  </si>
  <si>
    <t>D2</t>
  </si>
  <si>
    <t>Diode - Ultra-fast, 75 ns, 1.7V, 1A, 1000V</t>
  </si>
  <si>
    <t>US1M-FDICT-ND</t>
  </si>
  <si>
    <t>1N4148W-7-F</t>
  </si>
  <si>
    <t>D3</t>
  </si>
  <si>
    <t>Diode - Standard, Switch, 1.25V, 300mA, 100V</t>
  </si>
  <si>
    <t>1776392</t>
  </si>
  <si>
    <t>DIODES INC.</t>
  </si>
  <si>
    <t>1N4148W-7-F.</t>
  </si>
  <si>
    <t>B340LA-13-F</t>
  </si>
  <si>
    <t>D4</t>
  </si>
  <si>
    <t>Diode - Schottky, 450mV, 3A, 40V</t>
  </si>
  <si>
    <t>1843681</t>
  </si>
  <si>
    <t>4.7</t>
  </si>
  <si>
    <t>NFR25H0004708JA500</t>
  </si>
  <si>
    <t>FR1</t>
  </si>
  <si>
    <t>Resistor - Fusible, Non-flammable Resistor</t>
  </si>
  <si>
    <t>9474080</t>
  </si>
  <si>
    <t>JR-201S</t>
  </si>
  <si>
    <t>Conn - 250 V AC, Inlet, IEC, Plug</t>
  </si>
  <si>
    <t>9248161</t>
  </si>
  <si>
    <t>MULTICOMP</t>
  </si>
  <si>
    <t>JR-201S(PCB)</t>
  </si>
  <si>
    <t>B2B-PH-K-S</t>
  </si>
  <si>
    <t>Conn - Battery, Male, 2 Pin, PCB</t>
  </si>
  <si>
    <t>455-1704-ND</t>
  </si>
  <si>
    <t>B2B-PH-K-S(LF)(SN)</t>
  </si>
  <si>
    <t>1m</t>
  </si>
  <si>
    <t>DR0810-105L</t>
  </si>
  <si>
    <t>L1, L2</t>
  </si>
  <si>
    <t>Inductor - Power, 1 mH, 0.5 A Sat. Current, 10%</t>
  </si>
  <si>
    <t>2457618</t>
  </si>
  <si>
    <t>COILCRAFT</t>
  </si>
  <si>
    <t>6.8k</t>
  </si>
  <si>
    <t>R1, R2</t>
  </si>
  <si>
    <t>R3</t>
  </si>
  <si>
    <t>R4</t>
  </si>
  <si>
    <t>150k</t>
  </si>
  <si>
    <t>R5</t>
  </si>
  <si>
    <t>33</t>
  </si>
  <si>
    <t>R6</t>
  </si>
  <si>
    <t>R7</t>
  </si>
  <si>
    <t>33k</t>
  </si>
  <si>
    <t>R8</t>
  </si>
  <si>
    <t>22</t>
  </si>
  <si>
    <t>R9</t>
  </si>
  <si>
    <t>15k</t>
  </si>
  <si>
    <t>R10</t>
  </si>
  <si>
    <t>WE7508110151</t>
  </si>
  <si>
    <t>T1</t>
  </si>
  <si>
    <t>Transformer - Flyback/Offline Transformer</t>
  </si>
  <si>
    <t>1297-1122-ND</t>
  </si>
  <si>
    <t>Wurth Electronics Midcom</t>
  </si>
  <si>
    <t>7508110151</t>
  </si>
  <si>
    <t>UCC28910</t>
  </si>
  <si>
    <t>IC - SMPS Flyback, 700V Flyback Switcher with Constant-Voltage/Constant-Current and Primary-Side Control</t>
  </si>
  <si>
    <t>296-37829-1-ND</t>
  </si>
  <si>
    <t>UCC28910DR</t>
  </si>
  <si>
    <t>Footprint</t>
  </si>
  <si>
    <t>C1206</t>
  </si>
  <si>
    <t>R1206</t>
  </si>
  <si>
    <t>C0603</t>
  </si>
  <si>
    <t>C0402</t>
  </si>
  <si>
    <t>R2512</t>
  </si>
  <si>
    <t>R0603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</si>
</sst>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409]h:mm:ss\ AM/PM;@"/>
    <numFmt numFmtId="165" formatCode="[$-C09]dd\-mmm\-yy;@"/>
    <numFmt numFmtId="166" formatCode="0.000_ "/>
    <numFmt numFmtId="167" formatCode="0_);[Red]\(0\)"/>
    <numFmt numFmtId="168" formatCode="[$-409]d\-mmm;@"/>
    <numFmt numFmtId="169" formatCode="0.0_);[Red]\(0.0\)"/>
    <numFmt numFmtId="170" formatCode="\$#,##0.00_);[Red]\(\$#,##0.00\)"/>
    <numFmt numFmtId="171" formatCode="0.000_);[Red]\(0.000\)"/>
    <numFmt numFmtId="172" formatCode="\$#,##0.00;[Red]\$#,##0.00"/>
    <numFmt numFmtId="173" formatCode="0.00_);[Red]\(0.00\)"/>
  </numFmts>
  <fonts count="34">
    <font>
      <sz val="12"/>
      <name val="Times New Roman"/>
      <charset val="238"/>
    </font>
    <font>
      <b/>
      <sz val="16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6"/>
      <color rgb="FFFF0000"/>
      <name val="Arial"/>
      <family val="2"/>
    </font>
    <font>
      <sz val="16"/>
      <color theme="4" tint="-0.249977111117893"/>
      <name val="Arial"/>
      <family val="2"/>
    </font>
    <font>
      <b/>
      <sz val="16"/>
      <color rgb="FFFF0000"/>
      <name val="Arial"/>
      <family val="2"/>
    </font>
    <font>
      <b/>
      <sz val="16"/>
      <color rgb="FFFF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theme="4" tint="-0.249977111117893"/>
      <name val="Arial"/>
      <family val="2"/>
    </font>
    <font>
      <b/>
      <sz val="14"/>
      <color rgb="FFFF0000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i/>
      <sz val="11"/>
      <color rgb="FFFF0000"/>
      <name val="Arial"/>
      <family val="2"/>
    </font>
    <font>
      <b/>
      <i/>
      <sz val="10"/>
      <color rgb="FFFF0000"/>
      <name val="Arial"/>
      <family val="2"/>
    </font>
    <font>
      <i/>
      <sz val="10"/>
      <color rgb="FFFF0000"/>
      <name val="Arial"/>
      <family val="2"/>
    </font>
    <font>
      <sz val="12"/>
      <name val="Times New Roman"/>
      <family val="1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4"/>
      <color rgb="FFFF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MS Sans Serif"/>
      <charset val="134"/>
    </font>
    <font>
      <sz val="10"/>
      <name val="Arial"/>
      <family val="2"/>
    </font>
    <font>
      <sz val="11"/>
      <color theme="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indexed="62"/>
      </bottom>
      <diagonal/>
    </border>
    <border>
      <left/>
      <right/>
      <top style="thin">
        <color auto="1"/>
      </top>
      <bottom style="medium">
        <color indexed="6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29" fillId="0" borderId="0">
      <alignment vertical="center"/>
    </xf>
    <xf numFmtId="0" fontId="30" fillId="0" borderId="0"/>
    <xf numFmtId="0" fontId="31" fillId="0" borderId="0"/>
    <xf numFmtId="0" fontId="32" fillId="0" borderId="0"/>
  </cellStyleXfs>
  <cellXfs count="18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Fill="1" applyBorder="1" applyAlignment="1">
      <alignment vertical="top"/>
    </xf>
    <xf numFmtId="166" fontId="3" fillId="0" borderId="0" xfId="0" applyNumberFormat="1" applyFont="1" applyFill="1" applyAlignment="1">
      <alignment vertical="top"/>
    </xf>
    <xf numFmtId="0" fontId="4" fillId="0" borderId="0" xfId="0" applyFont="1" applyFill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0" xfId="0" applyFont="1" applyFill="1" applyBorder="1" applyAlignment="1"/>
    <xf numFmtId="0" fontId="1" fillId="0" borderId="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3" fillId="2" borderId="7" xfId="0" applyFont="1" applyFill="1" applyBorder="1" applyAlignment="1"/>
    <xf numFmtId="0" fontId="1" fillId="0" borderId="4" xfId="0" applyFont="1" applyFill="1" applyBorder="1" applyAlignment="1"/>
    <xf numFmtId="0" fontId="1" fillId="0" borderId="0" xfId="0" applyFont="1" applyFill="1" applyBorder="1" applyAlignment="1"/>
    <xf numFmtId="0" fontId="3" fillId="0" borderId="8" xfId="0" applyFont="1" applyFill="1" applyBorder="1" applyAlignment="1"/>
    <xf numFmtId="0" fontId="1" fillId="0" borderId="9" xfId="0" applyFont="1" applyFill="1" applyBorder="1" applyAlignment="1"/>
    <xf numFmtId="0" fontId="3" fillId="0" borderId="9" xfId="0" applyFont="1" applyFill="1" applyBorder="1" applyAlignment="1"/>
    <xf numFmtId="0" fontId="1" fillId="0" borderId="10" xfId="0" applyFont="1" applyFill="1" applyBorder="1" applyAlignment="1"/>
    <xf numFmtId="0" fontId="3" fillId="0" borderId="4" xfId="0" applyFont="1" applyFill="1" applyBorder="1" applyAlignment="1"/>
    <xf numFmtId="165" fontId="3" fillId="0" borderId="8" xfId="0" applyNumberFormat="1" applyFont="1" applyFill="1" applyBorder="1" applyAlignment="1"/>
    <xf numFmtId="164" fontId="3" fillId="0" borderId="8" xfId="0" applyNumberFormat="1" applyFont="1" applyFill="1" applyBorder="1" applyAlignment="1"/>
    <xf numFmtId="49" fontId="3" fillId="0" borderId="8" xfId="0" applyNumberFormat="1" applyFont="1" applyFill="1" applyBorder="1" applyAlignment="1"/>
    <xf numFmtId="0" fontId="2" fillId="0" borderId="11" xfId="0" applyFont="1" applyFill="1" applyBorder="1" applyAlignment="1">
      <alignment vertical="top"/>
    </xf>
    <xf numFmtId="1" fontId="2" fillId="2" borderId="11" xfId="0" applyNumberFormat="1" applyFont="1" applyFill="1" applyBorder="1" applyAlignment="1">
      <alignment vertical="top"/>
    </xf>
    <xf numFmtId="0" fontId="3" fillId="0" borderId="12" xfId="0" applyFont="1" applyFill="1" applyBorder="1" applyAlignment="1">
      <alignment vertical="top"/>
    </xf>
    <xf numFmtId="1" fontId="3" fillId="2" borderId="13" xfId="0" applyNumberFormat="1" applyFont="1" applyFill="1" applyBorder="1" applyAlignment="1">
      <alignment vertical="top"/>
    </xf>
    <xf numFmtId="0" fontId="3" fillId="2" borderId="12" xfId="0" applyFont="1" applyFill="1" applyBorder="1" applyAlignment="1"/>
    <xf numFmtId="166" fontId="3" fillId="0" borderId="0" xfId="0" applyNumberFormat="1" applyFont="1" applyFill="1" applyAlignment="1"/>
    <xf numFmtId="0" fontId="3" fillId="2" borderId="14" xfId="0" applyFont="1" applyFill="1" applyBorder="1" applyAlignment="1"/>
    <xf numFmtId="0" fontId="3" fillId="0" borderId="12" xfId="0" applyFont="1" applyFill="1" applyBorder="1" applyAlignment="1"/>
    <xf numFmtId="0" fontId="1" fillId="0" borderId="15" xfId="0" applyFont="1" applyFill="1" applyBorder="1" applyAlignment="1"/>
    <xf numFmtId="166" fontId="3" fillId="0" borderId="0" xfId="0" applyNumberFormat="1" applyFont="1" applyFill="1" applyBorder="1" applyAlignment="1"/>
    <xf numFmtId="166" fontId="1" fillId="0" borderId="11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66" fontId="2" fillId="0" borderId="11" xfId="0" applyNumberFormat="1" applyFont="1" applyFill="1" applyBorder="1" applyAlignment="1">
      <alignment vertical="top"/>
    </xf>
    <xf numFmtId="0" fontId="5" fillId="0" borderId="11" xfId="0" applyFont="1" applyFill="1" applyBorder="1" applyAlignment="1">
      <alignment vertical="top"/>
    </xf>
    <xf numFmtId="0" fontId="6" fillId="0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166" fontId="8" fillId="0" borderId="0" xfId="0" applyNumberFormat="1" applyFont="1" applyFill="1" applyAlignment="1">
      <alignment vertical="top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left" vertical="top"/>
    </xf>
    <xf numFmtId="0" fontId="11" fillId="0" borderId="0" xfId="0" applyFont="1" applyFill="1" applyBorder="1" applyAlignment="1">
      <alignment vertical="top"/>
    </xf>
    <xf numFmtId="166" fontId="11" fillId="0" borderId="0" xfId="0" applyNumberFormat="1" applyFont="1" applyFill="1" applyAlignment="1">
      <alignment vertical="top"/>
    </xf>
    <xf numFmtId="0" fontId="11" fillId="2" borderId="1" xfId="0" applyFont="1" applyFill="1" applyBorder="1" applyAlignment="1"/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/>
    <xf numFmtId="0" fontId="11" fillId="2" borderId="0" xfId="0" applyFont="1" applyFill="1" applyBorder="1" applyAlignment="1"/>
    <xf numFmtId="0" fontId="9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2" borderId="7" xfId="0" applyFont="1" applyFill="1" applyBorder="1" applyAlignment="1"/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1" fillId="0" borderId="8" xfId="0" applyFont="1" applyFill="1" applyBorder="1" applyAlignment="1"/>
    <xf numFmtId="0" fontId="9" fillId="0" borderId="9" xfId="0" applyFont="1" applyFill="1" applyBorder="1" applyAlignment="1">
      <alignment horizontal="left"/>
    </xf>
    <xf numFmtId="0" fontId="11" fillId="0" borderId="9" xfId="0" applyFont="1" applyFill="1" applyBorder="1" applyAlignment="1"/>
    <xf numFmtId="0" fontId="9" fillId="0" borderId="10" xfId="0" applyFont="1" applyFill="1" applyBorder="1" applyAlignment="1"/>
    <xf numFmtId="0" fontId="11" fillId="0" borderId="9" xfId="0" applyFont="1" applyFill="1" applyBorder="1" applyAlignment="1">
      <alignment horizontal="left"/>
    </xf>
    <xf numFmtId="0" fontId="9" fillId="0" borderId="9" xfId="0" applyFont="1" applyFill="1" applyBorder="1" applyAlignment="1"/>
    <xf numFmtId="0" fontId="11" fillId="0" borderId="4" xfId="0" applyFont="1" applyFill="1" applyBorder="1" applyAlignment="1"/>
    <xf numFmtId="165" fontId="11" fillId="0" borderId="8" xfId="0" applyNumberFormat="1" applyFont="1" applyFill="1" applyBorder="1" applyAlignment="1">
      <alignment horizontal="left"/>
    </xf>
    <xf numFmtId="164" fontId="11" fillId="0" borderId="8" xfId="0" applyNumberFormat="1" applyFont="1" applyFill="1" applyBorder="1" applyAlignment="1">
      <alignment horizontal="left"/>
    </xf>
    <xf numFmtId="49" fontId="11" fillId="0" borderId="8" xfId="0" applyNumberFormat="1" applyFont="1" applyFill="1" applyBorder="1" applyAlignment="1">
      <alignment horizontal="left"/>
    </xf>
    <xf numFmtId="0" fontId="10" fillId="0" borderId="11" xfId="0" applyFont="1" applyFill="1" applyBorder="1" applyAlignment="1">
      <alignment vertical="top"/>
    </xf>
    <xf numFmtId="1" fontId="10" fillId="2" borderId="11" xfId="0" applyNumberFormat="1" applyFont="1" applyFill="1" applyBorder="1" applyAlignment="1">
      <alignment vertical="top"/>
    </xf>
    <xf numFmtId="0" fontId="11" fillId="2" borderId="12" xfId="0" applyFont="1" applyFill="1" applyBorder="1" applyAlignment="1"/>
    <xf numFmtId="166" fontId="11" fillId="0" borderId="0" xfId="0" applyNumberFormat="1" applyFont="1" applyFill="1" applyAlignment="1"/>
    <xf numFmtId="0" fontId="11" fillId="2" borderId="14" xfId="0" applyFont="1" applyFill="1" applyBorder="1" applyAlignment="1"/>
    <xf numFmtId="0" fontId="11" fillId="0" borderId="12" xfId="0" applyFont="1" applyFill="1" applyBorder="1" applyAlignment="1"/>
    <xf numFmtId="0" fontId="9" fillId="0" borderId="15" xfId="0" applyFont="1" applyFill="1" applyBorder="1" applyAlignment="1"/>
    <xf numFmtId="166" fontId="11" fillId="0" borderId="0" xfId="0" applyNumberFormat="1" applyFont="1" applyFill="1" applyBorder="1" applyAlignment="1"/>
    <xf numFmtId="166" fontId="9" fillId="0" borderId="11" xfId="0" applyNumberFormat="1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166" fontId="10" fillId="0" borderId="11" xfId="0" applyNumberFormat="1" applyFont="1" applyFill="1" applyBorder="1" applyAlignment="1">
      <alignment vertical="top"/>
    </xf>
    <xf numFmtId="0" fontId="12" fillId="0" borderId="11" xfId="0" applyFont="1" applyFill="1" applyBorder="1" applyAlignment="1">
      <alignment vertical="top"/>
    </xf>
    <xf numFmtId="0" fontId="13" fillId="0" borderId="11" xfId="0" applyFont="1" applyFill="1" applyBorder="1" applyAlignment="1">
      <alignment vertical="top"/>
    </xf>
    <xf numFmtId="0" fontId="11" fillId="0" borderId="0" xfId="0" applyFont="1" applyFill="1" applyBorder="1" applyAlignment="1">
      <alignment horizontal="left" vertical="top"/>
    </xf>
    <xf numFmtId="0" fontId="11" fillId="0" borderId="12" xfId="0" applyFont="1" applyFill="1" applyBorder="1" applyAlignment="1">
      <alignment vertical="top"/>
    </xf>
    <xf numFmtId="1" fontId="11" fillId="2" borderId="13" xfId="0" applyNumberFormat="1" applyFont="1" applyFill="1" applyBorder="1" applyAlignment="1">
      <alignment vertical="top"/>
    </xf>
    <xf numFmtId="0" fontId="14" fillId="0" borderId="12" xfId="0" applyFont="1" applyFill="1" applyBorder="1" applyAlignment="1">
      <alignment vertical="top"/>
    </xf>
    <xf numFmtId="167" fontId="15" fillId="0" borderId="0" xfId="1" applyNumberFormat="1" applyFont="1" applyFill="1">
      <alignment vertical="center"/>
    </xf>
    <xf numFmtId="167" fontId="15" fillId="0" borderId="0" xfId="1" applyNumberFormat="1" applyFont="1" applyFill="1" applyBorder="1">
      <alignment vertical="center"/>
    </xf>
    <xf numFmtId="167" fontId="15" fillId="0" borderId="0" xfId="1" applyNumberFormat="1" applyFont="1" applyAlignment="1"/>
    <xf numFmtId="167" fontId="15" fillId="0" borderId="0" xfId="1" applyNumberFormat="1" applyFont="1" applyAlignment="1">
      <alignment horizontal="center" vertical="center"/>
    </xf>
    <xf numFmtId="167" fontId="15" fillId="0" borderId="0" xfId="1" applyNumberFormat="1" applyFont="1">
      <alignment vertical="center"/>
    </xf>
    <xf numFmtId="167" fontId="18" fillId="0" borderId="11" xfId="1" applyNumberFormat="1" applyFont="1" applyBorder="1" applyAlignment="1">
      <alignment horizontal="center" vertical="center"/>
    </xf>
    <xf numFmtId="167" fontId="15" fillId="0" borderId="11" xfId="1" applyNumberFormat="1" applyFont="1" applyBorder="1" applyAlignment="1">
      <alignment horizontal="center" vertical="center"/>
    </xf>
    <xf numFmtId="167" fontId="23" fillId="0" borderId="0" xfId="1" applyNumberFormat="1" applyFont="1" applyBorder="1" applyAlignment="1">
      <alignment vertical="top" wrapText="1"/>
    </xf>
    <xf numFmtId="167" fontId="15" fillId="0" borderId="0" xfId="1" applyNumberFormat="1" applyFont="1" applyAlignment="1">
      <alignment horizontal="left" vertical="center"/>
    </xf>
    <xf numFmtId="167" fontId="15" fillId="0" borderId="0" xfId="1" applyNumberFormat="1" applyFont="1" applyBorder="1" applyAlignment="1">
      <alignment horizontal="center" vertical="center"/>
    </xf>
    <xf numFmtId="167" fontId="15" fillId="5" borderId="11" xfId="1" applyNumberFormat="1" applyFont="1" applyFill="1" applyBorder="1" applyAlignment="1">
      <alignment horizontal="center" vertical="center"/>
    </xf>
    <xf numFmtId="167" fontId="15" fillId="5" borderId="18" xfId="1" applyNumberFormat="1" applyFont="1" applyFill="1" applyBorder="1" applyAlignment="1">
      <alignment horizontal="center" vertical="center"/>
    </xf>
    <xf numFmtId="169" fontId="15" fillId="0" borderId="16" xfId="1" applyNumberFormat="1" applyFont="1" applyBorder="1" applyAlignment="1">
      <alignment horizontal="center" vertical="center"/>
    </xf>
    <xf numFmtId="0" fontId="24" fillId="0" borderId="11" xfId="0" applyFont="1" applyBorder="1">
      <alignment vertical="center"/>
    </xf>
    <xf numFmtId="167" fontId="15" fillId="0" borderId="17" xfId="1" applyNumberFormat="1" applyFont="1" applyBorder="1" applyAlignment="1">
      <alignment horizontal="center" vertical="center"/>
    </xf>
    <xf numFmtId="170" fontId="15" fillId="0" borderId="11" xfId="1" applyNumberFormat="1" applyFont="1" applyBorder="1" applyAlignment="1">
      <alignment horizontal="center" vertical="center"/>
    </xf>
    <xf numFmtId="169" fontId="15" fillId="0" borderId="11" xfId="1" applyNumberFormat="1" applyFont="1" applyBorder="1" applyAlignment="1">
      <alignment horizontal="center" vertical="center"/>
    </xf>
    <xf numFmtId="167" fontId="15" fillId="0" borderId="13" xfId="1" applyNumberFormat="1" applyFont="1" applyBorder="1" applyAlignment="1">
      <alignment horizontal="center" vertical="center"/>
    </xf>
    <xf numFmtId="167" fontId="25" fillId="6" borderId="13" xfId="1" applyNumberFormat="1" applyFont="1" applyFill="1" applyBorder="1" applyAlignment="1">
      <alignment horizontal="center" vertical="center"/>
    </xf>
    <xf numFmtId="170" fontId="26" fillId="0" borderId="13" xfId="1" applyNumberFormat="1" applyFont="1" applyFill="1" applyBorder="1" applyAlignment="1">
      <alignment horizontal="center" vertical="center"/>
    </xf>
    <xf numFmtId="167" fontId="15" fillId="0" borderId="0" xfId="1" applyNumberFormat="1" applyFont="1" applyFill="1" applyBorder="1" applyAlignment="1">
      <alignment horizontal="center" vertical="center"/>
    </xf>
    <xf numFmtId="167" fontId="25" fillId="0" borderId="0" xfId="1" applyNumberFormat="1" applyFont="1" applyFill="1" applyBorder="1" applyAlignment="1">
      <alignment horizontal="center" vertical="center"/>
    </xf>
    <xf numFmtId="167" fontId="15" fillId="0" borderId="0" xfId="1" applyNumberFormat="1" applyFont="1" applyBorder="1" applyAlignment="1">
      <alignment horizontal="center"/>
    </xf>
    <xf numFmtId="167" fontId="15" fillId="0" borderId="0" xfId="1" applyNumberFormat="1" applyFont="1" applyAlignment="1">
      <alignment horizontal="center"/>
    </xf>
    <xf numFmtId="167" fontId="15" fillId="5" borderId="11" xfId="1" applyNumberFormat="1" applyFont="1" applyFill="1" applyBorder="1" applyAlignment="1">
      <alignment horizontal="center"/>
    </xf>
    <xf numFmtId="167" fontId="15" fillId="0" borderId="11" xfId="1" applyNumberFormat="1" applyFont="1" applyFill="1" applyBorder="1" applyAlignment="1">
      <alignment horizontal="center" vertical="center"/>
    </xf>
    <xf numFmtId="171" fontId="15" fillId="0" borderId="11" xfId="1" applyNumberFormat="1" applyFont="1" applyFill="1" applyBorder="1" applyAlignment="1">
      <alignment horizontal="center" vertical="center"/>
    </xf>
    <xf numFmtId="170" fontId="15" fillId="0" borderId="11" xfId="1" applyNumberFormat="1" applyFont="1" applyFill="1" applyBorder="1" applyAlignment="1">
      <alignment horizontal="center" vertical="center"/>
    </xf>
    <xf numFmtId="167" fontId="15" fillId="0" borderId="0" xfId="1" applyNumberFormat="1" applyFont="1" applyFill="1" applyAlignment="1">
      <alignment horizontal="center" vertical="center"/>
    </xf>
    <xf numFmtId="167" fontId="15" fillId="0" borderId="4" xfId="1" applyNumberFormat="1" applyFont="1" applyFill="1" applyBorder="1" applyAlignment="1">
      <alignment horizontal="center" vertical="center"/>
    </xf>
    <xf numFmtId="167" fontId="15" fillId="0" borderId="3" xfId="1" applyNumberFormat="1" applyFont="1" applyFill="1" applyBorder="1" applyAlignment="1">
      <alignment horizontal="center" vertical="center"/>
    </xf>
    <xf numFmtId="171" fontId="15" fillId="0" borderId="0" xfId="1" applyNumberFormat="1" applyFont="1" applyFill="1" applyBorder="1" applyAlignment="1">
      <alignment horizontal="center" vertical="center"/>
    </xf>
    <xf numFmtId="167" fontId="25" fillId="6" borderId="11" xfId="1" applyNumberFormat="1" applyFont="1" applyFill="1" applyBorder="1" applyAlignment="1">
      <alignment horizontal="center" vertical="center"/>
    </xf>
    <xf numFmtId="170" fontId="26" fillId="0" borderId="11" xfId="1" applyNumberFormat="1" applyFont="1" applyFill="1" applyBorder="1" applyAlignment="1">
      <alignment horizontal="center" vertical="center"/>
    </xf>
    <xf numFmtId="173" fontId="15" fillId="0" borderId="0" xfId="1" applyNumberFormat="1" applyFont="1" applyFill="1" applyBorder="1" applyAlignment="1">
      <alignment horizontal="center" vertical="center"/>
    </xf>
    <xf numFmtId="167" fontId="15" fillId="4" borderId="11" xfId="1" applyNumberFormat="1" applyFont="1" applyFill="1" applyBorder="1" applyAlignment="1"/>
    <xf numFmtId="167" fontId="15" fillId="0" borderId="0" xfId="1" applyNumberFormat="1" applyFont="1" applyFill="1" applyBorder="1" applyAlignment="1">
      <alignment horizontal="center"/>
    </xf>
    <xf numFmtId="173" fontId="15" fillId="0" borderId="0" xfId="1" applyNumberFormat="1" applyFont="1" applyFill="1" applyBorder="1" applyAlignment="1">
      <alignment horizontal="left" vertical="center"/>
    </xf>
    <xf numFmtId="167" fontId="25" fillId="0" borderId="11" xfId="1" applyNumberFormat="1" applyFont="1" applyFill="1" applyBorder="1" applyAlignment="1">
      <alignment horizontal="center" vertical="center"/>
    </xf>
    <xf numFmtId="170" fontId="18" fillId="0" borderId="11" xfId="1" applyNumberFormat="1" applyFont="1" applyFill="1" applyBorder="1" applyAlignment="1">
      <alignment horizontal="center" vertical="center"/>
    </xf>
    <xf numFmtId="167" fontId="27" fillId="0" borderId="11" xfId="1" applyNumberFormat="1" applyFont="1" applyFill="1" applyBorder="1" applyAlignment="1">
      <alignment horizontal="left" vertical="center"/>
    </xf>
    <xf numFmtId="167" fontId="15" fillId="0" borderId="0" xfId="1" applyNumberFormat="1" applyFont="1" applyFill="1" applyBorder="1" applyAlignment="1">
      <alignment horizontal="left"/>
    </xf>
    <xf numFmtId="167" fontId="15" fillId="0" borderId="11" xfId="1" applyNumberFormat="1" applyFont="1" applyFill="1" applyBorder="1" applyAlignment="1">
      <alignment horizontal="left"/>
    </xf>
    <xf numFmtId="167" fontId="15" fillId="0" borderId="11" xfId="1" applyNumberFormat="1" applyFont="1" applyFill="1" applyBorder="1" applyAlignment="1">
      <alignment horizontal="left" vertical="center"/>
    </xf>
    <xf numFmtId="167" fontId="25" fillId="6" borderId="0" xfId="1" applyNumberFormat="1" applyFont="1" applyFill="1" applyBorder="1" applyAlignment="1">
      <alignment horizontal="center" vertical="center"/>
    </xf>
    <xf numFmtId="170" fontId="18" fillId="0" borderId="0" xfId="1" applyNumberFormat="1" applyFont="1" applyFill="1" applyBorder="1" applyAlignment="1">
      <alignment horizontal="center" vertical="center"/>
    </xf>
    <xf numFmtId="167" fontId="25" fillId="0" borderId="0" xfId="1" applyNumberFormat="1" applyFont="1" applyAlignment="1">
      <alignment vertical="center"/>
    </xf>
    <xf numFmtId="167" fontId="15" fillId="0" borderId="0" xfId="1" applyNumberFormat="1" applyFont="1" applyAlignment="1">
      <alignment vertical="center"/>
    </xf>
    <xf numFmtId="167" fontId="27" fillId="0" borderId="11" xfId="1" applyNumberFormat="1" applyFont="1" applyBorder="1" applyAlignment="1">
      <alignment horizontal="center" vertical="center"/>
    </xf>
    <xf numFmtId="167" fontId="26" fillId="0" borderId="13" xfId="1" applyNumberFormat="1" applyFont="1" applyBorder="1" applyAlignment="1">
      <alignment horizontal="center" vertical="center"/>
    </xf>
    <xf numFmtId="0" fontId="9" fillId="2" borderId="6" xfId="0" quotePrefix="1" applyFont="1" applyFill="1" applyBorder="1" applyAlignment="1">
      <alignment vertical="center"/>
    </xf>
    <xf numFmtId="0" fontId="9" fillId="0" borderId="0" xfId="0" quotePrefix="1" applyFont="1" applyFill="1" applyBorder="1" applyAlignment="1">
      <alignment horizontal="left"/>
    </xf>
    <xf numFmtId="0" fontId="9" fillId="0" borderId="8" xfId="0" quotePrefix="1" applyFont="1" applyFill="1" applyBorder="1" applyAlignment="1">
      <alignment horizontal="left"/>
    </xf>
    <xf numFmtId="0" fontId="9" fillId="0" borderId="9" xfId="0" quotePrefix="1" applyFont="1" applyFill="1" applyBorder="1" applyAlignment="1">
      <alignment horizontal="left"/>
    </xf>
    <xf numFmtId="0" fontId="11" fillId="0" borderId="9" xfId="0" quotePrefix="1" applyFont="1" applyFill="1" applyBorder="1" applyAlignment="1">
      <alignment horizontal="left"/>
    </xf>
    <xf numFmtId="49" fontId="11" fillId="0" borderId="8" xfId="0" quotePrefix="1" applyNumberFormat="1" applyFont="1" applyFill="1" applyBorder="1" applyAlignment="1">
      <alignment horizontal="left"/>
    </xf>
    <xf numFmtId="0" fontId="9" fillId="3" borderId="11" xfId="0" quotePrefix="1" applyFont="1" applyFill="1" applyBorder="1" applyAlignment="1">
      <alignment horizontal="left" vertical="center"/>
    </xf>
    <xf numFmtId="0" fontId="9" fillId="3" borderId="11" xfId="0" quotePrefix="1" applyFont="1" applyFill="1" applyBorder="1" applyAlignment="1">
      <alignment vertical="center"/>
    </xf>
    <xf numFmtId="0" fontId="10" fillId="0" borderId="11" xfId="0" quotePrefix="1" applyFont="1" applyFill="1" applyBorder="1" applyAlignment="1">
      <alignment horizontal="left" vertical="top"/>
    </xf>
    <xf numFmtId="0" fontId="10" fillId="0" borderId="11" xfId="0" quotePrefix="1" applyFont="1" applyFill="1" applyBorder="1" applyAlignment="1">
      <alignment vertical="top" wrapText="1"/>
    </xf>
    <xf numFmtId="0" fontId="10" fillId="0" borderId="11" xfId="0" quotePrefix="1" applyFont="1" applyFill="1" applyBorder="1" applyAlignment="1">
      <alignment vertical="top"/>
    </xf>
    <xf numFmtId="0" fontId="10" fillId="0" borderId="11" xfId="0" quotePrefix="1" applyFont="1" applyFill="1" applyBorder="1" applyAlignment="1">
      <alignment horizontal="left" vertical="top" wrapText="1"/>
    </xf>
    <xf numFmtId="0" fontId="1" fillId="2" borderId="6" xfId="0" quotePrefix="1" applyFont="1" applyFill="1" applyBorder="1" applyAlignment="1">
      <alignment vertical="center"/>
    </xf>
    <xf numFmtId="0" fontId="1" fillId="0" borderId="0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quotePrefix="1" applyFont="1" applyFill="1" applyBorder="1" applyAlignment="1"/>
    <xf numFmtId="0" fontId="3" fillId="0" borderId="9" xfId="0" quotePrefix="1" applyFont="1" applyFill="1" applyBorder="1" applyAlignment="1"/>
    <xf numFmtId="49" fontId="3" fillId="0" borderId="8" xfId="0" quotePrefix="1" applyNumberFormat="1" applyFont="1" applyFill="1" applyBorder="1" applyAlignment="1"/>
    <xf numFmtId="0" fontId="1" fillId="3" borderId="11" xfId="0" quotePrefix="1" applyFont="1" applyFill="1" applyBorder="1" applyAlignment="1">
      <alignment vertical="center"/>
    </xf>
    <xf numFmtId="0" fontId="2" fillId="0" borderId="11" xfId="0" quotePrefix="1" applyFont="1" applyFill="1" applyBorder="1" applyAlignment="1">
      <alignment vertical="top"/>
    </xf>
    <xf numFmtId="0" fontId="2" fillId="0" borderId="11" xfId="0" quotePrefix="1" applyFont="1" applyFill="1" applyBorder="1" applyAlignment="1">
      <alignment vertical="top" wrapText="1"/>
    </xf>
    <xf numFmtId="167" fontId="16" fillId="0" borderId="0" xfId="1" applyNumberFormat="1" applyFont="1" applyBorder="1" applyAlignment="1">
      <alignment horizontal="center" vertical="center"/>
    </xf>
    <xf numFmtId="167" fontId="17" fillId="0" borderId="11" xfId="1" applyNumberFormat="1" applyFont="1" applyBorder="1" applyAlignment="1">
      <alignment horizontal="left" vertical="center"/>
    </xf>
    <xf numFmtId="167" fontId="18" fillId="0" borderId="16" xfId="1" applyNumberFormat="1" applyFont="1" applyBorder="1" applyAlignment="1">
      <alignment horizontal="center" vertical="center"/>
    </xf>
    <xf numFmtId="167" fontId="18" fillId="0" borderId="8" xfId="1" applyNumberFormat="1" applyFont="1" applyBorder="1" applyAlignment="1">
      <alignment horizontal="center" vertical="center"/>
    </xf>
    <xf numFmtId="167" fontId="18" fillId="0" borderId="17" xfId="1" applyNumberFormat="1" applyFont="1" applyBorder="1" applyAlignment="1">
      <alignment horizontal="center" vertical="center"/>
    </xf>
    <xf numFmtId="167" fontId="19" fillId="0" borderId="11" xfId="1" applyNumberFormat="1" applyFont="1" applyBorder="1" applyAlignment="1">
      <alignment horizontal="left" vertical="center"/>
    </xf>
    <xf numFmtId="168" fontId="19" fillId="0" borderId="11" xfId="1" applyNumberFormat="1" applyFont="1" applyBorder="1" applyAlignment="1">
      <alignment horizontal="left" vertical="center"/>
    </xf>
    <xf numFmtId="167" fontId="15" fillId="0" borderId="11" xfId="1" applyNumberFormat="1" applyFont="1" applyBorder="1" applyAlignment="1">
      <alignment horizontal="left" vertical="center" wrapText="1"/>
    </xf>
    <xf numFmtId="167" fontId="15" fillId="0" borderId="11" xfId="1" applyNumberFormat="1" applyFont="1" applyBorder="1" applyAlignment="1">
      <alignment horizontal="left" vertical="center"/>
    </xf>
    <xf numFmtId="167" fontId="15" fillId="0" borderId="11" xfId="1" applyNumberFormat="1" applyFont="1" applyFill="1" applyBorder="1" applyAlignment="1">
      <alignment horizontal="center" vertical="center"/>
    </xf>
    <xf numFmtId="167" fontId="22" fillId="0" borderId="11" xfId="1" applyNumberFormat="1" applyFont="1" applyBorder="1" applyAlignment="1">
      <alignment horizontal="left" vertical="center"/>
    </xf>
    <xf numFmtId="167" fontId="15" fillId="4" borderId="16" xfId="1" applyNumberFormat="1" applyFont="1" applyFill="1" applyBorder="1" applyAlignment="1">
      <alignment horizontal="left" vertical="center"/>
    </xf>
    <xf numFmtId="167" fontId="15" fillId="4" borderId="17" xfId="1" applyNumberFormat="1" applyFont="1" applyFill="1" applyBorder="1" applyAlignment="1">
      <alignment horizontal="left" vertical="center"/>
    </xf>
    <xf numFmtId="167" fontId="26" fillId="0" borderId="4" xfId="1" applyNumberFormat="1" applyFont="1" applyBorder="1" applyAlignment="1">
      <alignment horizontal="center" vertical="center"/>
    </xf>
    <xf numFmtId="167" fontId="15" fillId="0" borderId="11" xfId="1" applyNumberFormat="1" applyFont="1" applyBorder="1" applyAlignment="1">
      <alignment horizontal="center" vertical="center"/>
    </xf>
    <xf numFmtId="173" fontId="28" fillId="7" borderId="19" xfId="1" applyNumberFormat="1" applyFont="1" applyFill="1" applyBorder="1" applyAlignment="1">
      <alignment horizontal="center" vertical="center"/>
    </xf>
    <xf numFmtId="173" fontId="28" fillId="7" borderId="10" xfId="1" applyNumberFormat="1" applyFont="1" applyFill="1" applyBorder="1" applyAlignment="1">
      <alignment horizontal="center" vertical="center"/>
    </xf>
    <xf numFmtId="167" fontId="25" fillId="0" borderId="18" xfId="1" applyNumberFormat="1" applyFont="1" applyFill="1" applyBorder="1" applyAlignment="1">
      <alignment horizontal="center" vertical="center"/>
    </xf>
    <xf numFmtId="167" fontId="25" fillId="0" borderId="13" xfId="1" applyNumberFormat="1" applyFont="1" applyFill="1" applyBorder="1" applyAlignment="1">
      <alignment horizontal="center" vertical="center"/>
    </xf>
    <xf numFmtId="172" fontId="25" fillId="0" borderId="18" xfId="1" applyNumberFormat="1" applyFont="1" applyFill="1" applyBorder="1" applyAlignment="1">
      <alignment horizontal="center" vertical="center"/>
    </xf>
    <xf numFmtId="172" fontId="25" fillId="0" borderId="13" xfId="1" applyNumberFormat="1" applyFont="1" applyFill="1" applyBorder="1" applyAlignment="1">
      <alignment horizontal="center" vertical="center"/>
    </xf>
    <xf numFmtId="167" fontId="20" fillId="0" borderId="11" xfId="1" applyNumberFormat="1" applyFont="1" applyBorder="1" applyAlignment="1">
      <alignment horizontal="left" vertical="center" wrapText="1"/>
    </xf>
    <xf numFmtId="167" fontId="21" fillId="0" borderId="11" xfId="1" applyNumberFormat="1" applyFont="1" applyBorder="1" applyAlignment="1">
      <alignment horizontal="left" vertical="center" wrapText="1"/>
    </xf>
    <xf numFmtId="170" fontId="15" fillId="0" borderId="11" xfId="1" applyNumberFormat="1" applyFont="1" applyFill="1" applyBorder="1" applyAlignment="1">
      <alignment horizontal="center" vertical="center"/>
    </xf>
  </cellXfs>
  <cellStyles count="5">
    <cellStyle name="Normal" xfId="0" builtinId="0"/>
    <cellStyle name="常规 2" xfId="1"/>
    <cellStyle name="常规 3" xfId="2"/>
    <cellStyle name="常规 4" xfId="3"/>
    <cellStyle name="常规 5" xfId="4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2</xdr:row>
      <xdr:rowOff>9525</xdr:rowOff>
    </xdr:from>
    <xdr:to>
      <xdr:col>8</xdr:col>
      <xdr:colOff>733425</xdr:colOff>
      <xdr:row>7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91675" y="695325"/>
          <a:ext cx="1666875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tel:+86%200755%20369485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2"/>
  <sheetViews>
    <sheetView workbookViewId="0">
      <selection activeCell="D45" sqref="D45"/>
    </sheetView>
  </sheetViews>
  <sheetFormatPr defaultColWidth="9" defaultRowHeight="14.25"/>
  <cols>
    <col min="1" max="1" width="15.125" style="89" customWidth="1"/>
    <col min="2" max="5" width="14.875" style="89" customWidth="1"/>
    <col min="6" max="6" width="27.625" style="89" customWidth="1"/>
    <col min="7" max="7" width="22.75" style="89" customWidth="1"/>
    <col min="8" max="8" width="13.125" style="89" customWidth="1"/>
    <col min="9" max="9" width="10.375" style="89" customWidth="1"/>
    <col min="10" max="10" width="15.75" style="89" customWidth="1"/>
    <col min="11" max="11" width="9" style="89"/>
    <col min="12" max="16384" width="9" style="90"/>
  </cols>
  <sheetData>
    <row r="1" spans="1:11" ht="33" customHeight="1">
      <c r="A1" s="157" t="s">
        <v>0</v>
      </c>
      <c r="B1" s="157"/>
      <c r="C1" s="157"/>
      <c r="D1" s="157"/>
      <c r="E1" s="157"/>
      <c r="F1" s="157"/>
      <c r="G1" s="157"/>
      <c r="H1" s="157"/>
      <c r="I1" s="157"/>
    </row>
    <row r="2" spans="1:11" ht="21" customHeight="1">
      <c r="A2" s="158" t="s">
        <v>1</v>
      </c>
      <c r="B2" s="158"/>
      <c r="C2" s="158"/>
      <c r="D2" s="158"/>
      <c r="E2" s="158"/>
      <c r="F2" s="91" t="s">
        <v>2</v>
      </c>
      <c r="G2" s="159" t="s">
        <v>3</v>
      </c>
      <c r="H2" s="160"/>
      <c r="I2" s="161"/>
    </row>
    <row r="3" spans="1:11" ht="21" customHeight="1">
      <c r="A3" s="162" t="s">
        <v>4</v>
      </c>
      <c r="B3" s="162"/>
      <c r="C3" s="163" t="s">
        <v>5</v>
      </c>
      <c r="D3" s="163"/>
      <c r="E3" s="163"/>
      <c r="F3" s="178" t="s">
        <v>6</v>
      </c>
      <c r="G3" s="164" t="s">
        <v>7</v>
      </c>
      <c r="H3" s="171"/>
      <c r="I3" s="171"/>
    </row>
    <row r="4" spans="1:11" ht="21" customHeight="1">
      <c r="A4" s="162" t="s">
        <v>8</v>
      </c>
      <c r="B4" s="162"/>
      <c r="C4" s="163" t="s">
        <v>9</v>
      </c>
      <c r="D4" s="163"/>
      <c r="E4" s="163"/>
      <c r="F4" s="179"/>
      <c r="G4" s="164"/>
      <c r="H4" s="171"/>
      <c r="I4" s="171"/>
    </row>
    <row r="5" spans="1:11" ht="21" customHeight="1">
      <c r="A5" s="164" t="s">
        <v>10</v>
      </c>
      <c r="B5" s="165"/>
      <c r="C5" s="163" t="s">
        <v>11</v>
      </c>
      <c r="D5" s="163"/>
      <c r="E5" s="163"/>
      <c r="F5" s="179"/>
      <c r="G5" s="164"/>
      <c r="H5" s="171"/>
      <c r="I5" s="171"/>
    </row>
    <row r="6" spans="1:11" ht="21" customHeight="1">
      <c r="A6" s="162" t="s">
        <v>12</v>
      </c>
      <c r="B6" s="162"/>
      <c r="C6" s="163" t="s">
        <v>13</v>
      </c>
      <c r="D6" s="163"/>
      <c r="E6" s="163"/>
      <c r="F6" s="179"/>
      <c r="G6" s="164"/>
      <c r="H6" s="171"/>
      <c r="I6" s="171"/>
    </row>
    <row r="7" spans="1:11" ht="21" customHeight="1">
      <c r="A7" s="162" t="s">
        <v>14</v>
      </c>
      <c r="B7" s="162"/>
      <c r="C7" s="163" t="s">
        <v>15</v>
      </c>
      <c r="D7" s="163"/>
      <c r="E7" s="163"/>
      <c r="F7" s="179"/>
      <c r="G7" s="164"/>
      <c r="H7" s="171"/>
      <c r="I7" s="171"/>
    </row>
    <row r="8" spans="1:11" ht="21" customHeight="1">
      <c r="A8" s="167" t="s">
        <v>16</v>
      </c>
      <c r="B8" s="167"/>
      <c r="C8" s="167"/>
      <c r="D8" s="167"/>
      <c r="E8" s="167"/>
      <c r="F8" s="179"/>
      <c r="G8" s="164"/>
      <c r="H8" s="171"/>
      <c r="I8" s="171"/>
    </row>
    <row r="9" spans="1:11">
      <c r="A9" s="164" t="s">
        <v>17</v>
      </c>
      <c r="B9" s="165"/>
      <c r="C9" s="165"/>
      <c r="D9" s="165"/>
      <c r="E9" s="165"/>
      <c r="F9" s="165"/>
      <c r="G9" s="165"/>
      <c r="H9" s="165"/>
      <c r="I9" s="165"/>
      <c r="K9" s="90"/>
    </row>
    <row r="10" spans="1:11" ht="15" customHeight="1">
      <c r="A10" s="165"/>
      <c r="B10" s="165"/>
      <c r="C10" s="165"/>
      <c r="D10" s="165"/>
      <c r="E10" s="165"/>
      <c r="F10" s="165"/>
      <c r="G10" s="165"/>
      <c r="H10" s="165"/>
      <c r="I10" s="165"/>
      <c r="K10" s="90"/>
    </row>
    <row r="11" spans="1:11">
      <c r="A11" s="93"/>
      <c r="B11" s="93"/>
      <c r="C11" s="93"/>
      <c r="D11" s="93"/>
      <c r="E11" s="93"/>
      <c r="F11" s="93"/>
      <c r="G11" s="93"/>
      <c r="H11" s="93"/>
      <c r="I11" s="93"/>
      <c r="K11" s="90"/>
    </row>
    <row r="12" spans="1:11">
      <c r="A12" s="94"/>
      <c r="K12" s="90"/>
    </row>
    <row r="13" spans="1:11">
      <c r="A13" s="168" t="s">
        <v>18</v>
      </c>
      <c r="B13" s="169"/>
      <c r="C13" s="95"/>
      <c r="D13" s="95"/>
      <c r="E13" s="95"/>
      <c r="F13" s="95"/>
      <c r="G13" s="95"/>
      <c r="H13" s="95"/>
      <c r="I13" s="95"/>
      <c r="J13" s="95"/>
      <c r="K13" s="90"/>
    </row>
    <row r="14" spans="1:11" s="86" customFormat="1">
      <c r="A14" s="96" t="s">
        <v>19</v>
      </c>
      <c r="B14" s="96" t="s">
        <v>20</v>
      </c>
      <c r="C14" s="96" t="s">
        <v>21</v>
      </c>
      <c r="D14" s="96" t="s">
        <v>22</v>
      </c>
      <c r="E14" s="97" t="s">
        <v>23</v>
      </c>
      <c r="F14" s="96" t="s">
        <v>24</v>
      </c>
      <c r="G14" s="96" t="s">
        <v>25</v>
      </c>
      <c r="H14" s="96" t="s">
        <v>26</v>
      </c>
      <c r="I14" s="96" t="s">
        <v>27</v>
      </c>
      <c r="J14" s="110" t="s">
        <v>28</v>
      </c>
    </row>
    <row r="15" spans="1:11" ht="15.75">
      <c r="A15" s="92" t="s">
        <v>29</v>
      </c>
      <c r="B15" s="92">
        <v>4</v>
      </c>
      <c r="C15" s="92" t="s">
        <v>30</v>
      </c>
      <c r="D15" s="98">
        <v>1.6</v>
      </c>
      <c r="E15" s="99" t="s">
        <v>31</v>
      </c>
      <c r="F15" s="100" t="s">
        <v>32</v>
      </c>
      <c r="G15" s="92">
        <v>10</v>
      </c>
      <c r="H15" s="101">
        <v>49.9</v>
      </c>
      <c r="I15" s="92">
        <v>410</v>
      </c>
      <c r="J15" s="92"/>
      <c r="K15" s="90"/>
    </row>
    <row r="16" spans="1:11" ht="15.75">
      <c r="A16" s="92" t="s">
        <v>33</v>
      </c>
      <c r="B16" s="92">
        <v>2</v>
      </c>
      <c r="C16" s="92" t="s">
        <v>34</v>
      </c>
      <c r="D16" s="98">
        <v>1.6</v>
      </c>
      <c r="E16" s="99" t="s">
        <v>31</v>
      </c>
      <c r="F16" s="100" t="s">
        <v>32</v>
      </c>
      <c r="G16" s="92">
        <v>5</v>
      </c>
      <c r="H16" s="101">
        <v>11.5</v>
      </c>
      <c r="I16" s="92">
        <v>110</v>
      </c>
      <c r="J16" s="92"/>
      <c r="K16" s="90"/>
    </row>
    <row r="17" spans="1:11">
      <c r="A17" s="92" t="s">
        <v>35</v>
      </c>
      <c r="B17" s="92"/>
      <c r="C17" s="92"/>
      <c r="D17" s="102"/>
      <c r="E17" s="103"/>
      <c r="F17" s="92"/>
      <c r="G17" s="92">
        <v>1</v>
      </c>
      <c r="H17" s="101">
        <v>30</v>
      </c>
      <c r="I17" s="92"/>
      <c r="J17" s="134" t="s">
        <v>36</v>
      </c>
      <c r="K17" s="90"/>
    </row>
    <row r="18" spans="1:11" ht="15">
      <c r="G18" s="104" t="s">
        <v>37</v>
      </c>
      <c r="H18" s="105">
        <f>SUM(H15:H17)</f>
        <v>91.4</v>
      </c>
      <c r="I18" s="135"/>
      <c r="J18" s="92"/>
      <c r="K18" s="90"/>
    </row>
    <row r="19" spans="1:11" s="87" customFormat="1" ht="15">
      <c r="A19" s="106"/>
      <c r="B19" s="106"/>
      <c r="C19" s="106"/>
      <c r="D19" s="106"/>
      <c r="E19" s="106"/>
      <c r="F19" s="106"/>
      <c r="G19" s="107"/>
      <c r="H19" s="106"/>
      <c r="I19" s="106"/>
      <c r="J19" s="106"/>
    </row>
    <row r="20" spans="1:11" s="88" customFormat="1">
      <c r="A20" s="168" t="s">
        <v>38</v>
      </c>
      <c r="B20" s="169"/>
      <c r="C20" s="108"/>
      <c r="D20" s="108"/>
      <c r="E20" s="108"/>
      <c r="F20" s="108"/>
      <c r="G20" s="108"/>
      <c r="H20" s="109"/>
    </row>
    <row r="21" spans="1:11" s="88" customFormat="1">
      <c r="A21" s="96" t="s">
        <v>19</v>
      </c>
      <c r="B21" s="110" t="s">
        <v>39</v>
      </c>
      <c r="C21" s="110" t="s">
        <v>25</v>
      </c>
      <c r="D21" s="110" t="s">
        <v>40</v>
      </c>
      <c r="E21" s="96" t="s">
        <v>41</v>
      </c>
      <c r="F21" s="110" t="s">
        <v>42</v>
      </c>
      <c r="G21" s="110" t="s">
        <v>28</v>
      </c>
      <c r="H21" s="109"/>
    </row>
    <row r="22" spans="1:11" s="86" customFormat="1">
      <c r="A22" s="166" t="str">
        <f>A15</f>
        <v>Persimmon</v>
      </c>
      <c r="B22" s="111" t="s">
        <v>43</v>
      </c>
      <c r="C22" s="111">
        <f>Persimmon!L71</f>
        <v>647</v>
      </c>
      <c r="D22" s="112">
        <v>0.03</v>
      </c>
      <c r="E22" s="166">
        <v>10</v>
      </c>
      <c r="F22" s="180">
        <f>(C22*D22+C23*D23)*E22+5</f>
        <v>210.3</v>
      </c>
      <c r="G22" s="174" t="s">
        <v>44</v>
      </c>
      <c r="H22" s="114"/>
    </row>
    <row r="23" spans="1:11" s="86" customFormat="1">
      <c r="A23" s="166"/>
      <c r="B23" s="111" t="s">
        <v>45</v>
      </c>
      <c r="C23" s="111">
        <f>Persimmon!M71</f>
        <v>28</v>
      </c>
      <c r="D23" s="112">
        <v>0.04</v>
      </c>
      <c r="E23" s="166"/>
      <c r="F23" s="180"/>
      <c r="G23" s="175"/>
      <c r="H23" s="114"/>
    </row>
    <row r="24" spans="1:11" s="86" customFormat="1">
      <c r="A24" s="166" t="str">
        <f>A16</f>
        <v>Kiwi</v>
      </c>
      <c r="B24" s="111" t="s">
        <v>43</v>
      </c>
      <c r="C24" s="111">
        <f>Kiwi!L40</f>
        <v>53</v>
      </c>
      <c r="D24" s="112">
        <v>0.03</v>
      </c>
      <c r="E24" s="166">
        <v>5</v>
      </c>
      <c r="F24" s="180">
        <v>30</v>
      </c>
      <c r="G24" s="174" t="s">
        <v>46</v>
      </c>
      <c r="H24" s="114"/>
    </row>
    <row r="25" spans="1:11" s="86" customFormat="1">
      <c r="A25" s="166"/>
      <c r="B25" s="111" t="s">
        <v>45</v>
      </c>
      <c r="C25" s="111">
        <f>Kiwi!M40</f>
        <v>26</v>
      </c>
      <c r="D25" s="112">
        <v>0.04</v>
      </c>
      <c r="E25" s="166"/>
      <c r="F25" s="180"/>
      <c r="G25" s="175"/>
      <c r="H25" s="114"/>
    </row>
    <row r="26" spans="1:11" s="86" customFormat="1" ht="15">
      <c r="A26" s="115"/>
      <c r="B26" s="116"/>
      <c r="C26" s="106"/>
      <c r="D26" s="117"/>
      <c r="E26" s="118" t="s">
        <v>37</v>
      </c>
      <c r="F26" s="119">
        <f>SUM(F22:F25)</f>
        <v>240.3</v>
      </c>
      <c r="G26" s="111"/>
      <c r="H26" s="114"/>
    </row>
    <row r="27" spans="1:11" s="87" customFormat="1" ht="15">
      <c r="A27" s="106"/>
      <c r="B27" s="106"/>
      <c r="C27" s="106"/>
      <c r="D27" s="117"/>
      <c r="E27" s="107"/>
      <c r="F27" s="120"/>
      <c r="G27" s="106"/>
      <c r="H27" s="106"/>
    </row>
    <row r="28" spans="1:11" s="86" customFormat="1">
      <c r="A28" s="168" t="s">
        <v>47</v>
      </c>
      <c r="B28" s="169"/>
      <c r="C28" s="106"/>
      <c r="D28" s="106"/>
      <c r="E28" s="106"/>
      <c r="H28" s="114"/>
      <c r="I28" s="114"/>
      <c r="J28" s="114"/>
      <c r="K28" s="114"/>
    </row>
    <row r="29" spans="1:11" ht="15">
      <c r="A29" s="118" t="s">
        <v>37</v>
      </c>
      <c r="B29" s="119">
        <v>10</v>
      </c>
    </row>
    <row r="30" spans="1:11" s="87" customFormat="1" ht="15.75" customHeight="1">
      <c r="A30" s="107"/>
      <c r="B30" s="106"/>
      <c r="C30" s="106"/>
      <c r="D30" s="106"/>
      <c r="E30" s="106"/>
      <c r="F30" s="106"/>
      <c r="G30" s="106"/>
      <c r="H30" s="106"/>
      <c r="I30" s="106"/>
      <c r="J30" s="106"/>
      <c r="K30" s="106"/>
    </row>
    <row r="31" spans="1:11" s="87" customFormat="1">
      <c r="A31" s="168" t="s">
        <v>48</v>
      </c>
      <c r="B31" s="169"/>
      <c r="C31" s="121" t="s">
        <v>28</v>
      </c>
      <c r="D31" s="106"/>
      <c r="E31" s="122"/>
      <c r="F31" s="123"/>
      <c r="G31" s="106"/>
      <c r="H31" s="106"/>
      <c r="I31" s="106"/>
      <c r="J31" s="106"/>
      <c r="K31" s="106"/>
    </row>
    <row r="32" spans="1:11" s="87" customFormat="1" ht="15">
      <c r="A32" s="111" t="str">
        <f>A15</f>
        <v>Persimmon</v>
      </c>
      <c r="B32" s="113">
        <f>Persimmon!K71*E22</f>
        <v>592.02883225806443</v>
      </c>
      <c r="C32" s="124"/>
      <c r="D32" s="106"/>
      <c r="E32" s="122"/>
      <c r="F32" s="123"/>
      <c r="G32" s="106"/>
      <c r="H32" s="106"/>
      <c r="I32" s="106"/>
      <c r="J32" s="106"/>
      <c r="K32" s="106"/>
    </row>
    <row r="33" spans="1:11" s="86" customFormat="1" ht="15">
      <c r="A33" s="111" t="str">
        <f>A16</f>
        <v>Kiwi</v>
      </c>
      <c r="B33" s="113">
        <f>Kiwi!K40*E24</f>
        <v>73.739258064516122</v>
      </c>
      <c r="C33" s="124"/>
      <c r="D33" s="106"/>
      <c r="E33" s="122"/>
      <c r="F33" s="123"/>
      <c r="G33" s="106"/>
      <c r="H33" s="114"/>
      <c r="I33" s="114"/>
      <c r="J33" s="114"/>
      <c r="K33" s="114"/>
    </row>
    <row r="34" spans="1:11" s="86" customFormat="1" ht="15">
      <c r="A34" s="118" t="s">
        <v>37</v>
      </c>
      <c r="B34" s="125">
        <f>SUM(B32)+30</f>
        <v>622.02883225806443</v>
      </c>
      <c r="C34" s="126" t="s">
        <v>49</v>
      </c>
      <c r="D34" s="122"/>
      <c r="E34" s="122"/>
      <c r="F34" s="123"/>
      <c r="G34" s="106"/>
      <c r="H34" s="114"/>
      <c r="I34" s="114"/>
      <c r="J34" s="114"/>
      <c r="K34" s="114"/>
    </row>
    <row r="35" spans="1:11" s="86" customFormat="1" ht="15">
      <c r="A35" s="127"/>
      <c r="B35" s="107"/>
      <c r="C35" s="106"/>
      <c r="D35" s="106"/>
      <c r="E35" s="106"/>
      <c r="F35" s="120"/>
      <c r="H35" s="114"/>
      <c r="I35" s="114"/>
      <c r="J35" s="114"/>
      <c r="K35" s="114"/>
    </row>
    <row r="36" spans="1:11" s="86" customFormat="1">
      <c r="A36" s="168" t="s">
        <v>50</v>
      </c>
      <c r="B36" s="169"/>
      <c r="C36" s="114"/>
      <c r="D36" s="122"/>
      <c r="E36" s="122"/>
      <c r="F36" s="123"/>
      <c r="H36" s="114"/>
      <c r="I36" s="114"/>
      <c r="J36" s="114"/>
      <c r="K36" s="114"/>
    </row>
    <row r="37" spans="1:11" s="86" customFormat="1">
      <c r="A37" s="110" t="s">
        <v>51</v>
      </c>
      <c r="B37" s="110" t="s">
        <v>52</v>
      </c>
      <c r="C37" s="110" t="s">
        <v>27</v>
      </c>
      <c r="D37" s="110" t="s">
        <v>42</v>
      </c>
      <c r="E37" s="96" t="s">
        <v>28</v>
      </c>
      <c r="G37" s="114"/>
      <c r="H37" s="114"/>
      <c r="I37" s="114"/>
      <c r="J37" s="114"/>
      <c r="K37" s="114"/>
    </row>
    <row r="38" spans="1:11">
      <c r="A38" s="128" t="s">
        <v>53</v>
      </c>
      <c r="B38" s="111" t="s">
        <v>54</v>
      </c>
      <c r="C38" s="111">
        <v>1000</v>
      </c>
      <c r="D38" s="113">
        <v>25.4</v>
      </c>
      <c r="E38" s="129"/>
      <c r="F38" s="86"/>
      <c r="G38" s="90"/>
      <c r="H38" s="90"/>
      <c r="I38" s="90"/>
      <c r="J38" s="90"/>
      <c r="K38" s="90"/>
    </row>
    <row r="39" spans="1:11" ht="15">
      <c r="A39" s="127"/>
      <c r="B39" s="114"/>
      <c r="C39" s="118" t="s">
        <v>37</v>
      </c>
      <c r="D39" s="125">
        <f>SUM(D38)</f>
        <v>25.4</v>
      </c>
      <c r="E39" s="111"/>
      <c r="F39" s="114"/>
      <c r="G39" s="90"/>
      <c r="H39" s="90"/>
      <c r="I39" s="90"/>
      <c r="J39" s="90"/>
      <c r="K39" s="90"/>
    </row>
    <row r="40" spans="1:11" ht="15">
      <c r="A40" s="127"/>
      <c r="B40" s="114"/>
      <c r="C40" s="130"/>
      <c r="D40" s="131"/>
      <c r="E40" s="106"/>
      <c r="F40" s="114"/>
      <c r="G40" s="90"/>
      <c r="H40" s="90"/>
      <c r="I40" s="90"/>
      <c r="J40" s="90"/>
      <c r="K40" s="90"/>
    </row>
    <row r="41" spans="1:11">
      <c r="F41" s="172" t="s">
        <v>55</v>
      </c>
      <c r="G41" s="176">
        <f>D39+B34+B29+F26+H18</f>
        <v>989.12883225806434</v>
      </c>
      <c r="H41" s="170" t="s">
        <v>56</v>
      </c>
      <c r="I41" s="90"/>
      <c r="J41" s="90"/>
      <c r="K41" s="90"/>
    </row>
    <row r="42" spans="1:11" ht="15">
      <c r="A42" s="132"/>
      <c r="B42" s="132"/>
      <c r="C42" s="133"/>
      <c r="D42" s="133"/>
      <c r="F42" s="173"/>
      <c r="G42" s="177"/>
      <c r="H42" s="170"/>
    </row>
  </sheetData>
  <mergeCells count="34">
    <mergeCell ref="H41:H42"/>
    <mergeCell ref="A9:I10"/>
    <mergeCell ref="H3:I8"/>
    <mergeCell ref="F41:F42"/>
    <mergeCell ref="G3:G8"/>
    <mergeCell ref="G22:G23"/>
    <mergeCell ref="G24:G25"/>
    <mergeCell ref="G41:G42"/>
    <mergeCell ref="E22:E23"/>
    <mergeCell ref="E24:E25"/>
    <mergeCell ref="F3:F8"/>
    <mergeCell ref="F22:F23"/>
    <mergeCell ref="F24:F25"/>
    <mergeCell ref="A28:B28"/>
    <mergeCell ref="A31:B31"/>
    <mergeCell ref="A36:B36"/>
    <mergeCell ref="A22:A23"/>
    <mergeCell ref="A24:A25"/>
    <mergeCell ref="A7:B7"/>
    <mergeCell ref="C7:E7"/>
    <mergeCell ref="A8:E8"/>
    <mergeCell ref="A13:B13"/>
    <mergeCell ref="A20:B20"/>
    <mergeCell ref="A4:B4"/>
    <mergeCell ref="C4:E4"/>
    <mergeCell ref="A5:B5"/>
    <mergeCell ref="C5:E5"/>
    <mergeCell ref="A6:B6"/>
    <mergeCell ref="C6:E6"/>
    <mergeCell ref="A1:I1"/>
    <mergeCell ref="A2:E2"/>
    <mergeCell ref="G2:I2"/>
    <mergeCell ref="A3:B3"/>
    <mergeCell ref="C3:E3"/>
  </mergeCells>
  <hyperlinks>
    <hyperlink ref="A5" r:id="rId1"/>
  </hyperlinks>
  <pageMargins left="0.70763888888888904" right="0.70763888888888904" top="0.74791666666666701" bottom="0.74791666666666701" header="0.31388888888888899" footer="0.31388888888888899"/>
  <pageSetup paperSize="9" orientation="landscape" horizontalDpi="2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1"/>
  <sheetViews>
    <sheetView showGridLines="0" tabSelected="1" zoomScale="40" zoomScaleNormal="40" workbookViewId="0">
      <selection activeCell="A24" sqref="A24"/>
    </sheetView>
  </sheetViews>
  <sheetFormatPr defaultColWidth="8" defaultRowHeight="18"/>
  <cols>
    <col min="1" max="1" width="23.75" style="44" customWidth="1"/>
    <col min="2" max="2" width="21.75" style="45"/>
    <col min="3" max="3" width="72.75" style="45" customWidth="1"/>
    <col min="4" max="4" width="23.125" style="44" customWidth="1"/>
    <col min="5" max="5" width="10" style="44" customWidth="1"/>
    <col min="6" max="6" width="9.25" style="46" customWidth="1"/>
    <col min="7" max="7" width="24.875" style="44"/>
    <col min="8" max="8" width="16" style="44" customWidth="1"/>
    <col min="9" max="9" width="32.125" style="44" customWidth="1"/>
    <col min="10" max="10" width="12" style="47" customWidth="1"/>
    <col min="11" max="11" width="13.625" style="47" customWidth="1"/>
    <col min="12" max="12" width="7.125" style="44" customWidth="1"/>
    <col min="13" max="13" width="6.75" style="44" customWidth="1"/>
    <col min="14" max="14" width="10" style="44" customWidth="1"/>
    <col min="15" max="15" width="8" style="44"/>
    <col min="16" max="16" width="24.875" style="44" customWidth="1"/>
    <col min="17" max="256" width="8" style="44"/>
    <col min="257" max="16384" width="8" style="6"/>
  </cols>
  <sheetData>
    <row r="1" spans="1:16">
      <c r="A1" s="48"/>
      <c r="B1" s="49"/>
      <c r="C1" s="49"/>
      <c r="D1" s="50"/>
      <c r="E1" s="50"/>
      <c r="F1" s="50"/>
      <c r="G1" s="51"/>
      <c r="H1" s="51"/>
      <c r="I1" s="71"/>
      <c r="J1" s="72"/>
    </row>
    <row r="2" spans="1:16" ht="37.5" customHeight="1">
      <c r="A2" s="52" t="s">
        <v>57</v>
      </c>
      <c r="B2" s="53"/>
      <c r="C2" s="54"/>
      <c r="D2" s="136" t="s">
        <v>58</v>
      </c>
      <c r="E2" s="55"/>
      <c r="F2" s="55"/>
      <c r="G2" s="55"/>
      <c r="H2" s="55"/>
      <c r="I2" s="73"/>
      <c r="J2" s="72"/>
    </row>
    <row r="3" spans="1:16" ht="23.25" customHeight="1">
      <c r="A3" s="56" t="s">
        <v>59</v>
      </c>
      <c r="B3" s="53"/>
      <c r="C3" s="137" t="s">
        <v>60</v>
      </c>
      <c r="D3" s="57"/>
      <c r="E3" s="58"/>
      <c r="F3" s="58"/>
      <c r="G3" s="58"/>
      <c r="H3" s="58"/>
      <c r="I3" s="74"/>
      <c r="J3" s="72"/>
    </row>
    <row r="4" spans="1:16" ht="17.25" customHeight="1">
      <c r="A4" s="56" t="s">
        <v>61</v>
      </c>
      <c r="B4" s="53"/>
      <c r="C4" s="138" t="s">
        <v>60</v>
      </c>
      <c r="D4" s="59"/>
      <c r="E4" s="58"/>
      <c r="F4" s="58"/>
      <c r="G4" s="58"/>
      <c r="H4" s="58"/>
      <c r="I4" s="74"/>
      <c r="J4" s="72"/>
    </row>
    <row r="5" spans="1:16" ht="17.25" customHeight="1">
      <c r="A5" s="56" t="s">
        <v>62</v>
      </c>
      <c r="B5" s="53"/>
      <c r="C5" s="139" t="s">
        <v>63</v>
      </c>
      <c r="D5" s="61"/>
      <c r="E5" s="58"/>
      <c r="F5" s="58"/>
      <c r="G5" s="58"/>
      <c r="H5" s="58"/>
      <c r="I5" s="74"/>
      <c r="J5" s="72"/>
    </row>
    <row r="6" spans="1:16">
      <c r="A6" s="62"/>
      <c r="B6" s="60"/>
      <c r="C6" s="63"/>
      <c r="D6" s="61"/>
      <c r="E6" s="64"/>
      <c r="F6" s="61"/>
      <c r="G6" s="64"/>
      <c r="H6" s="64"/>
      <c r="I6" s="75"/>
      <c r="J6" s="72"/>
    </row>
    <row r="7" spans="1:16" ht="15.75" customHeight="1">
      <c r="A7" s="65" t="s">
        <v>64</v>
      </c>
      <c r="B7" s="140" t="s">
        <v>65</v>
      </c>
      <c r="C7" s="140" t="s">
        <v>66</v>
      </c>
      <c r="D7" s="58"/>
      <c r="E7" s="58"/>
      <c r="F7" s="58"/>
      <c r="G7" s="58"/>
      <c r="H7" s="58"/>
      <c r="I7" s="74"/>
      <c r="J7" s="76"/>
    </row>
    <row r="8" spans="1:16" ht="15.75" customHeight="1">
      <c r="A8" s="65" t="s">
        <v>67</v>
      </c>
      <c r="B8" s="66">
        <f ca="1">TODAY()</f>
        <v>42566</v>
      </c>
      <c r="C8" s="67">
        <f ca="1">NOW()</f>
        <v>42566.527877083332</v>
      </c>
      <c r="D8" s="58"/>
      <c r="E8" s="58"/>
      <c r="F8" s="58"/>
      <c r="G8" s="58"/>
      <c r="H8" s="58"/>
      <c r="I8" s="74"/>
      <c r="J8" s="76"/>
    </row>
    <row r="9" spans="1:16" ht="15.75" customHeight="1">
      <c r="A9" s="65"/>
      <c r="B9" s="68"/>
      <c r="C9" s="68"/>
      <c r="D9" s="58"/>
      <c r="E9" s="58"/>
      <c r="F9" s="58"/>
      <c r="G9" s="58"/>
      <c r="H9" s="58"/>
      <c r="I9" s="74"/>
      <c r="J9" s="72"/>
    </row>
    <row r="10" spans="1:16" ht="15.75" customHeight="1">
      <c r="A10" s="65" t="s">
        <v>68</v>
      </c>
      <c r="B10" s="141" t="s">
        <v>69</v>
      </c>
      <c r="C10" s="68"/>
      <c r="D10" s="58"/>
      <c r="E10" s="58"/>
      <c r="F10" s="58"/>
      <c r="G10" s="58"/>
      <c r="H10" s="58"/>
      <c r="I10" s="74"/>
      <c r="J10" s="72"/>
    </row>
    <row r="11" spans="1:16" ht="15.75" customHeight="1">
      <c r="A11" s="65" t="s">
        <v>70</v>
      </c>
      <c r="B11" s="141" t="s">
        <v>71</v>
      </c>
      <c r="C11" s="68"/>
      <c r="D11" s="58"/>
      <c r="E11" s="58"/>
      <c r="F11" s="58"/>
      <c r="G11" s="58"/>
      <c r="H11" s="58"/>
      <c r="I11" s="74"/>
      <c r="J11" s="72"/>
    </row>
    <row r="12" spans="1:16" ht="15.75" customHeight="1">
      <c r="A12" s="65"/>
      <c r="B12" s="53"/>
      <c r="C12" s="53"/>
      <c r="D12" s="58"/>
      <c r="E12" s="58"/>
      <c r="F12" s="58"/>
      <c r="G12" s="58"/>
      <c r="H12" s="58"/>
      <c r="I12" s="74"/>
      <c r="J12" s="72"/>
    </row>
    <row r="13" spans="1:16" s="42" customFormat="1" ht="19.5" customHeight="1">
      <c r="A13" s="142" t="s">
        <v>72</v>
      </c>
      <c r="B13" s="142" t="s">
        <v>73</v>
      </c>
      <c r="C13" s="143" t="s">
        <v>74</v>
      </c>
      <c r="D13" s="143" t="s">
        <v>75</v>
      </c>
      <c r="E13" s="143" t="s">
        <v>76</v>
      </c>
      <c r="F13" s="143" t="s">
        <v>77</v>
      </c>
      <c r="G13" s="143" t="s">
        <v>78</v>
      </c>
      <c r="H13" s="143" t="s">
        <v>79</v>
      </c>
      <c r="I13" s="143" t="s">
        <v>80</v>
      </c>
      <c r="J13" s="77" t="s">
        <v>81</v>
      </c>
      <c r="K13" s="77" t="s">
        <v>82</v>
      </c>
      <c r="L13" s="78" t="s">
        <v>83</v>
      </c>
      <c r="M13" s="78" t="s">
        <v>45</v>
      </c>
      <c r="N13" s="78" t="s">
        <v>84</v>
      </c>
      <c r="O13" s="78" t="s">
        <v>85</v>
      </c>
      <c r="P13" s="143" t="s">
        <v>399</v>
      </c>
    </row>
    <row r="14" spans="1:16" s="43" customFormat="1" ht="16.5" customHeight="1">
      <c r="A14" s="144" t="s">
        <v>86</v>
      </c>
      <c r="B14" s="144" t="s">
        <v>87</v>
      </c>
      <c r="C14" s="145" t="s">
        <v>88</v>
      </c>
      <c r="D14" s="146" t="s">
        <v>87</v>
      </c>
      <c r="E14" s="70">
        <v>2</v>
      </c>
      <c r="F14" s="146" t="s">
        <v>89</v>
      </c>
      <c r="G14" s="146" t="s">
        <v>89</v>
      </c>
      <c r="H14" s="146" t="s">
        <v>89</v>
      </c>
      <c r="I14" s="146" t="s">
        <v>89</v>
      </c>
      <c r="J14" s="79">
        <v>1.2E-2</v>
      </c>
      <c r="K14" s="79">
        <f t="shared" ref="K14:K70" si="0">J14*E14</f>
        <v>2.4E-2</v>
      </c>
      <c r="L14" s="69">
        <v>4</v>
      </c>
      <c r="M14" s="69"/>
      <c r="N14" s="80" t="s">
        <v>90</v>
      </c>
      <c r="O14" s="69"/>
      <c r="P14" s="146" t="s">
        <v>402</v>
      </c>
    </row>
    <row r="15" spans="1:16" s="43" customFormat="1" ht="16.5" customHeight="1">
      <c r="A15" s="144" t="s">
        <v>91</v>
      </c>
      <c r="B15" s="144" t="s">
        <v>87</v>
      </c>
      <c r="C15" s="147" t="s">
        <v>92</v>
      </c>
      <c r="D15" s="146" t="s">
        <v>87</v>
      </c>
      <c r="E15" s="70">
        <v>3</v>
      </c>
      <c r="F15" s="146" t="s">
        <v>89</v>
      </c>
      <c r="G15" s="146" t="s">
        <v>89</v>
      </c>
      <c r="H15" s="146" t="s">
        <v>89</v>
      </c>
      <c r="I15" s="146" t="s">
        <v>89</v>
      </c>
      <c r="J15" s="79">
        <v>1.2E-2</v>
      </c>
      <c r="K15" s="79">
        <f t="shared" si="0"/>
        <v>3.6000000000000004E-2</v>
      </c>
      <c r="L15" s="69">
        <v>6</v>
      </c>
      <c r="M15" s="69"/>
      <c r="N15" s="80" t="s">
        <v>90</v>
      </c>
      <c r="O15" s="69"/>
      <c r="P15" s="146" t="s">
        <v>402</v>
      </c>
    </row>
    <row r="16" spans="1:16" s="43" customFormat="1" ht="16.5" customHeight="1">
      <c r="A16" s="144" t="s">
        <v>93</v>
      </c>
      <c r="B16" s="144" t="s">
        <v>87</v>
      </c>
      <c r="C16" s="145" t="s">
        <v>94</v>
      </c>
      <c r="D16" s="146" t="s">
        <v>87</v>
      </c>
      <c r="E16" s="70">
        <v>1</v>
      </c>
      <c r="F16" s="146" t="s">
        <v>89</v>
      </c>
      <c r="G16" s="146" t="s">
        <v>89</v>
      </c>
      <c r="H16" s="146" t="s">
        <v>89</v>
      </c>
      <c r="I16" s="146" t="s">
        <v>89</v>
      </c>
      <c r="J16" s="79">
        <v>1.2E-2</v>
      </c>
      <c r="K16" s="79">
        <f t="shared" si="0"/>
        <v>1.2E-2</v>
      </c>
      <c r="L16" s="69">
        <v>2</v>
      </c>
      <c r="M16" s="69"/>
      <c r="N16" s="80" t="s">
        <v>90</v>
      </c>
      <c r="O16" s="69"/>
      <c r="P16" s="146" t="s">
        <v>402</v>
      </c>
    </row>
    <row r="17" spans="1:16" s="43" customFormat="1" ht="16.5" customHeight="1">
      <c r="A17" s="144" t="s">
        <v>95</v>
      </c>
      <c r="B17" s="144" t="s">
        <v>87</v>
      </c>
      <c r="C17" s="147" t="s">
        <v>96</v>
      </c>
      <c r="D17" s="146" t="s">
        <v>87</v>
      </c>
      <c r="E17" s="70">
        <v>2</v>
      </c>
      <c r="F17" s="146" t="s">
        <v>89</v>
      </c>
      <c r="G17" s="146" t="s">
        <v>89</v>
      </c>
      <c r="H17" s="146" t="s">
        <v>89</v>
      </c>
      <c r="I17" s="146" t="s">
        <v>89</v>
      </c>
      <c r="J17" s="79">
        <v>1.2E-2</v>
      </c>
      <c r="K17" s="79">
        <f t="shared" si="0"/>
        <v>2.4E-2</v>
      </c>
      <c r="L17" s="69">
        <v>4</v>
      </c>
      <c r="M17" s="69"/>
      <c r="N17" s="80" t="s">
        <v>90</v>
      </c>
      <c r="O17" s="69"/>
      <c r="P17" s="146" t="s">
        <v>402</v>
      </c>
    </row>
    <row r="18" spans="1:16" s="43" customFormat="1" ht="16.5" customHeight="1">
      <c r="A18" s="144" t="s">
        <v>97</v>
      </c>
      <c r="B18" s="144" t="s">
        <v>87</v>
      </c>
      <c r="C18" s="145" t="s">
        <v>98</v>
      </c>
      <c r="D18" s="146" t="s">
        <v>87</v>
      </c>
      <c r="E18" s="70">
        <v>20</v>
      </c>
      <c r="F18" s="146" t="s">
        <v>89</v>
      </c>
      <c r="G18" s="146" t="s">
        <v>89</v>
      </c>
      <c r="H18" s="146" t="s">
        <v>89</v>
      </c>
      <c r="I18" s="146" t="s">
        <v>89</v>
      </c>
      <c r="J18" s="79">
        <v>1.2E-2</v>
      </c>
      <c r="K18" s="79">
        <f t="shared" si="0"/>
        <v>0.24</v>
      </c>
      <c r="L18" s="69">
        <v>40</v>
      </c>
      <c r="M18" s="69"/>
      <c r="N18" s="80" t="s">
        <v>90</v>
      </c>
      <c r="O18" s="69"/>
      <c r="P18" s="146" t="s">
        <v>402</v>
      </c>
    </row>
    <row r="19" spans="1:16" s="43" customFormat="1" ht="16.5" customHeight="1">
      <c r="A19" s="144" t="s">
        <v>99</v>
      </c>
      <c r="B19" s="144" t="s">
        <v>87</v>
      </c>
      <c r="C19" s="147" t="s">
        <v>100</v>
      </c>
      <c r="D19" s="146" t="s">
        <v>87</v>
      </c>
      <c r="E19" s="70">
        <v>17</v>
      </c>
      <c r="F19" s="146" t="s">
        <v>89</v>
      </c>
      <c r="G19" s="146" t="s">
        <v>89</v>
      </c>
      <c r="H19" s="146" t="s">
        <v>89</v>
      </c>
      <c r="I19" s="146" t="s">
        <v>89</v>
      </c>
      <c r="J19" s="79">
        <v>1.2E-2</v>
      </c>
      <c r="K19" s="79">
        <f t="shared" si="0"/>
        <v>0.20400000000000001</v>
      </c>
      <c r="L19" s="69">
        <v>34</v>
      </c>
      <c r="M19" s="69"/>
      <c r="N19" s="80" t="s">
        <v>90</v>
      </c>
      <c r="O19" s="69"/>
      <c r="P19" s="146" t="s">
        <v>402</v>
      </c>
    </row>
    <row r="20" spans="1:16" s="43" customFormat="1" ht="16.5" customHeight="1">
      <c r="A20" s="144" t="s">
        <v>101</v>
      </c>
      <c r="B20" s="144" t="s">
        <v>87</v>
      </c>
      <c r="C20" s="145" t="s">
        <v>102</v>
      </c>
      <c r="D20" s="146" t="s">
        <v>87</v>
      </c>
      <c r="E20" s="70">
        <v>2</v>
      </c>
      <c r="F20" s="146" t="s">
        <v>89</v>
      </c>
      <c r="G20" s="146" t="s">
        <v>89</v>
      </c>
      <c r="H20" s="146" t="s">
        <v>89</v>
      </c>
      <c r="I20" s="146" t="s">
        <v>89</v>
      </c>
      <c r="J20" s="79">
        <v>1.4999999999999999E-2</v>
      </c>
      <c r="K20" s="79">
        <f t="shared" si="0"/>
        <v>0.03</v>
      </c>
      <c r="L20" s="69">
        <v>4</v>
      </c>
      <c r="M20" s="69"/>
      <c r="N20" s="80" t="s">
        <v>90</v>
      </c>
      <c r="O20" s="69"/>
      <c r="P20" s="146" t="s">
        <v>402</v>
      </c>
    </row>
    <row r="21" spans="1:16" s="43" customFormat="1" ht="16.5" customHeight="1">
      <c r="A21" s="144" t="s">
        <v>103</v>
      </c>
      <c r="B21" s="144" t="s">
        <v>87</v>
      </c>
      <c r="C21" s="147" t="s">
        <v>104</v>
      </c>
      <c r="D21" s="146" t="s">
        <v>87</v>
      </c>
      <c r="E21" s="70">
        <v>1</v>
      </c>
      <c r="F21" s="146" t="s">
        <v>89</v>
      </c>
      <c r="G21" s="146" t="s">
        <v>89</v>
      </c>
      <c r="H21" s="146" t="s">
        <v>89</v>
      </c>
      <c r="I21" s="146" t="s">
        <v>89</v>
      </c>
      <c r="J21" s="79">
        <v>1.4999999999999999E-2</v>
      </c>
      <c r="K21" s="79">
        <f t="shared" si="0"/>
        <v>1.4999999999999999E-2</v>
      </c>
      <c r="L21" s="69">
        <v>2</v>
      </c>
      <c r="M21" s="69"/>
      <c r="N21" s="80" t="s">
        <v>90</v>
      </c>
      <c r="O21" s="69"/>
      <c r="P21" s="146" t="s">
        <v>402</v>
      </c>
    </row>
    <row r="22" spans="1:16" s="43" customFormat="1" ht="16.5" customHeight="1">
      <c r="A22" s="144" t="s">
        <v>105</v>
      </c>
      <c r="B22" s="144" t="s">
        <v>87</v>
      </c>
      <c r="C22" s="145" t="s">
        <v>106</v>
      </c>
      <c r="D22" s="146" t="s">
        <v>87</v>
      </c>
      <c r="E22" s="70">
        <v>2</v>
      </c>
      <c r="F22" s="146" t="s">
        <v>89</v>
      </c>
      <c r="G22" s="146" t="s">
        <v>89</v>
      </c>
      <c r="H22" s="146" t="s">
        <v>89</v>
      </c>
      <c r="I22" s="146" t="s">
        <v>89</v>
      </c>
      <c r="J22" s="79">
        <v>1.2E-2</v>
      </c>
      <c r="K22" s="79">
        <f t="shared" si="0"/>
        <v>2.4E-2</v>
      </c>
      <c r="L22" s="69">
        <v>4</v>
      </c>
      <c r="M22" s="69"/>
      <c r="N22" s="80" t="s">
        <v>90</v>
      </c>
      <c r="O22" s="69"/>
      <c r="P22" s="146" t="s">
        <v>402</v>
      </c>
    </row>
    <row r="23" spans="1:16" s="43" customFormat="1" ht="16.5" customHeight="1">
      <c r="A23" s="144" t="s">
        <v>107</v>
      </c>
      <c r="B23" s="144" t="s">
        <v>87</v>
      </c>
      <c r="C23" s="147" t="s">
        <v>108</v>
      </c>
      <c r="D23" s="146" t="s">
        <v>87</v>
      </c>
      <c r="E23" s="70">
        <v>2</v>
      </c>
      <c r="F23" s="146" t="s">
        <v>89</v>
      </c>
      <c r="G23" s="146" t="s">
        <v>89</v>
      </c>
      <c r="H23" s="146" t="s">
        <v>89</v>
      </c>
      <c r="I23" s="146" t="s">
        <v>89</v>
      </c>
      <c r="J23" s="79">
        <v>1.2E-2</v>
      </c>
      <c r="K23" s="79">
        <f t="shared" si="0"/>
        <v>2.4E-2</v>
      </c>
      <c r="L23" s="69">
        <v>4</v>
      </c>
      <c r="M23" s="69"/>
      <c r="N23" s="80" t="s">
        <v>90</v>
      </c>
      <c r="O23" s="69"/>
      <c r="P23" s="146" t="s">
        <v>402</v>
      </c>
    </row>
    <row r="24" spans="1:16" s="43" customFormat="1" ht="16.5" customHeight="1">
      <c r="A24" s="144" t="s">
        <v>109</v>
      </c>
      <c r="B24" s="144" t="s">
        <v>87</v>
      </c>
      <c r="C24" s="145" t="s">
        <v>110</v>
      </c>
      <c r="D24" s="146" t="s">
        <v>87</v>
      </c>
      <c r="E24" s="70">
        <v>2</v>
      </c>
      <c r="F24" s="146" t="s">
        <v>89</v>
      </c>
      <c r="G24" s="146" t="s">
        <v>89</v>
      </c>
      <c r="H24" s="146" t="s">
        <v>89</v>
      </c>
      <c r="I24" s="146" t="s">
        <v>89</v>
      </c>
      <c r="J24" s="79">
        <v>1.2E-2</v>
      </c>
      <c r="K24" s="79">
        <f t="shared" si="0"/>
        <v>2.4E-2</v>
      </c>
      <c r="L24" s="69">
        <v>4</v>
      </c>
      <c r="M24" s="69"/>
      <c r="N24" s="80" t="s">
        <v>90</v>
      </c>
      <c r="O24" s="69"/>
      <c r="P24" s="146" t="s">
        <v>402</v>
      </c>
    </row>
    <row r="25" spans="1:16" s="43" customFormat="1" ht="16.5" customHeight="1">
      <c r="A25" s="144" t="s">
        <v>111</v>
      </c>
      <c r="B25" s="144" t="s">
        <v>87</v>
      </c>
      <c r="C25" s="147" t="s">
        <v>112</v>
      </c>
      <c r="D25" s="146" t="s">
        <v>87</v>
      </c>
      <c r="E25" s="70">
        <v>1</v>
      </c>
      <c r="F25" s="146" t="s">
        <v>89</v>
      </c>
      <c r="G25" s="146" t="s">
        <v>89</v>
      </c>
      <c r="H25" s="146" t="s">
        <v>89</v>
      </c>
      <c r="I25" s="146" t="s">
        <v>89</v>
      </c>
      <c r="J25" s="79">
        <v>1.2E-2</v>
      </c>
      <c r="K25" s="79">
        <f t="shared" si="0"/>
        <v>1.2E-2</v>
      </c>
      <c r="L25" s="69">
        <v>2</v>
      </c>
      <c r="M25" s="69"/>
      <c r="N25" s="80" t="s">
        <v>90</v>
      </c>
      <c r="O25" s="69"/>
      <c r="P25" s="146" t="s">
        <v>403</v>
      </c>
    </row>
    <row r="26" spans="1:16" s="43" customFormat="1" ht="16.5" customHeight="1">
      <c r="A26" s="144" t="s">
        <v>113</v>
      </c>
      <c r="B26" s="144" t="s">
        <v>87</v>
      </c>
      <c r="C26" s="145" t="s">
        <v>114</v>
      </c>
      <c r="D26" s="146" t="s">
        <v>87</v>
      </c>
      <c r="E26" s="70">
        <v>2</v>
      </c>
      <c r="F26" s="146" t="s">
        <v>89</v>
      </c>
      <c r="G26" s="146" t="s">
        <v>89</v>
      </c>
      <c r="H26" s="146" t="s">
        <v>89</v>
      </c>
      <c r="I26" s="146" t="s">
        <v>89</v>
      </c>
      <c r="J26" s="79">
        <v>1.2E-2</v>
      </c>
      <c r="K26" s="79">
        <f t="shared" si="0"/>
        <v>2.4E-2</v>
      </c>
      <c r="L26" s="69">
        <v>4</v>
      </c>
      <c r="M26" s="69"/>
      <c r="N26" s="80" t="s">
        <v>90</v>
      </c>
      <c r="O26" s="69"/>
      <c r="P26" s="146" t="s">
        <v>403</v>
      </c>
    </row>
    <row r="27" spans="1:16" s="43" customFormat="1" ht="16.5" customHeight="1">
      <c r="A27" s="144" t="s">
        <v>97</v>
      </c>
      <c r="B27" s="144" t="s">
        <v>87</v>
      </c>
      <c r="C27" s="147" t="s">
        <v>115</v>
      </c>
      <c r="D27" s="146" t="s">
        <v>87</v>
      </c>
      <c r="E27" s="70">
        <v>2</v>
      </c>
      <c r="F27" s="146" t="s">
        <v>89</v>
      </c>
      <c r="G27" s="146" t="s">
        <v>89</v>
      </c>
      <c r="H27" s="146" t="s">
        <v>89</v>
      </c>
      <c r="I27" s="146" t="s">
        <v>89</v>
      </c>
      <c r="J27" s="79">
        <v>1.4999999999999999E-2</v>
      </c>
      <c r="K27" s="79">
        <f t="shared" si="0"/>
        <v>0.03</v>
      </c>
      <c r="L27" s="69">
        <v>4</v>
      </c>
      <c r="M27" s="69"/>
      <c r="N27" s="80" t="s">
        <v>90</v>
      </c>
      <c r="O27" s="69"/>
      <c r="P27" s="146" t="s">
        <v>403</v>
      </c>
    </row>
    <row r="28" spans="1:16" s="43" customFormat="1" ht="16.5" customHeight="1">
      <c r="A28" s="144" t="s">
        <v>99</v>
      </c>
      <c r="B28" s="144" t="s">
        <v>87</v>
      </c>
      <c r="C28" s="145" t="s">
        <v>116</v>
      </c>
      <c r="D28" s="146" t="s">
        <v>87</v>
      </c>
      <c r="E28" s="70">
        <v>10</v>
      </c>
      <c r="F28" s="146" t="s">
        <v>89</v>
      </c>
      <c r="G28" s="146" t="s">
        <v>89</v>
      </c>
      <c r="H28" s="146" t="s">
        <v>89</v>
      </c>
      <c r="I28" s="146" t="s">
        <v>89</v>
      </c>
      <c r="J28" s="79">
        <v>1.2E-2</v>
      </c>
      <c r="K28" s="79">
        <f t="shared" si="0"/>
        <v>0.12</v>
      </c>
      <c r="L28" s="69">
        <v>20</v>
      </c>
      <c r="M28" s="69"/>
      <c r="N28" s="80" t="s">
        <v>90</v>
      </c>
      <c r="O28" s="69"/>
      <c r="P28" s="146" t="s">
        <v>403</v>
      </c>
    </row>
    <row r="29" spans="1:16" s="43" customFormat="1" ht="16.5" customHeight="1">
      <c r="A29" s="144" t="s">
        <v>103</v>
      </c>
      <c r="B29" s="144" t="s">
        <v>87</v>
      </c>
      <c r="C29" s="147" t="s">
        <v>117</v>
      </c>
      <c r="D29" s="146" t="s">
        <v>87</v>
      </c>
      <c r="E29" s="70">
        <v>2</v>
      </c>
      <c r="F29" s="146" t="s">
        <v>89</v>
      </c>
      <c r="G29" s="146" t="s">
        <v>89</v>
      </c>
      <c r="H29" s="146" t="s">
        <v>89</v>
      </c>
      <c r="I29" s="146" t="s">
        <v>89</v>
      </c>
      <c r="J29" s="79">
        <v>1.4999999999999999E-2</v>
      </c>
      <c r="K29" s="79">
        <f t="shared" si="0"/>
        <v>0.03</v>
      </c>
      <c r="L29" s="69">
        <v>4</v>
      </c>
      <c r="M29" s="69"/>
      <c r="N29" s="80" t="s">
        <v>90</v>
      </c>
      <c r="O29" s="69"/>
      <c r="P29" s="146" t="s">
        <v>403</v>
      </c>
    </row>
    <row r="30" spans="1:16" s="43" customFormat="1" ht="16.5" customHeight="1">
      <c r="A30" s="144" t="s">
        <v>118</v>
      </c>
      <c r="B30" s="144" t="s">
        <v>118</v>
      </c>
      <c r="C30" s="145" t="s">
        <v>119</v>
      </c>
      <c r="D30" s="146" t="s">
        <v>120</v>
      </c>
      <c r="E30" s="70">
        <v>2</v>
      </c>
      <c r="F30" s="146" t="s">
        <v>121</v>
      </c>
      <c r="G30" s="146" t="s">
        <v>122</v>
      </c>
      <c r="H30" s="146" t="s">
        <v>123</v>
      </c>
      <c r="I30" s="146" t="s">
        <v>124</v>
      </c>
      <c r="J30" s="79">
        <v>0.50700000000000001</v>
      </c>
      <c r="K30" s="79">
        <f t="shared" si="0"/>
        <v>1.014</v>
      </c>
      <c r="L30" s="69">
        <v>12</v>
      </c>
      <c r="M30" s="69"/>
      <c r="N30" s="81" t="s">
        <v>125</v>
      </c>
      <c r="O30" s="69"/>
      <c r="P30" s="146"/>
    </row>
    <row r="31" spans="1:16" s="43" customFormat="1" ht="16.5" customHeight="1">
      <c r="A31" s="144" t="s">
        <v>126</v>
      </c>
      <c r="B31" s="144" t="s">
        <v>126</v>
      </c>
      <c r="C31" s="147" t="s">
        <v>127</v>
      </c>
      <c r="D31" s="146" t="s">
        <v>128</v>
      </c>
      <c r="E31" s="70">
        <v>3</v>
      </c>
      <c r="F31" s="146" t="s">
        <v>121</v>
      </c>
      <c r="G31" s="146" t="s">
        <v>129</v>
      </c>
      <c r="H31" s="146" t="s">
        <v>130</v>
      </c>
      <c r="I31" s="146" t="s">
        <v>131</v>
      </c>
      <c r="J31" s="79">
        <f>0.608*1.17</f>
        <v>0.71135999999999999</v>
      </c>
      <c r="K31" s="79">
        <f t="shared" si="0"/>
        <v>2.13408</v>
      </c>
      <c r="L31" s="69">
        <v>9</v>
      </c>
      <c r="M31" s="69"/>
      <c r="N31" s="81" t="s">
        <v>125</v>
      </c>
      <c r="O31" s="69"/>
      <c r="P31" s="146"/>
    </row>
    <row r="32" spans="1:16" s="43" customFormat="1" ht="16.5" customHeight="1">
      <c r="A32" s="144" t="s">
        <v>132</v>
      </c>
      <c r="B32" s="144" t="s">
        <v>132</v>
      </c>
      <c r="C32" s="145" t="s">
        <v>133</v>
      </c>
      <c r="D32" s="146" t="s">
        <v>134</v>
      </c>
      <c r="E32" s="70">
        <v>1</v>
      </c>
      <c r="F32" s="146" t="s">
        <v>121</v>
      </c>
      <c r="G32" s="146" t="s">
        <v>135</v>
      </c>
      <c r="H32" s="146" t="s">
        <v>136</v>
      </c>
      <c r="I32" s="146" t="s">
        <v>137</v>
      </c>
      <c r="J32" s="79">
        <f>0.102*1.17</f>
        <v>0.11933999999999999</v>
      </c>
      <c r="K32" s="79">
        <f t="shared" si="0"/>
        <v>0.11933999999999999</v>
      </c>
      <c r="L32" s="69">
        <v>3</v>
      </c>
      <c r="M32" s="69"/>
      <c r="N32" s="81" t="s">
        <v>125</v>
      </c>
      <c r="O32" s="69"/>
      <c r="P32" s="146"/>
    </row>
    <row r="33" spans="1:16" s="43" customFormat="1" ht="16.5" customHeight="1">
      <c r="A33" s="144" t="s">
        <v>138</v>
      </c>
      <c r="B33" s="144" t="s">
        <v>138</v>
      </c>
      <c r="C33" s="147" t="s">
        <v>139</v>
      </c>
      <c r="D33" s="146" t="s">
        <v>140</v>
      </c>
      <c r="E33" s="70">
        <v>1</v>
      </c>
      <c r="F33" s="146" t="s">
        <v>121</v>
      </c>
      <c r="G33" s="146" t="s">
        <v>141</v>
      </c>
      <c r="H33" s="146" t="s">
        <v>142</v>
      </c>
      <c r="I33" s="146" t="s">
        <v>143</v>
      </c>
      <c r="J33" s="79">
        <f>0.5*1.17</f>
        <v>0.58499999999999996</v>
      </c>
      <c r="K33" s="79">
        <f t="shared" si="0"/>
        <v>0.58499999999999996</v>
      </c>
      <c r="L33" s="69">
        <v>2</v>
      </c>
      <c r="M33" s="69"/>
      <c r="N33" s="81" t="s">
        <v>125</v>
      </c>
      <c r="O33" s="69"/>
      <c r="P33" s="146"/>
    </row>
    <row r="34" spans="1:16" s="43" customFormat="1" ht="16.5" customHeight="1">
      <c r="A34" s="144" t="s">
        <v>144</v>
      </c>
      <c r="B34" s="144" t="s">
        <v>144</v>
      </c>
      <c r="C34" s="145" t="s">
        <v>145</v>
      </c>
      <c r="D34" s="146" t="s">
        <v>146</v>
      </c>
      <c r="E34" s="70">
        <v>1</v>
      </c>
      <c r="F34" s="146" t="s">
        <v>121</v>
      </c>
      <c r="G34" s="146" t="s">
        <v>147</v>
      </c>
      <c r="H34" s="146" t="s">
        <v>148</v>
      </c>
      <c r="I34" s="146" t="s">
        <v>144</v>
      </c>
      <c r="J34" s="79">
        <f>0.232*1.17</f>
        <v>0.27144000000000001</v>
      </c>
      <c r="K34" s="79">
        <f t="shared" si="0"/>
        <v>0.27144000000000001</v>
      </c>
      <c r="L34" s="69">
        <v>2</v>
      </c>
      <c r="M34" s="69"/>
      <c r="N34" s="81" t="s">
        <v>125</v>
      </c>
      <c r="O34" s="69"/>
      <c r="P34" s="146"/>
    </row>
    <row r="35" spans="1:16" s="43" customFormat="1" ht="16.5" customHeight="1">
      <c r="A35" s="144" t="s">
        <v>149</v>
      </c>
      <c r="B35" s="144" t="s">
        <v>150</v>
      </c>
      <c r="C35" s="147" t="s">
        <v>151</v>
      </c>
      <c r="D35" s="146" t="s">
        <v>152</v>
      </c>
      <c r="E35" s="70">
        <v>1</v>
      </c>
      <c r="F35" s="146" t="s">
        <v>121</v>
      </c>
      <c r="G35" s="146" t="s">
        <v>153</v>
      </c>
      <c r="H35" s="146" t="s">
        <v>154</v>
      </c>
      <c r="I35" s="146" t="s">
        <v>155</v>
      </c>
      <c r="J35" s="79">
        <v>0.12</v>
      </c>
      <c r="K35" s="79">
        <f t="shared" si="0"/>
        <v>0.12</v>
      </c>
      <c r="L35" s="69"/>
      <c r="M35" s="69">
        <v>2</v>
      </c>
      <c r="N35" s="80" t="s">
        <v>90</v>
      </c>
      <c r="O35" s="69"/>
      <c r="P35" s="146"/>
    </row>
    <row r="36" spans="1:16" s="43" customFormat="1" ht="16.5" customHeight="1">
      <c r="A36" s="144" t="s">
        <v>156</v>
      </c>
      <c r="B36" s="144" t="s">
        <v>156</v>
      </c>
      <c r="C36" s="145" t="s">
        <v>157</v>
      </c>
      <c r="D36" s="146" t="s">
        <v>158</v>
      </c>
      <c r="E36" s="70">
        <v>1</v>
      </c>
      <c r="F36" s="146" t="s">
        <v>121</v>
      </c>
      <c r="G36" s="146" t="s">
        <v>159</v>
      </c>
      <c r="H36" s="146" t="s">
        <v>160</v>
      </c>
      <c r="I36" s="146" t="s">
        <v>161</v>
      </c>
      <c r="J36" s="79">
        <v>0.3</v>
      </c>
      <c r="K36" s="79">
        <f t="shared" si="0"/>
        <v>0.3</v>
      </c>
      <c r="L36" s="69">
        <v>4</v>
      </c>
      <c r="M36" s="69"/>
      <c r="N36" s="80" t="s">
        <v>90</v>
      </c>
      <c r="O36" s="69"/>
      <c r="P36" s="146"/>
    </row>
    <row r="37" spans="1:16" s="43" customFormat="1" ht="16.5" customHeight="1">
      <c r="A37" s="144" t="s">
        <v>162</v>
      </c>
      <c r="B37" s="144" t="s">
        <v>163</v>
      </c>
      <c r="C37" s="147" t="s">
        <v>164</v>
      </c>
      <c r="D37" s="146" t="s">
        <v>165</v>
      </c>
      <c r="E37" s="70">
        <v>1</v>
      </c>
      <c r="F37" s="146" t="s">
        <v>121</v>
      </c>
      <c r="G37" s="146" t="s">
        <v>166</v>
      </c>
      <c r="H37" s="146" t="s">
        <v>167</v>
      </c>
      <c r="I37" s="146" t="s">
        <v>163</v>
      </c>
      <c r="J37" s="79">
        <v>0.3</v>
      </c>
      <c r="K37" s="79">
        <f t="shared" si="0"/>
        <v>0.3</v>
      </c>
      <c r="L37" s="69"/>
      <c r="M37" s="69">
        <v>10</v>
      </c>
      <c r="N37" s="80" t="s">
        <v>90</v>
      </c>
      <c r="O37" s="69"/>
      <c r="P37" s="146"/>
    </row>
    <row r="38" spans="1:16" s="43" customFormat="1" ht="16.5" customHeight="1">
      <c r="A38" s="144" t="s">
        <v>168</v>
      </c>
      <c r="B38" s="144" t="s">
        <v>169</v>
      </c>
      <c r="C38" s="145" t="s">
        <v>170</v>
      </c>
      <c r="D38" s="146" t="s">
        <v>171</v>
      </c>
      <c r="E38" s="70">
        <v>1</v>
      </c>
      <c r="F38" s="146" t="s">
        <v>89</v>
      </c>
      <c r="G38" s="146" t="s">
        <v>89</v>
      </c>
      <c r="H38" s="146" t="s">
        <v>89</v>
      </c>
      <c r="I38" s="146" t="s">
        <v>89</v>
      </c>
      <c r="J38" s="79">
        <v>0.4</v>
      </c>
      <c r="K38" s="79">
        <f t="shared" si="0"/>
        <v>0.4</v>
      </c>
      <c r="L38" s="69">
        <v>42</v>
      </c>
      <c r="M38" s="69"/>
      <c r="N38" s="80" t="s">
        <v>90</v>
      </c>
      <c r="O38" s="69"/>
      <c r="P38" s="146"/>
    </row>
    <row r="39" spans="1:16" s="43" customFormat="1" ht="16.5" customHeight="1">
      <c r="A39" s="144" t="s">
        <v>172</v>
      </c>
      <c r="B39" s="144" t="s">
        <v>173</v>
      </c>
      <c r="C39" s="147" t="s">
        <v>174</v>
      </c>
      <c r="D39" s="146" t="s">
        <v>175</v>
      </c>
      <c r="E39" s="70">
        <v>4</v>
      </c>
      <c r="F39" s="146" t="s">
        <v>121</v>
      </c>
      <c r="G39" s="146" t="s">
        <v>176</v>
      </c>
      <c r="H39" s="146" t="s">
        <v>177</v>
      </c>
      <c r="I39" s="146" t="s">
        <v>173</v>
      </c>
      <c r="J39" s="79">
        <f>16/6.2</f>
        <v>2.5806451612903225</v>
      </c>
      <c r="K39" s="79">
        <f t="shared" si="0"/>
        <v>10.32258064516129</v>
      </c>
      <c r="L39" s="69"/>
      <c r="M39" s="69">
        <v>16</v>
      </c>
      <c r="N39" s="81" t="s">
        <v>125</v>
      </c>
      <c r="O39" s="69"/>
      <c r="P39" s="146"/>
    </row>
    <row r="40" spans="1:16" s="43" customFormat="1" ht="16.5" customHeight="1">
      <c r="A40" s="144" t="s">
        <v>178</v>
      </c>
      <c r="B40" s="144" t="s">
        <v>179</v>
      </c>
      <c r="C40" s="145" t="s">
        <v>180</v>
      </c>
      <c r="D40" s="146" t="s">
        <v>181</v>
      </c>
      <c r="E40" s="70">
        <v>3</v>
      </c>
      <c r="F40" s="146" t="s">
        <v>121</v>
      </c>
      <c r="G40" s="146" t="s">
        <v>182</v>
      </c>
      <c r="H40" s="146" t="s">
        <v>183</v>
      </c>
      <c r="I40" s="146" t="s">
        <v>184</v>
      </c>
      <c r="J40" s="79">
        <f>5.3/6.2</f>
        <v>0.85483870967741926</v>
      </c>
      <c r="K40" s="79">
        <f t="shared" si="0"/>
        <v>2.564516129032258</v>
      </c>
      <c r="L40" s="69">
        <v>6</v>
      </c>
      <c r="M40" s="69"/>
      <c r="N40" s="81" t="s">
        <v>125</v>
      </c>
      <c r="O40" s="69"/>
      <c r="P40" s="146"/>
    </row>
    <row r="41" spans="1:16" s="43" customFormat="1" ht="16.5" customHeight="1">
      <c r="A41" s="144" t="s">
        <v>185</v>
      </c>
      <c r="B41" s="144" t="s">
        <v>185</v>
      </c>
      <c r="C41" s="147" t="s">
        <v>186</v>
      </c>
      <c r="D41" s="146" t="s">
        <v>187</v>
      </c>
      <c r="E41" s="70">
        <v>1</v>
      </c>
      <c r="F41" s="146" t="s">
        <v>121</v>
      </c>
      <c r="G41" s="146" t="s">
        <v>188</v>
      </c>
      <c r="H41" s="146" t="s">
        <v>123</v>
      </c>
      <c r="I41" s="146" t="s">
        <v>189</v>
      </c>
      <c r="J41" s="79">
        <f>0.292*1.17</f>
        <v>0.34163999999999994</v>
      </c>
      <c r="K41" s="79">
        <f t="shared" si="0"/>
        <v>0.34163999999999994</v>
      </c>
      <c r="L41" s="69">
        <v>3</v>
      </c>
      <c r="M41" s="69"/>
      <c r="N41" s="81" t="s">
        <v>125</v>
      </c>
      <c r="O41" s="69"/>
      <c r="P41" s="146"/>
    </row>
    <row r="42" spans="1:16" s="43" customFormat="1" ht="16.5" customHeight="1">
      <c r="A42" s="144" t="s">
        <v>190</v>
      </c>
      <c r="B42" s="144" t="s">
        <v>190</v>
      </c>
      <c r="C42" s="145" t="s">
        <v>191</v>
      </c>
      <c r="D42" s="146" t="s">
        <v>192</v>
      </c>
      <c r="E42" s="70">
        <v>1</v>
      </c>
      <c r="F42" s="146" t="s">
        <v>121</v>
      </c>
      <c r="G42" s="146" t="s">
        <v>193</v>
      </c>
      <c r="H42" s="146" t="s">
        <v>194</v>
      </c>
      <c r="I42" s="146" t="s">
        <v>190</v>
      </c>
      <c r="J42" s="79">
        <f>0.15*1.17</f>
        <v>0.17549999999999999</v>
      </c>
      <c r="K42" s="79">
        <f t="shared" si="0"/>
        <v>0.17549999999999999</v>
      </c>
      <c r="L42" s="69">
        <v>3</v>
      </c>
      <c r="M42" s="69"/>
      <c r="N42" s="81" t="s">
        <v>125</v>
      </c>
      <c r="O42" s="69"/>
      <c r="P42" s="146"/>
    </row>
    <row r="43" spans="1:16" s="43" customFormat="1" ht="16.5" customHeight="1">
      <c r="A43" s="144" t="s">
        <v>195</v>
      </c>
      <c r="B43" s="144" t="s">
        <v>195</v>
      </c>
      <c r="C43" s="147" t="s">
        <v>196</v>
      </c>
      <c r="D43" s="146" t="s">
        <v>197</v>
      </c>
      <c r="E43" s="70">
        <v>4</v>
      </c>
      <c r="F43" s="146" t="s">
        <v>121</v>
      </c>
      <c r="G43" s="146" t="s">
        <v>198</v>
      </c>
      <c r="H43" s="146" t="s">
        <v>130</v>
      </c>
      <c r="I43" s="146" t="s">
        <v>199</v>
      </c>
      <c r="J43" s="79">
        <f>0.122*1.17</f>
        <v>0.14273999999999998</v>
      </c>
      <c r="K43" s="79">
        <f t="shared" si="0"/>
        <v>0.57095999999999991</v>
      </c>
      <c r="L43" s="69">
        <v>12</v>
      </c>
      <c r="M43" s="69"/>
      <c r="N43" s="81" t="s">
        <v>125</v>
      </c>
      <c r="O43" s="69"/>
      <c r="P43" s="146"/>
    </row>
    <row r="44" spans="1:16" s="43" customFormat="1" ht="16.5" customHeight="1">
      <c r="A44" s="144" t="s">
        <v>200</v>
      </c>
      <c r="B44" s="144" t="s">
        <v>201</v>
      </c>
      <c r="C44" s="145" t="s">
        <v>202</v>
      </c>
      <c r="D44" s="146" t="s">
        <v>201</v>
      </c>
      <c r="E44" s="70">
        <v>6</v>
      </c>
      <c r="F44" s="146" t="s">
        <v>121</v>
      </c>
      <c r="G44" s="146" t="s">
        <v>203</v>
      </c>
      <c r="H44" s="146" t="s">
        <v>204</v>
      </c>
      <c r="I44" s="146" t="s">
        <v>205</v>
      </c>
      <c r="J44" s="79">
        <v>0.05</v>
      </c>
      <c r="K44" s="79">
        <f t="shared" si="0"/>
        <v>0.30000000000000004</v>
      </c>
      <c r="L44" s="69">
        <v>12</v>
      </c>
      <c r="M44" s="69"/>
      <c r="N44" s="80" t="s">
        <v>90</v>
      </c>
      <c r="O44" s="69"/>
      <c r="P44" s="146" t="s">
        <v>404</v>
      </c>
    </row>
    <row r="45" spans="1:16" s="43" customFormat="1" ht="16.5" customHeight="1">
      <c r="A45" s="144" t="s">
        <v>206</v>
      </c>
      <c r="B45" s="144" t="s">
        <v>201</v>
      </c>
      <c r="C45" s="147" t="s">
        <v>207</v>
      </c>
      <c r="D45" s="146" t="s">
        <v>201</v>
      </c>
      <c r="E45" s="70">
        <v>3</v>
      </c>
      <c r="F45" s="146" t="s">
        <v>89</v>
      </c>
      <c r="G45" s="146" t="s">
        <v>89</v>
      </c>
      <c r="H45" s="146" t="s">
        <v>89</v>
      </c>
      <c r="I45" s="146" t="s">
        <v>89</v>
      </c>
      <c r="J45" s="79">
        <v>0.01</v>
      </c>
      <c r="K45" s="79">
        <f t="shared" si="0"/>
        <v>0.03</v>
      </c>
      <c r="L45" s="69">
        <v>6</v>
      </c>
      <c r="M45" s="69"/>
      <c r="N45" s="80" t="s">
        <v>90</v>
      </c>
      <c r="O45" s="69"/>
      <c r="P45" s="146" t="s">
        <v>405</v>
      </c>
    </row>
    <row r="46" spans="1:16" s="43" customFormat="1" ht="16.5" customHeight="1">
      <c r="A46" s="144" t="s">
        <v>208</v>
      </c>
      <c r="B46" s="144" t="s">
        <v>201</v>
      </c>
      <c r="C46" s="145" t="s">
        <v>209</v>
      </c>
      <c r="D46" s="146" t="s">
        <v>201</v>
      </c>
      <c r="E46" s="70">
        <v>5</v>
      </c>
      <c r="F46" s="146" t="s">
        <v>89</v>
      </c>
      <c r="G46" s="146" t="s">
        <v>89</v>
      </c>
      <c r="H46" s="146" t="s">
        <v>89</v>
      </c>
      <c r="I46" s="146" t="s">
        <v>89</v>
      </c>
      <c r="J46" s="79">
        <v>0.01</v>
      </c>
      <c r="K46" s="79">
        <f t="shared" si="0"/>
        <v>0.05</v>
      </c>
      <c r="L46" s="69">
        <v>10</v>
      </c>
      <c r="M46" s="69"/>
      <c r="N46" s="80" t="s">
        <v>90</v>
      </c>
      <c r="O46" s="69"/>
      <c r="P46" s="146" t="s">
        <v>405</v>
      </c>
    </row>
    <row r="47" spans="1:16" s="43" customFormat="1" ht="16.5" customHeight="1">
      <c r="A47" s="144" t="s">
        <v>210</v>
      </c>
      <c r="B47" s="144" t="s">
        <v>201</v>
      </c>
      <c r="C47" s="147" t="s">
        <v>211</v>
      </c>
      <c r="D47" s="146" t="s">
        <v>201</v>
      </c>
      <c r="E47" s="70">
        <v>7</v>
      </c>
      <c r="F47" s="146" t="s">
        <v>89</v>
      </c>
      <c r="G47" s="146" t="s">
        <v>89</v>
      </c>
      <c r="H47" s="146" t="s">
        <v>89</v>
      </c>
      <c r="I47" s="146" t="s">
        <v>89</v>
      </c>
      <c r="J47" s="79">
        <v>0.01</v>
      </c>
      <c r="K47" s="79">
        <f t="shared" si="0"/>
        <v>7.0000000000000007E-2</v>
      </c>
      <c r="L47" s="69">
        <v>14</v>
      </c>
      <c r="M47" s="69"/>
      <c r="N47" s="80" t="s">
        <v>90</v>
      </c>
      <c r="O47" s="69"/>
      <c r="P47" s="146" t="s">
        <v>405</v>
      </c>
    </row>
    <row r="48" spans="1:16" s="43" customFormat="1" ht="16.5" customHeight="1">
      <c r="A48" s="144" t="s">
        <v>212</v>
      </c>
      <c r="B48" s="144" t="s">
        <v>201</v>
      </c>
      <c r="C48" s="145" t="s">
        <v>213</v>
      </c>
      <c r="D48" s="146" t="s">
        <v>201</v>
      </c>
      <c r="E48" s="70">
        <v>10</v>
      </c>
      <c r="F48" s="146" t="s">
        <v>89</v>
      </c>
      <c r="G48" s="146" t="s">
        <v>89</v>
      </c>
      <c r="H48" s="146" t="s">
        <v>89</v>
      </c>
      <c r="I48" s="146" t="s">
        <v>89</v>
      </c>
      <c r="J48" s="79">
        <v>0.01</v>
      </c>
      <c r="K48" s="79">
        <f t="shared" si="0"/>
        <v>0.1</v>
      </c>
      <c r="L48" s="69">
        <v>20</v>
      </c>
      <c r="M48" s="69"/>
      <c r="N48" s="80" t="s">
        <v>90</v>
      </c>
      <c r="O48" s="69"/>
      <c r="P48" s="146" t="s">
        <v>405</v>
      </c>
    </row>
    <row r="49" spans="1:16" s="43" customFormat="1" ht="16.5" customHeight="1">
      <c r="A49" s="144" t="s">
        <v>214</v>
      </c>
      <c r="B49" s="144" t="s">
        <v>201</v>
      </c>
      <c r="C49" s="147" t="s">
        <v>215</v>
      </c>
      <c r="D49" s="146" t="s">
        <v>201</v>
      </c>
      <c r="E49" s="70">
        <v>4</v>
      </c>
      <c r="F49" s="146" t="s">
        <v>89</v>
      </c>
      <c r="G49" s="146" t="s">
        <v>89</v>
      </c>
      <c r="H49" s="146" t="s">
        <v>89</v>
      </c>
      <c r="I49" s="146" t="s">
        <v>89</v>
      </c>
      <c r="J49" s="79">
        <v>0.01</v>
      </c>
      <c r="K49" s="79">
        <f t="shared" si="0"/>
        <v>0.04</v>
      </c>
      <c r="L49" s="69">
        <v>8</v>
      </c>
      <c r="M49" s="69"/>
      <c r="N49" s="80" t="s">
        <v>90</v>
      </c>
      <c r="O49" s="69"/>
      <c r="P49" s="146" t="s">
        <v>405</v>
      </c>
    </row>
    <row r="50" spans="1:16" s="43" customFormat="1" ht="16.5" customHeight="1">
      <c r="A50" s="144" t="s">
        <v>216</v>
      </c>
      <c r="B50" s="144" t="s">
        <v>201</v>
      </c>
      <c r="C50" s="145" t="s">
        <v>217</v>
      </c>
      <c r="D50" s="146" t="s">
        <v>201</v>
      </c>
      <c r="E50" s="70">
        <v>6</v>
      </c>
      <c r="F50" s="146" t="s">
        <v>89</v>
      </c>
      <c r="G50" s="146" t="s">
        <v>89</v>
      </c>
      <c r="H50" s="146" t="s">
        <v>89</v>
      </c>
      <c r="I50" s="146" t="s">
        <v>89</v>
      </c>
      <c r="J50" s="79">
        <v>0.01</v>
      </c>
      <c r="K50" s="79">
        <f t="shared" si="0"/>
        <v>0.06</v>
      </c>
      <c r="L50" s="69">
        <v>12</v>
      </c>
      <c r="M50" s="69"/>
      <c r="N50" s="80" t="s">
        <v>90</v>
      </c>
      <c r="O50" s="69"/>
      <c r="P50" s="146" t="s">
        <v>405</v>
      </c>
    </row>
    <row r="51" spans="1:16" s="43" customFormat="1" ht="16.5" customHeight="1">
      <c r="A51" s="144" t="s">
        <v>218</v>
      </c>
      <c r="B51" s="144" t="s">
        <v>201</v>
      </c>
      <c r="C51" s="147" t="s">
        <v>219</v>
      </c>
      <c r="D51" s="146" t="s">
        <v>201</v>
      </c>
      <c r="E51" s="70">
        <v>1</v>
      </c>
      <c r="F51" s="146" t="s">
        <v>121</v>
      </c>
      <c r="G51" s="146" t="s">
        <v>220</v>
      </c>
      <c r="H51" s="146" t="s">
        <v>221</v>
      </c>
      <c r="I51" s="146" t="s">
        <v>222</v>
      </c>
      <c r="J51" s="79">
        <f>0.474*1.17</f>
        <v>0.55457999999999996</v>
      </c>
      <c r="K51" s="79">
        <f t="shared" si="0"/>
        <v>0.55457999999999996</v>
      </c>
      <c r="L51" s="69">
        <v>2</v>
      </c>
      <c r="M51" s="69"/>
      <c r="N51" s="81" t="s">
        <v>125</v>
      </c>
      <c r="O51" s="69"/>
      <c r="P51" s="146" t="s">
        <v>401</v>
      </c>
    </row>
    <row r="52" spans="1:16" s="43" customFormat="1" ht="16.5" customHeight="1">
      <c r="A52" s="144" t="s">
        <v>223</v>
      </c>
      <c r="B52" s="144" t="s">
        <v>201</v>
      </c>
      <c r="C52" s="145" t="s">
        <v>224</v>
      </c>
      <c r="D52" s="146" t="s">
        <v>201</v>
      </c>
      <c r="E52" s="70">
        <v>1</v>
      </c>
      <c r="F52" s="146" t="s">
        <v>89</v>
      </c>
      <c r="G52" s="146" t="s">
        <v>89</v>
      </c>
      <c r="H52" s="146" t="s">
        <v>89</v>
      </c>
      <c r="I52" s="146" t="s">
        <v>89</v>
      </c>
      <c r="J52" s="79">
        <v>0.01</v>
      </c>
      <c r="K52" s="79">
        <f t="shared" si="0"/>
        <v>0.01</v>
      </c>
      <c r="L52" s="69">
        <v>2</v>
      </c>
      <c r="M52" s="69"/>
      <c r="N52" s="80" t="s">
        <v>90</v>
      </c>
      <c r="O52" s="69"/>
      <c r="P52" s="146" t="s">
        <v>405</v>
      </c>
    </row>
    <row r="53" spans="1:16" s="43" customFormat="1" ht="16.5" customHeight="1">
      <c r="A53" s="144" t="s">
        <v>225</v>
      </c>
      <c r="B53" s="144" t="s">
        <v>201</v>
      </c>
      <c r="C53" s="147" t="s">
        <v>226</v>
      </c>
      <c r="D53" s="146" t="s">
        <v>201</v>
      </c>
      <c r="E53" s="70">
        <v>1</v>
      </c>
      <c r="F53" s="146" t="s">
        <v>89</v>
      </c>
      <c r="G53" s="146" t="s">
        <v>89</v>
      </c>
      <c r="H53" s="146" t="s">
        <v>89</v>
      </c>
      <c r="I53" s="146" t="s">
        <v>89</v>
      </c>
      <c r="J53" s="79">
        <v>0.01</v>
      </c>
      <c r="K53" s="79">
        <f t="shared" si="0"/>
        <v>0.01</v>
      </c>
      <c r="L53" s="69">
        <v>2</v>
      </c>
      <c r="M53" s="69"/>
      <c r="N53" s="80" t="s">
        <v>90</v>
      </c>
      <c r="O53" s="69"/>
      <c r="P53" s="146" t="s">
        <v>405</v>
      </c>
    </row>
    <row r="54" spans="1:16" s="43" customFormat="1" ht="16.5" customHeight="1">
      <c r="A54" s="144" t="s">
        <v>227</v>
      </c>
      <c r="B54" s="144" t="s">
        <v>201</v>
      </c>
      <c r="C54" s="145" t="s">
        <v>228</v>
      </c>
      <c r="D54" s="146" t="s">
        <v>201</v>
      </c>
      <c r="E54" s="70">
        <v>1</v>
      </c>
      <c r="F54" s="146" t="s">
        <v>89</v>
      </c>
      <c r="G54" s="146" t="s">
        <v>89</v>
      </c>
      <c r="H54" s="146" t="s">
        <v>89</v>
      </c>
      <c r="I54" s="146" t="s">
        <v>89</v>
      </c>
      <c r="J54" s="79">
        <v>0.01</v>
      </c>
      <c r="K54" s="79">
        <f t="shared" si="0"/>
        <v>0.01</v>
      </c>
      <c r="L54" s="69">
        <v>2</v>
      </c>
      <c r="M54" s="69"/>
      <c r="N54" s="80" t="s">
        <v>90</v>
      </c>
      <c r="O54" s="69"/>
      <c r="P54" s="146" t="s">
        <v>405</v>
      </c>
    </row>
    <row r="55" spans="1:16" s="43" customFormat="1" ht="16.5" customHeight="1">
      <c r="A55" s="144" t="s">
        <v>229</v>
      </c>
      <c r="B55" s="144" t="s">
        <v>201</v>
      </c>
      <c r="C55" s="147" t="s">
        <v>230</v>
      </c>
      <c r="D55" s="146" t="s">
        <v>201</v>
      </c>
      <c r="E55" s="70">
        <v>2</v>
      </c>
      <c r="F55" s="146" t="s">
        <v>89</v>
      </c>
      <c r="G55" s="146" t="s">
        <v>89</v>
      </c>
      <c r="H55" s="146" t="s">
        <v>89</v>
      </c>
      <c r="I55" s="146" t="s">
        <v>89</v>
      </c>
      <c r="J55" s="79">
        <v>0.01</v>
      </c>
      <c r="K55" s="79">
        <f t="shared" si="0"/>
        <v>0.02</v>
      </c>
      <c r="L55" s="69">
        <v>4</v>
      </c>
      <c r="M55" s="69"/>
      <c r="N55" s="80" t="s">
        <v>90</v>
      </c>
      <c r="O55" s="69"/>
      <c r="P55" s="146" t="s">
        <v>405</v>
      </c>
    </row>
    <row r="56" spans="1:16" s="43" customFormat="1" ht="16.5" customHeight="1">
      <c r="A56" s="144" t="s">
        <v>231</v>
      </c>
      <c r="B56" s="144" t="s">
        <v>231</v>
      </c>
      <c r="C56" s="145" t="s">
        <v>232</v>
      </c>
      <c r="D56" s="146" t="s">
        <v>233</v>
      </c>
      <c r="E56" s="70">
        <v>1</v>
      </c>
      <c r="F56" s="146" t="s">
        <v>121</v>
      </c>
      <c r="G56" s="146" t="s">
        <v>234</v>
      </c>
      <c r="H56" s="146" t="s">
        <v>235</v>
      </c>
      <c r="I56" s="146" t="s">
        <v>236</v>
      </c>
      <c r="J56" s="79">
        <v>0.25</v>
      </c>
      <c r="K56" s="79">
        <f t="shared" si="0"/>
        <v>0.25</v>
      </c>
      <c r="L56" s="69">
        <v>4</v>
      </c>
      <c r="M56" s="69"/>
      <c r="N56" s="80" t="s">
        <v>90</v>
      </c>
      <c r="O56" s="69"/>
      <c r="P56" s="146"/>
    </row>
    <row r="57" spans="1:16" s="43" customFormat="1" ht="16.5" customHeight="1">
      <c r="A57" s="144" t="s">
        <v>237</v>
      </c>
      <c r="B57" s="144" t="s">
        <v>237</v>
      </c>
      <c r="C57" s="147" t="s">
        <v>238</v>
      </c>
      <c r="D57" s="146" t="s">
        <v>239</v>
      </c>
      <c r="E57" s="70">
        <v>1</v>
      </c>
      <c r="F57" s="146" t="s">
        <v>121</v>
      </c>
      <c r="G57" s="146" t="s">
        <v>240</v>
      </c>
      <c r="H57" s="146" t="s">
        <v>241</v>
      </c>
      <c r="I57" s="146" t="s">
        <v>237</v>
      </c>
      <c r="J57" s="79">
        <v>0.25</v>
      </c>
      <c r="K57" s="79">
        <f t="shared" si="0"/>
        <v>0.25</v>
      </c>
      <c r="L57" s="69">
        <v>4</v>
      </c>
      <c r="M57" s="69"/>
      <c r="N57" s="80" t="s">
        <v>90</v>
      </c>
      <c r="O57" s="69"/>
      <c r="P57" s="146"/>
    </row>
    <row r="58" spans="1:16" s="43" customFormat="1">
      <c r="A58" s="144" t="s">
        <v>242</v>
      </c>
      <c r="B58" s="144" t="s">
        <v>242</v>
      </c>
      <c r="C58" s="145" t="s">
        <v>243</v>
      </c>
      <c r="D58" s="146" t="s">
        <v>244</v>
      </c>
      <c r="E58" s="70">
        <v>1</v>
      </c>
      <c r="F58" s="146" t="s">
        <v>121</v>
      </c>
      <c r="G58" s="146" t="s">
        <v>245</v>
      </c>
      <c r="H58" s="146" t="s">
        <v>246</v>
      </c>
      <c r="I58" s="146" t="s">
        <v>247</v>
      </c>
      <c r="J58" s="79">
        <v>8.1999999999999993</v>
      </c>
      <c r="K58" s="79">
        <f t="shared" si="0"/>
        <v>8.1999999999999993</v>
      </c>
      <c r="L58" s="69">
        <v>32</v>
      </c>
      <c r="M58" s="69"/>
      <c r="N58" s="81" t="s">
        <v>125</v>
      </c>
      <c r="O58" s="69"/>
      <c r="P58" s="146"/>
    </row>
    <row r="59" spans="1:16" s="43" customFormat="1" ht="16.5" customHeight="1">
      <c r="A59" s="144" t="s">
        <v>248</v>
      </c>
      <c r="B59" s="144" t="s">
        <v>248</v>
      </c>
      <c r="C59" s="147" t="s">
        <v>249</v>
      </c>
      <c r="D59" s="146" t="s">
        <v>250</v>
      </c>
      <c r="E59" s="70">
        <v>1</v>
      </c>
      <c r="F59" s="146" t="s">
        <v>121</v>
      </c>
      <c r="G59" s="146" t="s">
        <v>251</v>
      </c>
      <c r="H59" s="146" t="s">
        <v>246</v>
      </c>
      <c r="I59" s="146" t="s">
        <v>248</v>
      </c>
      <c r="J59" s="79">
        <v>2.2000000000000002</v>
      </c>
      <c r="K59" s="79">
        <f t="shared" si="0"/>
        <v>2.2000000000000002</v>
      </c>
      <c r="L59" s="69">
        <v>12</v>
      </c>
      <c r="M59" s="69"/>
      <c r="N59" s="81" t="s">
        <v>125</v>
      </c>
      <c r="O59" s="69"/>
      <c r="P59" s="146"/>
    </row>
    <row r="60" spans="1:16" s="43" customFormat="1" ht="16.5" customHeight="1">
      <c r="A60" s="144" t="s">
        <v>252</v>
      </c>
      <c r="B60" s="144" t="s">
        <v>252</v>
      </c>
      <c r="C60" s="145" t="s">
        <v>253</v>
      </c>
      <c r="D60" s="146" t="s">
        <v>254</v>
      </c>
      <c r="E60" s="70">
        <v>1</v>
      </c>
      <c r="F60" s="146" t="s">
        <v>121</v>
      </c>
      <c r="G60" s="146" t="s">
        <v>255</v>
      </c>
      <c r="H60" s="146" t="s">
        <v>246</v>
      </c>
      <c r="I60" s="146" t="s">
        <v>256</v>
      </c>
      <c r="J60" s="79">
        <v>0.8</v>
      </c>
      <c r="K60" s="79">
        <f t="shared" si="0"/>
        <v>0.8</v>
      </c>
      <c r="L60" s="69">
        <v>10</v>
      </c>
      <c r="M60" s="69"/>
      <c r="N60" s="81" t="s">
        <v>125</v>
      </c>
      <c r="O60" s="69"/>
      <c r="P60" s="146"/>
    </row>
    <row r="61" spans="1:16" s="43" customFormat="1" ht="16.5" customHeight="1">
      <c r="A61" s="144" t="s">
        <v>257</v>
      </c>
      <c r="B61" s="144" t="s">
        <v>257</v>
      </c>
      <c r="C61" s="147" t="s">
        <v>258</v>
      </c>
      <c r="D61" s="146" t="s">
        <v>259</v>
      </c>
      <c r="E61" s="70">
        <v>1</v>
      </c>
      <c r="F61" s="146" t="s">
        <v>260</v>
      </c>
      <c r="G61" s="146" t="s">
        <v>261</v>
      </c>
      <c r="H61" s="146" t="s">
        <v>262</v>
      </c>
      <c r="I61" s="146" t="s">
        <v>257</v>
      </c>
      <c r="J61" s="79">
        <f>9.39*1.17</f>
        <v>10.9863</v>
      </c>
      <c r="K61" s="79">
        <f t="shared" si="0"/>
        <v>10.9863</v>
      </c>
      <c r="L61" s="69">
        <v>100</v>
      </c>
      <c r="M61" s="69"/>
      <c r="N61" s="81" t="s">
        <v>125</v>
      </c>
      <c r="O61" s="69"/>
      <c r="P61" s="146"/>
    </row>
    <row r="62" spans="1:16" s="43" customFormat="1" ht="16.5" customHeight="1">
      <c r="A62" s="144" t="s">
        <v>263</v>
      </c>
      <c r="B62" s="144" t="s">
        <v>263</v>
      </c>
      <c r="C62" s="145" t="s">
        <v>264</v>
      </c>
      <c r="D62" s="146" t="s">
        <v>265</v>
      </c>
      <c r="E62" s="70">
        <v>2</v>
      </c>
      <c r="F62" s="146" t="s">
        <v>121</v>
      </c>
      <c r="G62" s="146" t="s">
        <v>266</v>
      </c>
      <c r="H62" s="146" t="s">
        <v>246</v>
      </c>
      <c r="I62" s="146" t="s">
        <v>267</v>
      </c>
      <c r="J62" s="79">
        <f>0.915*1.17</f>
        <v>1.0705499999999999</v>
      </c>
      <c r="K62" s="79">
        <f t="shared" si="0"/>
        <v>2.1410999999999998</v>
      </c>
      <c r="L62" s="69">
        <v>28</v>
      </c>
      <c r="M62" s="69"/>
      <c r="N62" s="81" t="s">
        <v>125</v>
      </c>
      <c r="O62" s="69"/>
      <c r="P62" s="146"/>
    </row>
    <row r="63" spans="1:16" s="43" customFormat="1" ht="16.5" customHeight="1">
      <c r="A63" s="144" t="s">
        <v>268</v>
      </c>
      <c r="B63" s="144" t="s">
        <v>268</v>
      </c>
      <c r="C63" s="147" t="s">
        <v>269</v>
      </c>
      <c r="D63" s="146" t="s">
        <v>270</v>
      </c>
      <c r="E63" s="70">
        <v>1</v>
      </c>
      <c r="F63" s="69"/>
      <c r="G63" s="146" t="s">
        <v>89</v>
      </c>
      <c r="H63" s="146" t="s">
        <v>271</v>
      </c>
      <c r="I63" s="146" t="s">
        <v>272</v>
      </c>
      <c r="J63" s="79">
        <v>4.9000000000000004</v>
      </c>
      <c r="K63" s="79">
        <f t="shared" si="0"/>
        <v>4.9000000000000004</v>
      </c>
      <c r="L63" s="69">
        <v>76</v>
      </c>
      <c r="M63" s="69"/>
      <c r="N63" s="81" t="s">
        <v>125</v>
      </c>
      <c r="O63" s="69"/>
      <c r="P63" s="146"/>
    </row>
    <row r="64" spans="1:16" s="43" customFormat="1" ht="16.5" customHeight="1">
      <c r="A64" s="144" t="s">
        <v>273</v>
      </c>
      <c r="B64" s="144" t="s">
        <v>273</v>
      </c>
      <c r="C64" s="145" t="s">
        <v>274</v>
      </c>
      <c r="D64" s="146" t="s">
        <v>275</v>
      </c>
      <c r="E64" s="70">
        <v>4</v>
      </c>
      <c r="F64" s="146" t="s">
        <v>121</v>
      </c>
      <c r="G64" s="146" t="s">
        <v>276</v>
      </c>
      <c r="H64" s="146" t="s">
        <v>246</v>
      </c>
      <c r="I64" s="146" t="s">
        <v>277</v>
      </c>
      <c r="J64" s="79">
        <f>0.428*1.17</f>
        <v>0.50075999999999998</v>
      </c>
      <c r="K64" s="79">
        <f t="shared" si="0"/>
        <v>2.0030399999999999</v>
      </c>
      <c r="L64" s="69">
        <v>20</v>
      </c>
      <c r="M64" s="69"/>
      <c r="N64" s="81" t="s">
        <v>125</v>
      </c>
      <c r="O64" s="69"/>
      <c r="P64" s="146"/>
    </row>
    <row r="65" spans="1:16" s="43" customFormat="1" ht="16.5" customHeight="1">
      <c r="A65" s="144" t="s">
        <v>278</v>
      </c>
      <c r="B65" s="144" t="s">
        <v>278</v>
      </c>
      <c r="C65" s="147" t="s">
        <v>279</v>
      </c>
      <c r="D65" s="146" t="s">
        <v>275</v>
      </c>
      <c r="E65" s="70">
        <v>1</v>
      </c>
      <c r="F65" s="146" t="s">
        <v>121</v>
      </c>
      <c r="G65" s="146" t="s">
        <v>280</v>
      </c>
      <c r="H65" s="146" t="s">
        <v>246</v>
      </c>
      <c r="I65" s="146" t="s">
        <v>281</v>
      </c>
      <c r="J65" s="79">
        <v>1.5</v>
      </c>
      <c r="K65" s="79">
        <f t="shared" si="0"/>
        <v>1.5</v>
      </c>
      <c r="L65" s="69">
        <v>8</v>
      </c>
      <c r="M65" s="69"/>
      <c r="N65" s="81" t="s">
        <v>125</v>
      </c>
      <c r="O65" s="69"/>
      <c r="P65" s="146"/>
    </row>
    <row r="66" spans="1:16" s="43" customFormat="1" ht="16.5" customHeight="1">
      <c r="A66" s="144" t="s">
        <v>282</v>
      </c>
      <c r="B66" s="144" t="s">
        <v>282</v>
      </c>
      <c r="C66" s="145" t="s">
        <v>283</v>
      </c>
      <c r="D66" s="146" t="s">
        <v>275</v>
      </c>
      <c r="E66" s="70">
        <v>1</v>
      </c>
      <c r="F66" s="146" t="s">
        <v>121</v>
      </c>
      <c r="G66" s="146" t="s">
        <v>284</v>
      </c>
      <c r="H66" s="146" t="s">
        <v>246</v>
      </c>
      <c r="I66" s="146" t="s">
        <v>285</v>
      </c>
      <c r="J66" s="79">
        <v>0.5</v>
      </c>
      <c r="K66" s="79">
        <f t="shared" si="0"/>
        <v>0.5</v>
      </c>
      <c r="L66" s="69">
        <v>5</v>
      </c>
      <c r="M66" s="69"/>
      <c r="N66" s="81" t="s">
        <v>125</v>
      </c>
      <c r="O66" s="69"/>
      <c r="P66" s="146"/>
    </row>
    <row r="67" spans="1:16" s="43" customFormat="1" ht="16.5" customHeight="1">
      <c r="A67" s="144" t="s">
        <v>286</v>
      </c>
      <c r="B67" s="144" t="s">
        <v>286</v>
      </c>
      <c r="C67" s="147" t="s">
        <v>287</v>
      </c>
      <c r="D67" s="146" t="s">
        <v>288</v>
      </c>
      <c r="E67" s="70">
        <v>1</v>
      </c>
      <c r="F67" s="146" t="s">
        <v>121</v>
      </c>
      <c r="G67" s="146" t="s">
        <v>289</v>
      </c>
      <c r="H67" s="146" t="s">
        <v>290</v>
      </c>
      <c r="I67" s="146" t="s">
        <v>286</v>
      </c>
      <c r="J67" s="79">
        <v>0.3</v>
      </c>
      <c r="K67" s="79">
        <f t="shared" si="0"/>
        <v>0.3</v>
      </c>
      <c r="L67" s="69">
        <v>2</v>
      </c>
      <c r="M67" s="69"/>
      <c r="N67" s="80" t="s">
        <v>90</v>
      </c>
      <c r="O67" s="69"/>
      <c r="P67" s="146"/>
    </row>
    <row r="68" spans="1:16" s="43" customFormat="1" ht="16.5" customHeight="1">
      <c r="A68" s="144" t="s">
        <v>291</v>
      </c>
      <c r="B68" s="144" t="s">
        <v>291</v>
      </c>
      <c r="C68" s="145" t="s">
        <v>292</v>
      </c>
      <c r="D68" s="146" t="s">
        <v>293</v>
      </c>
      <c r="E68" s="70">
        <v>1</v>
      </c>
      <c r="F68" s="146" t="s">
        <v>121</v>
      </c>
      <c r="G68" s="146" t="s">
        <v>294</v>
      </c>
      <c r="H68" s="146" t="s">
        <v>290</v>
      </c>
      <c r="I68" s="146" t="s">
        <v>295</v>
      </c>
      <c r="J68" s="79">
        <v>0.3</v>
      </c>
      <c r="K68" s="79">
        <f t="shared" si="0"/>
        <v>0.3</v>
      </c>
      <c r="L68" s="69">
        <v>4</v>
      </c>
      <c r="M68" s="69"/>
      <c r="N68" s="80" t="s">
        <v>90</v>
      </c>
      <c r="O68" s="69"/>
      <c r="P68" s="146"/>
    </row>
    <row r="69" spans="1:16" s="43" customFormat="1" ht="16.5" customHeight="1">
      <c r="A69" s="144" t="s">
        <v>296</v>
      </c>
      <c r="B69" s="144" t="s">
        <v>296</v>
      </c>
      <c r="C69" s="147" t="s">
        <v>297</v>
      </c>
      <c r="D69" s="146" t="s">
        <v>298</v>
      </c>
      <c r="E69" s="70">
        <v>1</v>
      </c>
      <c r="F69" s="146" t="s">
        <v>121</v>
      </c>
      <c r="G69" s="146" t="s">
        <v>299</v>
      </c>
      <c r="H69" s="146" t="s">
        <v>300</v>
      </c>
      <c r="I69" s="146" t="s">
        <v>301</v>
      </c>
      <c r="J69" s="79">
        <v>0.3</v>
      </c>
      <c r="K69" s="79">
        <f t="shared" si="0"/>
        <v>0.3</v>
      </c>
      <c r="L69" s="69">
        <v>4</v>
      </c>
      <c r="M69" s="69"/>
      <c r="N69" s="80" t="s">
        <v>90</v>
      </c>
      <c r="O69" s="69"/>
      <c r="P69" s="146"/>
    </row>
    <row r="70" spans="1:16" s="43" customFormat="1" ht="16.5" customHeight="1">
      <c r="A70" s="144" t="s">
        <v>302</v>
      </c>
      <c r="B70" s="144" t="s">
        <v>303</v>
      </c>
      <c r="C70" s="145" t="s">
        <v>304</v>
      </c>
      <c r="D70" s="146" t="s">
        <v>305</v>
      </c>
      <c r="E70" s="70">
        <v>1</v>
      </c>
      <c r="F70" s="146" t="s">
        <v>260</v>
      </c>
      <c r="G70" s="146" t="s">
        <v>306</v>
      </c>
      <c r="H70" s="146" t="s">
        <v>307</v>
      </c>
      <c r="I70" s="146" t="s">
        <v>303</v>
      </c>
      <c r="J70" s="79">
        <f>20/6.2</f>
        <v>3.225806451612903</v>
      </c>
      <c r="K70" s="79">
        <f t="shared" si="0"/>
        <v>3.225806451612903</v>
      </c>
      <c r="L70" s="69">
        <v>4</v>
      </c>
      <c r="M70" s="69"/>
      <c r="N70" s="81" t="s">
        <v>125</v>
      </c>
      <c r="O70" s="69"/>
      <c r="P70" s="146"/>
    </row>
    <row r="71" spans="1:16">
      <c r="A71" s="82"/>
      <c r="B71" s="82"/>
      <c r="C71" s="46"/>
      <c r="D71" s="83"/>
      <c r="E71" s="84">
        <f>SUM(E14:E70)</f>
        <v>162</v>
      </c>
      <c r="G71" s="46"/>
      <c r="H71" s="46"/>
      <c r="I71" s="85" t="s">
        <v>308</v>
      </c>
      <c r="K71" s="47">
        <f t="shared" ref="K71:M71" si="1">SUM(K14:K70)</f>
        <v>59.202883225806445</v>
      </c>
      <c r="L71" s="44">
        <f t="shared" si="1"/>
        <v>647</v>
      </c>
      <c r="M71" s="44">
        <f t="shared" si="1"/>
        <v>28</v>
      </c>
    </row>
  </sheetData>
  <pageMargins left="0.45902777777777798" right="0.359027777777778" top="0.57916666666666705" bottom="1" header="0.5" footer="0.5"/>
  <pageSetup paperSize="9" orientation="landscape" horizontalDpi="200" verticalDpi="300"/>
  <headerFooter alignWithMargins="0">
    <oddFooter>&amp;L&amp;BAltium Limited Confidential&amp;B&amp;C&amp;D&amp;RPage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0"/>
  <sheetViews>
    <sheetView showGridLines="0" zoomScale="55" zoomScaleNormal="55" workbookViewId="0">
      <selection activeCell="P39" sqref="P39"/>
    </sheetView>
  </sheetViews>
  <sheetFormatPr defaultColWidth="8" defaultRowHeight="20.25"/>
  <cols>
    <col min="1" max="1" width="24.875" style="3" customWidth="1"/>
    <col min="2" max="2" width="20" style="3"/>
    <col min="3" max="3" width="12.75" style="3" customWidth="1"/>
    <col min="4" max="4" width="77.875" style="3" customWidth="1"/>
    <col min="5" max="5" width="8.375" style="3"/>
    <col min="6" max="6" width="9.25" style="4" customWidth="1"/>
    <col min="7" max="7" width="15.125" style="3" customWidth="1"/>
    <col min="8" max="8" width="16" style="3" customWidth="1"/>
    <col min="9" max="9" width="37.125" style="3" customWidth="1"/>
    <col min="10" max="10" width="12.875" style="5" customWidth="1"/>
    <col min="11" max="11" width="14.25" style="5" customWidth="1"/>
    <col min="12" max="13" width="8" style="3"/>
    <col min="14" max="14" width="10.5" style="3" customWidth="1"/>
    <col min="15" max="15" width="16" style="3" customWidth="1"/>
    <col min="16" max="16" width="38.5" style="3" customWidth="1"/>
    <col min="17" max="256" width="8" style="3"/>
    <col min="257" max="16384" width="8" style="6"/>
  </cols>
  <sheetData>
    <row r="1" spans="1:16">
      <c r="A1" s="7"/>
      <c r="B1" s="8"/>
      <c r="C1" s="8"/>
      <c r="D1" s="9"/>
      <c r="E1" s="9"/>
      <c r="F1" s="9"/>
      <c r="G1" s="10"/>
      <c r="H1" s="10"/>
      <c r="I1" s="29"/>
      <c r="J1" s="30"/>
    </row>
    <row r="2" spans="1:16" ht="37.5" customHeight="1">
      <c r="A2" s="11" t="s">
        <v>57</v>
      </c>
      <c r="B2" s="12"/>
      <c r="C2" s="13"/>
      <c r="D2" s="148" t="s">
        <v>309</v>
      </c>
      <c r="E2" s="14"/>
      <c r="F2" s="14"/>
      <c r="G2" s="14"/>
      <c r="H2" s="14"/>
      <c r="I2" s="31"/>
      <c r="J2" s="30"/>
    </row>
    <row r="3" spans="1:16" ht="23.25" customHeight="1">
      <c r="A3" s="15" t="s">
        <v>59</v>
      </c>
      <c r="B3" s="12"/>
      <c r="C3" s="149" t="s">
        <v>310</v>
      </c>
      <c r="D3" s="16"/>
      <c r="E3" s="12"/>
      <c r="F3" s="12"/>
      <c r="G3" s="12"/>
      <c r="H3" s="12"/>
      <c r="I3" s="32"/>
      <c r="J3" s="30"/>
    </row>
    <row r="4" spans="1:16" ht="17.25" customHeight="1">
      <c r="A4" s="15" t="s">
        <v>61</v>
      </c>
      <c r="B4" s="12"/>
      <c r="C4" s="150" t="s">
        <v>310</v>
      </c>
      <c r="D4" s="17"/>
      <c r="E4" s="12"/>
      <c r="F4" s="12"/>
      <c r="G4" s="12"/>
      <c r="H4" s="12"/>
      <c r="I4" s="32"/>
      <c r="J4" s="30"/>
    </row>
    <row r="5" spans="1:16" ht="17.25" customHeight="1">
      <c r="A5" s="15" t="s">
        <v>62</v>
      </c>
      <c r="B5" s="12"/>
      <c r="C5" s="151" t="s">
        <v>311</v>
      </c>
      <c r="D5" s="19"/>
      <c r="E5" s="12"/>
      <c r="F5" s="12"/>
      <c r="G5" s="12"/>
      <c r="H5" s="12"/>
      <c r="I5" s="32"/>
      <c r="J5" s="30"/>
    </row>
    <row r="6" spans="1:16">
      <c r="A6" s="20"/>
      <c r="B6" s="18"/>
      <c r="C6" s="19"/>
      <c r="D6" s="19"/>
      <c r="E6" s="18"/>
      <c r="F6" s="19"/>
      <c r="G6" s="18"/>
      <c r="H6" s="18"/>
      <c r="I6" s="33"/>
      <c r="J6" s="30"/>
    </row>
    <row r="7" spans="1:16" ht="15.75" customHeight="1">
      <c r="A7" s="21" t="s">
        <v>64</v>
      </c>
      <c r="B7" s="152" t="s">
        <v>65</v>
      </c>
      <c r="C7" s="152" t="s">
        <v>312</v>
      </c>
      <c r="D7" s="12"/>
      <c r="E7" s="12"/>
      <c r="F7" s="12"/>
      <c r="G7" s="12"/>
      <c r="H7" s="12"/>
      <c r="I7" s="32"/>
      <c r="J7" s="34"/>
    </row>
    <row r="8" spans="1:16" ht="15.75" customHeight="1">
      <c r="A8" s="21" t="s">
        <v>67</v>
      </c>
      <c r="B8" s="22">
        <f ca="1">TODAY()</f>
        <v>42566</v>
      </c>
      <c r="C8" s="23">
        <f ca="1">NOW()</f>
        <v>42566.527877083332</v>
      </c>
      <c r="D8" s="12"/>
      <c r="E8" s="12"/>
      <c r="F8" s="12"/>
      <c r="G8" s="12"/>
      <c r="H8" s="12"/>
      <c r="I8" s="32"/>
      <c r="J8" s="34"/>
    </row>
    <row r="9" spans="1:16" ht="15.75" customHeight="1">
      <c r="A9" s="21"/>
      <c r="B9" s="24"/>
      <c r="C9" s="24"/>
      <c r="D9" s="12"/>
      <c r="E9" s="12"/>
      <c r="F9" s="12"/>
      <c r="G9" s="12"/>
      <c r="H9" s="12"/>
      <c r="I9" s="32"/>
      <c r="J9" s="30"/>
    </row>
    <row r="10" spans="1:16" ht="15.75" customHeight="1">
      <c r="A10" s="21" t="s">
        <v>68</v>
      </c>
      <c r="B10" s="153" t="s">
        <v>69</v>
      </c>
      <c r="C10" s="24"/>
      <c r="D10" s="12"/>
      <c r="E10" s="12"/>
      <c r="F10" s="12"/>
      <c r="G10" s="12"/>
      <c r="H10" s="12"/>
      <c r="I10" s="32"/>
      <c r="J10" s="30"/>
    </row>
    <row r="11" spans="1:16" ht="15.75" customHeight="1">
      <c r="A11" s="21" t="s">
        <v>70</v>
      </c>
      <c r="B11" s="153" t="s">
        <v>71</v>
      </c>
      <c r="C11" s="24"/>
      <c r="D11" s="12"/>
      <c r="E11" s="12"/>
      <c r="F11" s="12"/>
      <c r="G11" s="12"/>
      <c r="H11" s="12"/>
      <c r="I11" s="32"/>
      <c r="J11" s="30"/>
    </row>
    <row r="12" spans="1:16" ht="15.75" customHeight="1">
      <c r="A12" s="21"/>
      <c r="B12" s="12"/>
      <c r="C12" s="12"/>
      <c r="D12" s="12"/>
      <c r="E12" s="12"/>
      <c r="F12" s="12"/>
      <c r="G12" s="12"/>
      <c r="H12" s="12"/>
      <c r="I12" s="32"/>
      <c r="J12" s="30"/>
    </row>
    <row r="13" spans="1:16" s="1" customFormat="1" ht="19.5" customHeight="1">
      <c r="A13" s="154" t="s">
        <v>72</v>
      </c>
      <c r="B13" s="154" t="s">
        <v>73</v>
      </c>
      <c r="C13" s="154" t="s">
        <v>74</v>
      </c>
      <c r="D13" s="154" t="s">
        <v>75</v>
      </c>
      <c r="E13" s="154" t="s">
        <v>76</v>
      </c>
      <c r="F13" s="154" t="s">
        <v>77</v>
      </c>
      <c r="G13" s="154" t="s">
        <v>78</v>
      </c>
      <c r="H13" s="154" t="s">
        <v>79</v>
      </c>
      <c r="I13" s="154" t="s">
        <v>80</v>
      </c>
      <c r="J13" s="35" t="s">
        <v>81</v>
      </c>
      <c r="K13" s="35" t="s">
        <v>82</v>
      </c>
      <c r="L13" s="36" t="s">
        <v>83</v>
      </c>
      <c r="M13" s="36" t="s">
        <v>45</v>
      </c>
      <c r="N13" s="36" t="s">
        <v>84</v>
      </c>
      <c r="O13" s="36" t="s">
        <v>85</v>
      </c>
      <c r="P13" s="154" t="s">
        <v>399</v>
      </c>
    </row>
    <row r="14" spans="1:16" s="2" customFormat="1" ht="27.95" customHeight="1">
      <c r="A14" s="155" t="s">
        <v>313</v>
      </c>
      <c r="B14" s="155" t="s">
        <v>314</v>
      </c>
      <c r="C14" s="156" t="s">
        <v>88</v>
      </c>
      <c r="D14" s="155" t="s">
        <v>315</v>
      </c>
      <c r="E14" s="26">
        <v>2</v>
      </c>
      <c r="F14" s="155" t="s">
        <v>260</v>
      </c>
      <c r="G14" s="155" t="s">
        <v>316</v>
      </c>
      <c r="H14" s="155" t="s">
        <v>317</v>
      </c>
      <c r="I14" s="155" t="s">
        <v>314</v>
      </c>
      <c r="J14" s="37">
        <v>0.35</v>
      </c>
      <c r="K14" s="37">
        <f t="shared" ref="K14:K39" si="0">J14*E14</f>
        <v>0.7</v>
      </c>
      <c r="L14" s="25"/>
      <c r="M14" s="25">
        <v>4</v>
      </c>
      <c r="N14" s="38" t="s">
        <v>90</v>
      </c>
      <c r="O14" s="25"/>
      <c r="P14" s="155"/>
    </row>
    <row r="15" spans="1:16" s="2" customFormat="1" ht="24.95" customHeight="1">
      <c r="A15" s="155" t="s">
        <v>318</v>
      </c>
      <c r="B15" s="155" t="s">
        <v>87</v>
      </c>
      <c r="C15" s="156" t="s">
        <v>319</v>
      </c>
      <c r="D15" s="155" t="s">
        <v>87</v>
      </c>
      <c r="E15" s="26">
        <v>1</v>
      </c>
      <c r="F15" s="155" t="s">
        <v>89</v>
      </c>
      <c r="G15" s="155" t="s">
        <v>89</v>
      </c>
      <c r="H15" s="155" t="s">
        <v>89</v>
      </c>
      <c r="I15" s="155" t="s">
        <v>89</v>
      </c>
      <c r="J15" s="37">
        <f>0.22*1.17</f>
        <v>0.25739999999999996</v>
      </c>
      <c r="K15" s="37">
        <f t="shared" si="0"/>
        <v>0.25739999999999996</v>
      </c>
      <c r="L15" s="25">
        <v>2</v>
      </c>
      <c r="M15" s="25"/>
      <c r="N15" s="39" t="s">
        <v>125</v>
      </c>
      <c r="O15" s="40" t="s">
        <v>320</v>
      </c>
      <c r="P15" s="155" t="s">
        <v>400</v>
      </c>
    </row>
    <row r="16" spans="1:16" s="2" customFormat="1" ht="24.95" customHeight="1">
      <c r="A16" s="155" t="s">
        <v>86</v>
      </c>
      <c r="B16" s="155" t="s">
        <v>87</v>
      </c>
      <c r="C16" s="156" t="s">
        <v>321</v>
      </c>
      <c r="D16" s="155" t="s">
        <v>87</v>
      </c>
      <c r="E16" s="26">
        <v>3</v>
      </c>
      <c r="F16" s="155" t="s">
        <v>89</v>
      </c>
      <c r="G16" s="155" t="s">
        <v>89</v>
      </c>
      <c r="H16" s="155" t="s">
        <v>89</v>
      </c>
      <c r="I16" s="155" t="s">
        <v>89</v>
      </c>
      <c r="J16" s="37">
        <v>1.2E-2</v>
      </c>
      <c r="K16" s="37">
        <f t="shared" si="0"/>
        <v>3.6000000000000004E-2</v>
      </c>
      <c r="L16" s="25">
        <v>6</v>
      </c>
      <c r="M16" s="25"/>
      <c r="N16" s="38" t="s">
        <v>90</v>
      </c>
      <c r="O16" s="25"/>
      <c r="P16" s="155" t="s">
        <v>400</v>
      </c>
    </row>
    <row r="17" spans="1:16" s="2" customFormat="1" ht="32.1" customHeight="1">
      <c r="A17" s="155" t="s">
        <v>99</v>
      </c>
      <c r="B17" s="155" t="s">
        <v>87</v>
      </c>
      <c r="C17" s="156" t="s">
        <v>322</v>
      </c>
      <c r="D17" s="155" t="s">
        <v>87</v>
      </c>
      <c r="E17" s="26">
        <v>2</v>
      </c>
      <c r="F17" s="155" t="s">
        <v>89</v>
      </c>
      <c r="G17" s="155" t="s">
        <v>89</v>
      </c>
      <c r="H17" s="155" t="s">
        <v>89</v>
      </c>
      <c r="I17" s="155" t="s">
        <v>89</v>
      </c>
      <c r="J17" s="37">
        <v>1.2E-2</v>
      </c>
      <c r="K17" s="37">
        <f t="shared" si="0"/>
        <v>2.4E-2</v>
      </c>
      <c r="L17" s="25">
        <v>4</v>
      </c>
      <c r="M17" s="25"/>
      <c r="N17" s="38" t="s">
        <v>90</v>
      </c>
      <c r="O17" s="25"/>
      <c r="P17" s="155" t="s">
        <v>400</v>
      </c>
    </row>
    <row r="18" spans="1:16" s="2" customFormat="1" ht="30" customHeight="1">
      <c r="A18" s="155" t="s">
        <v>323</v>
      </c>
      <c r="B18" s="155" t="s">
        <v>324</v>
      </c>
      <c r="C18" s="156" t="s">
        <v>94</v>
      </c>
      <c r="D18" s="155" t="s">
        <v>325</v>
      </c>
      <c r="E18" s="26">
        <v>1</v>
      </c>
      <c r="F18" s="155" t="s">
        <v>260</v>
      </c>
      <c r="G18" s="155" t="s">
        <v>326</v>
      </c>
      <c r="H18" s="155" t="s">
        <v>327</v>
      </c>
      <c r="I18" s="155" t="s">
        <v>324</v>
      </c>
      <c r="J18" s="37">
        <v>0.2</v>
      </c>
      <c r="K18" s="37">
        <f t="shared" si="0"/>
        <v>0.2</v>
      </c>
      <c r="L18" s="25">
        <v>2</v>
      </c>
      <c r="M18" s="25"/>
      <c r="N18" s="38" t="s">
        <v>90</v>
      </c>
      <c r="O18" s="25"/>
      <c r="P18" s="155"/>
    </row>
    <row r="19" spans="1:16" s="2" customFormat="1" ht="26.1" customHeight="1">
      <c r="A19" s="155" t="s">
        <v>328</v>
      </c>
      <c r="B19" s="155" t="s">
        <v>329</v>
      </c>
      <c r="C19" s="156" t="s">
        <v>330</v>
      </c>
      <c r="D19" s="155" t="s">
        <v>331</v>
      </c>
      <c r="E19" s="26">
        <v>1</v>
      </c>
      <c r="F19" s="155" t="s">
        <v>260</v>
      </c>
      <c r="G19" s="155" t="s">
        <v>332</v>
      </c>
      <c r="H19" s="155" t="s">
        <v>333</v>
      </c>
      <c r="I19" s="155" t="s">
        <v>329</v>
      </c>
      <c r="J19" s="37">
        <v>0.3</v>
      </c>
      <c r="K19" s="37">
        <f t="shared" si="0"/>
        <v>0.3</v>
      </c>
      <c r="L19" s="25"/>
      <c r="M19" s="25">
        <v>2</v>
      </c>
      <c r="N19" s="38" t="s">
        <v>90</v>
      </c>
      <c r="O19" s="25"/>
      <c r="P19" s="155"/>
    </row>
    <row r="20" spans="1:16" s="2" customFormat="1" ht="27" customHeight="1">
      <c r="A20" s="155" t="s">
        <v>105</v>
      </c>
      <c r="B20" s="155" t="s">
        <v>87</v>
      </c>
      <c r="C20" s="156" t="s">
        <v>334</v>
      </c>
      <c r="D20" s="155" t="s">
        <v>87</v>
      </c>
      <c r="E20" s="26">
        <v>1</v>
      </c>
      <c r="F20" s="155" t="s">
        <v>89</v>
      </c>
      <c r="G20" s="155" t="s">
        <v>89</v>
      </c>
      <c r="H20" s="155" t="s">
        <v>89</v>
      </c>
      <c r="I20" s="155" t="s">
        <v>89</v>
      </c>
      <c r="J20" s="37">
        <v>1.2E-2</v>
      </c>
      <c r="K20" s="37">
        <f t="shared" si="0"/>
        <v>1.2E-2</v>
      </c>
      <c r="L20" s="25">
        <v>2</v>
      </c>
      <c r="M20" s="25"/>
      <c r="N20" s="38" t="s">
        <v>90</v>
      </c>
      <c r="O20" s="25"/>
      <c r="P20" s="155" t="s">
        <v>400</v>
      </c>
    </row>
    <row r="21" spans="1:16" s="2" customFormat="1" ht="33.950000000000003" customHeight="1">
      <c r="A21" s="155" t="s">
        <v>335</v>
      </c>
      <c r="B21" s="155" t="s">
        <v>335</v>
      </c>
      <c r="C21" s="156" t="s">
        <v>336</v>
      </c>
      <c r="D21" s="155" t="s">
        <v>337</v>
      </c>
      <c r="E21" s="26">
        <v>1</v>
      </c>
      <c r="F21" s="155" t="s">
        <v>260</v>
      </c>
      <c r="G21" s="155" t="s">
        <v>338</v>
      </c>
      <c r="H21" s="155" t="s">
        <v>339</v>
      </c>
      <c r="I21" s="155" t="s">
        <v>335</v>
      </c>
      <c r="J21" s="37">
        <f>0.68*1.17</f>
        <v>0.79559999999999997</v>
      </c>
      <c r="K21" s="37">
        <f t="shared" si="0"/>
        <v>0.79559999999999997</v>
      </c>
      <c r="L21" s="25">
        <v>4</v>
      </c>
      <c r="M21" s="25"/>
      <c r="N21" s="39" t="s">
        <v>125</v>
      </c>
      <c r="O21" s="25"/>
      <c r="P21" s="155"/>
    </row>
    <row r="22" spans="1:16" s="2" customFormat="1" ht="35.1" customHeight="1">
      <c r="A22" s="155" t="s">
        <v>340</v>
      </c>
      <c r="B22" s="155" t="s">
        <v>340</v>
      </c>
      <c r="C22" s="156" t="s">
        <v>341</v>
      </c>
      <c r="D22" s="155" t="s">
        <v>342</v>
      </c>
      <c r="E22" s="26">
        <v>1</v>
      </c>
      <c r="F22" s="155" t="s">
        <v>121</v>
      </c>
      <c r="G22" s="155" t="s">
        <v>343</v>
      </c>
      <c r="H22" s="155" t="s">
        <v>123</v>
      </c>
      <c r="I22" s="155" t="s">
        <v>340</v>
      </c>
      <c r="J22" s="37">
        <f>0.42*1.17</f>
        <v>0.49139999999999995</v>
      </c>
      <c r="K22" s="37">
        <f t="shared" si="0"/>
        <v>0.49139999999999995</v>
      </c>
      <c r="L22" s="25">
        <v>2</v>
      </c>
      <c r="M22" s="25"/>
      <c r="N22" s="39" t="s">
        <v>125</v>
      </c>
      <c r="O22" s="25"/>
      <c r="P22" s="155"/>
    </row>
    <row r="23" spans="1:16" s="2" customFormat="1" ht="33" customHeight="1">
      <c r="A23" s="155" t="s">
        <v>344</v>
      </c>
      <c r="B23" s="155" t="s">
        <v>344</v>
      </c>
      <c r="C23" s="156" t="s">
        <v>345</v>
      </c>
      <c r="D23" s="155" t="s">
        <v>346</v>
      </c>
      <c r="E23" s="26">
        <v>1</v>
      </c>
      <c r="F23" s="155" t="s">
        <v>260</v>
      </c>
      <c r="G23" s="155" t="s">
        <v>347</v>
      </c>
      <c r="H23" s="155" t="s">
        <v>348</v>
      </c>
      <c r="I23" s="155" t="s">
        <v>349</v>
      </c>
      <c r="J23" s="37">
        <v>0.15</v>
      </c>
      <c r="K23" s="37">
        <f t="shared" si="0"/>
        <v>0.15</v>
      </c>
      <c r="L23" s="25">
        <v>2</v>
      </c>
      <c r="M23" s="25"/>
      <c r="N23" s="39" t="s">
        <v>125</v>
      </c>
      <c r="O23" s="25"/>
      <c r="P23" s="155"/>
    </row>
    <row r="24" spans="1:16" s="2" customFormat="1" ht="29.1" customHeight="1">
      <c r="A24" s="155" t="s">
        <v>350</v>
      </c>
      <c r="B24" s="155" t="s">
        <v>350</v>
      </c>
      <c r="C24" s="156" t="s">
        <v>351</v>
      </c>
      <c r="D24" s="155" t="s">
        <v>352</v>
      </c>
      <c r="E24" s="26">
        <v>1</v>
      </c>
      <c r="F24" s="155" t="s">
        <v>260</v>
      </c>
      <c r="G24" s="155" t="s">
        <v>353</v>
      </c>
      <c r="H24" s="155" t="s">
        <v>348</v>
      </c>
      <c r="I24" s="155" t="s">
        <v>350</v>
      </c>
      <c r="J24" s="37">
        <f>0.5*1.17</f>
        <v>0.58499999999999996</v>
      </c>
      <c r="K24" s="37">
        <f t="shared" si="0"/>
        <v>0.58499999999999996</v>
      </c>
      <c r="L24" s="25">
        <v>2</v>
      </c>
      <c r="M24" s="25"/>
      <c r="N24" s="39" t="s">
        <v>125</v>
      </c>
      <c r="O24" s="25"/>
      <c r="P24" s="155"/>
    </row>
    <row r="25" spans="1:16" s="2" customFormat="1" ht="32.1" customHeight="1">
      <c r="A25" s="155" t="s">
        <v>354</v>
      </c>
      <c r="B25" s="155" t="s">
        <v>355</v>
      </c>
      <c r="C25" s="156" t="s">
        <v>356</v>
      </c>
      <c r="D25" s="155" t="s">
        <v>357</v>
      </c>
      <c r="E25" s="26">
        <v>1</v>
      </c>
      <c r="F25" s="155" t="s">
        <v>260</v>
      </c>
      <c r="G25" s="155" t="s">
        <v>358</v>
      </c>
      <c r="H25" s="155" t="s">
        <v>339</v>
      </c>
      <c r="I25" s="155" t="s">
        <v>355</v>
      </c>
      <c r="J25" s="37">
        <v>0.01</v>
      </c>
      <c r="K25" s="37">
        <f t="shared" si="0"/>
        <v>0.01</v>
      </c>
      <c r="L25" s="25"/>
      <c r="M25" s="25">
        <v>2</v>
      </c>
      <c r="N25" s="38" t="s">
        <v>90</v>
      </c>
      <c r="O25" s="25"/>
      <c r="P25" s="155"/>
    </row>
    <row r="26" spans="1:16" s="2" customFormat="1" ht="35.1" customHeight="1">
      <c r="A26" s="155" t="s">
        <v>359</v>
      </c>
      <c r="B26" s="155" t="s">
        <v>359</v>
      </c>
      <c r="C26" s="156" t="s">
        <v>151</v>
      </c>
      <c r="D26" s="155" t="s">
        <v>360</v>
      </c>
      <c r="E26" s="26">
        <v>1</v>
      </c>
      <c r="F26" s="155" t="s">
        <v>260</v>
      </c>
      <c r="G26" s="155" t="s">
        <v>361</v>
      </c>
      <c r="H26" s="155" t="s">
        <v>362</v>
      </c>
      <c r="I26" s="155" t="s">
        <v>363</v>
      </c>
      <c r="J26" s="37">
        <f>10.6/6.2</f>
        <v>1.7096774193548385</v>
      </c>
      <c r="K26" s="37">
        <f t="shared" si="0"/>
        <v>1.7096774193548385</v>
      </c>
      <c r="L26" s="25"/>
      <c r="M26" s="25">
        <v>2</v>
      </c>
      <c r="N26" s="39" t="s">
        <v>125</v>
      </c>
      <c r="O26" s="25"/>
      <c r="P26" s="155"/>
    </row>
    <row r="27" spans="1:16" s="2" customFormat="1" ht="33" customHeight="1">
      <c r="A27" s="155" t="s">
        <v>149</v>
      </c>
      <c r="B27" s="155" t="s">
        <v>364</v>
      </c>
      <c r="C27" s="156" t="s">
        <v>157</v>
      </c>
      <c r="D27" s="155" t="s">
        <v>365</v>
      </c>
      <c r="E27" s="26">
        <v>1</v>
      </c>
      <c r="F27" s="155" t="s">
        <v>121</v>
      </c>
      <c r="G27" s="155" t="s">
        <v>366</v>
      </c>
      <c r="H27" s="155" t="s">
        <v>154</v>
      </c>
      <c r="I27" s="155" t="s">
        <v>367</v>
      </c>
      <c r="J27" s="37">
        <v>0.12</v>
      </c>
      <c r="K27" s="37">
        <f t="shared" si="0"/>
        <v>0.12</v>
      </c>
      <c r="L27" s="25"/>
      <c r="M27" s="25">
        <v>2</v>
      </c>
      <c r="N27" s="38" t="s">
        <v>90</v>
      </c>
      <c r="O27" s="25"/>
      <c r="P27" s="155"/>
    </row>
    <row r="28" spans="1:16" s="2" customFormat="1" ht="24.95" customHeight="1">
      <c r="A28" s="155" t="s">
        <v>368</v>
      </c>
      <c r="B28" s="155" t="s">
        <v>369</v>
      </c>
      <c r="C28" s="156" t="s">
        <v>370</v>
      </c>
      <c r="D28" s="155" t="s">
        <v>371</v>
      </c>
      <c r="E28" s="26">
        <v>2</v>
      </c>
      <c r="F28" s="155" t="s">
        <v>260</v>
      </c>
      <c r="G28" s="155" t="s">
        <v>372</v>
      </c>
      <c r="H28" s="155" t="s">
        <v>373</v>
      </c>
      <c r="I28" s="155" t="s">
        <v>369</v>
      </c>
      <c r="J28" s="37">
        <f>6.5/6.2</f>
        <v>1.0483870967741935</v>
      </c>
      <c r="K28" s="37">
        <f t="shared" si="0"/>
        <v>2.096774193548387</v>
      </c>
      <c r="L28" s="25"/>
      <c r="M28" s="25">
        <v>4</v>
      </c>
      <c r="N28" s="39" t="s">
        <v>125</v>
      </c>
      <c r="O28" s="25"/>
      <c r="P28" s="155"/>
    </row>
    <row r="29" spans="1:16" s="2" customFormat="1" ht="24.95" customHeight="1">
      <c r="A29" s="155" t="s">
        <v>374</v>
      </c>
      <c r="B29" s="155" t="s">
        <v>201</v>
      </c>
      <c r="C29" s="156" t="s">
        <v>375</v>
      </c>
      <c r="D29" s="155" t="s">
        <v>201</v>
      </c>
      <c r="E29" s="26">
        <v>2</v>
      </c>
      <c r="F29" s="155" t="s">
        <v>89</v>
      </c>
      <c r="G29" s="155" t="s">
        <v>89</v>
      </c>
      <c r="H29" s="155" t="s">
        <v>89</v>
      </c>
      <c r="I29" s="155" t="s">
        <v>89</v>
      </c>
      <c r="J29" s="37">
        <v>0.01</v>
      </c>
      <c r="K29" s="37">
        <f t="shared" si="0"/>
        <v>0.02</v>
      </c>
      <c r="L29" s="25">
        <v>4</v>
      </c>
      <c r="M29" s="25"/>
      <c r="N29" s="38" t="s">
        <v>90</v>
      </c>
      <c r="O29" s="25"/>
      <c r="P29" s="155" t="s">
        <v>401</v>
      </c>
    </row>
    <row r="30" spans="1:16" s="2" customFormat="1" ht="26.1" customHeight="1">
      <c r="A30" s="155" t="s">
        <v>225</v>
      </c>
      <c r="B30" s="155" t="s">
        <v>201</v>
      </c>
      <c r="C30" s="156" t="s">
        <v>376</v>
      </c>
      <c r="D30" s="155" t="s">
        <v>201</v>
      </c>
      <c r="E30" s="26">
        <v>1</v>
      </c>
      <c r="F30" s="155" t="s">
        <v>89</v>
      </c>
      <c r="G30" s="155" t="s">
        <v>89</v>
      </c>
      <c r="H30" s="155" t="s">
        <v>89</v>
      </c>
      <c r="I30" s="155" t="s">
        <v>89</v>
      </c>
      <c r="J30" s="37">
        <v>0.01</v>
      </c>
      <c r="K30" s="37">
        <f t="shared" si="0"/>
        <v>0.01</v>
      </c>
      <c r="L30" s="25">
        <v>2</v>
      </c>
      <c r="M30" s="25"/>
      <c r="N30" s="38" t="s">
        <v>90</v>
      </c>
      <c r="O30" s="25"/>
      <c r="P30" s="155" t="s">
        <v>401</v>
      </c>
    </row>
    <row r="31" spans="1:16" s="2" customFormat="1" ht="21" customHeight="1">
      <c r="A31" s="155" t="s">
        <v>208</v>
      </c>
      <c r="B31" s="155" t="s">
        <v>201</v>
      </c>
      <c r="C31" s="156" t="s">
        <v>377</v>
      </c>
      <c r="D31" s="155" t="s">
        <v>201</v>
      </c>
      <c r="E31" s="26">
        <v>1</v>
      </c>
      <c r="F31" s="155" t="s">
        <v>89</v>
      </c>
      <c r="G31" s="155" t="s">
        <v>89</v>
      </c>
      <c r="H31" s="155" t="s">
        <v>89</v>
      </c>
      <c r="I31" s="155" t="s">
        <v>89</v>
      </c>
      <c r="J31" s="37">
        <v>0.01</v>
      </c>
      <c r="K31" s="37">
        <f t="shared" si="0"/>
        <v>0.01</v>
      </c>
      <c r="L31" s="25">
        <v>2</v>
      </c>
      <c r="M31" s="25"/>
      <c r="N31" s="38" t="s">
        <v>90</v>
      </c>
      <c r="O31" s="25"/>
      <c r="P31" s="155" t="s">
        <v>401</v>
      </c>
    </row>
    <row r="32" spans="1:16" s="2" customFormat="1" ht="21.95" customHeight="1">
      <c r="A32" s="155" t="s">
        <v>378</v>
      </c>
      <c r="B32" s="155" t="s">
        <v>201</v>
      </c>
      <c r="C32" s="156" t="s">
        <v>379</v>
      </c>
      <c r="D32" s="155" t="s">
        <v>201</v>
      </c>
      <c r="E32" s="26">
        <v>1</v>
      </c>
      <c r="F32" s="155" t="s">
        <v>89</v>
      </c>
      <c r="G32" s="155" t="s">
        <v>89</v>
      </c>
      <c r="H32" s="155" t="s">
        <v>89</v>
      </c>
      <c r="I32" s="155" t="s">
        <v>89</v>
      </c>
      <c r="J32" s="37">
        <v>0.01</v>
      </c>
      <c r="K32" s="37">
        <f t="shared" si="0"/>
        <v>0.01</v>
      </c>
      <c r="L32" s="25">
        <v>2</v>
      </c>
      <c r="M32" s="25"/>
      <c r="N32" s="38" t="s">
        <v>90</v>
      </c>
      <c r="O32" s="25"/>
      <c r="P32" s="155" t="s">
        <v>401</v>
      </c>
    </row>
    <row r="33" spans="1:16" s="2" customFormat="1" ht="21.95" customHeight="1">
      <c r="A33" s="155" t="s">
        <v>380</v>
      </c>
      <c r="B33" s="155" t="s">
        <v>201</v>
      </c>
      <c r="C33" s="156" t="s">
        <v>381</v>
      </c>
      <c r="D33" s="155" t="s">
        <v>201</v>
      </c>
      <c r="E33" s="26">
        <v>1</v>
      </c>
      <c r="F33" s="155" t="s">
        <v>89</v>
      </c>
      <c r="G33" s="155" t="s">
        <v>89</v>
      </c>
      <c r="H33" s="155" t="s">
        <v>89</v>
      </c>
      <c r="I33" s="155" t="s">
        <v>89</v>
      </c>
      <c r="J33" s="37">
        <v>0.01</v>
      </c>
      <c r="K33" s="37">
        <f t="shared" si="0"/>
        <v>0.01</v>
      </c>
      <c r="L33" s="25">
        <v>2</v>
      </c>
      <c r="M33" s="25"/>
      <c r="N33" s="38" t="s">
        <v>90</v>
      </c>
      <c r="O33" s="25"/>
      <c r="P33" s="155" t="s">
        <v>401</v>
      </c>
    </row>
    <row r="34" spans="1:16" s="2" customFormat="1" ht="24.95" customHeight="1">
      <c r="A34" s="155" t="s">
        <v>212</v>
      </c>
      <c r="B34" s="155" t="s">
        <v>201</v>
      </c>
      <c r="C34" s="156" t="s">
        <v>382</v>
      </c>
      <c r="D34" s="155" t="s">
        <v>201</v>
      </c>
      <c r="E34" s="26">
        <v>1</v>
      </c>
      <c r="F34" s="155" t="s">
        <v>89</v>
      </c>
      <c r="G34" s="155" t="s">
        <v>89</v>
      </c>
      <c r="H34" s="155" t="s">
        <v>89</v>
      </c>
      <c r="I34" s="155" t="s">
        <v>89</v>
      </c>
      <c r="J34" s="37">
        <v>0.01</v>
      </c>
      <c r="K34" s="37">
        <f t="shared" si="0"/>
        <v>0.01</v>
      </c>
      <c r="L34" s="25">
        <v>2</v>
      </c>
      <c r="M34" s="25"/>
      <c r="N34" s="38" t="s">
        <v>90</v>
      </c>
      <c r="O34" s="25"/>
      <c r="P34" s="155" t="s">
        <v>401</v>
      </c>
    </row>
    <row r="35" spans="1:16" s="2" customFormat="1" ht="23.1" customHeight="1">
      <c r="A35" s="155" t="s">
        <v>383</v>
      </c>
      <c r="B35" s="155" t="s">
        <v>201</v>
      </c>
      <c r="C35" s="156" t="s">
        <v>384</v>
      </c>
      <c r="D35" s="155" t="s">
        <v>201</v>
      </c>
      <c r="E35" s="26">
        <v>1</v>
      </c>
      <c r="F35" s="155" t="s">
        <v>89</v>
      </c>
      <c r="G35" s="155" t="s">
        <v>89</v>
      </c>
      <c r="H35" s="155" t="s">
        <v>89</v>
      </c>
      <c r="I35" s="155" t="s">
        <v>89</v>
      </c>
      <c r="J35" s="37">
        <v>0.01</v>
      </c>
      <c r="K35" s="37">
        <f t="shared" si="0"/>
        <v>0.01</v>
      </c>
      <c r="L35" s="25">
        <v>2</v>
      </c>
      <c r="M35" s="25"/>
      <c r="N35" s="38" t="s">
        <v>90</v>
      </c>
      <c r="O35" s="25"/>
      <c r="P35" s="155" t="s">
        <v>401</v>
      </c>
    </row>
    <row r="36" spans="1:16" s="2" customFormat="1" ht="30" customHeight="1">
      <c r="A36" s="155" t="s">
        <v>385</v>
      </c>
      <c r="B36" s="155" t="s">
        <v>201</v>
      </c>
      <c r="C36" s="156" t="s">
        <v>386</v>
      </c>
      <c r="D36" s="155" t="s">
        <v>201</v>
      </c>
      <c r="E36" s="26">
        <v>1</v>
      </c>
      <c r="F36" s="155" t="s">
        <v>89</v>
      </c>
      <c r="G36" s="155" t="s">
        <v>89</v>
      </c>
      <c r="H36" s="155" t="s">
        <v>89</v>
      </c>
      <c r="I36" s="155" t="s">
        <v>89</v>
      </c>
      <c r="J36" s="37">
        <v>0.01</v>
      </c>
      <c r="K36" s="37">
        <f t="shared" si="0"/>
        <v>0.01</v>
      </c>
      <c r="L36" s="25">
        <v>2</v>
      </c>
      <c r="M36" s="25"/>
      <c r="N36" s="38" t="s">
        <v>90</v>
      </c>
      <c r="O36" s="25"/>
      <c r="P36" s="155" t="s">
        <v>401</v>
      </c>
    </row>
    <row r="37" spans="1:16" s="2" customFormat="1" ht="27" customHeight="1">
      <c r="A37" s="155" t="s">
        <v>387</v>
      </c>
      <c r="B37" s="155" t="s">
        <v>201</v>
      </c>
      <c r="C37" s="156" t="s">
        <v>388</v>
      </c>
      <c r="D37" s="155" t="s">
        <v>201</v>
      </c>
      <c r="E37" s="26">
        <v>1</v>
      </c>
      <c r="F37" s="155" t="s">
        <v>89</v>
      </c>
      <c r="G37" s="155" t="s">
        <v>89</v>
      </c>
      <c r="H37" s="155" t="s">
        <v>89</v>
      </c>
      <c r="I37" s="155" t="s">
        <v>89</v>
      </c>
      <c r="J37" s="37">
        <v>0.01</v>
      </c>
      <c r="K37" s="37">
        <f t="shared" si="0"/>
        <v>0.01</v>
      </c>
      <c r="L37" s="25">
        <v>2</v>
      </c>
      <c r="M37" s="25"/>
      <c r="N37" s="38" t="s">
        <v>90</v>
      </c>
      <c r="O37" s="25"/>
      <c r="P37" s="155" t="s">
        <v>401</v>
      </c>
    </row>
    <row r="38" spans="1:16" s="2" customFormat="1" ht="27" customHeight="1">
      <c r="A38" s="155" t="s">
        <v>389</v>
      </c>
      <c r="B38" s="155" t="s">
        <v>389</v>
      </c>
      <c r="C38" s="156" t="s">
        <v>390</v>
      </c>
      <c r="D38" s="155" t="s">
        <v>391</v>
      </c>
      <c r="E38" s="26">
        <v>1</v>
      </c>
      <c r="F38" s="155" t="s">
        <v>121</v>
      </c>
      <c r="G38" s="155" t="s">
        <v>392</v>
      </c>
      <c r="H38" s="155" t="s">
        <v>393</v>
      </c>
      <c r="I38" s="155" t="s">
        <v>394</v>
      </c>
      <c r="J38" s="37">
        <v>4.9000000000000004</v>
      </c>
      <c r="K38" s="37">
        <f t="shared" si="0"/>
        <v>4.9000000000000004</v>
      </c>
      <c r="L38" s="25"/>
      <c r="M38" s="25">
        <v>10</v>
      </c>
      <c r="N38" s="39" t="s">
        <v>125</v>
      </c>
      <c r="O38" s="25"/>
      <c r="P38" s="155"/>
    </row>
    <row r="39" spans="1:16" s="2" customFormat="1" ht="33" customHeight="1">
      <c r="A39" s="155" t="s">
        <v>395</v>
      </c>
      <c r="B39" s="155" t="s">
        <v>395</v>
      </c>
      <c r="C39" s="156" t="s">
        <v>243</v>
      </c>
      <c r="D39" s="155" t="s">
        <v>396</v>
      </c>
      <c r="E39" s="26">
        <v>1</v>
      </c>
      <c r="F39" s="155" t="s">
        <v>121</v>
      </c>
      <c r="G39" s="155" t="s">
        <v>397</v>
      </c>
      <c r="H39" s="155" t="s">
        <v>246</v>
      </c>
      <c r="I39" s="155" t="s">
        <v>398</v>
      </c>
      <c r="J39" s="37">
        <v>2.2599999999999998</v>
      </c>
      <c r="K39" s="37">
        <f t="shared" si="0"/>
        <v>2.2599999999999998</v>
      </c>
      <c r="L39" s="25">
        <v>7</v>
      </c>
      <c r="M39" s="25"/>
      <c r="N39" s="39" t="s">
        <v>125</v>
      </c>
      <c r="O39" s="25"/>
      <c r="P39" s="155"/>
    </row>
    <row r="40" spans="1:16">
      <c r="A40" s="4"/>
      <c r="B40" s="4"/>
      <c r="C40" s="4"/>
      <c r="D40" s="27"/>
      <c r="E40" s="28">
        <f>SUM(E14:E39)</f>
        <v>32</v>
      </c>
      <c r="G40" s="4"/>
      <c r="H40" s="4"/>
      <c r="I40" s="27"/>
      <c r="J40" s="41" t="s">
        <v>308</v>
      </c>
      <c r="K40" s="5">
        <f t="shared" ref="K40:M40" si="1">SUM(K14:K39)</f>
        <v>14.747851612903224</v>
      </c>
      <c r="L40" s="3">
        <f t="shared" si="1"/>
        <v>53</v>
      </c>
      <c r="M40" s="3">
        <f t="shared" si="1"/>
        <v>26</v>
      </c>
    </row>
  </sheetData>
  <pageMargins left="0.45902777777777798" right="0.359027777777778" top="0.57916666666666705" bottom="1" header="0.5" footer="0.5"/>
  <pageSetup paperSize="9" orientation="landscape" horizontalDpi="200" verticalDpi="300" r:id="rId1"/>
  <headerFooter alignWithMargins="0">
    <oddFooter>&amp;L&amp;BAltium Limited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Persimmon</vt:lpstr>
      <vt:lpstr>Kiwi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slopez</cp:lastModifiedBy>
  <cp:revision>1</cp:revision>
  <cp:lastPrinted>2113-01-01T00:00:00Z</cp:lastPrinted>
  <dcterms:created xsi:type="dcterms:W3CDTF">2016-05-06T17:07:00Z</dcterms:created>
  <dcterms:modified xsi:type="dcterms:W3CDTF">2016-07-15T10:40:22Z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