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volatileDependencies.xml" ContentType="application/vnd.openxmlformats-officedocument.spreadsheetml.volatileDependenc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计算表" sheetId="4" r:id="rId1"/>
    <sheet name="股票持仓计算表" sheetId="6" r:id="rId2"/>
    <sheet name="Sheet1" sheetId="5" r:id="rId3"/>
    <sheet name="Sheet2" sheetId="7" r:id="rId4"/>
  </sheets>
  <calcPr calcId="144525"/>
</workbook>
</file>

<file path=xl/sharedStrings.xml><?xml version="1.0" encoding="utf-8"?>
<sst xmlns="http://schemas.openxmlformats.org/spreadsheetml/2006/main" count="150" uniqueCount="89">
  <si>
    <t>策略0</t>
  </si>
  <si>
    <t>策略1</t>
  </si>
  <si>
    <t>策略2</t>
  </si>
  <si>
    <t>仓位信息总表</t>
  </si>
  <si>
    <t>总市值</t>
  </si>
  <si>
    <t>预期总规模</t>
  </si>
  <si>
    <t>投资经理</t>
  </si>
  <si>
    <t>陈富家</t>
  </si>
  <si>
    <t>许恒硕</t>
  </si>
  <si>
    <t>张易</t>
  </si>
  <si>
    <t>Wind代码</t>
  </si>
  <si>
    <t>目标比例</t>
  </si>
  <si>
    <t>风险预算权重</t>
  </si>
  <si>
    <t>风险预算比例</t>
  </si>
  <si>
    <t>理论市值</t>
  </si>
  <si>
    <t>理论目标股数</t>
  </si>
  <si>
    <t>聚宽代码</t>
  </si>
  <si>
    <t>总数</t>
  </si>
  <si>
    <t>目标数量-手动</t>
  </si>
  <si>
    <t>系统数量-恒生</t>
  </si>
  <si>
    <t>差额</t>
  </si>
  <si>
    <t>市值</t>
  </si>
  <si>
    <t>实际比例</t>
  </si>
  <si>
    <t>借出比例</t>
  </si>
  <si>
    <t>理论借出数量</t>
  </si>
  <si>
    <t>理论借出市值</t>
  </si>
  <si>
    <t>159920.XSHE</t>
  </si>
  <si>
    <t>159928.XSHE</t>
  </si>
  <si>
    <t>159938.XSHE</t>
  </si>
  <si>
    <t>159949.XSHE</t>
  </si>
  <si>
    <t>931152.CSI</t>
  </si>
  <si>
    <t>930697.CSI</t>
  </si>
  <si>
    <t>160618.XSHE</t>
  </si>
  <si>
    <t>161713.XSHE</t>
  </si>
  <si>
    <t>161716.XSHE</t>
  </si>
  <si>
    <t>167501.XSHE</t>
  </si>
  <si>
    <t>510050.XSHG</t>
  </si>
  <si>
    <t>510230.XSHG</t>
  </si>
  <si>
    <t>510300.XSHG</t>
  </si>
  <si>
    <t>510500.XSHG</t>
  </si>
  <si>
    <t>510880.XSHG</t>
  </si>
  <si>
    <t>510900.XSHG</t>
  </si>
  <si>
    <t>511010.XSHG</t>
  </si>
  <si>
    <t>511260.XSHG</t>
  </si>
  <si>
    <t>512070.SH</t>
  </si>
  <si>
    <t>512070.XSHG</t>
  </si>
  <si>
    <t>512170.XSHG</t>
  </si>
  <si>
    <t>512660.XSHG</t>
  </si>
  <si>
    <t>512720.XSHG</t>
  </si>
  <si>
    <t>512760.SH</t>
  </si>
  <si>
    <t>512760.XSHG</t>
  </si>
  <si>
    <t>512930.XSHG</t>
  </si>
  <si>
    <t>512980.XSHG</t>
  </si>
  <si>
    <t>512980.SH</t>
  </si>
  <si>
    <t>513050.XSHG</t>
  </si>
  <si>
    <t>513100.XSHG</t>
  </si>
  <si>
    <t>513500.XSHG</t>
  </si>
  <si>
    <t>515000.XSHG</t>
  </si>
  <si>
    <t>515050.XSHG</t>
  </si>
  <si>
    <t>515700.XSHG</t>
  </si>
  <si>
    <t>515870.SH</t>
  </si>
  <si>
    <t>515870.XSHG</t>
  </si>
  <si>
    <t>518880.XSHG</t>
  </si>
  <si>
    <t>持仓数量</t>
  </si>
  <si>
    <t>持仓市值</t>
  </si>
  <si>
    <t>占总市值比例</t>
  </si>
  <si>
    <t>688363.SH</t>
  </si>
  <si>
    <t>160618.SZ</t>
  </si>
  <si>
    <t>161713.SZ</t>
  </si>
  <si>
    <t>161716.SZ</t>
  </si>
  <si>
    <t>167501.SZ</t>
  </si>
  <si>
    <t>510300.SH</t>
  </si>
  <si>
    <t>511010.SH</t>
  </si>
  <si>
    <t>511260.SH</t>
  </si>
  <si>
    <t>512660.SH</t>
  </si>
  <si>
    <t>512720.SH</t>
  </si>
  <si>
    <t>513050.SH</t>
  </si>
  <si>
    <t>513100.SH</t>
  </si>
  <si>
    <t>513500.SH</t>
  </si>
  <si>
    <t>515000.SH</t>
  </si>
  <si>
    <t>518880.SH</t>
  </si>
  <si>
    <t>159949.SZ</t>
  </si>
  <si>
    <t>159992.SZ</t>
  </si>
  <si>
    <t>510050.SH</t>
  </si>
  <si>
    <t>510500.SH</t>
  </si>
  <si>
    <t>512930.SH</t>
  </si>
  <si>
    <t>159928.SZ</t>
  </si>
  <si>
    <t>159996.SZ</t>
  </si>
  <si>
    <t>515050.SH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</si>
</sst>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%"/>
    <numFmt numFmtId="177" formatCode="0.00_);[Red]\(0.00\)"/>
    <numFmt numFmtId="178" formatCode="#,##0.00_ "/>
    <numFmt numFmtId="179" formatCode="0_);[Red]\(0\)"/>
    <numFmt numFmtId="180" formatCode="&quot;￥&quot;#,##0.00_);[Red]\(&quot;￥&quot;#,##0.00\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7030A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176" fontId="0" fillId="0" borderId="0" xfId="11" applyNumberFormat="1">
      <alignment vertical="center"/>
    </xf>
    <xf numFmtId="0" fontId="1" fillId="0" borderId="0" xfId="0" applyFont="1">
      <alignment vertical="center"/>
    </xf>
    <xf numFmtId="176" fontId="1" fillId="0" borderId="0" xfId="11" applyNumberFormat="1" applyFon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11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43" fontId="0" fillId="0" borderId="0" xfId="0" applyNumberFormat="1">
      <alignment vertical="center"/>
    </xf>
    <xf numFmtId="179" fontId="0" fillId="0" borderId="0" xfId="0" applyNumberFormat="1">
      <alignment vertical="center"/>
    </xf>
    <xf numFmtId="43" fontId="0" fillId="0" borderId="0" xfId="8">
      <alignment vertical="center"/>
    </xf>
    <xf numFmtId="43" fontId="0" fillId="0" borderId="0" xfId="8" applyNumberFormat="1">
      <alignment vertical="center"/>
    </xf>
    <xf numFmtId="180" fontId="0" fillId="0" borderId="0" xfId="0" applyNumberFormat="1" applyFill="1">
      <alignment vertical="center"/>
    </xf>
    <xf numFmtId="180" fontId="0" fillId="0" borderId="0" xfId="11" applyNumberFormat="1">
      <alignment vertical="center"/>
    </xf>
    <xf numFmtId="176" fontId="0" fillId="2" borderId="0" xfId="11" applyNumberFormat="1" applyFill="1">
      <alignment vertical="center"/>
    </xf>
    <xf numFmtId="177" fontId="0" fillId="2" borderId="0" xfId="11" applyNumberFormat="1" applyFill="1">
      <alignment vertical="center"/>
    </xf>
    <xf numFmtId="180" fontId="0" fillId="2" borderId="0" xfId="11" applyNumberFormat="1" applyFill="1">
      <alignment vertical="center"/>
    </xf>
    <xf numFmtId="43" fontId="0" fillId="2" borderId="0" xfId="8" applyFill="1">
      <alignment vertical="center"/>
    </xf>
    <xf numFmtId="43" fontId="0" fillId="2" borderId="0" xfId="8" applyNumberFormat="1" applyFill="1">
      <alignment vertical="center"/>
    </xf>
    <xf numFmtId="176" fontId="2" fillId="0" borderId="0" xfId="11" applyNumberFormat="1" applyFont="1">
      <alignment vertical="center"/>
    </xf>
    <xf numFmtId="177" fontId="2" fillId="0" borderId="0" xfId="11" applyNumberFormat="1" applyFont="1">
      <alignment vertical="center"/>
    </xf>
    <xf numFmtId="0" fontId="0" fillId="3" borderId="0" xfId="0" applyFill="1">
      <alignment vertical="center"/>
    </xf>
    <xf numFmtId="176" fontId="3" fillId="0" borderId="0" xfId="11" applyNumberFormat="1" applyFont="1">
      <alignment vertical="center"/>
    </xf>
    <xf numFmtId="177" fontId="3" fillId="0" borderId="0" xfId="11" applyNumberFormat="1" applyFont="1">
      <alignment vertical="center"/>
    </xf>
    <xf numFmtId="0" fontId="3" fillId="3" borderId="0" xfId="0" applyFont="1" applyFill="1" applyAlignment="1">
      <alignment vertical="top"/>
    </xf>
    <xf numFmtId="176" fontId="4" fillId="0" borderId="0" xfId="11" applyNumberFormat="1" applyFont="1">
      <alignment vertical="center"/>
    </xf>
    <xf numFmtId="177" fontId="4" fillId="0" borderId="0" xfId="11" applyNumberFormat="1" applyFont="1">
      <alignment vertical="center"/>
    </xf>
    <xf numFmtId="0" fontId="3" fillId="4" borderId="0" xfId="0" applyFont="1" applyFill="1" applyAlignment="1">
      <alignment vertical="top"/>
    </xf>
    <xf numFmtId="176" fontId="3" fillId="0" borderId="0" xfId="11" applyNumberFormat="1" applyFont="1" applyAlignment="1">
      <alignment vertical="top"/>
    </xf>
    <xf numFmtId="0" fontId="3" fillId="3" borderId="0" xfId="0" applyFont="1" applyFill="1">
      <alignment vertical="center"/>
    </xf>
    <xf numFmtId="0" fontId="3" fillId="5" borderId="0" xfId="0" applyFont="1" applyFill="1" applyAlignment="1">
      <alignment vertical="top"/>
    </xf>
    <xf numFmtId="177" fontId="0" fillId="0" borderId="0" xfId="8" applyNumberFormat="1">
      <alignment vertical="center"/>
    </xf>
    <xf numFmtId="177" fontId="0" fillId="2" borderId="0" xfId="8" applyNumberFormat="1" applyFill="1">
      <alignment vertical="center"/>
    </xf>
    <xf numFmtId="176" fontId="3" fillId="0" borderId="0" xfId="11" applyNumberFormat="1" applyFont="1" applyFill="1">
      <alignment vertical="center"/>
    </xf>
    <xf numFmtId="177" fontId="3" fillId="0" borderId="0" xfId="11" applyNumberFormat="1" applyFont="1" applyAlignment="1">
      <alignment vertical="top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3" fillId="0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78" fontId="0" fillId="0" borderId="0" xfId="11" applyNumberFormat="1">
      <alignment vertical="center"/>
    </xf>
    <xf numFmtId="178" fontId="0" fillId="2" borderId="0" xfId="11" applyNumberFormat="1" applyFill="1">
      <alignment vertical="center"/>
    </xf>
    <xf numFmtId="178" fontId="2" fillId="0" borderId="0" xfId="11" applyNumberFormat="1" applyFont="1">
      <alignment vertical="center"/>
    </xf>
    <xf numFmtId="179" fontId="0" fillId="0" borderId="0" xfId="8" applyNumberFormat="1">
      <alignment vertical="center"/>
    </xf>
    <xf numFmtId="43" fontId="0" fillId="0" borderId="0" xfId="8" applyBorder="1" applyAlignment="1">
      <alignment horizontal="center" vertical="center"/>
    </xf>
    <xf numFmtId="44" fontId="0" fillId="0" borderId="0" xfId="8" applyNumberFormat="1" applyBorder="1" applyAlignment="1">
      <alignment horizontal="center" vertical="center"/>
    </xf>
    <xf numFmtId="176" fontId="0" fillId="4" borderId="0" xfId="11" applyNumberFormat="1" applyFill="1">
      <alignment vertical="center"/>
    </xf>
    <xf numFmtId="176" fontId="0" fillId="3" borderId="0" xfId="11" applyNumberFormat="1" applyFill="1">
      <alignment vertical="center"/>
    </xf>
    <xf numFmtId="43" fontId="0" fillId="0" borderId="0" xfId="8" applyAlignment="1">
      <alignment horizontal="center" vertical="center"/>
    </xf>
    <xf numFmtId="44" fontId="0" fillId="0" borderId="0" xfId="8" applyNumberFormat="1" applyAlignment="1">
      <alignment horizontal="center" vertical="center"/>
    </xf>
    <xf numFmtId="176" fontId="0" fillId="5" borderId="0" xfId="11" applyNumberFormat="1" applyFill="1">
      <alignment vertical="center"/>
    </xf>
    <xf numFmtId="179" fontId="0" fillId="2" borderId="0" xfId="8" applyNumberFormat="1" applyFill="1">
      <alignment vertical="center"/>
    </xf>
    <xf numFmtId="44" fontId="0" fillId="2" borderId="0" xfId="8" applyNumberForma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8" fontId="0" fillId="2" borderId="0" xfId="0" applyNumberFormat="1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n">
        <v>1.031</v>
        <stp/>
        <stp>161713.SZ</stp>
        <stp>rt_latest</stp>
        <stp>RT_Price</stp>
        <tr r="M13" s="1"/>
        <tr r="T13" s="1"/>
      </tp>
    </main>
    <main first="WDF.RTQ">
      <tp t="n">
        <v>1.364</v>
        <stp/>
        <stp>160618.SZ</stp>
        <stp>rt_latest</stp>
        <stp>RT_Price</stp>
        <tr r="M12" s="1"/>
        <tr r="T12" s="1"/>
      </tp>
    </main>
    <main first="WDF.RTQ">
      <tp t="n">
        <v>1.379</v>
        <stp/>
        <stp>512930.SH</stp>
        <stp>rt_latest</stp>
        <stp>RT_Price</stp>
        <tr r="M29" s="1"/>
      </tp>
    </main>
    <main first="WDF.RTQ">
      <tp t="n">
        <v>1.322</v>
        <stp/>
        <stp>161716.SZ</stp>
        <stp>rt_latest</stp>
        <stp>RT_Price</stp>
        <tr r="M14" s="1"/>
        <tr r="T14" s="1"/>
      </tp>
    </main>
    <main first="WDF.RTQ">
      <tp t="n">
        <v>112.063</v>
        <stp/>
        <stp>511260.SH</stp>
        <stp>rt_latest</stp>
        <stp>RT_Price</stp>
        <tr r="M23" s="1"/>
        <tr r="F23" s="1"/>
      </tp>
    </main>
    <main first="WDF.RTQ">
      <tp t="n">
        <v>1.101</v>
        <stp/>
        <stp>167501.SZ</stp>
        <stp>rt_latest</stp>
        <stp>RT_Price</stp>
        <tr r="M15" s="1"/>
        <tr r="F15" s="1"/>
        <tr r="T15" s="1"/>
      </tp>
    </main>
    <main first="WDF.RTQ">
      <tp t="n">
        <v>3.888</v>
        <stp/>
        <stp>518880.SH</stp>
        <stp>rt_latest</stp>
        <stp>RT_Price</stp>
        <tr r="M38" s="1"/>
        <tr r="F38" s="1"/>
      </tp>
    </main>
    <main first="WDF.RTQ">
      <tp t="n">
        <v>2537.83</v>
        <stp/>
        <stp>931152.CSI</stp>
        <stp>rt_latest</stp>
        <stp>RT_Price</stp>
        <tr r="M10" s="1"/>
        <tr r="T10" s="1"/>
      </tp>
    </main>
    <main first="WDF.RTQ">
      <tp t="n">
        <v>1.596</v>
        <stp/>
        <stp>513050.SH</stp>
        <stp>rt_latest</stp>
        <stp>RT_Price</stp>
        <tr r="M31" s="1"/>
        <tr r="F31" s="1"/>
      </tp>
    </main>
    <main first="WDF.RTQ">
      <tp t="n">
        <v>3.738</v>
        <stp/>
        <stp>513100.SH</stp>
        <stp>rt_latest</stp>
        <stp>RT_Price</stp>
        <tr r="M32" s="1"/>
        <tr r="F32" s="1"/>
      </tp>
    </main>
    <main first="WDF.RTQ">
      <tp t="n">
        <v>2.095</v>
        <stp/>
        <stp>512760.SH</stp>
        <stp>rt_latest</stp>
        <stp>RT_Price</stp>
        <tr r="M28" s="1"/>
        <tr r="F28" s="1"/>
      </tp>
    </main>
    <main first="WDF.RTQ">
      <tp t="n">
        <v>123.138</v>
        <stp/>
        <stp>511010.SH</stp>
        <stp>rt_latest</stp>
        <stp>RT_Price</stp>
        <tr r="M22" s="1"/>
        <tr r="F22" s="1"/>
      </tp>
    </main>
    <main first="WDF.RTQ">
      <tp t="n">
        <v>2.036</v>
        <stp/>
        <stp>513500.SH</stp>
        <stp>rt_latest</stp>
        <stp>RT_Price</stp>
        <tr r="M33" s="1"/>
        <tr r="F33" s="1"/>
      </tp>
    </main>
    <main first="WDF.RTQ">
      <tp t="n">
        <v>0.998</v>
        <stp/>
        <stp>515870.SH</stp>
        <stp>rt_latest</stp>
        <stp>RT_Price</stp>
        <tr r="M37" s="1"/>
      </tp>
    </main>
    <main first="WDF.RTQ">
      <tp t="n">
        <v>0.811</v>
        <stp/>
        <stp>159949.SZ</stp>
        <stp>rt_latest</stp>
        <stp>RT_Price</stp>
        <tr r="M9" s="1"/>
      </tp>
    </main>
    <main first="WDF.RTQ">
      <tp t="n">
        <v>0.83</v>
        <stp/>
        <stp>512660.SH</stp>
        <stp>rt_latest</stp>
        <stp>RT_Price</stp>
        <tr r="F26" s="1"/>
      </tp>
    </main>
    <main first="WDF.RTQ">
      <tp t="n">
        <v>1.305</v>
        <stp/>
        <stp>512720.SH</stp>
        <stp>rt_latest</stp>
        <stp>RT_Price</stp>
        <tr r="F27" s="1"/>
      </tp>
    </main>
    <main first="WDF.RTQ">
      <tp t="n">
        <v>2.077</v>
        <stp/>
        <stp>512070.SH</stp>
        <stp>rt_latest</stp>
        <stp>RT_Price</stp>
        <tr r="F24" s="1"/>
      </tp>
    </main>
    <main first="WDF.RTQ">
      <tp t="n">
        <v>3.979</v>
        <stp/>
        <stp>510300.SH</stp>
        <stp>rt_latest</stp>
        <stp>RT_Price</stp>
        <tr r="F18" s="1"/>
        <tr r="T18" s="1"/>
      </tp>
    </main>
    <main first="WDF.RTQ">
      <tp t="n">
        <v>1.463</v>
        <stp/>
        <stp>515000.SH</stp>
        <stp>rt_latest</stp>
        <stp>RT_Price</stp>
        <tr r="F34" s="1"/>
      </tp>
    </main>
    <main first="WDF.RTQ">
      <tp t="n">
        <v>3.449</v>
        <stp/>
        <stp>159928.SZ</stp>
        <stp>rt_latest</stp>
        <stp>RT_Price</stp>
        <tr r="T7" s="1"/>
      </tp>
    </main>
    <main first="WDF.RTQ">
      <tp t="n">
        <v>9711.61</v>
        <stp/>
        <stp>930697.CSI</stp>
        <stp>rt_latest</stp>
        <stp>RT_Price</stp>
        <tr r="T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5"/>
  <sheetViews>
    <sheetView tabSelected="1" workbookViewId="0">
      <selection activeCell="T24" sqref="T24"/>
    </sheetView>
  </sheetViews>
  <sheetFormatPr defaultColWidth="9" defaultRowHeight="13.5"/>
  <cols>
    <col min="1" max="1" width="10.875" customWidth="1"/>
    <col min="2" max="2" width="17" customWidth="1"/>
    <col min="3" max="3" width="12.875" style="7" customWidth="1"/>
    <col min="4" max="4" width="12.875" customWidth="1"/>
    <col min="5" max="5" width="16" customWidth="1"/>
    <col min="6" max="6" width="15.125" customWidth="1"/>
    <col min="7" max="7" width="2.375" customWidth="1"/>
    <col min="8" max="8" width="10.875" customWidth="1"/>
    <col min="9" max="9" width="17" customWidth="1"/>
    <col min="10" max="10" width="12.875" style="8" customWidth="1"/>
    <col min="11" max="11" width="12.875" customWidth="1"/>
    <col min="12" max="12" width="16" customWidth="1"/>
    <col min="13" max="13" width="15.125" customWidth="1"/>
    <col min="14" max="14" width="2.375" customWidth="1"/>
    <col min="15" max="15" width="10.875" style="9" customWidth="1"/>
    <col min="16" max="16" width="17" style="9" customWidth="1"/>
    <col min="17" max="17" width="12.875" style="10" customWidth="1"/>
    <col min="18" max="18" width="12.875" style="9" customWidth="1"/>
    <col min="19" max="19" width="11" style="9" customWidth="1"/>
    <col min="20" max="20" width="15.125" style="9" customWidth="1"/>
    <col min="21" max="21" width="2.375" customWidth="1"/>
    <col min="22" max="22" width="12.625" customWidth="1"/>
    <col min="23" max="23" width="10.375" customWidth="1"/>
    <col min="24" max="24" width="16" style="11" customWidth="1"/>
    <col min="25" max="25" width="12.625" style="12" customWidth="1"/>
    <col min="26" max="27" width="14" customWidth="1"/>
    <col min="28" max="28" width="2.375" customWidth="1"/>
    <col min="29" max="29" width="10" customWidth="1"/>
    <col min="30" max="30" width="18.125" customWidth="1"/>
    <col min="31" max="32" width="9.375" customWidth="1"/>
    <col min="33" max="33" width="2.375" customWidth="1"/>
    <col min="34" max="34" width="10.375" customWidth="1"/>
    <col min="35" max="35" width="8.875" customWidth="1"/>
    <col min="36" max="37" width="12.875" style="4" customWidth="1"/>
  </cols>
  <sheetData>
    <row r="1" spans="1:33">
      <c r="A1" t="s">
        <v>0</v>
      </c>
      <c r="B1" s="1"/>
      <c r="D1" s="13"/>
      <c r="E1" s="13"/>
      <c r="F1" s="14"/>
      <c r="G1" s="6">
        <v>1</v>
      </c>
      <c r="H1" t="s">
        <v>1</v>
      </c>
      <c r="I1" s="1"/>
      <c r="J1" s="34"/>
      <c r="K1" s="13"/>
      <c r="L1" s="13"/>
      <c r="M1" s="13"/>
      <c r="N1" s="6">
        <v>1</v>
      </c>
      <c r="O1" s="9" t="s">
        <v>2</v>
      </c>
      <c r="U1" s="6">
        <v>1</v>
      </c>
      <c r="V1" s="41" t="s">
        <v>3</v>
      </c>
      <c r="X1" s="14"/>
      <c r="Y1" s="45"/>
      <c r="AB1" s="6">
        <v>1</v>
      </c>
      <c r="AC1" s="46" t="s">
        <v>4</v>
      </c>
      <c r="AD1" s="47">
        <f>SUM(AD6:AD48)</f>
        <v>2498937277.4</v>
      </c>
      <c r="AE1" s="48">
        <f>AE12+AE13+AE14+AE15+AE22+AE23</f>
        <v>0.519913103513329</v>
      </c>
      <c r="AF1" s="48">
        <f>AF12+AF13+AF14+AF15+AF22+AF23</f>
        <v>0.00619434446794331</v>
      </c>
      <c r="AG1" s="6">
        <v>1</v>
      </c>
    </row>
    <row r="2" spans="1:33">
      <c r="A2" t="s">
        <v>5</v>
      </c>
      <c r="B2" s="15">
        <v>100000</v>
      </c>
      <c r="D2" s="16"/>
      <c r="E2" s="13"/>
      <c r="F2" s="14"/>
      <c r="G2" s="6"/>
      <c r="H2" t="s">
        <v>5</v>
      </c>
      <c r="I2" s="15">
        <v>100000</v>
      </c>
      <c r="J2" s="7"/>
      <c r="K2" s="16"/>
      <c r="L2" s="13"/>
      <c r="M2" s="13"/>
      <c r="N2" s="6"/>
      <c r="O2" s="9" t="s">
        <v>5</v>
      </c>
      <c r="P2" s="15">
        <v>100000</v>
      </c>
      <c r="U2" s="6"/>
      <c r="V2" s="41"/>
      <c r="X2" s="14"/>
      <c r="Y2" s="45"/>
      <c r="AB2" s="6"/>
      <c r="AC2" s="46"/>
      <c r="AD2" s="47"/>
      <c r="AE2" s="49">
        <f>1-AE1-AE3</f>
        <v>0.408004438345605</v>
      </c>
      <c r="AF2" s="49">
        <f>1-AF1-AF3</f>
        <v>0.99291295957679</v>
      </c>
      <c r="AG2" s="6"/>
    </row>
    <row r="3" spans="1:33">
      <c r="A3" s="1" t="s">
        <v>6</v>
      </c>
      <c r="B3" s="7" t="s">
        <v>7</v>
      </c>
      <c r="D3" s="16"/>
      <c r="E3" s="13"/>
      <c r="F3" s="14"/>
      <c r="G3" s="6"/>
      <c r="H3" s="1" t="s">
        <v>6</v>
      </c>
      <c r="I3" s="34" t="s">
        <v>8</v>
      </c>
      <c r="J3" s="7"/>
      <c r="K3" s="16"/>
      <c r="L3" s="13"/>
      <c r="M3" s="13"/>
      <c r="N3" s="6"/>
      <c r="O3" s="9" t="s">
        <v>6</v>
      </c>
      <c r="P3" s="9" t="s">
        <v>9</v>
      </c>
      <c r="Q3" s="42"/>
      <c r="R3" s="16"/>
      <c r="U3" s="6"/>
      <c r="V3" s="41"/>
      <c r="X3" s="14"/>
      <c r="Y3" s="45"/>
      <c r="AB3" s="6"/>
      <c r="AC3" s="50"/>
      <c r="AD3" s="51"/>
      <c r="AE3" s="52">
        <f>AE31+AE32+AE33+AE38</f>
        <v>0.0720824581410661</v>
      </c>
      <c r="AF3" s="52">
        <f>AF31+AF32+AF33+AF38</f>
        <v>0.000892695955266636</v>
      </c>
      <c r="AG3" s="6"/>
    </row>
    <row r="4" s="6" customFormat="1" spans="1:37">
      <c r="A4" s="17"/>
      <c r="B4" s="18"/>
      <c r="C4" s="18"/>
      <c r="D4" s="19"/>
      <c r="E4" s="20"/>
      <c r="F4" s="21"/>
      <c r="H4" s="17"/>
      <c r="I4" s="35"/>
      <c r="J4" s="18"/>
      <c r="K4" s="19"/>
      <c r="L4" s="20"/>
      <c r="M4" s="20"/>
      <c r="Q4" s="43"/>
      <c r="R4" s="19"/>
      <c r="X4" s="21"/>
      <c r="Y4" s="53"/>
      <c r="AD4" s="54"/>
      <c r="AE4" s="17"/>
      <c r="AF4" s="17"/>
      <c r="AJ4" s="60"/>
      <c r="AK4" s="60"/>
    </row>
    <row r="5" spans="1:37">
      <c r="A5" t="s">
        <v>10</v>
      </c>
      <c r="B5" s="22" t="s">
        <v>11</v>
      </c>
      <c r="C5" s="23" t="s">
        <v>12</v>
      </c>
      <c r="D5" s="3" t="s">
        <v>13</v>
      </c>
      <c r="E5" s="13" t="s">
        <v>14</v>
      </c>
      <c r="F5" s="14" t="s">
        <v>15</v>
      </c>
      <c r="G5" s="6"/>
      <c r="H5" t="s">
        <v>10</v>
      </c>
      <c r="I5" s="22" t="s">
        <v>11</v>
      </c>
      <c r="J5" s="23" t="s">
        <v>12</v>
      </c>
      <c r="K5" s="3" t="s">
        <v>13</v>
      </c>
      <c r="L5" s="13" t="s">
        <v>14</v>
      </c>
      <c r="M5" s="13" t="s">
        <v>15</v>
      </c>
      <c r="N5" s="6"/>
      <c r="O5" t="s">
        <v>10</v>
      </c>
      <c r="P5" s="22" t="s">
        <v>11</v>
      </c>
      <c r="Q5" s="44" t="s">
        <v>12</v>
      </c>
      <c r="R5" s="3" t="s">
        <v>13</v>
      </c>
      <c r="S5" s="13" t="s">
        <v>14</v>
      </c>
      <c r="T5" s="13" t="s">
        <v>15</v>
      </c>
      <c r="U5" s="6"/>
      <c r="V5" t="s">
        <v>16</v>
      </c>
      <c r="W5" t="s">
        <v>10</v>
      </c>
      <c r="X5" s="14" t="s">
        <v>14</v>
      </c>
      <c r="Y5" s="45" t="s">
        <v>17</v>
      </c>
      <c r="Z5" s="5" t="s">
        <v>18</v>
      </c>
      <c r="AA5" s="5" t="s">
        <v>19</v>
      </c>
      <c r="AB5" s="55"/>
      <c r="AC5" s="56" t="s">
        <v>20</v>
      </c>
      <c r="AD5" s="13" t="s">
        <v>21</v>
      </c>
      <c r="AE5" s="1" t="s">
        <v>11</v>
      </c>
      <c r="AF5" s="1" t="s">
        <v>22</v>
      </c>
      <c r="AG5" s="6"/>
      <c r="AH5" t="s">
        <v>10</v>
      </c>
      <c r="AI5" s="5" t="s">
        <v>23</v>
      </c>
      <c r="AJ5" s="4" t="s">
        <v>24</v>
      </c>
      <c r="AK5" s="4" t="s">
        <v>25</v>
      </c>
    </row>
    <row r="6" spans="1:37">
      <c r="A6" s="24"/>
      <c r="B6" s="25"/>
      <c r="C6" s="26"/>
      <c r="D6" s="25"/>
      <c r="E6" s="13"/>
      <c r="F6" s="14"/>
      <c r="G6" s="6"/>
      <c r="H6" s="24"/>
      <c r="I6" s="28"/>
      <c r="J6" s="29"/>
      <c r="K6" s="28"/>
      <c r="L6" s="13"/>
      <c r="M6" s="13"/>
      <c r="N6" s="6"/>
      <c r="O6" s="24"/>
      <c r="P6" s="36"/>
      <c r="R6" s="28"/>
      <c r="T6" s="13"/>
      <c r="U6" s="6"/>
      <c r="V6" s="24" t="s">
        <v>26</v>
      </c>
      <c r="W6" t="str">
        <f t="shared" ref="W6:W13" si="0">SUBSTITUTE(SUBSTITUTE(V6,"XSHE","SZ"),"XSHG","SH")</f>
        <v>159920.SZ</v>
      </c>
      <c r="X6" s="14">
        <f t="shared" ref="X6:X13" si="1">E6+L6+S6</f>
        <v>0</v>
      </c>
      <c r="Y6" s="45">
        <f t="shared" ref="Y6:Y13" si="2">F6+M6+T6</f>
        <v>0</v>
      </c>
      <c r="Z6">
        <v>0</v>
      </c>
      <c r="AA6" s="2">
        <v>0</v>
      </c>
      <c r="AB6" s="57"/>
      <c r="AC6">
        <f t="shared" ref="AC6:AC11" si="3">Z6-AA6</f>
        <v>0</v>
      </c>
      <c r="AD6" s="13">
        <f t="shared" ref="AD6:AD13" si="4">RTD("WDF.RTQ",,W6,"rt_latest","RT_Price")*AA6</f>
        <v>0</v>
      </c>
      <c r="AE6" s="1">
        <f t="shared" ref="AE6:AE11" si="5">(B6+I6+P6)/3</f>
        <v>0</v>
      </c>
      <c r="AF6" s="1">
        <f>AD6/SUM($AD$6:$AD$48)</f>
        <v>0</v>
      </c>
      <c r="AG6" s="6"/>
      <c r="AH6" t="str">
        <f t="shared" ref="AH6:AH11" si="6">W6</f>
        <v>159920.SZ</v>
      </c>
      <c r="AI6" s="61">
        <v>0</v>
      </c>
      <c r="AJ6" s="4">
        <f t="shared" ref="AJ6:AJ13" si="7">AI6*Z6</f>
        <v>0</v>
      </c>
      <c r="AK6" s="4">
        <f t="shared" ref="AK6:AK18" si="8">AI6*X6</f>
        <v>0</v>
      </c>
    </row>
    <row r="7" spans="1:37">
      <c r="A7" s="27"/>
      <c r="B7" s="28"/>
      <c r="C7" s="29"/>
      <c r="D7" s="28"/>
      <c r="E7" s="13"/>
      <c r="F7" s="14"/>
      <c r="G7" s="6"/>
      <c r="H7" s="27"/>
      <c r="I7" s="28"/>
      <c r="J7" s="29"/>
      <c r="K7" s="28"/>
      <c r="L7" s="13"/>
      <c r="M7" s="13"/>
      <c r="N7" s="6"/>
      <c r="O7" s="24" t="str">
        <f t="shared" ref="O7:O15" si="9">W7</f>
        <v>159928.SZ</v>
      </c>
      <c r="P7" s="28">
        <v>0.0150324973468942</v>
      </c>
      <c r="Q7" s="10">
        <v>0.4</v>
      </c>
      <c r="R7" s="28">
        <f>Q7/SUM($Q$6:$Q$120)</f>
        <v>0.181818181818182</v>
      </c>
      <c r="S7" s="9">
        <f>$P$2*P7</f>
        <v>1503.24973468942</v>
      </c>
      <c r="T7" s="13">
        <f>S7/RTD("WDF.RTQ",,W7,"rt_latest","RT_Price")</f>
        <v>435.850894372114</v>
      </c>
      <c r="U7" s="6"/>
      <c r="V7" s="24" t="s">
        <v>27</v>
      </c>
      <c r="W7" t="str">
        <f t="shared" si="0"/>
        <v>159928.SZ</v>
      </c>
      <c r="X7" s="14">
        <f t="shared" si="1"/>
        <v>1503.24973468942</v>
      </c>
      <c r="Y7" s="45">
        <f t="shared" si="2"/>
        <v>435.850894372114</v>
      </c>
      <c r="Z7">
        <v>31200</v>
      </c>
      <c r="AA7">
        <v>31200</v>
      </c>
      <c r="AB7" s="6"/>
      <c r="AC7">
        <f t="shared" si="3"/>
        <v>0</v>
      </c>
      <c r="AD7" s="13">
        <f t="shared" si="4"/>
        <v>107608.8</v>
      </c>
      <c r="AE7" s="1">
        <f t="shared" si="5"/>
        <v>0.00501083244896473</v>
      </c>
      <c r="AF7" s="1">
        <f t="shared" ref="AF7:AF40" si="10">AD7/SUM($AD$6:$AD$48)</f>
        <v>4.30618251098966e-5</v>
      </c>
      <c r="AG7" s="6"/>
      <c r="AH7" t="str">
        <f t="shared" si="6"/>
        <v>159928.SZ</v>
      </c>
      <c r="AI7" s="61">
        <v>0</v>
      </c>
      <c r="AJ7" s="4">
        <f t="shared" si="7"/>
        <v>0</v>
      </c>
      <c r="AK7" s="4">
        <f t="shared" si="8"/>
        <v>0</v>
      </c>
    </row>
    <row r="8" spans="1:37">
      <c r="A8" s="27"/>
      <c r="B8" s="28"/>
      <c r="C8" s="29"/>
      <c r="D8" s="28"/>
      <c r="E8" s="13"/>
      <c r="F8" s="14"/>
      <c r="G8" s="6"/>
      <c r="H8" s="27"/>
      <c r="I8" s="28"/>
      <c r="J8" s="29"/>
      <c r="K8" s="28"/>
      <c r="L8" s="13"/>
      <c r="M8" s="13"/>
      <c r="N8" s="6"/>
      <c r="O8" s="24"/>
      <c r="P8" s="36"/>
      <c r="R8" s="28"/>
      <c r="T8" s="13"/>
      <c r="U8" s="6"/>
      <c r="V8" s="24" t="s">
        <v>28</v>
      </c>
      <c r="W8" t="str">
        <f t="shared" si="0"/>
        <v>159938.SZ</v>
      </c>
      <c r="X8" s="14">
        <f t="shared" si="1"/>
        <v>0</v>
      </c>
      <c r="Y8" s="45">
        <f t="shared" si="2"/>
        <v>0</v>
      </c>
      <c r="Z8">
        <v>0</v>
      </c>
      <c r="AA8">
        <v>0</v>
      </c>
      <c r="AB8" s="6"/>
      <c r="AC8">
        <f t="shared" si="3"/>
        <v>0</v>
      </c>
      <c r="AD8" s="13">
        <f t="shared" si="4"/>
        <v>0</v>
      </c>
      <c r="AE8" s="1">
        <f t="shared" si="5"/>
        <v>0</v>
      </c>
      <c r="AF8" s="1">
        <f t="shared" si="10"/>
        <v>0</v>
      </c>
      <c r="AG8" s="6"/>
      <c r="AH8" t="str">
        <f t="shared" si="6"/>
        <v>159938.SZ</v>
      </c>
      <c r="AI8" s="61">
        <v>0</v>
      </c>
      <c r="AJ8" s="4">
        <f t="shared" si="7"/>
        <v>0</v>
      </c>
      <c r="AK8" s="4">
        <f t="shared" si="8"/>
        <v>0</v>
      </c>
    </row>
    <row r="9" spans="1:37">
      <c r="A9" s="27"/>
      <c r="B9" s="28"/>
      <c r="C9" s="26"/>
      <c r="D9" s="28"/>
      <c r="E9" s="13"/>
      <c r="F9" s="14"/>
      <c r="G9" s="6"/>
      <c r="H9" s="27" t="str">
        <f>W9</f>
        <v>159949.SZ</v>
      </c>
      <c r="I9" s="28">
        <v>0.0223308925661651</v>
      </c>
      <c r="J9" s="37">
        <v>0.8</v>
      </c>
      <c r="K9" s="28">
        <f>J9/SUM($J$6:$J$120)</f>
        <v>0.123076923076923</v>
      </c>
      <c r="L9" s="13">
        <f>$I$2*I9</f>
        <v>2233.08925661651</v>
      </c>
      <c r="M9" s="13">
        <f>L9/RTD("WDF.RTQ",,W9,"rt_latest","RT_Price")</f>
        <v>2753.50093294268</v>
      </c>
      <c r="N9" s="6"/>
      <c r="O9" s="24"/>
      <c r="P9" s="28"/>
      <c r="R9" s="28"/>
      <c r="T9" s="13"/>
      <c r="U9" s="6"/>
      <c r="V9" s="24" t="s">
        <v>29</v>
      </c>
      <c r="W9" t="str">
        <f t="shared" si="0"/>
        <v>159949.SZ</v>
      </c>
      <c r="X9" s="14">
        <f t="shared" si="1"/>
        <v>2233.08925661651</v>
      </c>
      <c r="Y9" s="45">
        <f t="shared" si="2"/>
        <v>2753.50093294268</v>
      </c>
      <c r="Z9">
        <v>197500</v>
      </c>
      <c r="AA9">
        <v>197500</v>
      </c>
      <c r="AB9" s="6"/>
      <c r="AC9">
        <f t="shared" si="3"/>
        <v>0</v>
      </c>
      <c r="AD9" s="13">
        <f t="shared" si="4"/>
        <v>160172.5</v>
      </c>
      <c r="AE9" s="1">
        <f t="shared" si="5"/>
        <v>0.00744363085538837</v>
      </c>
      <c r="AF9" s="1">
        <f t="shared" si="10"/>
        <v>6.40962466119399e-5</v>
      </c>
      <c r="AG9" s="6"/>
      <c r="AH9" t="str">
        <f t="shared" si="6"/>
        <v>159949.SZ</v>
      </c>
      <c r="AI9" s="61">
        <v>0</v>
      </c>
      <c r="AJ9" s="4">
        <f t="shared" si="7"/>
        <v>0</v>
      </c>
      <c r="AK9" s="4">
        <f t="shared" si="8"/>
        <v>0</v>
      </c>
    </row>
    <row r="10" spans="1:37">
      <c r="A10" s="27"/>
      <c r="B10" s="28"/>
      <c r="C10" s="26"/>
      <c r="D10" s="28"/>
      <c r="E10" s="13"/>
      <c r="F10" s="14"/>
      <c r="G10" s="6"/>
      <c r="H10" s="27" t="str">
        <f>W10</f>
        <v>931152.CSI</v>
      </c>
      <c r="I10" s="28">
        <v>0.0225823347760219</v>
      </c>
      <c r="J10" s="37">
        <v>0.6</v>
      </c>
      <c r="K10" s="28">
        <f>J10/SUM($J$6:$J$120)</f>
        <v>0.0923076923076923</v>
      </c>
      <c r="L10" s="13">
        <f>$I$2*I10</f>
        <v>2258.23347760219</v>
      </c>
      <c r="M10" s="13">
        <f>L10/RTD("WDF.RTQ",,W10,"rt_latest","RT_Price")</f>
        <v>0.889828506086771</v>
      </c>
      <c r="N10" s="6"/>
      <c r="O10" s="24" t="str">
        <f t="shared" si="9"/>
        <v>931152.CSI</v>
      </c>
      <c r="P10" s="28">
        <v>0.0290331700420248</v>
      </c>
      <c r="Q10" s="10">
        <v>0.8</v>
      </c>
      <c r="R10" s="28">
        <f t="shared" ref="R9:R16" si="11">Q10/SUM($Q$6:$Q$120)</f>
        <v>0.363636363636364</v>
      </c>
      <c r="S10" s="9">
        <f>$P$2*P10</f>
        <v>2903.31700420248</v>
      </c>
      <c r="T10" s="13">
        <f t="shared" ref="T10:T15" si="12">S10/RTD("WDF.RTQ",,W10,"rt_latest","RT_Price")</f>
        <v>1.1440155582535</v>
      </c>
      <c r="U10" s="6"/>
      <c r="V10" s="24" t="s">
        <v>30</v>
      </c>
      <c r="W10" t="str">
        <f t="shared" si="0"/>
        <v>931152.CSI</v>
      </c>
      <c r="X10" s="14">
        <f t="shared" si="1"/>
        <v>5161.55048180467</v>
      </c>
      <c r="Y10" s="45">
        <f t="shared" si="2"/>
        <v>2.03384406434027</v>
      </c>
      <c r="Z10">
        <v>326000</v>
      </c>
      <c r="AA10">
        <v>326000</v>
      </c>
      <c r="AB10" s="6"/>
      <c r="AC10">
        <f t="shared" si="3"/>
        <v>0</v>
      </c>
      <c r="AD10" s="13">
        <f t="shared" si="4"/>
        <v>827332580</v>
      </c>
      <c r="AE10" s="1">
        <f t="shared" si="5"/>
        <v>0.0172051682726822</v>
      </c>
      <c r="AF10" s="1">
        <f t="shared" si="10"/>
        <v>0.331073767830136</v>
      </c>
      <c r="AG10" s="6"/>
      <c r="AH10" t="str">
        <f t="shared" si="6"/>
        <v>931152.CSI</v>
      </c>
      <c r="AI10" s="61">
        <v>0</v>
      </c>
      <c r="AJ10" s="4">
        <f t="shared" si="7"/>
        <v>0</v>
      </c>
      <c r="AK10" s="4">
        <f t="shared" si="8"/>
        <v>0</v>
      </c>
    </row>
    <row r="11" spans="1:37">
      <c r="A11" s="27"/>
      <c r="B11" s="28"/>
      <c r="C11" s="26"/>
      <c r="D11" s="28"/>
      <c r="E11" s="13"/>
      <c r="F11" s="14"/>
      <c r="G11" s="6"/>
      <c r="H11" s="27"/>
      <c r="I11" s="28"/>
      <c r="J11" s="37"/>
      <c r="K11" s="28"/>
      <c r="L11" s="13"/>
      <c r="M11" s="13"/>
      <c r="N11" s="6"/>
      <c r="O11" s="24" t="str">
        <f t="shared" si="9"/>
        <v>930697.CSI</v>
      </c>
      <c r="P11" s="28">
        <v>0.0235556069836383</v>
      </c>
      <c r="Q11" s="10">
        <v>0.6</v>
      </c>
      <c r="R11" s="28">
        <f t="shared" si="11"/>
        <v>0.272727272727273</v>
      </c>
      <c r="S11" s="9">
        <f>$P$2*P11</f>
        <v>2355.56069836383</v>
      </c>
      <c r="T11" s="13">
        <f t="shared" si="12"/>
        <v>0.242550998069716</v>
      </c>
      <c r="U11" s="6"/>
      <c r="V11" s="24" t="s">
        <v>31</v>
      </c>
      <c r="W11" t="str">
        <f t="shared" si="0"/>
        <v>930697.CSI</v>
      </c>
      <c r="X11" s="14">
        <f t="shared" si="1"/>
        <v>2355.56069836383</v>
      </c>
      <c r="Y11" s="45">
        <f t="shared" si="2"/>
        <v>0.242550998069716</v>
      </c>
      <c r="Z11">
        <v>170100</v>
      </c>
      <c r="AA11">
        <v>170100</v>
      </c>
      <c r="AB11" s="6"/>
      <c r="AC11">
        <f t="shared" si="3"/>
        <v>0</v>
      </c>
      <c r="AD11" s="13">
        <f t="shared" si="4"/>
        <v>1651944861</v>
      </c>
      <c r="AE11" s="1">
        <f t="shared" si="5"/>
        <v>0.0078518689945461</v>
      </c>
      <c r="AF11" s="1">
        <f t="shared" si="10"/>
        <v>0.661058953315849</v>
      </c>
      <c r="AG11" s="6"/>
      <c r="AH11" t="str">
        <f t="shared" si="6"/>
        <v>930697.CSI</v>
      </c>
      <c r="AI11" s="61">
        <v>0</v>
      </c>
      <c r="AJ11" s="4">
        <f t="shared" si="7"/>
        <v>0</v>
      </c>
      <c r="AK11" s="4">
        <f t="shared" si="8"/>
        <v>0</v>
      </c>
    </row>
    <row r="12" spans="1:37">
      <c r="A12" s="30"/>
      <c r="B12" s="31"/>
      <c r="C12" s="26"/>
      <c r="D12" s="28"/>
      <c r="E12" s="13"/>
      <c r="F12" s="14"/>
      <c r="G12" s="6"/>
      <c r="H12" s="30" t="str">
        <f>W12</f>
        <v>160618.SZ</v>
      </c>
      <c r="I12" s="31">
        <v>0.06</v>
      </c>
      <c r="J12" s="37">
        <v>0</v>
      </c>
      <c r="K12" s="28">
        <f>J12/SUM($J$6:$J$120)</f>
        <v>0</v>
      </c>
      <c r="L12" s="13">
        <f>$I$2*I12</f>
        <v>6000</v>
      </c>
      <c r="M12" s="13">
        <f>L12/RTD("WDF.RTQ",,W12,"rt_latest","RT_Price")</f>
        <v>4398.82697947214</v>
      </c>
      <c r="N12" s="6"/>
      <c r="O12" s="38" t="str">
        <f t="shared" si="9"/>
        <v>160618.SZ</v>
      </c>
      <c r="P12" s="31">
        <v>0.06</v>
      </c>
      <c r="Q12" s="10">
        <v>0</v>
      </c>
      <c r="R12" s="28">
        <f t="shared" si="11"/>
        <v>0</v>
      </c>
      <c r="S12" s="9">
        <f>$P$2*P12</f>
        <v>6000</v>
      </c>
      <c r="T12" s="13">
        <f t="shared" si="12"/>
        <v>4398.82697947214</v>
      </c>
      <c r="U12" s="6"/>
      <c r="V12" s="38" t="s">
        <v>32</v>
      </c>
      <c r="W12" t="str">
        <f t="shared" si="0"/>
        <v>160618.SZ</v>
      </c>
      <c r="X12" s="14">
        <f t="shared" si="1"/>
        <v>12000</v>
      </c>
      <c r="Y12" s="45">
        <f t="shared" si="2"/>
        <v>8797.65395894428</v>
      </c>
      <c r="Z12">
        <v>896000</v>
      </c>
      <c r="AA12">
        <v>896000</v>
      </c>
      <c r="AB12" s="6"/>
      <c r="AC12">
        <f t="shared" ref="AC12:AC30" si="13">Z12-AA12</f>
        <v>0</v>
      </c>
      <c r="AD12" s="13">
        <f t="shared" si="4"/>
        <v>1222144</v>
      </c>
      <c r="AE12" s="1">
        <f t="shared" ref="AE12:AE30" si="14">(B12+I12+P12)/3</f>
        <v>0.04</v>
      </c>
      <c r="AF12" s="1">
        <f t="shared" si="10"/>
        <v>0.000489065496382354</v>
      </c>
      <c r="AG12" s="6"/>
      <c r="AH12" t="str">
        <f t="shared" ref="AH12:AH28" si="15">W12</f>
        <v>160618.SZ</v>
      </c>
      <c r="AI12" s="61">
        <v>0</v>
      </c>
      <c r="AJ12" s="4">
        <f t="shared" si="7"/>
        <v>0</v>
      </c>
      <c r="AK12" s="4">
        <f t="shared" si="8"/>
        <v>0</v>
      </c>
    </row>
    <row r="13" spans="1:37">
      <c r="A13" s="30"/>
      <c r="B13" s="31"/>
      <c r="C13" s="26"/>
      <c r="D13" s="28"/>
      <c r="E13" s="13"/>
      <c r="F13" s="14"/>
      <c r="G13" s="6"/>
      <c r="H13" s="30" t="str">
        <f>W13</f>
        <v>161713.SZ</v>
      </c>
      <c r="I13" s="31">
        <v>0.02</v>
      </c>
      <c r="J13" s="37">
        <v>0</v>
      </c>
      <c r="K13" s="28">
        <f>J13/SUM($J$6:$J$120)</f>
        <v>0</v>
      </c>
      <c r="L13" s="13">
        <f>$I$2*I13</f>
        <v>2000</v>
      </c>
      <c r="M13" s="13">
        <f>L13/RTD("WDF.RTQ",,W13,"rt_latest","RT_Price")</f>
        <v>1939.86420950533</v>
      </c>
      <c r="N13" s="6"/>
      <c r="O13" s="38" t="str">
        <f t="shared" si="9"/>
        <v>161713.SZ</v>
      </c>
      <c r="P13" s="31">
        <v>0.02</v>
      </c>
      <c r="Q13" s="10">
        <v>0</v>
      </c>
      <c r="R13" s="28">
        <f t="shared" si="11"/>
        <v>0</v>
      </c>
      <c r="S13" s="9">
        <f>$P$2*P13</f>
        <v>2000</v>
      </c>
      <c r="T13" s="13">
        <f t="shared" si="12"/>
        <v>1939.86420950533</v>
      </c>
      <c r="U13" s="6"/>
      <c r="V13" s="38" t="s">
        <v>33</v>
      </c>
      <c r="W13" t="str">
        <f t="shared" si="0"/>
        <v>161713.SZ</v>
      </c>
      <c r="X13" s="14">
        <f t="shared" si="1"/>
        <v>4000</v>
      </c>
      <c r="Y13" s="45">
        <f t="shared" si="2"/>
        <v>3879.72841901067</v>
      </c>
      <c r="Z13">
        <v>395500</v>
      </c>
      <c r="AA13">
        <v>395500</v>
      </c>
      <c r="AB13" s="6"/>
      <c r="AC13">
        <f t="shared" si="13"/>
        <v>0</v>
      </c>
      <c r="AD13" s="13">
        <f t="shared" si="4"/>
        <v>407760.5</v>
      </c>
      <c r="AE13" s="1">
        <f t="shared" si="14"/>
        <v>0.0133333333333333</v>
      </c>
      <c r="AF13" s="1">
        <f t="shared" si="10"/>
        <v>0.000163173563293374</v>
      </c>
      <c r="AG13" s="6"/>
      <c r="AH13" t="str">
        <f t="shared" si="15"/>
        <v>161713.SZ</v>
      </c>
      <c r="AI13" s="61">
        <v>0</v>
      </c>
      <c r="AJ13" s="4">
        <f t="shared" si="7"/>
        <v>0</v>
      </c>
      <c r="AK13" s="4">
        <f t="shared" si="8"/>
        <v>0</v>
      </c>
    </row>
    <row r="14" spans="1:37">
      <c r="A14" s="30"/>
      <c r="B14" s="25"/>
      <c r="C14" s="26"/>
      <c r="D14" s="28"/>
      <c r="E14" s="13"/>
      <c r="F14" s="14"/>
      <c r="G14" s="6"/>
      <c r="H14" s="30" t="str">
        <f>W14</f>
        <v>161716.SZ</v>
      </c>
      <c r="I14" s="31">
        <v>0.09</v>
      </c>
      <c r="J14" s="37">
        <v>0</v>
      </c>
      <c r="K14" s="28">
        <f>J14/SUM($J$6:$J$120)</f>
        <v>0</v>
      </c>
      <c r="L14" s="13">
        <f>$I$2*I14</f>
        <v>9000</v>
      </c>
      <c r="M14" s="13">
        <f>L14/RTD("WDF.RTQ",,W14,"rt_latest","RT_Price")</f>
        <v>6807.86686838124</v>
      </c>
      <c r="N14" s="6"/>
      <c r="O14" s="38" t="str">
        <f t="shared" si="9"/>
        <v>161716.SZ</v>
      </c>
      <c r="P14" s="36">
        <v>0.09</v>
      </c>
      <c r="Q14" s="10">
        <v>0</v>
      </c>
      <c r="R14" s="28">
        <f t="shared" si="11"/>
        <v>0</v>
      </c>
      <c r="S14" s="9">
        <f>$P$2*P14</f>
        <v>9000</v>
      </c>
      <c r="T14" s="13">
        <f t="shared" si="12"/>
        <v>6807.86686838124</v>
      </c>
      <c r="U14" s="6"/>
      <c r="V14" s="38" t="s">
        <v>34</v>
      </c>
      <c r="W14" t="str">
        <f t="shared" ref="W14:W29" si="16">SUBSTITUTE(SUBSTITUTE(V14,"XSHE","SZ"),"XSHG","SH")</f>
        <v>161716.SZ</v>
      </c>
      <c r="X14" s="14">
        <f t="shared" ref="X14:X31" si="17">E14+L14+S14</f>
        <v>18000</v>
      </c>
      <c r="Y14" s="45">
        <f t="shared" ref="Y14:Y31" si="18">F14+M14+T14</f>
        <v>13615.7337367625</v>
      </c>
      <c r="Z14">
        <v>1383500</v>
      </c>
      <c r="AA14">
        <v>1383500</v>
      </c>
      <c r="AB14" s="6"/>
      <c r="AC14">
        <f t="shared" si="13"/>
        <v>0</v>
      </c>
      <c r="AD14" s="13">
        <f t="shared" ref="AD14:AD31" si="19">RTD("WDF.RTQ",,W14,"rt_latest","RT_Price")*AA14</f>
        <v>1828987</v>
      </c>
      <c r="AE14" s="1">
        <f t="shared" si="14"/>
        <v>0.06</v>
      </c>
      <c r="AF14" s="1">
        <f t="shared" si="10"/>
        <v>0.000731905925187108</v>
      </c>
      <c r="AG14" s="6"/>
      <c r="AH14" t="str">
        <f t="shared" si="15"/>
        <v>161716.SZ</v>
      </c>
      <c r="AI14" s="61">
        <v>0</v>
      </c>
      <c r="AJ14" s="4">
        <f t="shared" ref="AJ14:AJ30" si="20">AI14*Z14</f>
        <v>0</v>
      </c>
      <c r="AK14" s="4">
        <f t="shared" si="8"/>
        <v>0</v>
      </c>
    </row>
    <row r="15" spans="1:37">
      <c r="A15" s="30" t="str">
        <f>W15</f>
        <v>167501.SZ</v>
      </c>
      <c r="B15" s="25">
        <v>0.02</v>
      </c>
      <c r="C15" s="26">
        <v>0</v>
      </c>
      <c r="D15" s="28">
        <f>C15/SUM($C$6:$C$120)</f>
        <v>0</v>
      </c>
      <c r="E15" s="13">
        <f>$B$2*B15</f>
        <v>2000</v>
      </c>
      <c r="F15" s="14">
        <f>E15/RTD("WDF.RTQ",,W15,"rt_latest","RT_Price")</f>
        <v>1816.53042688465</v>
      </c>
      <c r="G15" s="6"/>
      <c r="H15" s="30" t="str">
        <f>W15</f>
        <v>167501.SZ</v>
      </c>
      <c r="I15" s="31">
        <v>0.02</v>
      </c>
      <c r="J15" s="37">
        <v>0</v>
      </c>
      <c r="K15" s="28">
        <f>J15/SUM($J$6:$J$120)</f>
        <v>0</v>
      </c>
      <c r="L15" s="13">
        <f>$I$2*I15</f>
        <v>2000</v>
      </c>
      <c r="M15" s="13">
        <f>L15/RTD("WDF.RTQ",,W15,"rt_latest","RT_Price")</f>
        <v>1816.53042688465</v>
      </c>
      <c r="N15" s="6"/>
      <c r="O15" s="38" t="str">
        <f t="shared" si="9"/>
        <v>167501.SZ</v>
      </c>
      <c r="P15" s="36">
        <v>0.02</v>
      </c>
      <c r="Q15" s="10">
        <v>0</v>
      </c>
      <c r="R15" s="28">
        <f t="shared" si="11"/>
        <v>0</v>
      </c>
      <c r="S15" s="9">
        <f>$P$2*P15</f>
        <v>2000</v>
      </c>
      <c r="T15" s="13">
        <f t="shared" si="12"/>
        <v>1816.53042688465</v>
      </c>
      <c r="U15" s="6"/>
      <c r="V15" s="38" t="s">
        <v>35</v>
      </c>
      <c r="W15" t="str">
        <f t="shared" si="16"/>
        <v>167501.SZ</v>
      </c>
      <c r="X15" s="14">
        <f t="shared" si="17"/>
        <v>6000</v>
      </c>
      <c r="Y15" s="45">
        <f t="shared" si="18"/>
        <v>5449.59128065395</v>
      </c>
      <c r="Z15">
        <v>369400</v>
      </c>
      <c r="AA15">
        <v>369400</v>
      </c>
      <c r="AB15" s="6"/>
      <c r="AC15">
        <f t="shared" si="13"/>
        <v>0</v>
      </c>
      <c r="AD15" s="13">
        <f t="shared" si="19"/>
        <v>406709.4</v>
      </c>
      <c r="AE15" s="1">
        <f t="shared" si="14"/>
        <v>0.02</v>
      </c>
      <c r="AF15" s="1">
        <f t="shared" si="10"/>
        <v>0.000162752944492932</v>
      </c>
      <c r="AG15" s="6"/>
      <c r="AH15" t="str">
        <f t="shared" si="15"/>
        <v>167501.SZ</v>
      </c>
      <c r="AI15" s="61">
        <v>0</v>
      </c>
      <c r="AJ15" s="4">
        <f t="shared" si="20"/>
        <v>0</v>
      </c>
      <c r="AK15" s="4">
        <f t="shared" si="8"/>
        <v>0</v>
      </c>
    </row>
    <row r="16" spans="1:37">
      <c r="A16" s="27"/>
      <c r="B16" s="28"/>
      <c r="C16" s="29"/>
      <c r="D16" s="28"/>
      <c r="E16" s="13"/>
      <c r="F16" s="14"/>
      <c r="G16" s="6"/>
      <c r="H16" s="27"/>
      <c r="I16" s="28"/>
      <c r="J16" s="29"/>
      <c r="K16" s="28"/>
      <c r="L16" s="13"/>
      <c r="M16" s="13"/>
      <c r="N16" s="6"/>
      <c r="O16" s="24"/>
      <c r="P16" s="28"/>
      <c r="R16" s="28"/>
      <c r="T16" s="13"/>
      <c r="U16" s="6"/>
      <c r="V16" s="24" t="s">
        <v>36</v>
      </c>
      <c r="W16" t="str">
        <f t="shared" si="16"/>
        <v>510050.SH</v>
      </c>
      <c r="X16" s="14">
        <f t="shared" si="17"/>
        <v>0</v>
      </c>
      <c r="Y16" s="45">
        <f t="shared" si="18"/>
        <v>0</v>
      </c>
      <c r="Z16">
        <v>23800</v>
      </c>
      <c r="AA16">
        <v>23800</v>
      </c>
      <c r="AB16" s="6"/>
      <c r="AC16">
        <f t="shared" si="13"/>
        <v>0</v>
      </c>
      <c r="AD16" s="13">
        <f t="shared" si="19"/>
        <v>68520.2</v>
      </c>
      <c r="AE16" s="1">
        <f t="shared" si="14"/>
        <v>0</v>
      </c>
      <c r="AF16" s="1">
        <f t="shared" si="10"/>
        <v>2.74197358291807e-5</v>
      </c>
      <c r="AG16" s="6"/>
      <c r="AH16" t="str">
        <f t="shared" si="15"/>
        <v>510050.SH</v>
      </c>
      <c r="AI16" s="61">
        <v>0</v>
      </c>
      <c r="AJ16" s="4">
        <f t="shared" si="20"/>
        <v>0</v>
      </c>
      <c r="AK16" s="4">
        <f t="shared" si="8"/>
        <v>0</v>
      </c>
    </row>
    <row r="17" spans="1:37">
      <c r="A17" s="32"/>
      <c r="B17" s="25"/>
      <c r="C17" s="26"/>
      <c r="D17" s="25"/>
      <c r="E17" s="13"/>
      <c r="F17" s="14"/>
      <c r="G17" s="6"/>
      <c r="H17" s="27"/>
      <c r="I17" s="28"/>
      <c r="J17" s="29"/>
      <c r="K17" s="28"/>
      <c r="L17" s="13"/>
      <c r="M17" s="13"/>
      <c r="N17" s="6"/>
      <c r="O17" s="24"/>
      <c r="P17" s="36"/>
      <c r="R17" s="28"/>
      <c r="T17" s="13"/>
      <c r="U17" s="6"/>
      <c r="V17" s="24" t="s">
        <v>37</v>
      </c>
      <c r="W17" t="str">
        <f t="shared" si="16"/>
        <v>510230.SH</v>
      </c>
      <c r="X17" s="14">
        <f t="shared" si="17"/>
        <v>0</v>
      </c>
      <c r="Y17" s="45">
        <f t="shared" si="18"/>
        <v>0</v>
      </c>
      <c r="Z17">
        <v>0</v>
      </c>
      <c r="AA17">
        <v>0</v>
      </c>
      <c r="AB17" s="6"/>
      <c r="AC17">
        <f t="shared" si="13"/>
        <v>0</v>
      </c>
      <c r="AD17" s="13">
        <f t="shared" si="19"/>
        <v>0</v>
      </c>
      <c r="AE17" s="1">
        <f t="shared" si="14"/>
        <v>0</v>
      </c>
      <c r="AF17" s="1">
        <f t="shared" si="10"/>
        <v>0</v>
      </c>
      <c r="AG17" s="6"/>
      <c r="AH17" t="str">
        <f t="shared" si="15"/>
        <v>510230.SH</v>
      </c>
      <c r="AI17" s="61">
        <v>0</v>
      </c>
      <c r="AJ17" s="4">
        <f t="shared" si="20"/>
        <v>0</v>
      </c>
      <c r="AK17" s="4">
        <f t="shared" si="8"/>
        <v>0</v>
      </c>
    </row>
    <row r="18" spans="1:37">
      <c r="A18" s="27" t="str">
        <f>W18</f>
        <v>510300.SH</v>
      </c>
      <c r="B18" s="28">
        <v>0.0126646143744949</v>
      </c>
      <c r="C18" s="26">
        <v>0.3</v>
      </c>
      <c r="D18" s="28">
        <f>C18/SUM($C$6:$C$120)</f>
        <v>0.0405405405405405</v>
      </c>
      <c r="E18" s="13">
        <f>$B$2*B18</f>
        <v>1266.46143744949</v>
      </c>
      <c r="F18" s="14">
        <f>E18/RTD("WDF.RTQ",,W18,"rt_latest","RT_Price")</f>
        <v>318.286362766899</v>
      </c>
      <c r="G18" s="6"/>
      <c r="H18" s="27"/>
      <c r="I18" s="28"/>
      <c r="J18" s="29"/>
      <c r="K18" s="28"/>
      <c r="L18" s="13"/>
      <c r="M18" s="13"/>
      <c r="N18" s="6"/>
      <c r="O18" s="24" t="str">
        <f>W18</f>
        <v>510300.SH</v>
      </c>
      <c r="P18" s="28">
        <v>0.0169309671577173</v>
      </c>
      <c r="Q18" s="10">
        <v>0.4</v>
      </c>
      <c r="R18" s="28">
        <f>Q18/SUM($Q$6:$Q$120)</f>
        <v>0.181818181818182</v>
      </c>
      <c r="S18" s="9">
        <f>$P$2*P18</f>
        <v>1693.09671577173</v>
      </c>
      <c r="T18" s="13">
        <f>S18/RTD("WDF.RTQ",,W18,"rt_latest","RT_Price")</f>
        <v>425.508096449291</v>
      </c>
      <c r="U18" s="6"/>
      <c r="V18" s="24" t="s">
        <v>38</v>
      </c>
      <c r="W18" t="str">
        <f t="shared" si="16"/>
        <v>510300.SH</v>
      </c>
      <c r="X18" s="14">
        <f t="shared" si="17"/>
        <v>2959.55815322122</v>
      </c>
      <c r="Y18" s="45">
        <f t="shared" si="18"/>
        <v>743.79445921619</v>
      </c>
      <c r="Z18">
        <v>76300</v>
      </c>
      <c r="AA18">
        <v>18300</v>
      </c>
      <c r="AB18" s="6"/>
      <c r="AC18">
        <f t="shared" si="13"/>
        <v>58000</v>
      </c>
      <c r="AD18" s="13">
        <f t="shared" si="19"/>
        <v>72815.7</v>
      </c>
      <c r="AE18" s="1">
        <f t="shared" si="14"/>
        <v>0.00986519384407073</v>
      </c>
      <c r="AF18" s="1">
        <f t="shared" si="10"/>
        <v>2.91386665277812e-5</v>
      </c>
      <c r="AG18" s="6"/>
      <c r="AH18" t="str">
        <f t="shared" si="15"/>
        <v>510300.SH</v>
      </c>
      <c r="AI18" s="61">
        <v>0.76</v>
      </c>
      <c r="AJ18" s="4">
        <f t="shared" si="20"/>
        <v>57988</v>
      </c>
      <c r="AK18" s="4">
        <f t="shared" si="8"/>
        <v>2249.26419644813</v>
      </c>
    </row>
    <row r="19" spans="1:37">
      <c r="A19" s="27"/>
      <c r="B19" s="28"/>
      <c r="C19" s="29"/>
      <c r="D19" s="28"/>
      <c r="E19" s="13"/>
      <c r="F19" s="14"/>
      <c r="G19" s="6"/>
      <c r="H19" s="27"/>
      <c r="I19" s="28"/>
      <c r="J19" s="29"/>
      <c r="K19" s="28"/>
      <c r="L19" s="13"/>
      <c r="M19" s="13"/>
      <c r="N19" s="6"/>
      <c r="O19" s="24"/>
      <c r="P19" s="28"/>
      <c r="R19" s="28"/>
      <c r="T19" s="13"/>
      <c r="U19" s="6"/>
      <c r="V19" s="24" t="s">
        <v>39</v>
      </c>
      <c r="W19" t="str">
        <f t="shared" si="16"/>
        <v>510500.SH</v>
      </c>
      <c r="X19" s="14">
        <f t="shared" si="17"/>
        <v>0</v>
      </c>
      <c r="Y19" s="45">
        <f t="shared" si="18"/>
        <v>0</v>
      </c>
      <c r="Z19">
        <v>17300</v>
      </c>
      <c r="AA19" s="58">
        <v>17300</v>
      </c>
      <c r="AB19" s="59"/>
      <c r="AC19" s="58">
        <f t="shared" si="13"/>
        <v>0</v>
      </c>
      <c r="AD19" s="13">
        <f t="shared" si="19"/>
        <v>104751.5</v>
      </c>
      <c r="AE19" s="1">
        <f t="shared" si="14"/>
        <v>0</v>
      </c>
      <c r="AF19" s="1">
        <f t="shared" si="10"/>
        <v>4.19184190605168e-5</v>
      </c>
      <c r="AG19" s="6"/>
      <c r="AH19" t="str">
        <f t="shared" si="15"/>
        <v>510500.SH</v>
      </c>
      <c r="AI19" s="61">
        <v>0</v>
      </c>
      <c r="AJ19" s="4">
        <f t="shared" si="20"/>
        <v>0</v>
      </c>
      <c r="AK19" s="4">
        <f t="shared" ref="AK19:AK38" si="21">AI19*X19</f>
        <v>0</v>
      </c>
    </row>
    <row r="20" spans="1:37">
      <c r="A20" s="27"/>
      <c r="B20" s="28"/>
      <c r="C20" s="29"/>
      <c r="D20" s="28"/>
      <c r="E20" s="13"/>
      <c r="F20" s="14"/>
      <c r="G20" s="6"/>
      <c r="H20" s="27"/>
      <c r="I20" s="28"/>
      <c r="J20" s="29"/>
      <c r="K20" s="28"/>
      <c r="L20" s="13"/>
      <c r="M20" s="13"/>
      <c r="N20" s="6"/>
      <c r="O20" s="24"/>
      <c r="P20" s="36"/>
      <c r="R20" s="28"/>
      <c r="T20" s="13"/>
      <c r="U20" s="6"/>
      <c r="V20" s="24" t="s">
        <v>40</v>
      </c>
      <c r="W20" t="str">
        <f t="shared" si="16"/>
        <v>510880.SH</v>
      </c>
      <c r="X20" s="14">
        <f t="shared" si="17"/>
        <v>0</v>
      </c>
      <c r="Y20" s="45">
        <f t="shared" si="18"/>
        <v>0</v>
      </c>
      <c r="Z20">
        <v>0</v>
      </c>
      <c r="AA20">
        <v>0</v>
      </c>
      <c r="AB20" s="6"/>
      <c r="AC20">
        <f t="shared" si="13"/>
        <v>0</v>
      </c>
      <c r="AD20" s="13">
        <f t="shared" si="19"/>
        <v>0</v>
      </c>
      <c r="AE20" s="1">
        <f t="shared" si="14"/>
        <v>0</v>
      </c>
      <c r="AF20" s="1">
        <f t="shared" si="10"/>
        <v>0</v>
      </c>
      <c r="AG20" s="6"/>
      <c r="AH20" t="str">
        <f t="shared" si="15"/>
        <v>510880.SH</v>
      </c>
      <c r="AI20" s="61">
        <v>0</v>
      </c>
      <c r="AJ20" s="4">
        <f t="shared" si="20"/>
        <v>0</v>
      </c>
      <c r="AK20" s="4">
        <f t="shared" si="21"/>
        <v>0</v>
      </c>
    </row>
    <row r="21" spans="1:37">
      <c r="A21" s="27"/>
      <c r="B21" s="28"/>
      <c r="C21" s="29"/>
      <c r="D21" s="28"/>
      <c r="E21" s="13"/>
      <c r="F21" s="14"/>
      <c r="G21" s="6"/>
      <c r="H21" s="27"/>
      <c r="I21" s="28"/>
      <c r="J21" s="29"/>
      <c r="K21" s="28"/>
      <c r="L21" s="13"/>
      <c r="M21" s="13"/>
      <c r="N21" s="6"/>
      <c r="O21" s="24"/>
      <c r="P21" s="36"/>
      <c r="R21" s="28"/>
      <c r="T21" s="13"/>
      <c r="U21" s="6"/>
      <c r="V21" s="24" t="s">
        <v>41</v>
      </c>
      <c r="W21" t="str">
        <f t="shared" si="16"/>
        <v>510900.SH</v>
      </c>
      <c r="X21" s="14">
        <f t="shared" si="17"/>
        <v>0</v>
      </c>
      <c r="Y21" s="45">
        <f t="shared" si="18"/>
        <v>0</v>
      </c>
      <c r="Z21">
        <v>0</v>
      </c>
      <c r="AA21">
        <v>0</v>
      </c>
      <c r="AB21" s="6"/>
      <c r="AC21">
        <f t="shared" si="13"/>
        <v>0</v>
      </c>
      <c r="AD21" s="13">
        <f t="shared" si="19"/>
        <v>0</v>
      </c>
      <c r="AE21" s="1">
        <f t="shared" si="14"/>
        <v>0</v>
      </c>
      <c r="AF21" s="1">
        <f t="shared" si="10"/>
        <v>0</v>
      </c>
      <c r="AG21" s="6"/>
      <c r="AH21" t="str">
        <f t="shared" si="15"/>
        <v>510900.SH</v>
      </c>
      <c r="AI21" s="61">
        <v>0</v>
      </c>
      <c r="AJ21" s="4">
        <f t="shared" si="20"/>
        <v>0</v>
      </c>
      <c r="AK21" s="4">
        <f t="shared" si="21"/>
        <v>0</v>
      </c>
    </row>
    <row r="22" spans="1:37">
      <c r="A22" s="30" t="str">
        <f>W22</f>
        <v>511010.SH</v>
      </c>
      <c r="B22" s="28">
        <v>0.554667958648086</v>
      </c>
      <c r="C22" s="29">
        <v>1</v>
      </c>
      <c r="D22" s="28">
        <f>C22/SUM($C$6:$C$120)</f>
        <v>0.135135135135135</v>
      </c>
      <c r="E22" s="13">
        <f>$B$2*B22</f>
        <v>55466.7958648086</v>
      </c>
      <c r="F22" s="14">
        <f>E22/RTD("WDF.RTQ",,W22,"rt_latest","RT_Price")</f>
        <v>450.44418347552</v>
      </c>
      <c r="G22" s="6"/>
      <c r="H22" s="30" t="str">
        <f>W22</f>
        <v>511010.SH</v>
      </c>
      <c r="I22" s="28">
        <v>0.545071351891902</v>
      </c>
      <c r="J22" s="29">
        <v>1</v>
      </c>
      <c r="K22" s="28">
        <f>J22/SUM($J$6:$J$120)</f>
        <v>0.153846153846154</v>
      </c>
      <c r="L22" s="13">
        <f>$I$2*I22</f>
        <v>54507.1351891902</v>
      </c>
      <c r="M22" s="13">
        <f>L22/RTD("WDF.RTQ",,W22,"rt_latest","RT_Price")</f>
        <v>442.650807948726</v>
      </c>
      <c r="N22" s="6"/>
      <c r="O22" s="38"/>
      <c r="P22" s="28"/>
      <c r="Q22" s="10"/>
      <c r="R22" s="28"/>
      <c r="S22" s="9"/>
      <c r="T22" s="13"/>
      <c r="U22" s="6"/>
      <c r="V22" s="38" t="s">
        <v>42</v>
      </c>
      <c r="W22" t="str">
        <f t="shared" si="16"/>
        <v>511010.SH</v>
      </c>
      <c r="X22" s="14">
        <f t="shared" si="17"/>
        <v>109973.931053999</v>
      </c>
      <c r="Y22" s="45">
        <f t="shared" si="18"/>
        <v>893.094991424246</v>
      </c>
      <c r="Z22">
        <v>89400</v>
      </c>
      <c r="AA22">
        <v>89400</v>
      </c>
      <c r="AB22" s="6"/>
      <c r="AC22">
        <f t="shared" si="13"/>
        <v>0</v>
      </c>
      <c r="AD22" s="13">
        <f t="shared" si="19"/>
        <v>11008537.2</v>
      </c>
      <c r="AE22" s="1">
        <f t="shared" si="14"/>
        <v>0.366579770179996</v>
      </c>
      <c r="AF22" s="1">
        <f t="shared" si="10"/>
        <v>0.00440528751944256</v>
      </c>
      <c r="AG22" s="6"/>
      <c r="AH22" t="str">
        <f t="shared" si="15"/>
        <v>511010.SH</v>
      </c>
      <c r="AI22" s="61">
        <v>0</v>
      </c>
      <c r="AJ22" s="4">
        <f t="shared" si="20"/>
        <v>0</v>
      </c>
      <c r="AK22" s="4">
        <f t="shared" si="21"/>
        <v>0</v>
      </c>
    </row>
    <row r="23" spans="1:37">
      <c r="A23" s="30" t="str">
        <f>W23</f>
        <v>511260.SH</v>
      </c>
      <c r="B23" s="28">
        <v>0.03</v>
      </c>
      <c r="C23" s="29">
        <v>0</v>
      </c>
      <c r="D23" s="28">
        <f>C23/SUM($C$6:$C$120)</f>
        <v>0</v>
      </c>
      <c r="E23" s="13">
        <f>$B$2*B23</f>
        <v>3000</v>
      </c>
      <c r="F23" s="14">
        <f>E23/RTD("WDF.RTQ",,W23,"rt_latest","RT_Price")</f>
        <v>26.7706557918314</v>
      </c>
      <c r="G23" s="6"/>
      <c r="H23" s="30" t="str">
        <f>W23</f>
        <v>511260.SH</v>
      </c>
      <c r="I23" s="28">
        <v>0.03</v>
      </c>
      <c r="J23" s="29">
        <v>0</v>
      </c>
      <c r="K23" s="28">
        <f>J23/SUM($J$6:$J$120)</f>
        <v>0</v>
      </c>
      <c r="L23" s="13">
        <f>$I$2*I23</f>
        <v>3000</v>
      </c>
      <c r="M23" s="13">
        <f>L23/RTD("WDF.RTQ",,W23,"rt_latest","RT_Price")</f>
        <v>26.7706557918314</v>
      </c>
      <c r="N23" s="6"/>
      <c r="O23" s="38"/>
      <c r="P23" s="28"/>
      <c r="Q23" s="10"/>
      <c r="R23" s="28"/>
      <c r="S23" s="9"/>
      <c r="T23" s="13"/>
      <c r="U23" s="6"/>
      <c r="V23" s="38" t="s">
        <v>43</v>
      </c>
      <c r="W23" t="str">
        <f t="shared" si="16"/>
        <v>511260.SH</v>
      </c>
      <c r="X23" s="14">
        <f t="shared" si="17"/>
        <v>6000</v>
      </c>
      <c r="Y23" s="45">
        <f t="shared" si="18"/>
        <v>53.5413115836628</v>
      </c>
      <c r="Z23">
        <v>5400</v>
      </c>
      <c r="AA23">
        <v>5400</v>
      </c>
      <c r="AB23" s="6"/>
      <c r="AC23">
        <f t="shared" si="13"/>
        <v>0</v>
      </c>
      <c r="AD23" s="13">
        <f t="shared" si="19"/>
        <v>605140.2</v>
      </c>
      <c r="AE23" s="1">
        <f t="shared" si="14"/>
        <v>0.02</v>
      </c>
      <c r="AF23" s="1">
        <f t="shared" si="10"/>
        <v>0.000242159019144976</v>
      </c>
      <c r="AG23" s="6"/>
      <c r="AH23" t="str">
        <f t="shared" si="15"/>
        <v>511260.SH</v>
      </c>
      <c r="AI23" s="61">
        <v>0</v>
      </c>
      <c r="AJ23" s="4">
        <f t="shared" si="20"/>
        <v>0</v>
      </c>
      <c r="AK23" s="4">
        <f t="shared" si="21"/>
        <v>0</v>
      </c>
    </row>
    <row r="24" spans="1:37">
      <c r="A24" s="27" t="s">
        <v>44</v>
      </c>
      <c r="B24" s="28">
        <v>0.0273120896180378</v>
      </c>
      <c r="C24" s="29">
        <v>0.7</v>
      </c>
      <c r="D24" s="28">
        <f>C24/SUM($C$6:$C$120)</f>
        <v>0.0945945945945946</v>
      </c>
      <c r="E24" s="13">
        <f>$B$2*B24</f>
        <v>2731.20896180378</v>
      </c>
      <c r="F24" s="14">
        <f>E24/RTD("WDF.RTQ",,W24,"rt_latest","RT_Price")</f>
        <v>1314.97783428203</v>
      </c>
      <c r="G24" s="6"/>
      <c r="H24" s="27"/>
      <c r="I24" s="28"/>
      <c r="J24" s="29"/>
      <c r="K24" s="28"/>
      <c r="L24" s="13"/>
      <c r="M24" s="13"/>
      <c r="N24" s="6"/>
      <c r="O24" s="24"/>
      <c r="P24" s="28"/>
      <c r="R24" s="28"/>
      <c r="T24" s="13"/>
      <c r="U24" s="6"/>
      <c r="V24" s="24" t="s">
        <v>45</v>
      </c>
      <c r="W24" t="str">
        <f t="shared" si="16"/>
        <v>512070.SH</v>
      </c>
      <c r="X24" s="14">
        <f t="shared" si="17"/>
        <v>2731.20896180378</v>
      </c>
      <c r="Y24" s="45">
        <f t="shared" si="18"/>
        <v>1314.97783428203</v>
      </c>
      <c r="Z24">
        <v>94400</v>
      </c>
      <c r="AA24">
        <v>94400</v>
      </c>
      <c r="AB24" s="6"/>
      <c r="AC24">
        <f t="shared" si="13"/>
        <v>0</v>
      </c>
      <c r="AD24" s="13">
        <f t="shared" si="19"/>
        <v>196068.8</v>
      </c>
      <c r="AE24" s="1">
        <f t="shared" si="14"/>
        <v>0.00910402987267927</v>
      </c>
      <c r="AF24" s="1">
        <f t="shared" si="10"/>
        <v>7.84608728571204e-5</v>
      </c>
      <c r="AG24" s="6"/>
      <c r="AH24" t="str">
        <f t="shared" si="15"/>
        <v>512070.SH</v>
      </c>
      <c r="AI24" s="61">
        <v>0</v>
      </c>
      <c r="AJ24" s="4">
        <f t="shared" si="20"/>
        <v>0</v>
      </c>
      <c r="AK24" s="4">
        <f t="shared" si="21"/>
        <v>0</v>
      </c>
    </row>
    <row r="25" spans="1:37">
      <c r="A25" s="27"/>
      <c r="B25" s="28"/>
      <c r="C25" s="29"/>
      <c r="D25" s="28"/>
      <c r="E25" s="13"/>
      <c r="F25" s="14"/>
      <c r="G25" s="6"/>
      <c r="H25" s="27"/>
      <c r="I25" s="28"/>
      <c r="J25" s="29"/>
      <c r="K25" s="28"/>
      <c r="L25" s="13"/>
      <c r="M25" s="13"/>
      <c r="N25" s="6"/>
      <c r="O25" s="24"/>
      <c r="P25" s="28"/>
      <c r="R25" s="28"/>
      <c r="T25" s="13"/>
      <c r="U25" s="6"/>
      <c r="V25" s="24" t="s">
        <v>46</v>
      </c>
      <c r="W25" t="str">
        <f t="shared" si="16"/>
        <v>512170.SH</v>
      </c>
      <c r="X25" s="14">
        <f t="shared" si="17"/>
        <v>0</v>
      </c>
      <c r="Y25" s="45">
        <f t="shared" si="18"/>
        <v>0</v>
      </c>
      <c r="Z25">
        <v>0</v>
      </c>
      <c r="AA25">
        <v>0</v>
      </c>
      <c r="AB25" s="6"/>
      <c r="AC25" s="58">
        <f t="shared" si="13"/>
        <v>0</v>
      </c>
      <c r="AD25" s="13">
        <f t="shared" si="19"/>
        <v>0</v>
      </c>
      <c r="AE25" s="1">
        <f t="shared" si="14"/>
        <v>0</v>
      </c>
      <c r="AF25" s="1">
        <f t="shared" si="10"/>
        <v>0</v>
      </c>
      <c r="AG25" s="6"/>
      <c r="AH25" t="str">
        <f t="shared" ref="AH25:AH30" si="22">W25</f>
        <v>512170.SH</v>
      </c>
      <c r="AI25" s="61">
        <v>0</v>
      </c>
      <c r="AJ25" s="4">
        <f t="shared" si="20"/>
        <v>0</v>
      </c>
      <c r="AK25" s="4">
        <f t="shared" si="21"/>
        <v>0</v>
      </c>
    </row>
    <row r="26" spans="1:37">
      <c r="A26" s="27" t="str">
        <f>W26</f>
        <v>512660.SH</v>
      </c>
      <c r="B26" s="31">
        <v>0.0191751666805135</v>
      </c>
      <c r="C26" s="29">
        <v>0.6</v>
      </c>
      <c r="D26" s="28">
        <f>C26/SUM($C$6:$C$120)</f>
        <v>0.0810810810810811</v>
      </c>
      <c r="E26" s="13">
        <f>$B$2*B26</f>
        <v>1917.51666805135</v>
      </c>
      <c r="F26" s="14">
        <f>E26/RTD("WDF.RTQ",,W26,"rt_latest","RT_Price")</f>
        <v>2310.261045845</v>
      </c>
      <c r="G26" s="6"/>
      <c r="H26" s="27"/>
      <c r="I26" s="31"/>
      <c r="J26" s="37"/>
      <c r="K26" s="31"/>
      <c r="L26" s="13"/>
      <c r="M26" s="13"/>
      <c r="N26" s="6"/>
      <c r="O26" s="24"/>
      <c r="P26" s="36"/>
      <c r="R26" s="28"/>
      <c r="T26" s="13"/>
      <c r="U26" s="6"/>
      <c r="V26" s="27" t="s">
        <v>47</v>
      </c>
      <c r="W26" t="str">
        <f t="shared" si="16"/>
        <v>512660.SH</v>
      </c>
      <c r="X26" s="14">
        <f t="shared" si="17"/>
        <v>1917.51666805135</v>
      </c>
      <c r="Y26" s="45">
        <f t="shared" si="18"/>
        <v>2310.261045845</v>
      </c>
      <c r="Z26">
        <v>161400</v>
      </c>
      <c r="AA26">
        <v>161400</v>
      </c>
      <c r="AB26" s="6"/>
      <c r="AC26" s="58">
        <f t="shared" si="13"/>
        <v>0</v>
      </c>
      <c r="AD26" s="13">
        <f t="shared" si="19"/>
        <v>133962</v>
      </c>
      <c r="AE26" s="1">
        <f t="shared" si="14"/>
        <v>0.00639172222683783</v>
      </c>
      <c r="AF26" s="1">
        <f t="shared" si="10"/>
        <v>5.36075879981188e-5</v>
      </c>
      <c r="AG26" s="6"/>
      <c r="AH26" t="str">
        <f t="shared" si="22"/>
        <v>512660.SH</v>
      </c>
      <c r="AI26" s="61">
        <v>0</v>
      </c>
      <c r="AJ26" s="4">
        <f t="shared" si="20"/>
        <v>0</v>
      </c>
      <c r="AK26" s="4">
        <f t="shared" si="21"/>
        <v>0</v>
      </c>
    </row>
    <row r="27" spans="1:37">
      <c r="A27" s="27" t="str">
        <f>W27</f>
        <v>512720.SH</v>
      </c>
      <c r="B27" s="28">
        <v>0.0224402025124036</v>
      </c>
      <c r="C27" s="29">
        <v>0.9</v>
      </c>
      <c r="D27" s="28">
        <f>C27/SUM($C$6:$C$120)</f>
        <v>0.121621621621622</v>
      </c>
      <c r="E27" s="13">
        <f>$B$2*B27</f>
        <v>2244.02025124036</v>
      </c>
      <c r="F27" s="14">
        <f>E27/RTD("WDF.RTQ",,W27,"rt_latest","RT_Price")</f>
        <v>1719.5557480769</v>
      </c>
      <c r="G27" s="6"/>
      <c r="H27" s="27"/>
      <c r="I27" s="31"/>
      <c r="J27" s="37"/>
      <c r="K27" s="31"/>
      <c r="L27" s="13"/>
      <c r="M27" s="13"/>
      <c r="N27" s="6"/>
      <c r="O27" s="24"/>
      <c r="P27" s="28"/>
      <c r="Q27" s="10"/>
      <c r="R27" s="28"/>
      <c r="S27" s="9"/>
      <c r="T27" s="13"/>
      <c r="U27" s="6"/>
      <c r="V27" s="27" t="s">
        <v>48</v>
      </c>
      <c r="W27" t="str">
        <f t="shared" si="16"/>
        <v>512720.SH</v>
      </c>
      <c r="X27" s="14">
        <f t="shared" si="17"/>
        <v>2244.02025124036</v>
      </c>
      <c r="Y27" s="45">
        <f t="shared" si="18"/>
        <v>1719.5557480769</v>
      </c>
      <c r="Z27">
        <v>211200</v>
      </c>
      <c r="AA27">
        <v>211200</v>
      </c>
      <c r="AB27" s="6"/>
      <c r="AC27" s="58">
        <f t="shared" si="13"/>
        <v>0</v>
      </c>
      <c r="AD27" s="13">
        <f t="shared" si="19"/>
        <v>275616</v>
      </c>
      <c r="AE27" s="1">
        <f t="shared" si="14"/>
        <v>0.00748006750413453</v>
      </c>
      <c r="AF27" s="1">
        <f t="shared" si="10"/>
        <v>0.000110293284466412</v>
      </c>
      <c r="AG27" s="6"/>
      <c r="AH27" t="str">
        <f t="shared" si="22"/>
        <v>512720.SH</v>
      </c>
      <c r="AI27" s="61">
        <v>0</v>
      </c>
      <c r="AJ27" s="4">
        <f t="shared" si="20"/>
        <v>0</v>
      </c>
      <c r="AK27" s="4">
        <f t="shared" si="21"/>
        <v>0</v>
      </c>
    </row>
    <row r="28" spans="1:37">
      <c r="A28" s="27" t="s">
        <v>49</v>
      </c>
      <c r="B28" s="28">
        <v>0.0154428948354787</v>
      </c>
      <c r="C28" s="29">
        <v>0.7</v>
      </c>
      <c r="D28" s="28">
        <f>C28/SUM($C$6:$C$120)</f>
        <v>0.0945945945945946</v>
      </c>
      <c r="E28" s="13">
        <f>$B$2*B28</f>
        <v>1544.28948354787</v>
      </c>
      <c r="F28" s="14">
        <f>E28/RTD("WDF.RTQ",,W28,"rt_latest","RT_Price")</f>
        <v>737.131018399938</v>
      </c>
      <c r="G28" s="6"/>
      <c r="H28" s="27" t="str">
        <f>W28</f>
        <v>512760.SH</v>
      </c>
      <c r="I28" s="28">
        <v>0.0205022628450204</v>
      </c>
      <c r="J28" s="29">
        <v>0.9</v>
      </c>
      <c r="K28" s="28">
        <f>J28/SUM($J$6:$J$120)</f>
        <v>0.138461538461538</v>
      </c>
      <c r="L28" s="13">
        <f>$I$2*I28</f>
        <v>2050.22628450204</v>
      </c>
      <c r="M28" s="13">
        <f>L28/RTD("WDF.RTQ",,W28,"rt_latest","RT_Price")</f>
        <v>978.628298091666</v>
      </c>
      <c r="N28" s="6"/>
      <c r="O28" s="24"/>
      <c r="P28" s="36"/>
      <c r="R28" s="28"/>
      <c r="T28" s="13"/>
      <c r="U28" s="6"/>
      <c r="V28" s="27" t="s">
        <v>50</v>
      </c>
      <c r="W28" t="str">
        <f t="shared" si="16"/>
        <v>512760.SH</v>
      </c>
      <c r="X28" s="14">
        <f t="shared" si="17"/>
        <v>3594.51576804991</v>
      </c>
      <c r="Y28" s="45">
        <f t="shared" si="18"/>
        <v>1715.7593164916</v>
      </c>
      <c r="Z28">
        <v>120500</v>
      </c>
      <c r="AA28">
        <v>120500</v>
      </c>
      <c r="AB28" s="6"/>
      <c r="AC28" s="58">
        <f t="shared" si="13"/>
        <v>0</v>
      </c>
      <c r="AD28" s="13">
        <f t="shared" si="19"/>
        <v>252447.5</v>
      </c>
      <c r="AE28" s="1">
        <f t="shared" si="14"/>
        <v>0.011981719226833</v>
      </c>
      <c r="AF28" s="1">
        <f t="shared" si="10"/>
        <v>0.000101021943320905</v>
      </c>
      <c r="AG28" s="6"/>
      <c r="AH28" t="str">
        <f t="shared" si="22"/>
        <v>512760.SH</v>
      </c>
      <c r="AI28" s="61">
        <v>0</v>
      </c>
      <c r="AJ28" s="4">
        <f t="shared" si="20"/>
        <v>0</v>
      </c>
      <c r="AK28" s="4">
        <f t="shared" si="21"/>
        <v>0</v>
      </c>
    </row>
    <row r="29" spans="1:37">
      <c r="A29" s="27"/>
      <c r="B29" s="28"/>
      <c r="C29" s="29"/>
      <c r="D29" s="28"/>
      <c r="E29" s="13"/>
      <c r="F29" s="14"/>
      <c r="G29" s="6"/>
      <c r="H29" s="27" t="str">
        <f>W29</f>
        <v>512930.SH</v>
      </c>
      <c r="I29" s="28">
        <v>0.0157165883159829</v>
      </c>
      <c r="J29" s="29">
        <v>0.6</v>
      </c>
      <c r="K29" s="28">
        <f>J29/SUM($J$6:$J$120)</f>
        <v>0.0923076923076923</v>
      </c>
      <c r="L29" s="13">
        <f>$I$2*I29</f>
        <v>1571.65883159829</v>
      </c>
      <c r="M29" s="13">
        <f>L29/RTD("WDF.RTQ",,W29,"rt_latest","RT_Price")</f>
        <v>1139.70908745344</v>
      </c>
      <c r="N29" s="6"/>
      <c r="O29" s="24"/>
      <c r="P29" s="28"/>
      <c r="Q29" s="10"/>
      <c r="R29" s="28"/>
      <c r="S29" s="9"/>
      <c r="T29" s="13"/>
      <c r="U29" s="6"/>
      <c r="V29" s="27" t="s">
        <v>51</v>
      </c>
      <c r="W29" t="str">
        <f t="shared" si="16"/>
        <v>512930.SH</v>
      </c>
      <c r="X29" s="14">
        <f t="shared" si="17"/>
        <v>1571.65883159829</v>
      </c>
      <c r="Y29" s="45">
        <f t="shared" si="18"/>
        <v>1139.70908745344</v>
      </c>
      <c r="Z29">
        <v>110300</v>
      </c>
      <c r="AA29">
        <v>110300</v>
      </c>
      <c r="AB29" s="6"/>
      <c r="AC29" s="58">
        <f t="shared" si="13"/>
        <v>0</v>
      </c>
      <c r="AD29" s="13">
        <f t="shared" si="19"/>
        <v>152103.7</v>
      </c>
      <c r="AE29" s="1">
        <f t="shared" si="14"/>
        <v>0.0052388627719943</v>
      </c>
      <c r="AF29" s="1">
        <f t="shared" si="10"/>
        <v>6.08673540450984e-5</v>
      </c>
      <c r="AG29" s="6"/>
      <c r="AH29" t="str">
        <f t="shared" si="22"/>
        <v>512930.SH</v>
      </c>
      <c r="AI29" s="61">
        <v>0</v>
      </c>
      <c r="AJ29" s="4">
        <f t="shared" si="20"/>
        <v>0</v>
      </c>
      <c r="AK29" s="4">
        <f t="shared" si="21"/>
        <v>0</v>
      </c>
    </row>
    <row r="30" spans="1:37">
      <c r="A30" s="27"/>
      <c r="B30" s="28"/>
      <c r="C30" s="29"/>
      <c r="D30" s="28"/>
      <c r="E30" s="13"/>
      <c r="F30" s="14"/>
      <c r="G30" s="6"/>
      <c r="H30" s="27"/>
      <c r="I30" s="28"/>
      <c r="J30" s="29"/>
      <c r="K30" s="28"/>
      <c r="L30" s="13"/>
      <c r="M30" s="13"/>
      <c r="N30" s="6"/>
      <c r="O30" s="24"/>
      <c r="P30" s="28"/>
      <c r="Q30" s="10"/>
      <c r="R30" s="28"/>
      <c r="S30" s="9"/>
      <c r="T30" s="13"/>
      <c r="U30" s="6"/>
      <c r="V30" s="27" t="s">
        <v>52</v>
      </c>
      <c r="W30" t="s">
        <v>53</v>
      </c>
      <c r="X30" s="14">
        <f t="shared" si="17"/>
        <v>0</v>
      </c>
      <c r="Y30" s="45">
        <f t="shared" si="18"/>
        <v>0</v>
      </c>
      <c r="Z30">
        <v>169800</v>
      </c>
      <c r="AA30">
        <v>169800</v>
      </c>
      <c r="AB30" s="6"/>
      <c r="AC30" s="58">
        <f t="shared" si="13"/>
        <v>0</v>
      </c>
      <c r="AD30" s="13">
        <f t="shared" si="19"/>
        <v>147216.6</v>
      </c>
      <c r="AE30" s="1">
        <f t="shared" si="14"/>
        <v>0</v>
      </c>
      <c r="AF30" s="1">
        <f t="shared" si="10"/>
        <v>5.89116827106483e-5</v>
      </c>
      <c r="AG30" s="6"/>
      <c r="AH30" t="str">
        <f t="shared" si="22"/>
        <v>512980.SH</v>
      </c>
      <c r="AI30" s="61">
        <v>0</v>
      </c>
      <c r="AJ30" s="4">
        <f t="shared" si="20"/>
        <v>0</v>
      </c>
      <c r="AK30" s="4">
        <f t="shared" si="21"/>
        <v>0</v>
      </c>
    </row>
    <row r="31" spans="1:37">
      <c r="A31" s="33" t="str">
        <f>W31</f>
        <v>513050.SH</v>
      </c>
      <c r="B31" s="28">
        <v>0.0165217101404835</v>
      </c>
      <c r="C31" s="29">
        <v>0.4</v>
      </c>
      <c r="D31" s="28">
        <f>C31/SUM($C$6:$C$120)</f>
        <v>0.0540540540540541</v>
      </c>
      <c r="E31" s="13">
        <f>$B$2*B31</f>
        <v>1652.17101404835</v>
      </c>
      <c r="F31" s="14">
        <f>E31/RTD("WDF.RTQ",,W31,"rt_latest","RT_Price")</f>
        <v>1035.19487095761</v>
      </c>
      <c r="G31" s="6"/>
      <c r="H31" s="33" t="str">
        <f>W31</f>
        <v>513050.SH</v>
      </c>
      <c r="I31" s="28">
        <v>0.0166585016829374</v>
      </c>
      <c r="J31" s="29">
        <v>0.4</v>
      </c>
      <c r="K31" s="28">
        <f>J31/SUM($J$6:$J$120)</f>
        <v>0.0615384615384615</v>
      </c>
      <c r="L31" s="13">
        <f>$I$2*I31</f>
        <v>1665.85016829374</v>
      </c>
      <c r="M31" s="13">
        <f>L31/RTD("WDF.RTQ",,W31,"rt_latest","RT_Price")</f>
        <v>1043.76576960761</v>
      </c>
      <c r="N31" s="6"/>
      <c r="O31" s="39"/>
      <c r="P31" s="28"/>
      <c r="Q31" s="29"/>
      <c r="R31" s="28"/>
      <c r="S31" s="9"/>
      <c r="T31" s="13"/>
      <c r="U31" s="6"/>
      <c r="V31" s="33" t="s">
        <v>54</v>
      </c>
      <c r="W31" t="str">
        <f>SUBSTITUTE(SUBSTITUTE(V31,"XSHE","SZ"),"XSHG","SH")</f>
        <v>513050.SH</v>
      </c>
      <c r="X31" s="14">
        <f t="shared" si="17"/>
        <v>3318.02118234209</v>
      </c>
      <c r="Y31" s="45">
        <f t="shared" si="18"/>
        <v>2078.96064056522</v>
      </c>
      <c r="Z31">
        <v>223000</v>
      </c>
      <c r="AA31">
        <v>223000</v>
      </c>
      <c r="AB31" s="6"/>
      <c r="AC31" s="58">
        <f t="shared" ref="AC31:AC38" si="23">Z31-AA31</f>
        <v>0</v>
      </c>
      <c r="AD31" s="13">
        <f t="shared" si="19"/>
        <v>355908</v>
      </c>
      <c r="AE31" s="1">
        <f t="shared" ref="AE31:AE38" si="24">(B31+I31+P31)/3</f>
        <v>0.011060070607807</v>
      </c>
      <c r="AF31" s="1">
        <f t="shared" si="10"/>
        <v>0.000142423742772088</v>
      </c>
      <c r="AG31" s="6"/>
      <c r="AH31" t="str">
        <f t="shared" ref="AH31:AH38" si="25">W31</f>
        <v>513050.SH</v>
      </c>
      <c r="AI31" s="61">
        <v>0</v>
      </c>
      <c r="AJ31" s="4">
        <f t="shared" ref="AJ31:AJ38" si="26">AI31*Z31</f>
        <v>0</v>
      </c>
      <c r="AK31" s="4">
        <f t="shared" si="21"/>
        <v>0</v>
      </c>
    </row>
    <row r="32" spans="1:37">
      <c r="A32" s="33" t="str">
        <f>W32</f>
        <v>513100.SH</v>
      </c>
      <c r="B32" s="28">
        <v>0.016421989314701</v>
      </c>
      <c r="C32" s="29">
        <v>0.6</v>
      </c>
      <c r="D32" s="28">
        <f>C32/SUM($C$6:$C$120)</f>
        <v>0.0810810810810811</v>
      </c>
      <c r="E32" s="13">
        <f>$B$2*B32</f>
        <v>1642.1989314701</v>
      </c>
      <c r="F32" s="14">
        <f>E32/RTD("WDF.RTQ",,W32,"rt_latest","RT_Price")</f>
        <v>439.325556840583</v>
      </c>
      <c r="G32" s="6"/>
      <c r="H32" s="33" t="str">
        <f>W32</f>
        <v>513100.SH</v>
      </c>
      <c r="I32" s="28">
        <v>0.0168098463603383</v>
      </c>
      <c r="J32" s="29">
        <v>0.6</v>
      </c>
      <c r="K32" s="28">
        <f>J32/SUM($J$6:$J$120)</f>
        <v>0.0923076923076923</v>
      </c>
      <c r="L32" s="13">
        <f>$I$2*I32</f>
        <v>1680.98463603383</v>
      </c>
      <c r="M32" s="13">
        <f>L32/RTD("WDF.RTQ",,W32,"rt_latest","RT_Price")</f>
        <v>449.701614776306</v>
      </c>
      <c r="N32" s="6"/>
      <c r="O32" s="39"/>
      <c r="P32" s="28"/>
      <c r="Q32" s="29"/>
      <c r="R32" s="28"/>
      <c r="S32" s="9"/>
      <c r="T32" s="13"/>
      <c r="U32" s="6"/>
      <c r="V32" s="39" t="s">
        <v>55</v>
      </c>
      <c r="W32" t="str">
        <f t="shared" ref="W32:W38" si="27">SUBSTITUTE(SUBSTITUTE(V32,"XSHE","SZ"),"XSHG","SH")</f>
        <v>513100.SH</v>
      </c>
      <c r="X32" s="14">
        <f t="shared" ref="X32:X38" si="28">E32+L32+S32</f>
        <v>3323.18356750393</v>
      </c>
      <c r="Y32" s="45">
        <f t="shared" ref="Y32:Y38" si="29">F32+M32+T32</f>
        <v>889.027171616889</v>
      </c>
      <c r="Z32">
        <v>95200</v>
      </c>
      <c r="AA32">
        <v>95200</v>
      </c>
      <c r="AB32" s="6"/>
      <c r="AC32" s="58">
        <f t="shared" si="23"/>
        <v>0</v>
      </c>
      <c r="AD32" s="13">
        <f t="shared" ref="AD32:AD38" si="30">RTD("WDF.RTQ",,W32,"rt_latest","RT_Price")*AA32</f>
        <v>355857.6</v>
      </c>
      <c r="AE32" s="1">
        <f t="shared" si="24"/>
        <v>0.0110772785583464</v>
      </c>
      <c r="AF32" s="1">
        <f t="shared" si="10"/>
        <v>0.000142403574198649</v>
      </c>
      <c r="AG32" s="6"/>
      <c r="AH32" t="str">
        <f t="shared" si="25"/>
        <v>513100.SH</v>
      </c>
      <c r="AI32" s="61">
        <v>0</v>
      </c>
      <c r="AJ32" s="4">
        <f t="shared" si="26"/>
        <v>0</v>
      </c>
      <c r="AK32" s="4">
        <f t="shared" si="21"/>
        <v>0</v>
      </c>
    </row>
    <row r="33" spans="1:37">
      <c r="A33" s="33" t="str">
        <f t="shared" ref="A33:A38" si="31">W33</f>
        <v>513500.SH</v>
      </c>
      <c r="B33" s="28">
        <v>0.0180459119354874</v>
      </c>
      <c r="C33" s="29">
        <v>0.6</v>
      </c>
      <c r="D33" s="28">
        <f>C33/SUM($C$6:$C$120)</f>
        <v>0.0810810810810811</v>
      </c>
      <c r="E33" s="13">
        <f>$B$2*B33</f>
        <v>1804.59119354874</v>
      </c>
      <c r="F33" s="14">
        <f>E33/RTD("WDF.RTQ",,W33,"rt_latest","RT_Price")</f>
        <v>886.341450662446</v>
      </c>
      <c r="G33" s="6"/>
      <c r="H33" s="33" t="str">
        <f>W33</f>
        <v>513500.SH</v>
      </c>
      <c r="I33" s="28">
        <v>0.0184677123504185</v>
      </c>
      <c r="J33" s="29">
        <v>0.6</v>
      </c>
      <c r="K33" s="28">
        <f>J33/SUM($J$6:$J$120)</f>
        <v>0.0923076923076923</v>
      </c>
      <c r="L33" s="13">
        <f>$I$2*I33</f>
        <v>1846.77123504185</v>
      </c>
      <c r="M33" s="13">
        <f>L33/RTD("WDF.RTQ",,W33,"rt_latest","RT_Price")</f>
        <v>907.058563380084</v>
      </c>
      <c r="N33" s="6"/>
      <c r="O33" s="39"/>
      <c r="P33" s="28"/>
      <c r="Q33" s="29"/>
      <c r="R33" s="28"/>
      <c r="S33" s="9"/>
      <c r="T33" s="13"/>
      <c r="U33" s="6"/>
      <c r="V33" s="39" t="s">
        <v>56</v>
      </c>
      <c r="W33" t="str">
        <f t="shared" si="27"/>
        <v>513500.SH</v>
      </c>
      <c r="X33" s="14">
        <f t="shared" si="28"/>
        <v>3651.36242859059</v>
      </c>
      <c r="Y33" s="45">
        <f t="shared" si="29"/>
        <v>1793.40001404253</v>
      </c>
      <c r="Z33">
        <v>190000</v>
      </c>
      <c r="AA33">
        <v>190000</v>
      </c>
      <c r="AB33" s="6"/>
      <c r="AC33" s="58">
        <f t="shared" si="23"/>
        <v>0</v>
      </c>
      <c r="AD33" s="13">
        <f t="shared" si="30"/>
        <v>386840</v>
      </c>
      <c r="AE33" s="1">
        <f t="shared" si="24"/>
        <v>0.012171208095302</v>
      </c>
      <c r="AF33" s="1">
        <f t="shared" si="10"/>
        <v>0.000154801804550487</v>
      </c>
      <c r="AG33" s="6"/>
      <c r="AH33" t="str">
        <f t="shared" si="25"/>
        <v>513500.SH</v>
      </c>
      <c r="AI33" s="61">
        <v>0</v>
      </c>
      <c r="AJ33" s="4">
        <f t="shared" si="26"/>
        <v>0</v>
      </c>
      <c r="AK33" s="4">
        <f t="shared" si="21"/>
        <v>0</v>
      </c>
    </row>
    <row r="34" spans="1:37">
      <c r="A34" s="27" t="str">
        <f t="shared" si="31"/>
        <v>515000.SH</v>
      </c>
      <c r="B34" s="28">
        <v>0.0205865460720338</v>
      </c>
      <c r="C34" s="29">
        <v>0.8</v>
      </c>
      <c r="D34" s="28">
        <f>C34/SUM($C$6:$C$120)</f>
        <v>0.108108108108108</v>
      </c>
      <c r="E34" s="13">
        <f>$B$2*B34</f>
        <v>2058.65460720338</v>
      </c>
      <c r="F34" s="14">
        <f>E34/RTD("WDF.RTQ",,W34,"rt_latest","RT_Price")</f>
        <v>1407.14600629076</v>
      </c>
      <c r="G34" s="6"/>
      <c r="H34" s="27"/>
      <c r="I34" s="28"/>
      <c r="J34" s="29"/>
      <c r="K34" s="28"/>
      <c r="L34" s="13"/>
      <c r="M34" s="13"/>
      <c r="N34" s="6"/>
      <c r="O34" s="24"/>
      <c r="P34" s="36"/>
      <c r="R34" s="28"/>
      <c r="T34" s="13"/>
      <c r="U34" s="6"/>
      <c r="V34" s="24" t="s">
        <v>57</v>
      </c>
      <c r="W34" t="str">
        <f t="shared" si="27"/>
        <v>515000.SH</v>
      </c>
      <c r="X34" s="14">
        <f t="shared" si="28"/>
        <v>2058.65460720338</v>
      </c>
      <c r="Y34" s="45">
        <f t="shared" si="29"/>
        <v>1407.14600629076</v>
      </c>
      <c r="Z34">
        <v>100600</v>
      </c>
      <c r="AA34">
        <v>100600</v>
      </c>
      <c r="AB34" s="6"/>
      <c r="AC34" s="58">
        <f t="shared" si="23"/>
        <v>0</v>
      </c>
      <c r="AD34" s="13">
        <f t="shared" si="30"/>
        <v>147177.8</v>
      </c>
      <c r="AE34" s="1">
        <f t="shared" si="24"/>
        <v>0.00686218202401127</v>
      </c>
      <c r="AF34" s="1">
        <f t="shared" si="10"/>
        <v>5.88961561104607e-5</v>
      </c>
      <c r="AG34" s="6"/>
      <c r="AH34" t="str">
        <f t="shared" si="25"/>
        <v>515000.SH</v>
      </c>
      <c r="AI34" s="61">
        <v>0</v>
      </c>
      <c r="AJ34" s="4">
        <f t="shared" si="26"/>
        <v>0</v>
      </c>
      <c r="AK34" s="4">
        <f t="shared" si="21"/>
        <v>0</v>
      </c>
    </row>
    <row r="35" spans="1:37">
      <c r="A35" s="27"/>
      <c r="B35" s="28"/>
      <c r="C35" s="29"/>
      <c r="D35" s="28"/>
      <c r="E35" s="13"/>
      <c r="F35" s="14"/>
      <c r="G35" s="6"/>
      <c r="H35" s="27"/>
      <c r="I35" s="28"/>
      <c r="J35" s="29"/>
      <c r="K35" s="28"/>
      <c r="L35" s="13"/>
      <c r="M35" s="13"/>
      <c r="N35" s="6"/>
      <c r="O35" s="24"/>
      <c r="P35" s="28"/>
      <c r="Q35" s="10"/>
      <c r="R35" s="28"/>
      <c r="S35" s="9"/>
      <c r="T35" s="13"/>
      <c r="U35" s="6"/>
      <c r="V35" s="24" t="s">
        <v>58</v>
      </c>
      <c r="W35" t="str">
        <f t="shared" si="27"/>
        <v>515050.SH</v>
      </c>
      <c r="X35" s="14">
        <f t="shared" si="28"/>
        <v>0</v>
      </c>
      <c r="Y35" s="45">
        <f t="shared" si="29"/>
        <v>0</v>
      </c>
      <c r="Z35">
        <v>65800</v>
      </c>
      <c r="AA35">
        <v>65800</v>
      </c>
      <c r="AB35" s="6"/>
      <c r="AC35" s="58">
        <f t="shared" si="23"/>
        <v>0</v>
      </c>
      <c r="AD35" s="13">
        <f t="shared" si="30"/>
        <v>74419.8</v>
      </c>
      <c r="AE35" s="1">
        <f t="shared" si="24"/>
        <v>0</v>
      </c>
      <c r="AF35" s="1">
        <f t="shared" si="10"/>
        <v>2.97805793979069e-5</v>
      </c>
      <c r="AG35" s="6"/>
      <c r="AH35" t="str">
        <f t="shared" si="25"/>
        <v>515050.SH</v>
      </c>
      <c r="AI35" s="61">
        <v>0</v>
      </c>
      <c r="AJ35" s="4">
        <f t="shared" si="26"/>
        <v>0</v>
      </c>
      <c r="AK35" s="4">
        <f t="shared" si="21"/>
        <v>0</v>
      </c>
    </row>
    <row r="36" spans="1:37">
      <c r="A36" s="27"/>
      <c r="B36" s="28"/>
      <c r="C36" s="29"/>
      <c r="D36" s="28"/>
      <c r="E36" s="13"/>
      <c r="F36" s="14"/>
      <c r="G36" s="6"/>
      <c r="H36" s="27"/>
      <c r="I36" s="28"/>
      <c r="J36" s="29"/>
      <c r="K36" s="28"/>
      <c r="L36" s="13"/>
      <c r="M36" s="13"/>
      <c r="N36" s="6"/>
      <c r="O36" s="24"/>
      <c r="P36" s="28"/>
      <c r="R36" s="28"/>
      <c r="T36" s="13"/>
      <c r="U36" s="6"/>
      <c r="V36" s="24" t="s">
        <v>59</v>
      </c>
      <c r="W36" t="str">
        <f t="shared" si="27"/>
        <v>515700.SH</v>
      </c>
      <c r="X36" s="14">
        <f t="shared" si="28"/>
        <v>0</v>
      </c>
      <c r="Y36" s="45">
        <f t="shared" si="29"/>
        <v>0</v>
      </c>
      <c r="Z36">
        <v>0</v>
      </c>
      <c r="AA36">
        <v>0</v>
      </c>
      <c r="AB36" s="6"/>
      <c r="AC36" s="58">
        <f t="shared" si="23"/>
        <v>0</v>
      </c>
      <c r="AD36" s="13">
        <f t="shared" si="30"/>
        <v>0</v>
      </c>
      <c r="AE36" s="1">
        <f t="shared" si="24"/>
        <v>0</v>
      </c>
      <c r="AF36" s="1">
        <f t="shared" si="10"/>
        <v>0</v>
      </c>
      <c r="AG36" s="6"/>
      <c r="AH36" t="str">
        <f t="shared" si="25"/>
        <v>515700.SH</v>
      </c>
      <c r="AI36" s="61">
        <v>0</v>
      </c>
      <c r="AJ36" s="4">
        <f t="shared" si="26"/>
        <v>0</v>
      </c>
      <c r="AK36" s="4">
        <f t="shared" si="21"/>
        <v>0</v>
      </c>
    </row>
    <row r="37" spans="1:37">
      <c r="A37" s="27"/>
      <c r="B37" s="28"/>
      <c r="C37" s="29"/>
      <c r="D37" s="28"/>
      <c r="E37" s="13"/>
      <c r="F37" s="14"/>
      <c r="G37" s="6"/>
      <c r="H37" s="27" t="s">
        <v>60</v>
      </c>
      <c r="I37" s="28">
        <v>0.00796874842999292</v>
      </c>
      <c r="J37" s="29">
        <v>0.2</v>
      </c>
      <c r="K37" s="28">
        <f>J37/SUM($J$6:$J$120)</f>
        <v>0.0307692307692308</v>
      </c>
      <c r="L37" s="13">
        <f>$I$2*I37</f>
        <v>796.874842999292</v>
      </c>
      <c r="M37" s="13">
        <f>L37/RTD("WDF.RTQ",,W37,"rt_latest","RT_Price")</f>
        <v>798.471786572437</v>
      </c>
      <c r="N37" s="6"/>
      <c r="O37" s="24"/>
      <c r="P37" s="28"/>
      <c r="R37" s="28"/>
      <c r="T37" s="13"/>
      <c r="U37" s="6"/>
      <c r="V37" s="24" t="s">
        <v>61</v>
      </c>
      <c r="W37" t="str">
        <f t="shared" si="27"/>
        <v>515870.SH</v>
      </c>
      <c r="X37" s="14">
        <f t="shared" si="28"/>
        <v>796.874842999292</v>
      </c>
      <c r="Y37" s="45">
        <f t="shared" si="29"/>
        <v>798.471786572437</v>
      </c>
      <c r="Z37">
        <v>57000</v>
      </c>
      <c r="AA37">
        <v>57000</v>
      </c>
      <c r="AB37" s="6"/>
      <c r="AC37" s="58">
        <f t="shared" si="23"/>
        <v>0</v>
      </c>
      <c r="AD37" s="13">
        <f t="shared" si="30"/>
        <v>56886</v>
      </c>
      <c r="AE37" s="1">
        <f t="shared" si="24"/>
        <v>0.00265624947666431</v>
      </c>
      <c r="AF37" s="1">
        <f t="shared" si="10"/>
        <v>2.27640767595362e-5</v>
      </c>
      <c r="AG37" s="6"/>
      <c r="AH37" t="str">
        <f t="shared" si="25"/>
        <v>515870.SH</v>
      </c>
      <c r="AI37" s="61">
        <v>0</v>
      </c>
      <c r="AJ37" s="4">
        <f t="shared" si="26"/>
        <v>0</v>
      </c>
      <c r="AK37" s="4">
        <f t="shared" si="21"/>
        <v>0</v>
      </c>
    </row>
    <row r="38" spans="1:37">
      <c r="A38" s="33" t="str">
        <f t="shared" si="31"/>
        <v>518880.SH</v>
      </c>
      <c r="B38" s="28">
        <v>0.0567209158674327</v>
      </c>
      <c r="C38" s="29">
        <v>0.8</v>
      </c>
      <c r="D38" s="28">
        <f>C38/SUM($C$6:$C$120)</f>
        <v>0.108108108108108</v>
      </c>
      <c r="E38" s="13">
        <f>$B$2*B38</f>
        <v>5672.09158674327</v>
      </c>
      <c r="F38" s="14">
        <f>E38/RTD("WDF.RTQ",,W38,"rt_latest","RT_Price")</f>
        <v>1458.87129288664</v>
      </c>
      <c r="G38" s="6"/>
      <c r="H38" s="33" t="str">
        <f>W38</f>
        <v>518880.SH</v>
      </c>
      <c r="I38" s="28">
        <v>0.0566007867713995</v>
      </c>
      <c r="J38" s="29">
        <v>0.8</v>
      </c>
      <c r="K38" s="28">
        <f>J38/SUM($J$6:$J$120)</f>
        <v>0.123076923076923</v>
      </c>
      <c r="L38" s="13">
        <f>$I$2*I38</f>
        <v>5660.07867713995</v>
      </c>
      <c r="M38" s="13">
        <f>L38/RTD("WDF.RTQ",,W38,"rt_latest","RT_Price")</f>
        <v>1455.78155276233</v>
      </c>
      <c r="N38" s="6"/>
      <c r="O38" s="39"/>
      <c r="P38" s="28"/>
      <c r="Q38" s="10"/>
      <c r="R38" s="28"/>
      <c r="S38" s="9"/>
      <c r="T38" s="13"/>
      <c r="U38" s="6"/>
      <c r="V38" s="39" t="s">
        <v>62</v>
      </c>
      <c r="W38" t="str">
        <f t="shared" si="27"/>
        <v>518880.SH</v>
      </c>
      <c r="X38" s="14">
        <f t="shared" si="28"/>
        <v>11332.1702638832</v>
      </c>
      <c r="Y38" s="45">
        <f t="shared" si="29"/>
        <v>2914.65284564898</v>
      </c>
      <c r="Z38">
        <v>291200</v>
      </c>
      <c r="AA38">
        <v>291200</v>
      </c>
      <c r="AB38" s="6"/>
      <c r="AC38" s="58">
        <f t="shared" si="23"/>
        <v>0</v>
      </c>
      <c r="AD38" s="13">
        <f t="shared" si="30"/>
        <v>1132185.6</v>
      </c>
      <c r="AE38" s="1">
        <f t="shared" si="24"/>
        <v>0.0377739008796107</v>
      </c>
      <c r="AF38" s="1">
        <f t="shared" si="10"/>
        <v>0.000453066833745413</v>
      </c>
      <c r="AG38" s="6"/>
      <c r="AH38" t="str">
        <f t="shared" si="25"/>
        <v>518880.SH</v>
      </c>
      <c r="AI38" s="61">
        <v>0</v>
      </c>
      <c r="AJ38" s="4">
        <f t="shared" si="26"/>
        <v>0</v>
      </c>
      <c r="AK38" s="4">
        <f t="shared" si="21"/>
        <v>0</v>
      </c>
    </row>
    <row r="39" spans="2:32">
      <c r="B39" s="25"/>
      <c r="I39" s="25"/>
      <c r="P39" s="36"/>
      <c r="AC39" s="58"/>
      <c r="AF39" s="1"/>
    </row>
    <row r="40" spans="2:32">
      <c r="B40" s="25"/>
      <c r="I40" s="25"/>
      <c r="P40" s="40"/>
      <c r="X40" s="14"/>
      <c r="Y40" s="45"/>
      <c r="Z40"/>
      <c r="AA40"/>
      <c r="AC40" s="58"/>
      <c r="AD40" s="13"/>
      <c r="AE40" s="1"/>
      <c r="AF40" s="1"/>
    </row>
    <row r="41" spans="2:9">
      <c r="B41" s="25"/>
      <c r="I41" s="25"/>
    </row>
    <row r="42" spans="2:2">
      <c r="B42" s="25"/>
    </row>
    <row r="43" spans="2:2">
      <c r="B43" s="25"/>
    </row>
    <row r="44" spans="2:2">
      <c r="B44" s="25"/>
    </row>
    <row r="45" spans="2:2">
      <c r="B45" s="25"/>
    </row>
  </sheetData>
  <mergeCells count="3">
    <mergeCell ref="V1:V3"/>
    <mergeCell ref="AC1:AC3"/>
    <mergeCell ref="AD1:AD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3" sqref="C3"/>
    </sheetView>
  </sheetViews>
  <sheetFormatPr defaultColWidth="9" defaultRowHeight="13.5" outlineLevelRow="2" outlineLevelCol="3"/>
  <cols>
    <col min="1" max="1" width="10.375" customWidth="1"/>
    <col min="2" max="2" width="8.875" customWidth="1"/>
    <col min="3" max="3" width="11.5" style="4" customWidth="1"/>
    <col min="4" max="4" width="12.875" style="1" customWidth="1"/>
  </cols>
  <sheetData>
    <row r="1" spans="2:3">
      <c r="B1" t="s">
        <v>4</v>
      </c>
      <c r="C1" s="4">
        <f>SUM(C3:C13)</f>
        <v>231000</v>
      </c>
    </row>
    <row r="2" spans="1:4">
      <c r="A2" t="s">
        <v>10</v>
      </c>
      <c r="B2" s="5" t="s">
        <v>63</v>
      </c>
      <c r="C2" s="4" t="s">
        <v>64</v>
      </c>
      <c r="D2" s="1" t="s">
        <v>65</v>
      </c>
    </row>
    <row r="3" spans="1:4">
      <c r="A3" t="s">
        <v>66</v>
      </c>
      <c r="B3">
        <v>2100</v>
      </c>
      <c r="C3" s="4">
        <f>RTD("WDF.RTQ",,A3,"rt_latest","RT_Price")*B3</f>
        <v>231000</v>
      </c>
      <c r="D3" s="1">
        <f>C3/C1</f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"/>
  <sheetViews>
    <sheetView topLeftCell="A21" workbookViewId="0">
      <selection activeCell="A1" sqref="A1:C57"/>
    </sheetView>
  </sheetViews>
  <sheetFormatPr defaultColWidth="9" defaultRowHeight="13.5" outlineLevelCol="2"/>
  <cols>
    <col min="1" max="1" width="12.875" style="1" customWidth="1"/>
    <col min="2" max="2" width="12.625" style="1" customWidth="1"/>
    <col min="3" max="4" width="12.875" customWidth="1"/>
  </cols>
  <sheetData>
    <row r="1" s="2" customFormat="1" spans="1:3">
      <c r="A1" s="3" t="s">
        <v>10</v>
      </c>
      <c r="B1" s="3" t="s">
        <v>11</v>
      </c>
      <c r="C1" s="2" t="s">
        <v>12</v>
      </c>
    </row>
    <row r="2" spans="1:3">
      <c r="A2" s="1" t="s">
        <v>67</v>
      </c>
      <c r="B2" s="1">
        <v>0.06</v>
      </c>
      <c r="C2">
        <v>0</v>
      </c>
    </row>
    <row r="3" spans="1:3">
      <c r="A3" s="1" t="s">
        <v>68</v>
      </c>
      <c r="B3" s="1">
        <v>0.02</v>
      </c>
      <c r="C3">
        <v>0</v>
      </c>
    </row>
    <row r="4" spans="1:3">
      <c r="A4" s="1" t="s">
        <v>69</v>
      </c>
      <c r="B4" s="1">
        <v>0.09</v>
      </c>
      <c r="C4">
        <v>0</v>
      </c>
    </row>
    <row r="5" spans="1:3">
      <c r="A5" s="1" t="s">
        <v>70</v>
      </c>
      <c r="B5" s="1">
        <v>0.02</v>
      </c>
      <c r="C5">
        <v>0</v>
      </c>
    </row>
    <row r="6" spans="1:3">
      <c r="A6" s="1" t="s">
        <v>71</v>
      </c>
      <c r="B6" s="1">
        <v>0.0126646143744949</v>
      </c>
      <c r="C6">
        <v>0.3</v>
      </c>
    </row>
    <row r="7" spans="1:3">
      <c r="A7" s="1" t="s">
        <v>72</v>
      </c>
      <c r="B7" s="1">
        <v>0.554667958648086</v>
      </c>
      <c r="C7">
        <v>1</v>
      </c>
    </row>
    <row r="8" spans="1:3">
      <c r="A8" s="1" t="s">
        <v>73</v>
      </c>
      <c r="B8" s="1">
        <v>0.03</v>
      </c>
      <c r="C8">
        <v>0</v>
      </c>
    </row>
    <row r="9" spans="1:3">
      <c r="A9" s="1" t="s">
        <v>44</v>
      </c>
      <c r="B9" s="1">
        <v>0.0273120896180378</v>
      </c>
      <c r="C9">
        <v>0.7</v>
      </c>
    </row>
    <row r="10" spans="1:3">
      <c r="A10" s="1" t="s">
        <v>74</v>
      </c>
      <c r="B10" s="1">
        <v>0.0191751666805135</v>
      </c>
      <c r="C10">
        <v>0.6</v>
      </c>
    </row>
    <row r="11" spans="1:3">
      <c r="A11" s="1" t="s">
        <v>75</v>
      </c>
      <c r="B11" s="1">
        <v>0.0224402025124036</v>
      </c>
      <c r="C11">
        <v>0.9</v>
      </c>
    </row>
    <row r="12" spans="1:3">
      <c r="A12" s="1" t="s">
        <v>49</v>
      </c>
      <c r="B12" s="1">
        <v>0.0154428948354787</v>
      </c>
      <c r="C12">
        <v>0.7</v>
      </c>
    </row>
    <row r="13" spans="1:3">
      <c r="A13" s="1" t="s">
        <v>76</v>
      </c>
      <c r="B13" s="1">
        <v>0.0165217101404835</v>
      </c>
      <c r="C13">
        <v>0.4</v>
      </c>
    </row>
    <row r="14" spans="1:3">
      <c r="A14" s="1" t="s">
        <v>77</v>
      </c>
      <c r="B14" s="1">
        <v>0.016421989314701</v>
      </c>
      <c r="C14">
        <v>0.6</v>
      </c>
    </row>
    <row r="15" spans="1:3">
      <c r="A15" s="1" t="s">
        <v>78</v>
      </c>
      <c r="B15" s="1">
        <v>0.0180459119354874</v>
      </c>
      <c r="C15">
        <v>0.6</v>
      </c>
    </row>
    <row r="16" spans="1:3">
      <c r="A16" s="1" t="s">
        <v>79</v>
      </c>
      <c r="B16" s="1">
        <v>0.0205865460720338</v>
      </c>
      <c r="C16">
        <v>0.8</v>
      </c>
    </row>
    <row r="17" spans="1:3">
      <c r="A17" s="1" t="s">
        <v>80</v>
      </c>
      <c r="B17" s="1">
        <v>0.0567209158674327</v>
      </c>
      <c r="C17">
        <v>0.8</v>
      </c>
    </row>
    <row r="19" spans="1:3">
      <c r="A19" s="1" t="s">
        <v>10</v>
      </c>
      <c r="B19" s="1" t="s">
        <v>11</v>
      </c>
      <c r="C19" t="s">
        <v>12</v>
      </c>
    </row>
    <row r="20" spans="1:3">
      <c r="A20" s="1" t="s">
        <v>81</v>
      </c>
      <c r="B20" s="1">
        <v>0.0223308925661651</v>
      </c>
      <c r="C20">
        <v>0.8</v>
      </c>
    </row>
    <row r="21" spans="1:3">
      <c r="A21" s="1" t="s">
        <v>82</v>
      </c>
      <c r="B21" s="1">
        <v>0.0225823347760219</v>
      </c>
      <c r="C21">
        <v>0.6</v>
      </c>
    </row>
    <row r="22" spans="1:3">
      <c r="A22" s="1" t="s">
        <v>67</v>
      </c>
      <c r="B22" s="1">
        <v>0.06</v>
      </c>
      <c r="C22">
        <v>0</v>
      </c>
    </row>
    <row r="23" spans="1:3">
      <c r="A23" s="1" t="s">
        <v>68</v>
      </c>
      <c r="B23" s="1">
        <v>0.02</v>
      </c>
      <c r="C23">
        <v>0</v>
      </c>
    </row>
    <row r="24" spans="1:3">
      <c r="A24" s="1" t="s">
        <v>69</v>
      </c>
      <c r="B24" s="1">
        <v>0.09</v>
      </c>
      <c r="C24">
        <v>0</v>
      </c>
    </row>
    <row r="25" spans="1:3">
      <c r="A25" s="1" t="s">
        <v>70</v>
      </c>
      <c r="B25" s="1">
        <v>0.02</v>
      </c>
      <c r="C25">
        <v>0</v>
      </c>
    </row>
    <row r="26" spans="1:3">
      <c r="A26" s="1" t="s">
        <v>83</v>
      </c>
      <c r="B26" s="1">
        <v>0.00963770326169998</v>
      </c>
      <c r="C26">
        <v>0.2</v>
      </c>
    </row>
    <row r="27" spans="1:3">
      <c r="A27" s="1" t="s">
        <v>71</v>
      </c>
      <c r="B27" s="1">
        <v>0.0129775974271891</v>
      </c>
      <c r="C27">
        <v>0.3</v>
      </c>
    </row>
    <row r="28" spans="1:3">
      <c r="A28" s="1" t="s">
        <v>84</v>
      </c>
      <c r="B28" s="1">
        <v>0.0146756733195839</v>
      </c>
      <c r="C28">
        <v>0.4</v>
      </c>
    </row>
    <row r="29" spans="1:3">
      <c r="A29" s="1" t="s">
        <v>72</v>
      </c>
      <c r="B29" s="1">
        <v>0.545071351891902</v>
      </c>
      <c r="C29">
        <v>1</v>
      </c>
    </row>
    <row r="30" spans="1:3">
      <c r="A30" s="1" t="s">
        <v>73</v>
      </c>
      <c r="B30" s="1">
        <v>0.03</v>
      </c>
      <c r="C30">
        <v>0</v>
      </c>
    </row>
    <row r="31" spans="1:3">
      <c r="A31" s="1" t="s">
        <v>49</v>
      </c>
      <c r="B31" s="1">
        <v>0.0205022628450204</v>
      </c>
      <c r="C31">
        <v>0.9</v>
      </c>
    </row>
    <row r="32" spans="1:3">
      <c r="A32" s="1" t="s">
        <v>85</v>
      </c>
      <c r="B32" s="1">
        <v>0.0157165883159829</v>
      </c>
      <c r="C32">
        <v>0.6</v>
      </c>
    </row>
    <row r="33" spans="1:3">
      <c r="A33" s="1" t="s">
        <v>76</v>
      </c>
      <c r="B33" s="1">
        <v>0.0166585016829374</v>
      </c>
      <c r="C33">
        <v>0.4</v>
      </c>
    </row>
    <row r="34" spans="1:3">
      <c r="A34" s="1" t="s">
        <v>77</v>
      </c>
      <c r="B34" s="1">
        <v>0.0168098463603383</v>
      </c>
      <c r="C34">
        <v>0.6</v>
      </c>
    </row>
    <row r="35" spans="1:3">
      <c r="A35" s="1" t="s">
        <v>78</v>
      </c>
      <c r="B35" s="1">
        <v>0.0184677123504185</v>
      </c>
      <c r="C35">
        <v>0.6</v>
      </c>
    </row>
    <row r="36" spans="1:3">
      <c r="A36" s="1" t="s">
        <v>60</v>
      </c>
      <c r="B36" s="1">
        <v>0.00796874842999292</v>
      </c>
      <c r="C36">
        <v>0.2</v>
      </c>
    </row>
    <row r="37" spans="1:3">
      <c r="A37" s="1" t="s">
        <v>80</v>
      </c>
      <c r="B37" s="1">
        <v>0.0566007867713995</v>
      </c>
      <c r="C37">
        <v>0.8</v>
      </c>
    </row>
    <row r="39" spans="1:3">
      <c r="A39" s="1" t="s">
        <v>10</v>
      </c>
      <c r="B39" s="1" t="s">
        <v>11</v>
      </c>
      <c r="C39" t="s">
        <v>12</v>
      </c>
    </row>
    <row r="40" spans="1:3">
      <c r="A40" s="1" t="s">
        <v>86</v>
      </c>
      <c r="B40" s="1">
        <v>0.0150324973468942</v>
      </c>
      <c r="C40">
        <v>0.4</v>
      </c>
    </row>
    <row r="41" spans="1:3">
      <c r="A41" s="1" t="s">
        <v>82</v>
      </c>
      <c r="B41" s="1">
        <v>0.0290331700420248</v>
      </c>
      <c r="C41">
        <v>0.8</v>
      </c>
    </row>
    <row r="42" spans="1:3">
      <c r="A42" s="1" t="s">
        <v>87</v>
      </c>
      <c r="B42" s="1">
        <v>0.0235556069836383</v>
      </c>
      <c r="C42">
        <v>0.6</v>
      </c>
    </row>
    <row r="43" spans="1:3">
      <c r="A43" s="1" t="s">
        <v>67</v>
      </c>
      <c r="B43" s="1">
        <v>0.06</v>
      </c>
      <c r="C43">
        <v>0</v>
      </c>
    </row>
    <row r="44" spans="1:3">
      <c r="A44" s="1" t="s">
        <v>68</v>
      </c>
      <c r="B44" s="1">
        <v>0.02</v>
      </c>
      <c r="C44">
        <v>0</v>
      </c>
    </row>
    <row r="45" spans="1:3">
      <c r="A45" s="1" t="s">
        <v>69</v>
      </c>
      <c r="B45" s="1">
        <v>0.09</v>
      </c>
      <c r="C45">
        <v>0</v>
      </c>
    </row>
    <row r="46" spans="1:3">
      <c r="A46" s="1" t="s">
        <v>70</v>
      </c>
      <c r="B46" s="1">
        <v>0.02</v>
      </c>
      <c r="C46">
        <v>0</v>
      </c>
    </row>
    <row r="47" spans="1:3">
      <c r="A47" s="1" t="s">
        <v>71</v>
      </c>
      <c r="B47" s="1">
        <v>0.0169309671577173</v>
      </c>
      <c r="C47">
        <v>0.4</v>
      </c>
    </row>
    <row r="48" spans="1:3">
      <c r="A48" s="1" t="s">
        <v>72</v>
      </c>
      <c r="B48" s="1">
        <v>0.538371220770545</v>
      </c>
      <c r="C48">
        <v>1</v>
      </c>
    </row>
    <row r="49" spans="1:3">
      <c r="A49" s="1" t="s">
        <v>73</v>
      </c>
      <c r="B49" s="1">
        <v>0.03</v>
      </c>
      <c r="C49">
        <v>0</v>
      </c>
    </row>
    <row r="50" spans="1:3">
      <c r="A50" s="1" t="s">
        <v>75</v>
      </c>
      <c r="B50" s="1">
        <v>0.0164754045080113</v>
      </c>
      <c r="C50">
        <v>0.6</v>
      </c>
    </row>
    <row r="51" spans="1:3">
      <c r="A51" s="1" t="s">
        <v>85</v>
      </c>
      <c r="B51" s="1">
        <v>0.00571531079464542</v>
      </c>
      <c r="C51">
        <v>0.2</v>
      </c>
    </row>
    <row r="52" spans="1:3">
      <c r="A52" s="1" t="s">
        <v>53</v>
      </c>
      <c r="B52" s="1">
        <v>0.0203983751829431</v>
      </c>
      <c r="C52">
        <v>0.6</v>
      </c>
    </row>
    <row r="53" spans="1:3">
      <c r="A53" s="1" t="s">
        <v>76</v>
      </c>
      <c r="B53" s="1">
        <v>0.0167709701433304</v>
      </c>
      <c r="C53">
        <v>0.4</v>
      </c>
    </row>
    <row r="54" spans="1:3">
      <c r="A54" s="1" t="s">
        <v>77</v>
      </c>
      <c r="B54" s="1">
        <v>0.0173475259282372</v>
      </c>
      <c r="C54">
        <v>0.6</v>
      </c>
    </row>
    <row r="55" spans="1:3">
      <c r="A55" s="1" t="s">
        <v>78</v>
      </c>
      <c r="B55" s="1">
        <v>0.0184505560829577</v>
      </c>
      <c r="C55">
        <v>0.6</v>
      </c>
    </row>
    <row r="56" spans="1:3">
      <c r="A56" s="1" t="s">
        <v>88</v>
      </c>
      <c r="B56" s="1">
        <v>0.0103319793922271</v>
      </c>
      <c r="C56">
        <v>0.4</v>
      </c>
    </row>
    <row r="57" spans="1:3">
      <c r="A57" s="1" t="s">
        <v>80</v>
      </c>
      <c r="B57" s="1">
        <v>0.051586415668389</v>
      </c>
      <c r="C57">
        <v>0.8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$1:B$1048576"/>
    </sheetView>
  </sheetViews>
  <sheetFormatPr defaultColWidth="9" defaultRowHeight="13.5"/>
  <cols>
    <col min="1" max="1" width="10.375" customWidth="1"/>
    <col min="2" max="2" width="12.625" style="1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计算表</vt:lpstr>
      <vt:lpstr>股票持仓计算表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张易</cp:lastModifiedBy>
  <dcterms:created xsi:type="dcterms:W3CDTF">2019-07-29T06:44:00Z</dcterms:created>
  <dcterms:modified xsi:type="dcterms:W3CDTF">2020-06-02T08:41:38Z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