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9"/>
  <workbookPr/>
  <xr:revisionPtr revIDLastSave="4" documentId="11_2DD480AC47D02AFE0B0D92D17BA0913628843F37" xr6:coauthVersionLast="47" xr6:coauthVersionMax="47" xr10:uidLastSave="{379BFC36-DF70-47F6-83B1-FD25F4ECCA11}"/>
  <bookViews>
    <workbookView xWindow="60" yWindow="48" windowWidth="13068" windowHeight="8616" xr2:uid="{00000000-000D-0000-FFFF-FFFF00000000}"/>
  </bookViews>
  <sheets>
    <sheet name="calculs" sheetId="1" r:id="rId1"/>
    <sheet name="Ec" sheetId="7" r:id="rId2"/>
  </sheets>
  <definedNames>
    <definedName name="accélération">calculs!$B$10</definedName>
    <definedName name="alpha">calculs!$J$14</definedName>
    <definedName name="Caero">calculs!$B$16</definedName>
    <definedName name="Cm">calculs!$B$34</definedName>
    <definedName name="Cm_GM">#REF!</definedName>
    <definedName name="Cma">calculs!$B$23</definedName>
    <definedName name="Cmoteur">calculs!$J$5</definedName>
    <definedName name="Cpente">calculs!$J$16</definedName>
    <definedName name="Cr">calculs!$N$16</definedName>
    <definedName name="Croue">calculs!$F$23</definedName>
    <definedName name="Croul">calculs!$F$16</definedName>
    <definedName name="crr">calculs!$F$13</definedName>
    <definedName name="Cx">calculs!$B$5</definedName>
    <definedName name="delta">calculs!$F$14</definedName>
    <definedName name="diamètre">calculs!$F$6</definedName>
    <definedName name="DP">calculs!#REF!</definedName>
    <definedName name="Fa">calculs!$B$22</definedName>
    <definedName name="Froue">calculs!$F$22</definedName>
    <definedName name="h">calculs!#REF!</definedName>
    <definedName name="Im">calculs!$B$49</definedName>
    <definedName name="Inertie">calculs!$F$7</definedName>
    <definedName name="k">calculs!$B$28</definedName>
    <definedName name="Ke">calculs!$B$46</definedName>
    <definedName name="Kt">calculs!$B$47</definedName>
    <definedName name="Masse_pilote">calculs!$B$3</definedName>
    <definedName name="Masse_roue">calculs!$F$2</definedName>
    <definedName name="Masse_totale">calculs!$B$4</definedName>
    <definedName name="Masse_vehicle">calculs!$B$2</definedName>
    <definedName name="Masse_vehicule">Ec!$C$2:$N$2</definedName>
    <definedName name="Nbre_moteurs">calculs!$B$38</definedName>
    <definedName name="Nm">calculs!$B$32</definedName>
    <definedName name="Nm_GM">#REF!</definedName>
    <definedName name="Nroue">calculs!$F$9</definedName>
    <definedName name="Pa">calculs!$B$24</definedName>
    <definedName name="Pe_GM">#REF!</definedName>
    <definedName name="Pente">calculs!$J$13</definedName>
    <definedName name="Pm">calculs!$B$35</definedName>
    <definedName name="Pm_GM">#REF!</definedName>
    <definedName name="Pmoteur">calculs!$J$2</definedName>
    <definedName name="Pr">calculs!$N$17</definedName>
    <definedName name="Proue">calculs!$F$24</definedName>
    <definedName name="Ra">calculs!$B$15</definedName>
    <definedName name="Rayon">calculs!$F$3</definedName>
    <definedName name="rendt">calculs!$B$29</definedName>
    <definedName name="ro">calculs!$B$14</definedName>
    <definedName name="Rp">calculs!$J$15</definedName>
    <definedName name="Rr">calculs!$F$15</definedName>
    <definedName name="Rt">calculs!$N$15</definedName>
    <definedName name="S">calculs!$B$6</definedName>
    <definedName name="temps_acc">calculs!$B$9</definedName>
    <definedName name="Temps_course">calculs!$F$33</definedName>
    <definedName name="Um">calculs!$B$48</definedName>
    <definedName name="vitesse">calculs!$B$8</definedName>
    <definedName name="vitesse_ms">Ec!$B$3:$B$16</definedName>
    <definedName name="vitessekmh">calculs!$B$7</definedName>
    <definedName name="w">calculs!$F$8</definedName>
    <definedName name="wm">calculs!$B$33</definedName>
    <definedName name="wmoteur">calculs!$J$6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B4" i="1"/>
  <c r="F33" i="1"/>
  <c r="I25" i="1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6" i="7"/>
  <c r="M16" i="7"/>
  <c r="M33" i="7"/>
  <c r="M50" i="7" s="1"/>
  <c r="B15" i="7"/>
  <c r="H15" i="7"/>
  <c r="H32" i="7" s="1"/>
  <c r="H49" i="7" s="1"/>
  <c r="B14" i="7"/>
  <c r="G14" i="7"/>
  <c r="G31" i="7" s="1"/>
  <c r="G48" i="7" s="1"/>
  <c r="B13" i="7"/>
  <c r="F13" i="7"/>
  <c r="F30" i="7" s="1"/>
  <c r="F47" i="7" s="1"/>
  <c r="B12" i="7"/>
  <c r="N12" i="7"/>
  <c r="N29" i="7"/>
  <c r="N46" i="7" s="1"/>
  <c r="B11" i="7"/>
  <c r="C11" i="7"/>
  <c r="C28" i="7" s="1"/>
  <c r="C45" i="7" s="1"/>
  <c r="B10" i="7"/>
  <c r="K10" i="7"/>
  <c r="K27" i="7" s="1"/>
  <c r="K44" i="7" s="1"/>
  <c r="B9" i="7"/>
  <c r="J9" i="7"/>
  <c r="J26" i="7" s="1"/>
  <c r="J43" i="7" s="1"/>
  <c r="B8" i="7"/>
  <c r="M8" i="7"/>
  <c r="M25" i="7" s="1"/>
  <c r="M42" i="7" s="1"/>
  <c r="B7" i="7"/>
  <c r="H7" i="7"/>
  <c r="H24" i="7" s="1"/>
  <c r="H41" i="7" s="1"/>
  <c r="B6" i="7"/>
  <c r="G6" i="7"/>
  <c r="G23" i="7" s="1"/>
  <c r="G40" i="7" s="1"/>
  <c r="B5" i="7"/>
  <c r="F5" i="7"/>
  <c r="F22" i="7" s="1"/>
  <c r="F39" i="7" s="1"/>
  <c r="B4" i="7"/>
  <c r="N4" i="7"/>
  <c r="N21" i="7"/>
  <c r="N38" i="7" s="1"/>
  <c r="B3" i="7"/>
  <c r="E3" i="7"/>
  <c r="E20" i="7" s="1"/>
  <c r="E37" i="7" s="1"/>
  <c r="I24" i="1"/>
  <c r="I23" i="1"/>
  <c r="I22" i="1"/>
  <c r="I21" i="1"/>
  <c r="I20" i="1"/>
  <c r="F6" i="1"/>
  <c r="F7" i="1"/>
  <c r="B8" i="1"/>
  <c r="B15" i="1" s="1"/>
  <c r="F14" i="1"/>
  <c r="J14" i="1"/>
  <c r="J11" i="7"/>
  <c r="J28" i="7" s="1"/>
  <c r="J45" i="7" s="1"/>
  <c r="K4" i="7"/>
  <c r="K21" i="7" s="1"/>
  <c r="K38" i="7" s="1"/>
  <c r="F12" i="7"/>
  <c r="F29" i="7" s="1"/>
  <c r="F46" i="7" s="1"/>
  <c r="E11" i="7"/>
  <c r="E28" i="7"/>
  <c r="E45" i="7" s="1"/>
  <c r="D12" i="7"/>
  <c r="D29" i="7" s="1"/>
  <c r="D46" i="7" s="1"/>
  <c r="G10" i="7"/>
  <c r="G27" i="7" s="1"/>
  <c r="G44" i="7" s="1"/>
  <c r="C10" i="7"/>
  <c r="C27" i="7" s="1"/>
  <c r="C44" i="7" s="1"/>
  <c r="H16" i="7"/>
  <c r="H33" i="7" s="1"/>
  <c r="H50" i="7" s="1"/>
  <c r="F14" i="7"/>
  <c r="F31" i="7" s="1"/>
  <c r="F48" i="7" s="1"/>
  <c r="K11" i="7"/>
  <c r="K28" i="7" s="1"/>
  <c r="K45" i="7" s="1"/>
  <c r="J10" i="7"/>
  <c r="J27" i="7" s="1"/>
  <c r="J44" i="7" s="1"/>
  <c r="I9" i="7"/>
  <c r="I26" i="7" s="1"/>
  <c r="I43" i="7" s="1"/>
  <c r="H8" i="7"/>
  <c r="H25" i="7" s="1"/>
  <c r="H42" i="7" s="1"/>
  <c r="G7" i="7"/>
  <c r="G24" i="7" s="1"/>
  <c r="G41" i="7" s="1"/>
  <c r="F6" i="7"/>
  <c r="F23" i="7" s="1"/>
  <c r="F40" i="7" s="1"/>
  <c r="K3" i="7"/>
  <c r="K20" i="7" s="1"/>
  <c r="K37" i="7" s="1"/>
  <c r="L16" i="7"/>
  <c r="L33" i="7" s="1"/>
  <c r="L50" i="7" s="1"/>
  <c r="L12" i="7"/>
  <c r="L29" i="7"/>
  <c r="L46" i="7" s="1"/>
  <c r="L8" i="7"/>
  <c r="L25" i="7" s="1"/>
  <c r="L42" i="7" s="1"/>
  <c r="L4" i="7"/>
  <c r="L21" i="7" s="1"/>
  <c r="L38" i="7" s="1"/>
  <c r="N11" i="7"/>
  <c r="N28" i="7" s="1"/>
  <c r="N45" i="7" s="1"/>
  <c r="N3" i="7"/>
  <c r="N20" i="7" s="1"/>
  <c r="N37" i="7" s="1"/>
  <c r="H4" i="7"/>
  <c r="H21" i="7" s="1"/>
  <c r="H38" i="7" s="1"/>
  <c r="C3" i="7"/>
  <c r="C20" i="7" s="1"/>
  <c r="C37" i="7" s="1"/>
  <c r="K12" i="7"/>
  <c r="K29" i="7" s="1"/>
  <c r="K46" i="7" s="1"/>
  <c r="M11" i="7"/>
  <c r="M28" i="7" s="1"/>
  <c r="M45" i="7" s="1"/>
  <c r="C4" i="7"/>
  <c r="C21" i="7" s="1"/>
  <c r="C38" i="7" s="1"/>
  <c r="I12" i="7"/>
  <c r="I29" i="7" s="1"/>
  <c r="I46" i="7" s="1"/>
  <c r="H11" i="7"/>
  <c r="H28" i="7" s="1"/>
  <c r="H45" i="7" s="1"/>
  <c r="F9" i="7"/>
  <c r="F26" i="7" s="1"/>
  <c r="F43" i="7" s="1"/>
  <c r="I4" i="7"/>
  <c r="I21" i="7" s="1"/>
  <c r="I38" i="7" s="1"/>
  <c r="H3" i="7"/>
  <c r="H20" i="7" s="1"/>
  <c r="H37" i="7" s="1"/>
  <c r="M10" i="7"/>
  <c r="M27" i="7" s="1"/>
  <c r="M44" i="7" s="1"/>
  <c r="D10" i="7"/>
  <c r="D27" i="7"/>
  <c r="D44" i="7" s="1"/>
  <c r="K16" i="7"/>
  <c r="K33" i="7" s="1"/>
  <c r="K50" i="7" s="1"/>
  <c r="J15" i="7"/>
  <c r="J32" i="7" s="1"/>
  <c r="J49" i="7" s="1"/>
  <c r="I14" i="7"/>
  <c r="I31" i="7" s="1"/>
  <c r="I48" i="7" s="1"/>
  <c r="H13" i="7"/>
  <c r="H30" i="7" s="1"/>
  <c r="H47" i="7" s="1"/>
  <c r="G12" i="7"/>
  <c r="G29" i="7" s="1"/>
  <c r="G46" i="7" s="1"/>
  <c r="F11" i="7"/>
  <c r="F28" i="7" s="1"/>
  <c r="F45" i="7" s="1"/>
  <c r="E10" i="7"/>
  <c r="E27" i="7" s="1"/>
  <c r="E44" i="7" s="1"/>
  <c r="K8" i="7"/>
  <c r="K25" i="7"/>
  <c r="K42" i="7" s="1"/>
  <c r="J7" i="7"/>
  <c r="J24" i="7" s="1"/>
  <c r="J41" i="7" s="1"/>
  <c r="I6" i="7"/>
  <c r="I23" i="7" s="1"/>
  <c r="I40" i="7" s="1"/>
  <c r="H5" i="7"/>
  <c r="H22" i="7" s="1"/>
  <c r="H39" i="7" s="1"/>
  <c r="G4" i="7"/>
  <c r="G21" i="7" s="1"/>
  <c r="G38" i="7" s="1"/>
  <c r="F3" i="7"/>
  <c r="F20" i="7" s="1"/>
  <c r="F37" i="7" s="1"/>
  <c r="M13" i="7"/>
  <c r="M30" i="7" s="1"/>
  <c r="M47" i="7" s="1"/>
  <c r="M9" i="7"/>
  <c r="M26" i="7" s="1"/>
  <c r="M43" i="7" s="1"/>
  <c r="M5" i="7"/>
  <c r="M22" i="7"/>
  <c r="M39" i="7" s="1"/>
  <c r="N14" i="7"/>
  <c r="N31" i="7" s="1"/>
  <c r="N48" i="7" s="1"/>
  <c r="N6" i="7"/>
  <c r="N23" i="7" s="1"/>
  <c r="N40" i="7" s="1"/>
  <c r="H12" i="7"/>
  <c r="H29" i="7" s="1"/>
  <c r="H46" i="7" s="1"/>
  <c r="C12" i="7"/>
  <c r="C29" i="7" s="1"/>
  <c r="C46" i="7" s="1"/>
  <c r="D4" i="7"/>
  <c r="D21" i="7" s="1"/>
  <c r="D38" i="7" s="1"/>
  <c r="J12" i="7"/>
  <c r="J29" i="7" s="1"/>
  <c r="J46" i="7" s="1"/>
  <c r="I11" i="7"/>
  <c r="I28" i="7" s="1"/>
  <c r="I45" i="7" s="1"/>
  <c r="H10" i="7"/>
  <c r="H27" i="7" s="1"/>
  <c r="H44" i="7" s="1"/>
  <c r="G9" i="7"/>
  <c r="G26" i="7" s="1"/>
  <c r="G43" i="7" s="1"/>
  <c r="F8" i="7"/>
  <c r="F25" i="7" s="1"/>
  <c r="F42" i="7" s="1"/>
  <c r="J4" i="7"/>
  <c r="J21" i="7" s="1"/>
  <c r="J38" i="7" s="1"/>
  <c r="I3" i="7"/>
  <c r="I20" i="7" s="1"/>
  <c r="I37" i="7" s="1"/>
  <c r="L15" i="7"/>
  <c r="L32" i="7" s="1"/>
  <c r="L49" i="7" s="1"/>
  <c r="L11" i="7"/>
  <c r="L28" i="7" s="1"/>
  <c r="L45" i="7" s="1"/>
  <c r="L7" i="7"/>
  <c r="L24" i="7" s="1"/>
  <c r="L41" i="7" s="1"/>
  <c r="L3" i="7"/>
  <c r="L20" i="7"/>
  <c r="L37" i="7" s="1"/>
  <c r="N9" i="7"/>
  <c r="N26" i="7" s="1"/>
  <c r="N43" i="7" s="1"/>
  <c r="J3" i="7"/>
  <c r="J20" i="7" s="1"/>
  <c r="J37" i="7" s="1"/>
  <c r="M3" i="7"/>
  <c r="M20" i="7" s="1"/>
  <c r="M37" i="7" s="1"/>
  <c r="F4" i="7"/>
  <c r="F21" i="7" s="1"/>
  <c r="F38" i="7" s="1"/>
  <c r="D16" i="7"/>
  <c r="D33" i="7" s="1"/>
  <c r="D50" i="7" s="1"/>
  <c r="D8" i="7"/>
  <c r="D25" i="7" s="1"/>
  <c r="D42" i="7" s="1"/>
  <c r="I16" i="7"/>
  <c r="I33" i="7" s="1"/>
  <c r="I50" i="7" s="1"/>
  <c r="E12" i="7"/>
  <c r="E29" i="7" s="1"/>
  <c r="E46" i="7" s="1"/>
  <c r="I8" i="7"/>
  <c r="I25" i="7" s="1"/>
  <c r="I42" i="7" s="1"/>
  <c r="E4" i="7"/>
  <c r="E21" i="7" s="1"/>
  <c r="E38" i="7" s="1"/>
  <c r="M12" i="7"/>
  <c r="M29" i="7" s="1"/>
  <c r="M46" i="7" s="1"/>
  <c r="M4" i="7"/>
  <c r="M21" i="7" s="1"/>
  <c r="M38" i="7" s="1"/>
  <c r="G3" i="7" l="1"/>
  <c r="G20" i="7" s="1"/>
  <c r="G37" i="7" s="1"/>
  <c r="D3" i="7"/>
  <c r="D20" i="7" s="1"/>
  <c r="D37" i="7" s="1"/>
  <c r="N5" i="7"/>
  <c r="N22" i="7" s="1"/>
  <c r="N39" i="7" s="1"/>
  <c r="L5" i="7"/>
  <c r="L22" i="7" s="1"/>
  <c r="L39" i="7" s="1"/>
  <c r="E5" i="7"/>
  <c r="E22" i="7" s="1"/>
  <c r="E39" i="7" s="1"/>
  <c r="G5" i="7"/>
  <c r="G22" i="7" s="1"/>
  <c r="G39" i="7" s="1"/>
  <c r="I5" i="7"/>
  <c r="I22" i="7" s="1"/>
  <c r="I39" i="7" s="1"/>
  <c r="J5" i="7"/>
  <c r="J22" i="7" s="1"/>
  <c r="J39" i="7" s="1"/>
  <c r="K5" i="7"/>
  <c r="K22" i="7" s="1"/>
  <c r="K39" i="7" s="1"/>
  <c r="D5" i="7"/>
  <c r="D22" i="7" s="1"/>
  <c r="D39" i="7" s="1"/>
  <c r="C5" i="7"/>
  <c r="C22" i="7" s="1"/>
  <c r="C39" i="7" s="1"/>
  <c r="L6" i="7"/>
  <c r="L23" i="7" s="1"/>
  <c r="L40" i="7" s="1"/>
  <c r="M6" i="7"/>
  <c r="M23" i="7" s="1"/>
  <c r="M40" i="7" s="1"/>
  <c r="E6" i="7"/>
  <c r="E23" i="7" s="1"/>
  <c r="E40" i="7" s="1"/>
  <c r="H6" i="7"/>
  <c r="H23" i="7" s="1"/>
  <c r="H40" i="7" s="1"/>
  <c r="J6" i="7"/>
  <c r="J23" i="7" s="1"/>
  <c r="J40" i="7" s="1"/>
  <c r="K6" i="7"/>
  <c r="K23" i="7" s="1"/>
  <c r="K40" i="7" s="1"/>
  <c r="D6" i="7"/>
  <c r="D23" i="7" s="1"/>
  <c r="D40" i="7" s="1"/>
  <c r="C6" i="7"/>
  <c r="C23" i="7" s="1"/>
  <c r="C40" i="7" s="1"/>
  <c r="N7" i="7"/>
  <c r="N24" i="7" s="1"/>
  <c r="N41" i="7" s="1"/>
  <c r="M7" i="7"/>
  <c r="M24" i="7" s="1"/>
  <c r="M41" i="7" s="1"/>
  <c r="E7" i="7"/>
  <c r="E24" i="7" s="1"/>
  <c r="E41" i="7" s="1"/>
  <c r="F7" i="7"/>
  <c r="F24" i="7" s="1"/>
  <c r="F41" i="7" s="1"/>
  <c r="I7" i="7"/>
  <c r="I24" i="7" s="1"/>
  <c r="I41" i="7" s="1"/>
  <c r="K7" i="7"/>
  <c r="K24" i="7" s="1"/>
  <c r="K41" i="7" s="1"/>
  <c r="D7" i="7"/>
  <c r="D24" i="7" s="1"/>
  <c r="D41" i="7" s="1"/>
  <c r="C7" i="7"/>
  <c r="C24" i="7" s="1"/>
  <c r="C41" i="7" s="1"/>
  <c r="N8" i="7"/>
  <c r="N25" i="7" s="1"/>
  <c r="N42" i="7" s="1"/>
  <c r="E8" i="7"/>
  <c r="E25" i="7" s="1"/>
  <c r="E42" i="7" s="1"/>
  <c r="G8" i="7"/>
  <c r="G25" i="7" s="1"/>
  <c r="G42" i="7" s="1"/>
  <c r="J8" i="7"/>
  <c r="J25" i="7" s="1"/>
  <c r="J42" i="7" s="1"/>
  <c r="C8" i="7"/>
  <c r="C25" i="7" s="1"/>
  <c r="C42" i="7" s="1"/>
  <c r="L9" i="7"/>
  <c r="L26" i="7" s="1"/>
  <c r="L43" i="7" s="1"/>
  <c r="E9" i="7"/>
  <c r="E26" i="7" s="1"/>
  <c r="E43" i="7" s="1"/>
  <c r="H9" i="7"/>
  <c r="H26" i="7" s="1"/>
  <c r="H43" i="7" s="1"/>
  <c r="K9" i="7"/>
  <c r="K26" i="7" s="1"/>
  <c r="K43" i="7" s="1"/>
  <c r="D9" i="7"/>
  <c r="D26" i="7" s="1"/>
  <c r="D43" i="7" s="1"/>
  <c r="C9" i="7"/>
  <c r="C26" i="7" s="1"/>
  <c r="C43" i="7" s="1"/>
  <c r="N10" i="7"/>
  <c r="N27" i="7" s="1"/>
  <c r="N44" i="7" s="1"/>
  <c r="L10" i="7"/>
  <c r="L27" i="7" s="1"/>
  <c r="L44" i="7" s="1"/>
  <c r="F10" i="7"/>
  <c r="F27" i="7" s="1"/>
  <c r="F44" i="7" s="1"/>
  <c r="I10" i="7"/>
  <c r="I27" i="7" s="1"/>
  <c r="I44" i="7" s="1"/>
  <c r="G11" i="7"/>
  <c r="G28" i="7" s="1"/>
  <c r="G45" i="7" s="1"/>
  <c r="D11" i="7"/>
  <c r="D28" i="7" s="1"/>
  <c r="D45" i="7" s="1"/>
  <c r="N13" i="7"/>
  <c r="N30" i="7" s="1"/>
  <c r="N47" i="7" s="1"/>
  <c r="L13" i="7"/>
  <c r="L30" i="7" s="1"/>
  <c r="L47" i="7" s="1"/>
  <c r="E13" i="7"/>
  <c r="E30" i="7" s="1"/>
  <c r="E47" i="7" s="1"/>
  <c r="G13" i="7"/>
  <c r="G30" i="7" s="1"/>
  <c r="G47" i="7" s="1"/>
  <c r="I13" i="7"/>
  <c r="I30" i="7" s="1"/>
  <c r="I47" i="7" s="1"/>
  <c r="J13" i="7"/>
  <c r="J30" i="7" s="1"/>
  <c r="J47" i="7" s="1"/>
  <c r="K13" i="7"/>
  <c r="K30" i="7" s="1"/>
  <c r="K47" i="7" s="1"/>
  <c r="D13" i="7"/>
  <c r="D30" i="7" s="1"/>
  <c r="D47" i="7" s="1"/>
  <c r="C13" i="7"/>
  <c r="C30" i="7" s="1"/>
  <c r="C47" i="7" s="1"/>
  <c r="L14" i="7"/>
  <c r="L31" i="7" s="1"/>
  <c r="L48" i="7" s="1"/>
  <c r="M14" i="7"/>
  <c r="M31" i="7" s="1"/>
  <c r="M48" i="7" s="1"/>
  <c r="E14" i="7"/>
  <c r="E31" i="7" s="1"/>
  <c r="E48" i="7" s="1"/>
  <c r="H14" i="7"/>
  <c r="H31" i="7" s="1"/>
  <c r="H48" i="7" s="1"/>
  <c r="J14" i="7"/>
  <c r="J31" i="7" s="1"/>
  <c r="J48" i="7" s="1"/>
  <c r="K14" i="7"/>
  <c r="K31" i="7" s="1"/>
  <c r="K48" i="7" s="1"/>
  <c r="D14" i="7"/>
  <c r="D31" i="7" s="1"/>
  <c r="D48" i="7" s="1"/>
  <c r="C14" i="7"/>
  <c r="C31" i="7" s="1"/>
  <c r="C48" i="7" s="1"/>
  <c r="N15" i="7"/>
  <c r="N32" i="7" s="1"/>
  <c r="N49" i="7" s="1"/>
  <c r="M15" i="7"/>
  <c r="M32" i="7" s="1"/>
  <c r="M49" i="7" s="1"/>
  <c r="E15" i="7"/>
  <c r="E32" i="7" s="1"/>
  <c r="E49" i="7" s="1"/>
  <c r="F15" i="7"/>
  <c r="F32" i="7" s="1"/>
  <c r="F49" i="7" s="1"/>
  <c r="G15" i="7"/>
  <c r="G32" i="7" s="1"/>
  <c r="G49" i="7" s="1"/>
  <c r="I15" i="7"/>
  <c r="I32" i="7" s="1"/>
  <c r="I49" i="7" s="1"/>
  <c r="K15" i="7"/>
  <c r="K32" i="7" s="1"/>
  <c r="K49" i="7" s="1"/>
  <c r="D15" i="7"/>
  <c r="D32" i="7" s="1"/>
  <c r="D49" i="7" s="1"/>
  <c r="C15" i="7"/>
  <c r="C32" i="7" s="1"/>
  <c r="C49" i="7" s="1"/>
  <c r="N16" i="7"/>
  <c r="N33" i="7" s="1"/>
  <c r="N50" i="7" s="1"/>
  <c r="E16" i="7"/>
  <c r="E33" i="7" s="1"/>
  <c r="E50" i="7" s="1"/>
  <c r="F16" i="7"/>
  <c r="F33" i="7" s="1"/>
  <c r="F50" i="7" s="1"/>
  <c r="G16" i="7"/>
  <c r="G33" i="7" s="1"/>
  <c r="G50" i="7" s="1"/>
  <c r="J16" i="7"/>
  <c r="J33" i="7" s="1"/>
  <c r="J50" i="7" s="1"/>
  <c r="C16" i="7"/>
  <c r="C33" i="7" s="1"/>
  <c r="C50" i="7" s="1"/>
  <c r="J15" i="1"/>
  <c r="J17" i="1" s="1"/>
  <c r="B16" i="1"/>
  <c r="B17" i="1"/>
  <c r="B10" i="1"/>
  <c r="F8" i="1"/>
  <c r="F15" i="1"/>
  <c r="N15" i="1" l="1"/>
  <c r="J16" i="1"/>
  <c r="J22" i="1" s="1"/>
  <c r="B21" i="1"/>
  <c r="B20" i="1"/>
  <c r="B22" i="1"/>
  <c r="F21" i="1"/>
  <c r="B40" i="1"/>
  <c r="B48" i="1" s="1"/>
  <c r="F20" i="1"/>
  <c r="F9" i="1"/>
  <c r="B33" i="1"/>
  <c r="J20" i="1"/>
  <c r="F16" i="1"/>
  <c r="F17" i="1"/>
  <c r="F22" i="1" l="1"/>
  <c r="J21" i="1"/>
  <c r="B39" i="1"/>
  <c r="B32" i="1"/>
  <c r="B23" i="1"/>
  <c r="N16" i="1"/>
  <c r="K21" i="1" s="1"/>
  <c r="B25" i="1" l="1"/>
  <c r="J25" i="1"/>
  <c r="L25" i="1"/>
  <c r="L24" i="1"/>
  <c r="B24" i="1"/>
  <c r="J24" i="1"/>
  <c r="L22" i="1"/>
  <c r="L20" i="1"/>
  <c r="F23" i="1"/>
  <c r="L23" i="1"/>
  <c r="N17" i="1"/>
  <c r="K23" i="1"/>
  <c r="J23" i="1"/>
  <c r="K20" i="1"/>
  <c r="K22" i="1"/>
  <c r="L21" i="1"/>
  <c r="F24" i="1" l="1"/>
  <c r="B35" i="1" s="1"/>
  <c r="B34" i="1"/>
  <c r="B41" i="1" s="1"/>
  <c r="B49" i="1" s="1"/>
  <c r="B50" i="1" s="1"/>
  <c r="F35" i="1" l="1"/>
  <c r="B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cpi</author>
    <author>XERRI</author>
  </authors>
  <commentList>
    <comment ref="B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Si Accélération nulle (vitesse constante), mettre 1e9
</t>
        </r>
      </text>
    </comment>
    <comment ref="M17" authorId="1" shapeId="0" xr:uid="{00000000-0006-0000-0000-000002000000}">
      <text>
        <r>
          <rPr>
            <b/>
            <sz val="8"/>
            <color indexed="9"/>
            <rFont val="Tahoma"/>
            <family val="2"/>
          </rPr>
          <t>Puissance des efforts résistants à vitesse constante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Couple nécessaire pour accélérer
</t>
        </r>
      </text>
    </comment>
    <comment ref="A24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Puissance nécessaire pour accélérer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24" authorId="1" shapeId="0" xr:uid="{00000000-0006-0000-0000-000005000000}">
      <text>
        <r>
          <rPr>
            <b/>
            <sz val="8"/>
            <color indexed="9"/>
            <rFont val="Tahoma"/>
            <family val="2"/>
          </rPr>
          <t>Puissance motrice à fournir</t>
        </r>
      </text>
    </comment>
    <comment ref="A35" authorId="1" shapeId="0" xr:uid="{00000000-0006-0000-0000-000006000000}">
      <text>
        <r>
          <rPr>
            <b/>
            <sz val="8"/>
            <color indexed="9"/>
            <rFont val="Tahoma"/>
            <family val="2"/>
          </rPr>
          <t>Puissance motrice à fournir</t>
        </r>
      </text>
    </comment>
    <comment ref="A42" authorId="1" shapeId="0" xr:uid="{00000000-0006-0000-0000-000007000000}">
      <text>
        <r>
          <rPr>
            <b/>
            <sz val="8"/>
            <color indexed="9"/>
            <rFont val="Tahoma"/>
            <family val="2"/>
          </rPr>
          <t>Puissance motrice à fournir</t>
        </r>
      </text>
    </comment>
  </commentList>
</comments>
</file>

<file path=xl/sharedStrings.xml><?xml version="1.0" encoding="utf-8"?>
<sst xmlns="http://schemas.openxmlformats.org/spreadsheetml/2006/main" count="151" uniqueCount="100">
  <si>
    <t>Véhicule</t>
  </si>
  <si>
    <t>Roues</t>
  </si>
  <si>
    <t>Masse véhicule</t>
  </si>
  <si>
    <t>kg</t>
  </si>
  <si>
    <t>Masse roue</t>
  </si>
  <si>
    <t>Masse pilote</t>
  </si>
  <si>
    <t>Rayon</t>
  </si>
  <si>
    <t>m</t>
  </si>
  <si>
    <t>Masse totale</t>
  </si>
  <si>
    <t>pouces</t>
  </si>
  <si>
    <t>Cx</t>
  </si>
  <si>
    <t>Diamètre</t>
  </si>
  <si>
    <t>Maître couple S</t>
  </si>
  <si>
    <t>m2</t>
  </si>
  <si>
    <t>vitesse kmh</t>
  </si>
  <si>
    <t>km/h</t>
  </si>
  <si>
    <t>Inertie</t>
  </si>
  <si>
    <t>kg/m2</t>
  </si>
  <si>
    <t>vitesse</t>
  </si>
  <si>
    <t>m/s</t>
  </si>
  <si>
    <r>
      <rPr>
        <b/>
        <sz val="14"/>
        <color indexed="9"/>
        <rFont val="Symbol"/>
        <family val="1"/>
        <charset val="2"/>
      </rPr>
      <t>w</t>
    </r>
    <r>
      <rPr>
        <b/>
        <sz val="10"/>
        <color indexed="9"/>
        <rFont val="Arial"/>
        <family val="2"/>
      </rPr>
      <t>roue</t>
    </r>
  </si>
  <si>
    <t>rad/s</t>
  </si>
  <si>
    <t>temps-acc</t>
  </si>
  <si>
    <t>s</t>
  </si>
  <si>
    <t>Nroue</t>
  </si>
  <si>
    <t>tr/mn</t>
  </si>
  <si>
    <t>accélération</t>
  </si>
  <si>
    <t>m/s2</t>
  </si>
  <si>
    <t>Résistance aérodynamique</t>
  </si>
  <si>
    <t>Résistance au roulement</t>
  </si>
  <si>
    <t>Résistance due à la pente</t>
  </si>
  <si>
    <t>Résistance totale</t>
  </si>
  <si>
    <r>
      <t>c</t>
    </r>
    <r>
      <rPr>
        <b/>
        <vertAlign val="subscript"/>
        <sz val="10"/>
        <color indexed="9"/>
        <rFont val="Arial"/>
        <family val="2"/>
      </rPr>
      <t>rr</t>
    </r>
  </si>
  <si>
    <t>Pente</t>
  </si>
  <si>
    <t>%</t>
  </si>
  <si>
    <t>Rt = Ra +Rr + Rp</t>
  </si>
  <si>
    <t>ro</t>
  </si>
  <si>
    <t>kg/m3</t>
  </si>
  <si>
    <t>delta</t>
  </si>
  <si>
    <t>alpha</t>
  </si>
  <si>
    <t>radians</t>
  </si>
  <si>
    <t>Ra</t>
  </si>
  <si>
    <t>N</t>
  </si>
  <si>
    <t>Rr</t>
  </si>
  <si>
    <t>Rp</t>
  </si>
  <si>
    <t>Rt</t>
  </si>
  <si>
    <r>
      <t>C</t>
    </r>
    <r>
      <rPr>
        <b/>
        <vertAlign val="subscript"/>
        <sz val="11"/>
        <color indexed="9"/>
        <rFont val="Arial"/>
        <family val="2"/>
      </rPr>
      <t>Ra</t>
    </r>
  </si>
  <si>
    <t>N.m</t>
  </si>
  <si>
    <r>
      <t>C</t>
    </r>
    <r>
      <rPr>
        <b/>
        <vertAlign val="subscript"/>
        <sz val="11"/>
        <color indexed="9"/>
        <rFont val="Arial"/>
        <family val="2"/>
      </rPr>
      <t>Rr</t>
    </r>
  </si>
  <si>
    <t>Cp</t>
  </si>
  <si>
    <t>Cr</t>
  </si>
  <si>
    <t xml:space="preserve"> (N.m)</t>
  </si>
  <si>
    <t>Pa</t>
  </si>
  <si>
    <t>W</t>
  </si>
  <si>
    <t>Pr</t>
  </si>
  <si>
    <t>Pp</t>
  </si>
  <si>
    <t>Efforts pour accélération</t>
  </si>
  <si>
    <t xml:space="preserve">Efforts à fournir sur roue:
Froue=Rt+Fa </t>
  </si>
  <si>
    <t>Couples</t>
  </si>
  <si>
    <t>% du couple résistant total</t>
  </si>
  <si>
    <t>% du couple à fournir sur roue</t>
  </si>
  <si>
    <t>influence inertie roue</t>
  </si>
  <si>
    <t>influence de la masse</t>
  </si>
  <si>
    <r>
      <rPr>
        <b/>
        <sz val="14"/>
        <color indexed="10"/>
        <rFont val="Symbol"/>
        <family val="1"/>
        <charset val="2"/>
      </rPr>
      <t>w</t>
    </r>
    <r>
      <rPr>
        <b/>
        <sz val="10"/>
        <color indexed="10"/>
        <rFont val="Arial"/>
        <family val="2"/>
      </rPr>
      <t>roue</t>
    </r>
  </si>
  <si>
    <t>Fa</t>
  </si>
  <si>
    <t>Froue</t>
  </si>
  <si>
    <t>Cma</t>
  </si>
  <si>
    <t>Croue</t>
  </si>
  <si>
    <t>Proue</t>
  </si>
  <si>
    <t>erreur sur le couple</t>
  </si>
  <si>
    <t>Réducteur</t>
  </si>
  <si>
    <t>Rapport de réduction</t>
  </si>
  <si>
    <t>Rendement</t>
  </si>
  <si>
    <t>Temps de course</t>
  </si>
  <si>
    <t>Moteur</t>
  </si>
  <si>
    <t>mn</t>
  </si>
  <si>
    <t>Nm</t>
  </si>
  <si>
    <r>
      <t>w</t>
    </r>
    <r>
      <rPr>
        <b/>
        <sz val="10"/>
        <color indexed="9"/>
        <rFont val="Arial"/>
        <family val="2"/>
      </rPr>
      <t>m</t>
    </r>
  </si>
  <si>
    <t>Cm</t>
  </si>
  <si>
    <t>Energie Consommée Mini</t>
  </si>
  <si>
    <t>Pm</t>
  </si>
  <si>
    <t>J</t>
  </si>
  <si>
    <t>Cas : plusieurs moteurs</t>
  </si>
  <si>
    <t>Nombre de moteurs</t>
  </si>
  <si>
    <t>Consommation électrique</t>
  </si>
  <si>
    <t>Constante de vitesse</t>
  </si>
  <si>
    <t>V/(tr/mn)</t>
  </si>
  <si>
    <t>Constante de couple</t>
  </si>
  <si>
    <t>N.m/A</t>
  </si>
  <si>
    <t>Tension Um</t>
  </si>
  <si>
    <t>V</t>
  </si>
  <si>
    <t>Intensité Im</t>
  </si>
  <si>
    <t>A</t>
  </si>
  <si>
    <t>Puissance Pm</t>
  </si>
  <si>
    <t>Energie cinétique (Joules)</t>
  </si>
  <si>
    <t>Masse (kg)</t>
  </si>
  <si>
    <t>Vitesse (km/h)</t>
  </si>
  <si>
    <t>Vitesse (m/s)</t>
  </si>
  <si>
    <t>Energie cinétique (Wh)</t>
  </si>
  <si>
    <t>Capacité batterie 48V (Ah)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</si>
</sst>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28"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Symbol"/>
      <family val="1"/>
      <charset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9"/>
      <name val="Tahoma"/>
      <family val="2"/>
    </font>
    <font>
      <b/>
      <sz val="11"/>
      <color indexed="9"/>
      <name val="Arial"/>
      <family val="2"/>
    </font>
    <font>
      <b/>
      <vertAlign val="subscript"/>
      <sz val="11"/>
      <color indexed="9"/>
      <name val="Arial"/>
      <family val="2"/>
    </font>
    <font>
      <b/>
      <sz val="10"/>
      <color indexed="10"/>
      <name val="Arial"/>
      <family val="2"/>
    </font>
    <font>
      <b/>
      <sz val="14"/>
      <color indexed="9"/>
      <name val="Symbol"/>
      <family val="1"/>
      <charset val="2"/>
    </font>
    <font>
      <sz val="10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vertAlign val="subscript"/>
      <sz val="10"/>
      <color indexed="9"/>
      <name val="Arial"/>
      <family val="2"/>
    </font>
    <font>
      <b/>
      <sz val="9"/>
      <color indexed="81"/>
      <name val="Tahoma"/>
      <family val="2"/>
    </font>
    <font>
      <b/>
      <sz val="9"/>
      <color indexed="9"/>
      <name val="Arial"/>
      <family val="2"/>
    </font>
    <font>
      <b/>
      <sz val="14"/>
      <color indexed="10"/>
      <name val="Symbol"/>
      <family val="1"/>
      <charset val="2"/>
    </font>
    <font>
      <b/>
      <sz val="10"/>
      <color rgb="FF0070C0"/>
      <name val="Arial"/>
      <family val="2"/>
    </font>
    <font>
      <b/>
      <sz val="10"/>
      <color rgb="FF009900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Symbol"/>
      <family val="1"/>
      <charset val="2"/>
    </font>
    <font>
      <b/>
      <sz val="10"/>
      <color theme="9" tint="-0.249977111117893"/>
      <name val="Arial"/>
      <family val="2"/>
    </font>
    <font>
      <b/>
      <sz val="10"/>
      <color rgb="FFFF0066"/>
      <name val="Arial"/>
      <family val="2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669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1" xfId="0" applyFont="1" applyBorder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2" fontId="2" fillId="2" borderId="1" xfId="0" applyNumberFormat="1" applyFont="1" applyFill="1" applyBorder="1" applyAlignment="1">
      <alignment vertical="center"/>
    </xf>
    <xf numFmtId="2" fontId="2" fillId="3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3" fillId="4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horizontal="right" vertical="center"/>
    </xf>
    <xf numFmtId="2" fontId="2" fillId="4" borderId="3" xfId="0" applyNumberFormat="1" applyFont="1" applyFill="1" applyBorder="1" applyAlignment="1">
      <alignment horizontal="left" vertical="center"/>
    </xf>
    <xf numFmtId="2" fontId="2" fillId="5" borderId="1" xfId="0" applyNumberFormat="1" applyFont="1" applyFill="1" applyBorder="1" applyAlignment="1">
      <alignment vertical="center"/>
    </xf>
    <xf numFmtId="2" fontId="2" fillId="6" borderId="1" xfId="0" applyNumberFormat="1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2" fontId="2" fillId="4" borderId="6" xfId="0" applyNumberFormat="1" applyFont="1" applyFill="1" applyBorder="1" applyAlignment="1">
      <alignment horizontal="right" vertical="center"/>
    </xf>
    <xf numFmtId="2" fontId="2" fillId="4" borderId="7" xfId="0" applyNumberFormat="1" applyFont="1" applyFill="1" applyBorder="1" applyAlignment="1">
      <alignment horizontal="left" vertical="center"/>
    </xf>
    <xf numFmtId="0" fontId="7" fillId="5" borderId="5" xfId="0" applyFont="1" applyFill="1" applyBorder="1" applyAlignment="1">
      <alignment vertical="center"/>
    </xf>
    <xf numFmtId="2" fontId="2" fillId="5" borderId="6" xfId="0" applyNumberFormat="1" applyFont="1" applyFill="1" applyBorder="1" applyAlignment="1">
      <alignment vertical="center"/>
    </xf>
    <xf numFmtId="2" fontId="2" fillId="5" borderId="7" xfId="0" applyNumberFormat="1" applyFont="1" applyFill="1" applyBorder="1" applyAlignment="1">
      <alignment horizontal="left" vertical="center"/>
    </xf>
    <xf numFmtId="0" fontId="7" fillId="6" borderId="5" xfId="0" applyFont="1" applyFill="1" applyBorder="1" applyAlignment="1">
      <alignment vertical="center"/>
    </xf>
    <xf numFmtId="2" fontId="2" fillId="6" borderId="6" xfId="0" applyNumberFormat="1" applyFont="1" applyFill="1" applyBorder="1" applyAlignment="1">
      <alignment vertical="center"/>
    </xf>
    <xf numFmtId="2" fontId="2" fillId="6" borderId="7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2" fillId="7" borderId="1" xfId="0" applyNumberFormat="1" applyFont="1" applyFill="1" applyBorder="1" applyAlignment="1">
      <alignment horizontal="right" vertical="center"/>
    </xf>
    <xf numFmtId="2" fontId="9" fillId="8" borderId="1" xfId="0" applyNumberFormat="1" applyFont="1" applyFill="1" applyBorder="1" applyAlignment="1">
      <alignment vertical="center"/>
    </xf>
    <xf numFmtId="0" fontId="9" fillId="8" borderId="2" xfId="0" applyFont="1" applyFill="1" applyBorder="1" applyAlignment="1">
      <alignment vertical="center"/>
    </xf>
    <xf numFmtId="2" fontId="9" fillId="8" borderId="3" xfId="0" applyNumberFormat="1" applyFont="1" applyFill="1" applyBorder="1" applyAlignment="1">
      <alignment horizontal="left" vertical="center"/>
    </xf>
    <xf numFmtId="2" fontId="2" fillId="9" borderId="1" xfId="0" applyNumberFormat="1" applyFont="1" applyFill="1" applyBorder="1" applyAlignment="1">
      <alignment horizontal="right" vertical="center"/>
    </xf>
    <xf numFmtId="0" fontId="2" fillId="9" borderId="2" xfId="0" applyFont="1" applyFill="1" applyBorder="1" applyAlignment="1">
      <alignment vertical="center"/>
    </xf>
    <xf numFmtId="2" fontId="2" fillId="9" borderId="3" xfId="0" applyNumberFormat="1" applyFont="1" applyFill="1" applyBorder="1" applyAlignment="1">
      <alignment horizontal="left" vertical="center"/>
    </xf>
    <xf numFmtId="2" fontId="2" fillId="7" borderId="8" xfId="0" applyNumberFormat="1" applyFont="1" applyFill="1" applyBorder="1" applyAlignment="1">
      <alignment horizontal="right" vertical="center"/>
    </xf>
    <xf numFmtId="2" fontId="2" fillId="7" borderId="9" xfId="0" applyNumberFormat="1" applyFont="1" applyFill="1" applyBorder="1" applyAlignment="1">
      <alignment horizontal="left" vertical="center"/>
    </xf>
    <xf numFmtId="2" fontId="2" fillId="7" borderId="3" xfId="0" applyNumberFormat="1" applyFont="1" applyFill="1" applyBorder="1" applyAlignment="1">
      <alignment horizontal="left" vertical="center"/>
    </xf>
    <xf numFmtId="0" fontId="2" fillId="7" borderId="2" xfId="0" applyFont="1" applyFill="1" applyBorder="1" applyAlignment="1">
      <alignment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20" fillId="10" borderId="2" xfId="0" applyFont="1" applyFill="1" applyBorder="1" applyAlignment="1">
      <alignment vertical="center"/>
    </xf>
    <xf numFmtId="2" fontId="20" fillId="10" borderId="1" xfId="0" applyNumberFormat="1" applyFont="1" applyFill="1" applyBorder="1" applyAlignment="1">
      <alignment vertical="center"/>
    </xf>
    <xf numFmtId="2" fontId="20" fillId="10" borderId="3" xfId="0" applyNumberFormat="1" applyFont="1" applyFill="1" applyBorder="1" applyAlignment="1">
      <alignment horizontal="left" vertical="center"/>
    </xf>
    <xf numFmtId="0" fontId="21" fillId="10" borderId="2" xfId="0" applyFont="1" applyFill="1" applyBorder="1" applyAlignment="1">
      <alignment vertical="center"/>
    </xf>
    <xf numFmtId="0" fontId="20" fillId="10" borderId="5" xfId="0" applyFont="1" applyFill="1" applyBorder="1" applyAlignment="1">
      <alignment vertical="center"/>
    </xf>
    <xf numFmtId="2" fontId="20" fillId="10" borderId="6" xfId="0" applyNumberFormat="1" applyFont="1" applyFill="1" applyBorder="1" applyAlignment="1">
      <alignment horizontal="right" vertical="center"/>
    </xf>
    <xf numFmtId="0" fontId="20" fillId="10" borderId="7" xfId="0" applyFont="1" applyFill="1" applyBorder="1" applyAlignment="1">
      <alignment horizontal="left" vertical="center"/>
    </xf>
    <xf numFmtId="0" fontId="20" fillId="11" borderId="5" xfId="0" applyFont="1" applyFill="1" applyBorder="1" applyAlignment="1">
      <alignment vertical="center"/>
    </xf>
    <xf numFmtId="0" fontId="13" fillId="7" borderId="12" xfId="0" applyFont="1" applyFill="1" applyBorder="1" applyAlignment="1">
      <alignment horizontal="left" vertical="center" wrapText="1"/>
    </xf>
    <xf numFmtId="0" fontId="20" fillId="12" borderId="1" xfId="0" applyFont="1" applyFill="1" applyBorder="1"/>
    <xf numFmtId="164" fontId="20" fillId="12" borderId="1" xfId="0" applyNumberFormat="1" applyFont="1" applyFill="1" applyBorder="1"/>
    <xf numFmtId="0" fontId="7" fillId="4" borderId="13" xfId="0" applyFont="1" applyFill="1" applyBorder="1" applyAlignment="1">
      <alignment vertical="center"/>
    </xf>
    <xf numFmtId="2" fontId="2" fillId="4" borderId="14" xfId="0" applyNumberFormat="1" applyFont="1" applyFill="1" applyBorder="1" applyAlignment="1">
      <alignment horizontal="right" vertical="center"/>
    </xf>
    <xf numFmtId="2" fontId="2" fillId="4" borderId="15" xfId="0" applyNumberFormat="1" applyFont="1" applyFill="1" applyBorder="1" applyAlignment="1">
      <alignment horizontal="left" vertical="center"/>
    </xf>
    <xf numFmtId="0" fontId="0" fillId="4" borderId="10" xfId="0" applyFill="1" applyBorder="1" applyAlignment="1">
      <alignment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7" fillId="5" borderId="13" xfId="0" applyFont="1" applyFill="1" applyBorder="1" applyAlignment="1">
      <alignment vertical="center"/>
    </xf>
    <xf numFmtId="2" fontId="2" fillId="5" borderId="14" xfId="0" applyNumberFormat="1" applyFont="1" applyFill="1" applyBorder="1" applyAlignment="1">
      <alignment vertical="center"/>
    </xf>
    <xf numFmtId="2" fontId="2" fillId="5" borderId="15" xfId="0" applyNumberFormat="1" applyFont="1" applyFill="1" applyBorder="1" applyAlignment="1">
      <alignment horizontal="left" vertical="center"/>
    </xf>
    <xf numFmtId="0" fontId="2" fillId="5" borderId="12" xfId="0" applyFont="1" applyFill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2" fillId="6" borderId="12" xfId="0" applyFont="1" applyFill="1" applyBorder="1" applyAlignment="1">
      <alignment vertical="center"/>
    </xf>
    <xf numFmtId="0" fontId="1" fillId="0" borderId="8" xfId="0" applyFont="1" applyBorder="1" applyAlignment="1" applyProtection="1">
      <alignment vertical="center"/>
      <protection locked="0"/>
    </xf>
    <xf numFmtId="0" fontId="2" fillId="6" borderId="9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2" fontId="2" fillId="6" borderId="3" xfId="0" applyNumberFormat="1" applyFont="1" applyFill="1" applyBorder="1" applyAlignment="1">
      <alignment horizontal="left" vertical="center"/>
    </xf>
    <xf numFmtId="0" fontId="1" fillId="13" borderId="1" xfId="0" applyFont="1" applyFill="1" applyBorder="1"/>
    <xf numFmtId="2" fontId="1" fillId="13" borderId="1" xfId="0" applyNumberFormat="1" applyFont="1" applyFill="1" applyBorder="1"/>
    <xf numFmtId="2" fontId="2" fillId="9" borderId="1" xfId="0" applyNumberFormat="1" applyFont="1" applyFill="1" applyBorder="1" applyAlignment="1">
      <alignment vertical="center"/>
    </xf>
    <xf numFmtId="0" fontId="13" fillId="7" borderId="13" xfId="0" applyFont="1" applyFill="1" applyBorder="1" applyAlignment="1">
      <alignment horizontal="left" vertical="center" wrapText="1"/>
    </xf>
    <xf numFmtId="2" fontId="2" fillId="7" borderId="14" xfId="0" applyNumberFormat="1" applyFont="1" applyFill="1" applyBorder="1" applyAlignment="1">
      <alignment horizontal="right" vertical="center"/>
    </xf>
    <xf numFmtId="2" fontId="2" fillId="7" borderId="15" xfId="0" applyNumberFormat="1" applyFont="1" applyFill="1" applyBorder="1" applyAlignment="1">
      <alignment horizontal="left" vertical="center"/>
    </xf>
    <xf numFmtId="0" fontId="2" fillId="7" borderId="12" xfId="0" applyFont="1" applyFill="1" applyBorder="1" applyAlignment="1">
      <alignment vertical="center"/>
    </xf>
    <xf numFmtId="2" fontId="9" fillId="8" borderId="14" xfId="0" applyNumberFormat="1" applyFont="1" applyFill="1" applyBorder="1" applyAlignment="1">
      <alignment vertical="center"/>
    </xf>
    <xf numFmtId="2" fontId="9" fillId="8" borderId="15" xfId="0" applyNumberFormat="1" applyFont="1" applyFill="1" applyBorder="1" applyAlignment="1">
      <alignment horizontal="left" vertical="center"/>
    </xf>
    <xf numFmtId="0" fontId="9" fillId="8" borderId="12" xfId="0" applyFont="1" applyFill="1" applyBorder="1" applyAlignment="1">
      <alignment vertical="center"/>
    </xf>
    <xf numFmtId="2" fontId="9" fillId="8" borderId="8" xfId="0" applyNumberFormat="1" applyFont="1" applyFill="1" applyBorder="1" applyAlignment="1">
      <alignment vertical="center"/>
    </xf>
    <xf numFmtId="2" fontId="9" fillId="8" borderId="9" xfId="0" applyNumberFormat="1" applyFont="1" applyFill="1" applyBorder="1" applyAlignment="1">
      <alignment horizontal="left" vertical="center"/>
    </xf>
    <xf numFmtId="164" fontId="1" fillId="0" borderId="18" xfId="0" applyNumberFormat="1" applyFont="1" applyBorder="1" applyAlignment="1">
      <alignment horizontal="right" vertical="center"/>
    </xf>
    <xf numFmtId="164" fontId="22" fillId="0" borderId="19" xfId="0" applyNumberFormat="1" applyFont="1" applyBorder="1" applyAlignment="1">
      <alignment horizontal="center" vertical="center"/>
    </xf>
    <xf numFmtId="164" fontId="22" fillId="0" borderId="11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right" vertical="center"/>
    </xf>
    <xf numFmtId="164" fontId="23" fillId="0" borderId="21" xfId="0" applyNumberFormat="1" applyFont="1" applyBorder="1" applyAlignment="1">
      <alignment horizontal="center" vertical="center"/>
    </xf>
    <xf numFmtId="164" fontId="23" fillId="0" borderId="22" xfId="0" applyNumberFormat="1" applyFont="1" applyBorder="1" applyAlignment="1">
      <alignment horizontal="center" vertical="center"/>
    </xf>
    <xf numFmtId="164" fontId="19" fillId="0" borderId="21" xfId="0" applyNumberFormat="1" applyFont="1" applyBorder="1" applyAlignment="1">
      <alignment horizontal="center" vertical="center"/>
    </xf>
    <xf numFmtId="164" fontId="19" fillId="0" borderId="22" xfId="0" applyNumberFormat="1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right" vertical="center"/>
    </xf>
    <xf numFmtId="164" fontId="1" fillId="0" borderId="24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8" fillId="0" borderId="26" xfId="0" applyNumberFormat="1" applyFont="1" applyBorder="1" applyAlignment="1">
      <alignment horizontal="right" vertical="center"/>
    </xf>
    <xf numFmtId="0" fontId="0" fillId="0" borderId="27" xfId="0" applyBorder="1" applyAlignment="1">
      <alignment vertical="center"/>
    </xf>
    <xf numFmtId="164" fontId="18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right" vertical="center"/>
    </xf>
    <xf numFmtId="0" fontId="0" fillId="0" borderId="30" xfId="0" applyBorder="1" applyAlignment="1">
      <alignment vertical="center"/>
    </xf>
    <xf numFmtId="0" fontId="1" fillId="0" borderId="31" xfId="0" applyFont="1" applyBorder="1" applyAlignment="1">
      <alignment horizontal="center" vertical="center"/>
    </xf>
    <xf numFmtId="0" fontId="13" fillId="7" borderId="32" xfId="0" applyFont="1" applyFill="1" applyBorder="1" applyAlignment="1">
      <alignment horizontal="left" vertical="center" wrapText="1"/>
    </xf>
    <xf numFmtId="2" fontId="2" fillId="7" borderId="33" xfId="0" applyNumberFormat="1" applyFont="1" applyFill="1" applyBorder="1" applyAlignment="1">
      <alignment horizontal="right" vertical="center"/>
    </xf>
    <xf numFmtId="2" fontId="2" fillId="7" borderId="34" xfId="0" applyNumberFormat="1" applyFont="1" applyFill="1" applyBorder="1" applyAlignment="1">
      <alignment horizontal="left" vertical="center"/>
    </xf>
    <xf numFmtId="0" fontId="9" fillId="8" borderId="5" xfId="0" applyFont="1" applyFill="1" applyBorder="1" applyAlignment="1">
      <alignment vertical="center"/>
    </xf>
    <xf numFmtId="11" fontId="1" fillId="0" borderId="1" xfId="0" applyNumberFormat="1" applyFont="1" applyBorder="1" applyAlignment="1" applyProtection="1">
      <alignment vertical="center"/>
      <protection locked="0"/>
    </xf>
    <xf numFmtId="0" fontId="20" fillId="14" borderId="12" xfId="0" applyFont="1" applyFill="1" applyBorder="1" applyAlignment="1">
      <alignment horizontal="left" vertical="center"/>
    </xf>
    <xf numFmtId="0" fontId="20" fillId="15" borderId="2" xfId="0" applyFont="1" applyFill="1" applyBorder="1" applyAlignment="1">
      <alignment horizontal="left" vertical="center"/>
    </xf>
    <xf numFmtId="0" fontId="20" fillId="16" borderId="2" xfId="0" applyFont="1" applyFill="1" applyBorder="1" applyAlignment="1">
      <alignment horizontal="left" vertical="center"/>
    </xf>
    <xf numFmtId="0" fontId="20" fillId="17" borderId="13" xfId="0" applyFont="1" applyFill="1" applyBorder="1" applyAlignment="1">
      <alignment horizontal="left" vertical="center"/>
    </xf>
    <xf numFmtId="0" fontId="20" fillId="18" borderId="32" xfId="0" applyFont="1" applyFill="1" applyBorder="1" applyAlignment="1">
      <alignment horizontal="left" vertical="center"/>
    </xf>
    <xf numFmtId="0" fontId="1" fillId="19" borderId="35" xfId="0" applyFont="1" applyFill="1" applyBorder="1" applyAlignment="1">
      <alignment horizontal="left" vertical="center"/>
    </xf>
    <xf numFmtId="0" fontId="12" fillId="0" borderId="27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6" fillId="20" borderId="2" xfId="0" applyFont="1" applyFill="1" applyBorder="1" applyAlignment="1">
      <alignment vertical="center"/>
    </xf>
    <xf numFmtId="0" fontId="9" fillId="8" borderId="13" xfId="0" applyFont="1" applyFill="1" applyBorder="1" applyAlignment="1">
      <alignment vertical="center"/>
    </xf>
    <xf numFmtId="0" fontId="24" fillId="8" borderId="1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0" borderId="3" xfId="0" applyFill="1" applyBorder="1" applyAlignment="1">
      <alignment horizontal="center" vertical="center"/>
    </xf>
    <xf numFmtId="0" fontId="20" fillId="20" borderId="5" xfId="0" applyFont="1" applyFill="1" applyBorder="1" applyAlignment="1">
      <alignment vertical="center"/>
    </xf>
    <xf numFmtId="0" fontId="0" fillId="20" borderId="7" xfId="0" applyFill="1" applyBorder="1" applyAlignment="1">
      <alignment horizontal="center" vertical="center"/>
    </xf>
    <xf numFmtId="0" fontId="25" fillId="10" borderId="36" xfId="0" applyFont="1" applyFill="1" applyBorder="1" applyAlignment="1">
      <alignment vertical="center"/>
    </xf>
    <xf numFmtId="2" fontId="20" fillId="10" borderId="37" xfId="0" applyNumberFormat="1" applyFont="1" applyFill="1" applyBorder="1" applyAlignment="1">
      <alignment vertical="center"/>
    </xf>
    <xf numFmtId="2" fontId="20" fillId="10" borderId="38" xfId="0" applyNumberFormat="1" applyFont="1" applyFill="1" applyBorder="1" applyAlignment="1">
      <alignment horizontal="left" vertical="center"/>
    </xf>
    <xf numFmtId="0" fontId="20" fillId="11" borderId="12" xfId="0" applyFont="1" applyFill="1" applyBorder="1" applyAlignment="1">
      <alignment vertical="center"/>
    </xf>
    <xf numFmtId="2" fontId="20" fillId="11" borderId="8" xfId="0" applyNumberFormat="1" applyFont="1" applyFill="1" applyBorder="1" applyAlignment="1">
      <alignment horizontal="right" vertical="center"/>
    </xf>
    <xf numFmtId="0" fontId="20" fillId="11" borderId="9" xfId="0" applyFont="1" applyFill="1" applyBorder="1" applyAlignment="1">
      <alignment horizontal="left" vertical="center"/>
    </xf>
    <xf numFmtId="2" fontId="20" fillId="11" borderId="6" xfId="0" applyNumberFormat="1" applyFont="1" applyFill="1" applyBorder="1" applyAlignment="1">
      <alignment vertical="center"/>
    </xf>
    <xf numFmtId="2" fontId="20" fillId="11" borderId="7" xfId="0" applyNumberFormat="1" applyFont="1" applyFill="1" applyBorder="1" applyAlignment="1">
      <alignment horizontal="left" vertical="center"/>
    </xf>
    <xf numFmtId="0" fontId="25" fillId="11" borderId="12" xfId="0" applyFont="1" applyFill="1" applyBorder="1" applyAlignment="1">
      <alignment vertical="center"/>
    </xf>
    <xf numFmtId="2" fontId="20" fillId="11" borderId="8" xfId="0" applyNumberFormat="1" applyFont="1" applyFill="1" applyBorder="1" applyAlignment="1">
      <alignment vertical="center"/>
    </xf>
    <xf numFmtId="2" fontId="20" fillId="11" borderId="9" xfId="0" applyNumberFormat="1" applyFont="1" applyFill="1" applyBorder="1" applyAlignment="1">
      <alignment horizontal="left" vertical="center"/>
    </xf>
    <xf numFmtId="0" fontId="21" fillId="11" borderId="5" xfId="0" applyFont="1" applyFill="1" applyBorder="1" applyAlignment="1">
      <alignment vertical="center"/>
    </xf>
    <xf numFmtId="0" fontId="20" fillId="11" borderId="39" xfId="0" applyFont="1" applyFill="1" applyBorder="1" applyAlignment="1">
      <alignment horizontal="left" vertical="center"/>
    </xf>
    <xf numFmtId="0" fontId="20" fillId="11" borderId="40" xfId="0" applyFont="1" applyFill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vertical="center"/>
    </xf>
    <xf numFmtId="0" fontId="26" fillId="14" borderId="1" xfId="0" applyFont="1" applyFill="1" applyBorder="1" applyAlignment="1">
      <alignment vertical="center"/>
    </xf>
    <xf numFmtId="1" fontId="26" fillId="14" borderId="1" xfId="0" applyNumberFormat="1" applyFont="1" applyFill="1" applyBorder="1" applyAlignment="1">
      <alignment vertical="center"/>
    </xf>
    <xf numFmtId="0" fontId="26" fillId="14" borderId="37" xfId="0" applyFont="1" applyFill="1" applyBorder="1" applyAlignment="1">
      <alignment vertical="center"/>
    </xf>
    <xf numFmtId="0" fontId="0" fillId="0" borderId="12" xfId="0" applyBorder="1"/>
    <xf numFmtId="0" fontId="11" fillId="21" borderId="9" xfId="0" applyFont="1" applyFill="1" applyBorder="1"/>
    <xf numFmtId="0" fontId="0" fillId="0" borderId="13" xfId="0" applyBorder="1"/>
    <xf numFmtId="0" fontId="11" fillId="21" borderId="15" xfId="0" applyFont="1" applyFill="1" applyBorder="1"/>
    <xf numFmtId="0" fontId="0" fillId="21" borderId="32" xfId="0" applyFill="1" applyBorder="1"/>
    <xf numFmtId="0" fontId="11" fillId="21" borderId="34" xfId="0" applyFont="1" applyFill="1" applyBorder="1"/>
    <xf numFmtId="0" fontId="2" fillId="3" borderId="12" xfId="0" applyFont="1" applyFill="1" applyBorder="1" applyAlignment="1">
      <alignment vertical="center"/>
    </xf>
    <xf numFmtId="0" fontId="2" fillId="3" borderId="9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left" vertical="center"/>
    </xf>
    <xf numFmtId="0" fontId="1" fillId="0" borderId="6" xfId="0" applyFont="1" applyBorder="1" applyAlignment="1" applyProtection="1">
      <alignment vertical="center"/>
      <protection locked="0"/>
    </xf>
    <xf numFmtId="2" fontId="1" fillId="0" borderId="16" xfId="0" applyNumberFormat="1" applyFont="1" applyBorder="1" applyAlignment="1" applyProtection="1">
      <alignment horizontal="right" vertical="center"/>
      <protection locked="0"/>
    </xf>
    <xf numFmtId="0" fontId="2" fillId="3" borderId="17" xfId="0" applyFont="1" applyFill="1" applyBorder="1" applyAlignment="1">
      <alignment horizontal="left" vertical="center"/>
    </xf>
    <xf numFmtId="2" fontId="2" fillId="3" borderId="6" xfId="0" applyNumberFormat="1" applyFont="1" applyFill="1" applyBorder="1" applyAlignment="1">
      <alignment horizontal="right" vertical="center"/>
    </xf>
    <xf numFmtId="166" fontId="2" fillId="2" borderId="1" xfId="0" applyNumberFormat="1" applyFont="1" applyFill="1" applyBorder="1" applyAlignment="1">
      <alignment vertical="center"/>
    </xf>
    <xf numFmtId="11" fontId="2" fillId="2" borderId="1" xfId="0" applyNumberFormat="1" applyFont="1" applyFill="1" applyBorder="1" applyAlignment="1">
      <alignment vertical="center"/>
    </xf>
    <xf numFmtId="166" fontId="1" fillId="0" borderId="8" xfId="0" applyNumberFormat="1" applyFont="1" applyBorder="1" applyAlignment="1" applyProtection="1">
      <alignment vertical="center"/>
      <protection locked="0"/>
    </xf>
    <xf numFmtId="0" fontId="2" fillId="3" borderId="7" xfId="0" applyFont="1" applyFill="1" applyBorder="1" applyAlignment="1">
      <alignment horizontal="right" vertical="center"/>
    </xf>
    <xf numFmtId="0" fontId="20" fillId="12" borderId="1" xfId="0" applyFont="1" applyFill="1" applyBorder="1" applyAlignment="1">
      <alignment horizontal="center" vertical="center"/>
    </xf>
    <xf numFmtId="0" fontId="2" fillId="20" borderId="19" xfId="0" applyFont="1" applyFill="1" applyBorder="1" applyAlignment="1">
      <alignment horizontal="center" vertical="center"/>
    </xf>
    <xf numFmtId="0" fontId="2" fillId="20" borderId="48" xfId="0" applyFont="1" applyFill="1" applyBorder="1" applyAlignment="1">
      <alignment horizontal="center" vertical="center"/>
    </xf>
    <xf numFmtId="0" fontId="2" fillId="20" borderId="49" xfId="0" applyFont="1" applyFill="1" applyBorder="1" applyAlignment="1">
      <alignment horizontal="center" vertical="center"/>
    </xf>
    <xf numFmtId="0" fontId="25" fillId="10" borderId="27" xfId="0" applyFont="1" applyFill="1" applyBorder="1" applyAlignment="1">
      <alignment horizontal="center" vertical="center"/>
    </xf>
    <xf numFmtId="0" fontId="25" fillId="10" borderId="46" xfId="0" applyFont="1" applyFill="1" applyBorder="1" applyAlignment="1">
      <alignment horizontal="center" vertical="center"/>
    </xf>
    <xf numFmtId="0" fontId="25" fillId="10" borderId="47" xfId="0" applyFont="1" applyFill="1" applyBorder="1" applyAlignment="1">
      <alignment horizontal="center" vertical="center"/>
    </xf>
    <xf numFmtId="0" fontId="20" fillId="11" borderId="27" xfId="0" applyFont="1" applyFill="1" applyBorder="1" applyAlignment="1">
      <alignment horizontal="center" vertical="center"/>
    </xf>
    <xf numFmtId="0" fontId="20" fillId="11" borderId="46" xfId="0" applyFont="1" applyFill="1" applyBorder="1" applyAlignment="1">
      <alignment horizontal="center" vertical="center"/>
    </xf>
    <xf numFmtId="0" fontId="20" fillId="11" borderId="47" xfId="0" applyFont="1" applyFill="1" applyBorder="1" applyAlignment="1">
      <alignment horizontal="center" vertical="center"/>
    </xf>
    <xf numFmtId="0" fontId="0" fillId="21" borderId="10" xfId="0" applyFill="1" applyBorder="1" applyAlignment="1">
      <alignment horizontal="left"/>
    </xf>
    <xf numFmtId="0" fontId="0" fillId="21" borderId="17" xfId="0" applyFill="1" applyBorder="1" applyAlignment="1">
      <alignment horizontal="left"/>
    </xf>
    <xf numFmtId="0" fontId="2" fillId="9" borderId="42" xfId="0" applyFont="1" applyFill="1" applyBorder="1" applyAlignment="1">
      <alignment horizontal="center" vertical="center"/>
    </xf>
    <xf numFmtId="0" fontId="2" fillId="9" borderId="43" xfId="0" applyFont="1" applyFill="1" applyBorder="1" applyAlignment="1">
      <alignment horizontal="center" vertical="center"/>
    </xf>
    <xf numFmtId="0" fontId="2" fillId="9" borderId="44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27" fillId="17" borderId="10" xfId="0" applyFont="1" applyFill="1" applyBorder="1" applyAlignment="1">
      <alignment horizontal="center" vertical="center"/>
    </xf>
    <xf numFmtId="0" fontId="27" fillId="17" borderId="16" xfId="0" applyFont="1" applyFill="1" applyBorder="1" applyAlignment="1">
      <alignment horizontal="center" vertical="center"/>
    </xf>
    <xf numFmtId="0" fontId="27" fillId="17" borderId="17" xfId="0" applyFont="1" applyFill="1" applyBorder="1" applyAlignment="1">
      <alignment horizontal="center" vertical="center"/>
    </xf>
    <xf numFmtId="0" fontId="27" fillId="17" borderId="4" xfId="0" applyFont="1" applyFill="1" applyBorder="1" applyAlignment="1">
      <alignment horizontal="center" vertical="center"/>
    </xf>
    <xf numFmtId="0" fontId="27" fillId="17" borderId="0" xfId="0" applyFont="1" applyFill="1" applyAlignment="1">
      <alignment horizontal="center" vertical="center"/>
    </xf>
    <xf numFmtId="0" fontId="27" fillId="17" borderId="45" xfId="0" applyFon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2" fillId="7" borderId="27" xfId="0" applyFont="1" applyFill="1" applyBorder="1" applyAlignment="1">
      <alignment horizontal="center" vertical="center" wrapText="1"/>
    </xf>
    <xf numFmtId="0" fontId="2" fillId="7" borderId="46" xfId="0" applyFont="1" applyFill="1" applyBorder="1" applyAlignment="1">
      <alignment horizontal="center" vertical="center" wrapText="1"/>
    </xf>
    <xf numFmtId="0" fontId="2" fillId="7" borderId="4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4" borderId="3" xfId="0" applyFont="1" applyFill="1" applyBorder="1" applyAlignment="1">
      <alignment horizontal="left" vertical="center"/>
    </xf>
    <xf numFmtId="0" fontId="2" fillId="9" borderId="5" xfId="0" applyFont="1" applyFill="1" applyBorder="1" applyAlignment="1">
      <alignment vertical="center"/>
    </xf>
    <xf numFmtId="2" fontId="2" fillId="9" borderId="6" xfId="0" applyNumberFormat="1" applyFont="1" applyFill="1" applyBorder="1" applyAlignment="1">
      <alignment horizontal="right" vertical="center"/>
    </xf>
    <xf numFmtId="0" fontId="2" fillId="9" borderId="7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vertical="center"/>
    </xf>
    <xf numFmtId="2" fontId="2" fillId="7" borderId="6" xfId="0" applyNumberFormat="1" applyFont="1" applyFill="1" applyBorder="1" applyAlignment="1">
      <alignment horizontal="right" vertical="center"/>
    </xf>
    <xf numFmtId="0" fontId="2" fillId="7" borderId="7" xfId="0" applyFont="1" applyFill="1" applyBorder="1" applyAlignment="1">
      <alignment horizontal="left" vertical="center"/>
    </xf>
    <xf numFmtId="2" fontId="9" fillId="8" borderId="6" xfId="0" applyNumberFormat="1" applyFont="1" applyFill="1" applyBorder="1" applyAlignment="1">
      <alignment horizontal="right" vertical="center"/>
    </xf>
    <xf numFmtId="0" fontId="9" fillId="8" borderId="7" xfId="0" applyFont="1" applyFill="1" applyBorder="1" applyAlignment="1">
      <alignment horizontal="left" vertical="center"/>
    </xf>
    <xf numFmtId="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</xdr:colOff>
      <xdr:row>0</xdr:row>
      <xdr:rowOff>0</xdr:rowOff>
    </xdr:from>
    <xdr:to>
      <xdr:col>15</xdr:col>
      <xdr:colOff>731520</xdr:colOff>
      <xdr:row>9</xdr:row>
      <xdr:rowOff>38100</xdr:rowOff>
    </xdr:to>
    <xdr:pic>
      <xdr:nvPicPr>
        <xdr:cNvPr id="1278" name="Picture 98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91200" y="0"/>
          <a:ext cx="6172200" cy="23241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"/>
  <sheetViews>
    <sheetView tabSelected="1" workbookViewId="0">
      <selection activeCell="F35" sqref="F35"/>
    </sheetView>
  </sheetViews>
  <sheetFormatPr defaultColWidth="11.42578125" defaultRowHeight="13.15"/>
  <cols>
    <col min="1" max="1" width="20.140625" customWidth="1"/>
    <col min="2" max="2" width="13.28515625" style="1" customWidth="1"/>
    <col min="3" max="3" width="11.85546875" style="1" customWidth="1"/>
    <col min="4" max="4" width="2.7109375" customWidth="1"/>
    <col min="6" max="6" width="11.5703125" bestFit="1" customWidth="1"/>
    <col min="7" max="7" width="10.28515625" customWidth="1"/>
    <col min="8" max="8" width="2.7109375" customWidth="1"/>
    <col min="9" max="9" width="15" customWidth="1"/>
    <col min="10" max="10" width="11.7109375" customWidth="1"/>
    <col min="12" max="12" width="8.7109375" customWidth="1"/>
    <col min="13" max="13" width="11.42578125" customWidth="1"/>
    <col min="14" max="14" width="9.7109375" customWidth="1"/>
    <col min="15" max="15" width="11.7109375" customWidth="1"/>
  </cols>
  <sheetData>
    <row r="1" spans="1:19" ht="21.75" customHeight="1" thickBot="1">
      <c r="A1" s="201" t="s">
        <v>0</v>
      </c>
      <c r="B1" s="202"/>
      <c r="C1" s="203"/>
      <c r="D1" s="2"/>
      <c r="E1" s="200" t="s">
        <v>1</v>
      </c>
      <c r="F1" s="200"/>
      <c r="G1" s="200"/>
      <c r="H1" s="2"/>
      <c r="I1" s="2"/>
      <c r="J1" s="2"/>
      <c r="K1" s="2"/>
    </row>
    <row r="2" spans="1:19" ht="20.100000000000001" customHeight="1">
      <c r="A2" s="158" t="s">
        <v>2</v>
      </c>
      <c r="B2" s="77">
        <v>35</v>
      </c>
      <c r="C2" s="159" t="s">
        <v>3</v>
      </c>
      <c r="D2" s="2"/>
      <c r="E2" s="126" t="s">
        <v>4</v>
      </c>
      <c r="F2" s="3">
        <v>0</v>
      </c>
      <c r="G2" s="4" t="s">
        <v>3</v>
      </c>
      <c r="H2" s="2"/>
      <c r="I2" s="2"/>
      <c r="J2" s="2"/>
      <c r="K2" s="2"/>
    </row>
    <row r="3" spans="1:19" ht="20.100000000000001" customHeight="1">
      <c r="A3" s="160" t="s">
        <v>5</v>
      </c>
      <c r="B3" s="3">
        <v>55</v>
      </c>
      <c r="C3" s="161" t="s">
        <v>3</v>
      </c>
      <c r="D3" s="2"/>
      <c r="E3" s="126" t="s">
        <v>6</v>
      </c>
      <c r="F3" s="52">
        <v>0.254</v>
      </c>
      <c r="G3" s="4" t="s">
        <v>7</v>
      </c>
      <c r="H3" s="2"/>
      <c r="I3" s="2"/>
      <c r="J3" s="2"/>
      <c r="K3" s="2"/>
    </row>
    <row r="4" spans="1:19" ht="20.100000000000001" customHeight="1" thickBot="1">
      <c r="A4" s="162" t="s">
        <v>8</v>
      </c>
      <c r="B4" s="171">
        <f>Masse_vehicle+Masse_pilote</f>
        <v>90</v>
      </c>
      <c r="C4" s="163" t="s">
        <v>3</v>
      </c>
      <c r="D4" s="2"/>
      <c r="E4" s="126" t="s">
        <v>6</v>
      </c>
      <c r="F4" s="6">
        <f>Rayon/0.0254</f>
        <v>10</v>
      </c>
      <c r="G4" s="7" t="s">
        <v>9</v>
      </c>
      <c r="H4" s="2"/>
      <c r="I4" s="2"/>
      <c r="J4" s="2"/>
      <c r="K4" s="2"/>
    </row>
    <row r="5" spans="1:19" ht="20.100000000000001" customHeight="1">
      <c r="A5" s="158" t="s">
        <v>10</v>
      </c>
      <c r="B5" s="170">
        <v>0.12</v>
      </c>
      <c r="C5" s="159"/>
      <c r="D5" s="2"/>
      <c r="E5" s="5" t="s">
        <v>11</v>
      </c>
      <c r="F5" s="168">
        <f>Rayon*2</f>
        <v>0.50800000000000001</v>
      </c>
      <c r="G5" s="4" t="s">
        <v>7</v>
      </c>
      <c r="H5" s="2"/>
      <c r="I5" s="2"/>
      <c r="J5" s="2"/>
      <c r="K5" s="2"/>
    </row>
    <row r="6" spans="1:19" ht="20.100000000000001" customHeight="1" thickBot="1">
      <c r="A6" s="162" t="s">
        <v>12</v>
      </c>
      <c r="B6" s="164">
        <v>0.33600000000000002</v>
      </c>
      <c r="C6" s="163" t="s">
        <v>13</v>
      </c>
      <c r="D6" s="2"/>
      <c r="E6" s="5" t="s">
        <v>11</v>
      </c>
      <c r="F6" s="6">
        <f>Rayon*2/0.0254</f>
        <v>20</v>
      </c>
      <c r="G6" s="7" t="s">
        <v>9</v>
      </c>
      <c r="H6" s="2"/>
      <c r="I6" s="2"/>
      <c r="J6" s="2"/>
      <c r="K6" s="2"/>
    </row>
    <row r="7" spans="1:19" ht="20.100000000000001" customHeight="1">
      <c r="A7" s="158" t="s">
        <v>14</v>
      </c>
      <c r="B7" s="165">
        <v>25</v>
      </c>
      <c r="C7" s="166" t="s">
        <v>15</v>
      </c>
      <c r="D7" s="2"/>
      <c r="E7" s="126" t="s">
        <v>16</v>
      </c>
      <c r="F7" s="169">
        <f>0.5*Masse_roue*Rayon^2</f>
        <v>0</v>
      </c>
      <c r="G7" s="4" t="s">
        <v>17</v>
      </c>
      <c r="H7" s="2"/>
      <c r="I7" s="2"/>
      <c r="J7" s="2"/>
      <c r="K7" s="2"/>
    </row>
    <row r="8" spans="1:19" ht="20.100000000000001" customHeight="1">
      <c r="A8" s="160" t="s">
        <v>18</v>
      </c>
      <c r="B8" s="9">
        <f>vitessekmh*1000/3600</f>
        <v>6.9444444444444446</v>
      </c>
      <c r="C8" s="161" t="s">
        <v>19</v>
      </c>
      <c r="D8" s="2"/>
      <c r="E8" s="10" t="s">
        <v>20</v>
      </c>
      <c r="F8" s="8">
        <f>vitesse/Rayon</f>
        <v>27.340332458442695</v>
      </c>
      <c r="G8" s="4" t="s">
        <v>21</v>
      </c>
      <c r="H8" s="2"/>
      <c r="I8" s="2"/>
      <c r="J8" s="2"/>
      <c r="K8" s="2"/>
      <c r="L8" s="2"/>
    </row>
    <row r="9" spans="1:19" ht="20.100000000000001" customHeight="1">
      <c r="A9" s="160" t="s">
        <v>22</v>
      </c>
      <c r="B9" s="114">
        <v>10000000</v>
      </c>
      <c r="C9" s="161" t="s">
        <v>23</v>
      </c>
      <c r="D9" s="2"/>
      <c r="E9" s="126" t="s">
        <v>24</v>
      </c>
      <c r="F9" s="8">
        <f>w*30/PI()</f>
        <v>261.0809433922168</v>
      </c>
      <c r="G9" s="4" t="s">
        <v>25</v>
      </c>
      <c r="H9" s="2"/>
      <c r="I9" s="2"/>
      <c r="J9" s="2"/>
      <c r="K9" s="2"/>
      <c r="L9" s="2"/>
    </row>
    <row r="10" spans="1:19" ht="20.100000000000001" customHeight="1" thickBot="1">
      <c r="A10" s="162" t="s">
        <v>26</v>
      </c>
      <c r="B10" s="167">
        <f>vitesse/temps_acc</f>
        <v>6.9444444444444448E-7</v>
      </c>
      <c r="C10" s="163" t="s">
        <v>27</v>
      </c>
      <c r="D10" s="2"/>
      <c r="E10" s="2"/>
      <c r="F10" s="2"/>
      <c r="G10" s="2"/>
      <c r="H10" s="2"/>
      <c r="I10" s="2"/>
      <c r="J10" s="2"/>
      <c r="K10" s="2"/>
      <c r="L10" s="2"/>
      <c r="M10" s="196"/>
      <c r="N10" s="196"/>
      <c r="O10" s="196"/>
      <c r="P10" s="196"/>
      <c r="Q10" s="196"/>
      <c r="R10" s="196"/>
      <c r="S10" s="196"/>
    </row>
    <row r="11" spans="1:19" ht="13.5" customHeight="1" thickBot="1">
      <c r="A11" s="2"/>
      <c r="B11" s="11"/>
      <c r="C11" s="11"/>
      <c r="D11" s="2"/>
      <c r="E11" s="2"/>
      <c r="F11" s="2"/>
      <c r="G11" s="2"/>
      <c r="H11" s="2"/>
      <c r="I11" s="2"/>
      <c r="J11" s="2"/>
      <c r="K11" s="2"/>
      <c r="L11" s="2"/>
    </row>
    <row r="12" spans="1:19" ht="15.95" customHeight="1" thickBot="1">
      <c r="A12" s="207" t="s">
        <v>28</v>
      </c>
      <c r="B12" s="208"/>
      <c r="C12" s="209"/>
      <c r="D12" s="12"/>
      <c r="E12" s="210" t="s">
        <v>29</v>
      </c>
      <c r="F12" s="211"/>
      <c r="G12" s="212"/>
      <c r="H12" s="12"/>
      <c r="I12" s="204" t="s">
        <v>30</v>
      </c>
      <c r="J12" s="205"/>
      <c r="K12" s="206"/>
      <c r="M12" s="184" t="s">
        <v>31</v>
      </c>
      <c r="N12" s="185"/>
      <c r="O12" s="186"/>
    </row>
    <row r="13" spans="1:19" ht="20.25" customHeight="1">
      <c r="A13" s="67"/>
      <c r="B13" s="68"/>
      <c r="C13" s="69"/>
      <c r="D13" s="2"/>
      <c r="E13" s="73" t="s">
        <v>32</v>
      </c>
      <c r="F13" s="74">
        <v>5.0000000000000001E-3</v>
      </c>
      <c r="G13" s="75"/>
      <c r="H13" s="12"/>
      <c r="I13" s="76" t="s">
        <v>33</v>
      </c>
      <c r="J13" s="77">
        <v>0</v>
      </c>
      <c r="K13" s="78" t="s">
        <v>34</v>
      </c>
      <c r="M13" s="190" t="s">
        <v>35</v>
      </c>
      <c r="N13" s="191"/>
      <c r="O13" s="192"/>
    </row>
    <row r="14" spans="1:19" ht="18" customHeight="1">
      <c r="A14" s="13" t="s">
        <v>36</v>
      </c>
      <c r="B14" s="215">
        <v>1.2</v>
      </c>
      <c r="C14" s="216" t="s">
        <v>37</v>
      </c>
      <c r="D14" s="2"/>
      <c r="E14" s="14" t="s">
        <v>38</v>
      </c>
      <c r="F14" s="148">
        <f>crr*Rayon</f>
        <v>1.2700000000000001E-3</v>
      </c>
      <c r="G14" s="15" t="s">
        <v>7</v>
      </c>
      <c r="H14" s="12"/>
      <c r="I14" s="16" t="s">
        <v>39</v>
      </c>
      <c r="J14" s="22">
        <f>ATAN(Pente/100)</f>
        <v>0</v>
      </c>
      <c r="K14" s="17" t="s">
        <v>40</v>
      </c>
      <c r="M14" s="193"/>
      <c r="N14" s="194"/>
      <c r="O14" s="195"/>
    </row>
    <row r="15" spans="1:19" ht="18" customHeight="1">
      <c r="A15" s="18" t="s">
        <v>41</v>
      </c>
      <c r="B15" s="19">
        <f>0.5*ro*Cx*S*vitesse^2</f>
        <v>1.1666666666666665</v>
      </c>
      <c r="C15" s="20" t="s">
        <v>42</v>
      </c>
      <c r="D15" s="2"/>
      <c r="E15" s="14" t="s">
        <v>43</v>
      </c>
      <c r="F15" s="21">
        <f>Masse_totale*9.81*crr</f>
        <v>4.4145000000000003</v>
      </c>
      <c r="G15" s="15" t="s">
        <v>42</v>
      </c>
      <c r="H15" s="12"/>
      <c r="I15" s="16" t="s">
        <v>44</v>
      </c>
      <c r="J15" s="22">
        <f>Masse_totale*9.81*SIN(alpha)</f>
        <v>0</v>
      </c>
      <c r="K15" s="17" t="s">
        <v>42</v>
      </c>
      <c r="M15" s="38" t="s">
        <v>45</v>
      </c>
      <c r="N15" s="83">
        <f>Ra+Rr+Rp</f>
        <v>5.5811666666666664</v>
      </c>
      <c r="O15" s="145" t="s">
        <v>42</v>
      </c>
    </row>
    <row r="16" spans="1:19" ht="18" customHeight="1">
      <c r="A16" s="64" t="s">
        <v>46</v>
      </c>
      <c r="B16" s="65">
        <f>Ra*Rayon</f>
        <v>0.29633333333333328</v>
      </c>
      <c r="C16" s="66" t="s">
        <v>47</v>
      </c>
      <c r="D16" s="12"/>
      <c r="E16" s="70" t="s">
        <v>48</v>
      </c>
      <c r="F16" s="71">
        <f>Rr*Rayon</f>
        <v>1.121283</v>
      </c>
      <c r="G16" s="72" t="s">
        <v>47</v>
      </c>
      <c r="H16" s="12"/>
      <c r="I16" s="79" t="s">
        <v>49</v>
      </c>
      <c r="J16" s="22">
        <f>Rp*Rayon</f>
        <v>0</v>
      </c>
      <c r="K16" s="80" t="s">
        <v>47</v>
      </c>
      <c r="M16" s="38" t="s">
        <v>50</v>
      </c>
      <c r="N16" s="37">
        <f>Caero+Croul+Cpente</f>
        <v>1.4176163333333334</v>
      </c>
      <c r="O16" s="39" t="s">
        <v>51</v>
      </c>
    </row>
    <row r="17" spans="1:15" ht="18" customHeight="1" thickBot="1">
      <c r="A17" s="23" t="s">
        <v>52</v>
      </c>
      <c r="B17" s="24">
        <f>Ra*vitesse</f>
        <v>8.1018518518518512</v>
      </c>
      <c r="C17" s="25" t="s">
        <v>53</v>
      </c>
      <c r="D17" s="12"/>
      <c r="E17" s="26" t="s">
        <v>54</v>
      </c>
      <c r="F17" s="27">
        <f>Rr*vitesse</f>
        <v>30.656250000000004</v>
      </c>
      <c r="G17" s="28" t="s">
        <v>53</v>
      </c>
      <c r="H17" s="12"/>
      <c r="I17" s="29" t="s">
        <v>55</v>
      </c>
      <c r="J17" s="30">
        <f>Rp*vitesse</f>
        <v>0</v>
      </c>
      <c r="K17" s="31" t="s">
        <v>53</v>
      </c>
      <c r="M17" s="217" t="s">
        <v>54</v>
      </c>
      <c r="N17" s="218">
        <f>Cr*w</f>
        <v>38.758101851851855</v>
      </c>
      <c r="O17" s="219" t="s">
        <v>53</v>
      </c>
    </row>
    <row r="18" spans="1:15" ht="15.95" customHeight="1" thickBot="1">
      <c r="A18" s="2"/>
      <c r="B18" s="11"/>
      <c r="C18" s="11"/>
      <c r="D18" s="2"/>
      <c r="E18" s="2"/>
      <c r="F18" s="2"/>
      <c r="G18" s="2"/>
      <c r="H18" s="2"/>
      <c r="I18" s="2"/>
      <c r="J18" s="32"/>
      <c r="K18" s="2"/>
      <c r="L18" s="2"/>
    </row>
    <row r="19" spans="1:15" ht="45.75" customHeight="1" thickBot="1">
      <c r="A19" s="197" t="s">
        <v>56</v>
      </c>
      <c r="B19" s="198"/>
      <c r="C19" s="199"/>
      <c r="D19" s="2"/>
      <c r="E19" s="187" t="s">
        <v>57</v>
      </c>
      <c r="F19" s="188"/>
      <c r="G19" s="189"/>
      <c r="H19" s="2"/>
      <c r="I19" s="121" t="s">
        <v>58</v>
      </c>
      <c r="J19" s="122" t="s">
        <v>47</v>
      </c>
      <c r="K19" s="44" t="s">
        <v>59</v>
      </c>
      <c r="L19" s="45" t="s">
        <v>60</v>
      </c>
    </row>
    <row r="20" spans="1:15" ht="24.95" customHeight="1">
      <c r="A20" s="61" t="s">
        <v>61</v>
      </c>
      <c r="B20" s="40">
        <f>(4*Inertie)*accélération/Rayon</f>
        <v>0</v>
      </c>
      <c r="C20" s="41" t="s">
        <v>47</v>
      </c>
      <c r="D20" s="2"/>
      <c r="E20" s="124" t="s">
        <v>24</v>
      </c>
      <c r="F20" s="88">
        <f>w*30/PI()</f>
        <v>261.0809433922168</v>
      </c>
      <c r="G20" s="89" t="s">
        <v>25</v>
      </c>
      <c r="H20" s="2"/>
      <c r="I20" s="115" t="str">
        <f>A16</f>
        <v>CRa</v>
      </c>
      <c r="J20" s="93">
        <f>Caero</f>
        <v>0.29633333333333328</v>
      </c>
      <c r="K20" s="94">
        <f>Caero/Cr%</f>
        <v>20.903634246125357</v>
      </c>
      <c r="L20" s="95">
        <f>Caero/(Cma+Cr)%</f>
        <v>20.90354321278749</v>
      </c>
    </row>
    <row r="21" spans="1:15" ht="24.95" customHeight="1" thickBot="1">
      <c r="A21" s="84" t="s">
        <v>62</v>
      </c>
      <c r="B21" s="85">
        <f>Masse_vehicle*Rayon*accélération</f>
        <v>6.1736111111111119E-6</v>
      </c>
      <c r="C21" s="86" t="s">
        <v>47</v>
      </c>
      <c r="D21" s="2"/>
      <c r="E21" s="125" t="s">
        <v>63</v>
      </c>
      <c r="F21" s="88">
        <f>w</f>
        <v>27.340332458442695</v>
      </c>
      <c r="G21" s="89" t="s">
        <v>21</v>
      </c>
      <c r="H21" s="2"/>
      <c r="I21" s="116" t="str">
        <f>E16</f>
        <v>CRr</v>
      </c>
      <c r="J21" s="96">
        <f>Croul</f>
        <v>1.121283</v>
      </c>
      <c r="K21" s="97">
        <f>Croul/Cr%</f>
        <v>79.096365753874636</v>
      </c>
      <c r="L21" s="98">
        <f>Croul/(Cma+Cr)%</f>
        <v>79.096021296728907</v>
      </c>
    </row>
    <row r="22" spans="1:15" ht="24.95" customHeight="1">
      <c r="A22" s="87" t="s">
        <v>64</v>
      </c>
      <c r="B22" s="40">
        <f>Masse_vehicle*accélération</f>
        <v>2.4305555555555558E-5</v>
      </c>
      <c r="C22" s="41" t="s">
        <v>42</v>
      </c>
      <c r="D22" s="2"/>
      <c r="E22" s="90" t="s">
        <v>65</v>
      </c>
      <c r="F22" s="91">
        <f>Rt+Fa</f>
        <v>5.5811909722222222</v>
      </c>
      <c r="G22" s="92"/>
      <c r="H22" s="2"/>
      <c r="I22" s="117" t="str">
        <f>I16</f>
        <v>Cp</v>
      </c>
      <c r="J22" s="96">
        <f>Cpente</f>
        <v>0</v>
      </c>
      <c r="K22" s="99">
        <f>Cpente/Cr%</f>
        <v>0</v>
      </c>
      <c r="L22" s="100">
        <f>Cpente/(Cma+Cr)%</f>
        <v>0</v>
      </c>
    </row>
    <row r="23" spans="1:15" ht="24.95" customHeight="1" thickBot="1">
      <c r="A23" s="43" t="s">
        <v>66</v>
      </c>
      <c r="B23" s="33">
        <f>B20+B21</f>
        <v>6.1736111111111119E-6</v>
      </c>
      <c r="C23" s="42" t="s">
        <v>47</v>
      </c>
      <c r="D23" s="2"/>
      <c r="E23" s="35" t="s">
        <v>67</v>
      </c>
      <c r="F23" s="34">
        <f>Cr+Cma</f>
        <v>1.4176225069444446</v>
      </c>
      <c r="G23" s="36" t="s">
        <v>47</v>
      </c>
      <c r="H23" s="2"/>
      <c r="I23" s="118" t="str">
        <f>M16</f>
        <v>Cr</v>
      </c>
      <c r="J23" s="101">
        <f>Cr</f>
        <v>1.4176163333333334</v>
      </c>
      <c r="K23" s="102">
        <f>Cr/Cr%</f>
        <v>100</v>
      </c>
      <c r="L23" s="103">
        <f>Cr/(Cma+Cr)%</f>
        <v>99.999564509516389</v>
      </c>
    </row>
    <row r="24" spans="1:15" ht="24.95" customHeight="1" thickBot="1">
      <c r="A24" s="220" t="s">
        <v>52</v>
      </c>
      <c r="B24" s="221">
        <f>Cma*w</f>
        <v>1.687885802469136E-4</v>
      </c>
      <c r="C24" s="222" t="s">
        <v>53</v>
      </c>
      <c r="D24" s="2"/>
      <c r="E24" s="113" t="s">
        <v>68</v>
      </c>
      <c r="F24" s="223">
        <f>Croue*w</f>
        <v>38.758270640432102</v>
      </c>
      <c r="G24" s="224" t="s">
        <v>53</v>
      </c>
      <c r="H24" s="2"/>
      <c r="I24" s="119" t="str">
        <f>A23</f>
        <v>Cma</v>
      </c>
      <c r="J24" s="104">
        <f>Cma</f>
        <v>6.1736111111111119E-6</v>
      </c>
      <c r="K24" s="105"/>
      <c r="L24" s="106">
        <f>Cma/(Cma+Cr)%</f>
        <v>4.3549048359973948E-4</v>
      </c>
    </row>
    <row r="25" spans="1:15" ht="24.95" customHeight="1" thickBot="1">
      <c r="A25" s="110" t="s">
        <v>69</v>
      </c>
      <c r="B25" s="111">
        <f>(Cma-B21)/Cma*100</f>
        <v>0</v>
      </c>
      <c r="C25" s="112" t="s">
        <v>34</v>
      </c>
      <c r="D25" s="2"/>
      <c r="E25" s="2"/>
      <c r="F25" s="2"/>
      <c r="G25" s="2"/>
      <c r="H25" s="2"/>
      <c r="I25" s="120" t="str">
        <f>"Cma+Cr"</f>
        <v>Cma+Cr</v>
      </c>
      <c r="J25" s="107">
        <f>Cma+Cr</f>
        <v>1.4176225069444446</v>
      </c>
      <c r="K25" s="108"/>
      <c r="L25" s="109">
        <f>(Cma+Cr)/(Cma+Cr)%</f>
        <v>100</v>
      </c>
    </row>
    <row r="26" spans="1:15" ht="15.95" customHeight="1" thickBot="1"/>
    <row r="27" spans="1:15" ht="20.100000000000001" customHeight="1">
      <c r="A27" s="173" t="s">
        <v>70</v>
      </c>
      <c r="B27" s="174"/>
      <c r="C27" s="175"/>
    </row>
    <row r="28" spans="1:15" ht="20.100000000000001" customHeight="1">
      <c r="A28" s="123" t="s">
        <v>71</v>
      </c>
      <c r="B28" s="146">
        <v>1</v>
      </c>
      <c r="C28" s="127"/>
    </row>
    <row r="29" spans="1:15" ht="20.100000000000001" customHeight="1" thickBot="1">
      <c r="A29" s="128" t="s">
        <v>72</v>
      </c>
      <c r="B29" s="147">
        <v>0.8</v>
      </c>
      <c r="C29" s="129"/>
    </row>
    <row r="30" spans="1:15" ht="20.100000000000001" customHeight="1" thickBot="1">
      <c r="A30" s="2"/>
      <c r="B30" s="11"/>
      <c r="C30" s="11"/>
      <c r="D30" s="2"/>
      <c r="F30" s="182" t="s">
        <v>73</v>
      </c>
      <c r="G30" s="183"/>
      <c r="H30" s="12"/>
      <c r="K30" s="2"/>
      <c r="L30" s="2"/>
    </row>
    <row r="31" spans="1:15" ht="20.100000000000001" customHeight="1" thickBot="1">
      <c r="A31" s="176" t="s">
        <v>74</v>
      </c>
      <c r="B31" s="177"/>
      <c r="C31" s="178"/>
      <c r="D31" s="2"/>
      <c r="F31" s="152">
        <v>39</v>
      </c>
      <c r="G31" s="153" t="s">
        <v>75</v>
      </c>
      <c r="H31" s="12"/>
      <c r="I31" s="12"/>
      <c r="J31" s="225"/>
      <c r="K31" s="2"/>
      <c r="L31" s="2"/>
    </row>
    <row r="32" spans="1:15" ht="20.100000000000001" customHeight="1" thickBot="1">
      <c r="A32" s="130" t="s">
        <v>76</v>
      </c>
      <c r="B32" s="131">
        <f>Nroue*k</f>
        <v>261.0809433922168</v>
      </c>
      <c r="C32" s="132" t="s">
        <v>25</v>
      </c>
      <c r="D32" s="2"/>
      <c r="F32" s="154">
        <v>0</v>
      </c>
      <c r="G32" s="155" t="s">
        <v>23</v>
      </c>
      <c r="H32" s="12"/>
      <c r="I32" s="12"/>
      <c r="J32" s="225"/>
      <c r="K32" s="2"/>
      <c r="L32" s="2"/>
    </row>
    <row r="33" spans="1:12" ht="20.100000000000001" customHeight="1" thickBot="1">
      <c r="A33" s="56" t="s">
        <v>77</v>
      </c>
      <c r="B33" s="54">
        <f>w*k</f>
        <v>27.340332458442695</v>
      </c>
      <c r="C33" s="55" t="s">
        <v>21</v>
      </c>
      <c r="D33" s="2"/>
      <c r="F33" s="156">
        <f>F31*60+F32</f>
        <v>2340</v>
      </c>
      <c r="G33" s="157" t="s">
        <v>23</v>
      </c>
      <c r="H33" s="12"/>
      <c r="I33" s="12"/>
      <c r="J33" s="225"/>
      <c r="K33" s="2"/>
      <c r="L33" s="2"/>
    </row>
    <row r="34" spans="1:12" ht="20.100000000000001" customHeight="1">
      <c r="A34" s="53" t="s">
        <v>78</v>
      </c>
      <c r="B34" s="54">
        <f>rendt*Croue/k</f>
        <v>1.1340980055555556</v>
      </c>
      <c r="C34" s="55" t="s">
        <v>47</v>
      </c>
      <c r="D34" s="2"/>
      <c r="F34" s="151" t="s">
        <v>79</v>
      </c>
      <c r="G34" s="151"/>
      <c r="H34" s="2"/>
      <c r="I34" s="2"/>
      <c r="J34" s="32"/>
      <c r="K34" s="2"/>
      <c r="L34" s="2"/>
    </row>
    <row r="35" spans="1:12" ht="20.100000000000001" customHeight="1" thickBot="1">
      <c r="A35" s="57" t="s">
        <v>80</v>
      </c>
      <c r="B35" s="58">
        <f>Proue/rendt</f>
        <v>48.447838300540127</v>
      </c>
      <c r="C35" s="59" t="s">
        <v>53</v>
      </c>
      <c r="D35" s="2"/>
      <c r="F35" s="150">
        <f>Pm*Temps_course</f>
        <v>113367.94162326389</v>
      </c>
      <c r="G35" s="149" t="s">
        <v>81</v>
      </c>
      <c r="H35" s="2"/>
      <c r="I35" s="2"/>
      <c r="J35" s="32"/>
      <c r="K35" s="2"/>
      <c r="L35" s="2"/>
    </row>
    <row r="36" spans="1:12" ht="13.9" thickBot="1"/>
    <row r="37" spans="1:12" ht="18.75" customHeight="1" thickBot="1">
      <c r="A37" s="179" t="s">
        <v>82</v>
      </c>
      <c r="B37" s="180"/>
      <c r="C37" s="181"/>
    </row>
    <row r="38" spans="1:12" ht="18.75" customHeight="1" thickBot="1">
      <c r="A38" s="142" t="s">
        <v>83</v>
      </c>
      <c r="B38" s="144">
        <v>2</v>
      </c>
      <c r="C38" s="143"/>
    </row>
    <row r="39" spans="1:12" ht="18.75" customHeight="1">
      <c r="A39" s="138" t="s">
        <v>76</v>
      </c>
      <c r="B39" s="139">
        <f>Nroue/k</f>
        <v>261.0809433922168</v>
      </c>
      <c r="C39" s="140" t="s">
        <v>25</v>
      </c>
    </row>
    <row r="40" spans="1:12" ht="21" customHeight="1" thickBot="1">
      <c r="A40" s="141" t="s">
        <v>77</v>
      </c>
      <c r="B40" s="136">
        <f>w*k</f>
        <v>27.340332458442695</v>
      </c>
      <c r="C40" s="137" t="s">
        <v>21</v>
      </c>
      <c r="D40" s="2"/>
    </row>
    <row r="41" spans="1:12" ht="21" customHeight="1">
      <c r="A41" s="133" t="s">
        <v>78</v>
      </c>
      <c r="B41" s="134">
        <f>Cm/Nbre_moteurs</f>
        <v>0.56704900277777781</v>
      </c>
      <c r="C41" s="135" t="s">
        <v>47</v>
      </c>
      <c r="D41" s="2"/>
    </row>
    <row r="42" spans="1:12" ht="23.25" customHeight="1" thickBot="1">
      <c r="A42" s="60" t="s">
        <v>80</v>
      </c>
      <c r="B42" s="136">
        <f>Pm/Nbre_moteurs</f>
        <v>24.223919150270063</v>
      </c>
      <c r="C42" s="137" t="s">
        <v>53</v>
      </c>
      <c r="D42" s="2"/>
    </row>
    <row r="43" spans="1:12">
      <c r="D43" s="2"/>
    </row>
    <row r="44" spans="1:12">
      <c r="A44" s="2"/>
      <c r="B44" s="32"/>
      <c r="C44" s="2"/>
      <c r="D44" s="2"/>
    </row>
    <row r="45" spans="1:12">
      <c r="A45" s="172" t="s">
        <v>84</v>
      </c>
      <c r="B45" s="172"/>
      <c r="C45" s="172"/>
      <c r="D45" s="2"/>
    </row>
    <row r="46" spans="1:12">
      <c r="A46" s="62" t="s">
        <v>85</v>
      </c>
      <c r="B46" s="81">
        <v>0.12</v>
      </c>
      <c r="C46" s="62" t="s">
        <v>86</v>
      </c>
      <c r="D46" s="2"/>
    </row>
    <row r="47" spans="1:12">
      <c r="A47" s="62" t="s">
        <v>87</v>
      </c>
      <c r="B47" s="82">
        <v>20</v>
      </c>
      <c r="C47" s="62" t="s">
        <v>88</v>
      </c>
    </row>
    <row r="48" spans="1:12">
      <c r="A48" s="62" t="s">
        <v>89</v>
      </c>
      <c r="B48" s="63">
        <f>Ke*B40</f>
        <v>3.2808398950131235</v>
      </c>
      <c r="C48" s="62" t="s">
        <v>90</v>
      </c>
    </row>
    <row r="49" spans="1:3">
      <c r="A49" s="62" t="s">
        <v>91</v>
      </c>
      <c r="B49" s="63">
        <f>Kt*B41</f>
        <v>11.340980055555557</v>
      </c>
      <c r="C49" s="62" t="s">
        <v>92</v>
      </c>
    </row>
    <row r="50" spans="1:3">
      <c r="A50" s="62" t="s">
        <v>93</v>
      </c>
      <c r="B50" s="63">
        <f>Um*Im</f>
        <v>37.207939814814821</v>
      </c>
      <c r="C50" s="62" t="s">
        <v>53</v>
      </c>
    </row>
  </sheetData>
  <mergeCells count="15">
    <mergeCell ref="E1:G1"/>
    <mergeCell ref="A1:C1"/>
    <mergeCell ref="I12:K12"/>
    <mergeCell ref="A12:C12"/>
    <mergeCell ref="E12:G12"/>
    <mergeCell ref="M12:O12"/>
    <mergeCell ref="E19:G19"/>
    <mergeCell ref="M13:O14"/>
    <mergeCell ref="M10:S10"/>
    <mergeCell ref="A19:C19"/>
    <mergeCell ref="A45:C45"/>
    <mergeCell ref="A27:C27"/>
    <mergeCell ref="A31:C31"/>
    <mergeCell ref="A37:C37"/>
    <mergeCell ref="F30:G30"/>
  </mergeCells>
  <phoneticPr fontId="0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scale="77" orientation="portrait" horizontalDpi="4294967293" verticalDpi="4294967293" r:id="rId1"/>
  <headerFooter alignWithMargins="0">
    <oddHeader>&amp;C&amp;F - &amp;A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"/>
  <sheetViews>
    <sheetView workbookViewId="0">
      <selection activeCell="E5" sqref="E5"/>
    </sheetView>
  </sheetViews>
  <sheetFormatPr defaultColWidth="11.42578125" defaultRowHeight="13.15"/>
  <cols>
    <col min="1" max="1" width="15" customWidth="1"/>
    <col min="2" max="2" width="15.85546875" customWidth="1"/>
  </cols>
  <sheetData>
    <row r="1" spans="1:14" ht="18.75" customHeight="1">
      <c r="A1" s="213" t="s">
        <v>94</v>
      </c>
      <c r="B1" s="213"/>
      <c r="C1" s="214" t="s">
        <v>95</v>
      </c>
      <c r="D1" s="214"/>
      <c r="E1" s="214"/>
      <c r="F1" s="214"/>
      <c r="G1" s="214"/>
      <c r="H1" s="214"/>
      <c r="I1" s="214"/>
      <c r="J1" s="214"/>
      <c r="K1" s="214"/>
    </row>
    <row r="2" spans="1:14" ht="16.5" customHeight="1">
      <c r="A2" s="47" t="s">
        <v>96</v>
      </c>
      <c r="B2" s="48" t="s">
        <v>97</v>
      </c>
      <c r="C2" s="46">
        <v>1</v>
      </c>
      <c r="D2" s="46">
        <v>50</v>
      </c>
      <c r="E2" s="46">
        <v>100</v>
      </c>
      <c r="F2" s="46">
        <v>150</v>
      </c>
      <c r="G2" s="46">
        <v>200</v>
      </c>
      <c r="H2" s="46">
        <v>250</v>
      </c>
      <c r="I2" s="46">
        <v>300</v>
      </c>
      <c r="J2" s="46">
        <v>350</v>
      </c>
      <c r="K2" s="46">
        <v>400</v>
      </c>
      <c r="L2" s="46">
        <v>450</v>
      </c>
      <c r="M2" s="46">
        <v>500</v>
      </c>
      <c r="N2" s="46">
        <v>1000</v>
      </c>
    </row>
    <row r="3" spans="1:14" ht="20.100000000000001" customHeight="1">
      <c r="A3" s="48">
        <v>0</v>
      </c>
      <c r="B3" s="49">
        <f t="shared" ref="B3:B16" si="0">A3*1000/3600</f>
        <v>0</v>
      </c>
      <c r="C3" s="50">
        <f t="shared" ref="C3:N16" si="1">0.5*Masse_vehicule*vitesse_ms^2</f>
        <v>0</v>
      </c>
      <c r="D3" s="50">
        <f t="shared" si="1"/>
        <v>0</v>
      </c>
      <c r="E3" s="50">
        <f t="shared" si="1"/>
        <v>0</v>
      </c>
      <c r="F3" s="50">
        <f t="shared" si="1"/>
        <v>0</v>
      </c>
      <c r="G3" s="50">
        <f t="shared" si="1"/>
        <v>0</v>
      </c>
      <c r="H3" s="50">
        <f t="shared" si="1"/>
        <v>0</v>
      </c>
      <c r="I3" s="50">
        <f t="shared" si="1"/>
        <v>0</v>
      </c>
      <c r="J3" s="50">
        <f t="shared" si="1"/>
        <v>0</v>
      </c>
      <c r="K3" s="50">
        <f t="shared" si="1"/>
        <v>0</v>
      </c>
      <c r="L3" s="50">
        <f t="shared" si="1"/>
        <v>0</v>
      </c>
      <c r="M3" s="50">
        <f t="shared" si="1"/>
        <v>0</v>
      </c>
      <c r="N3" s="50">
        <f t="shared" si="1"/>
        <v>0</v>
      </c>
    </row>
    <row r="4" spans="1:14" ht="20.100000000000001" customHeight="1">
      <c r="A4" s="48">
        <v>10</v>
      </c>
      <c r="B4" s="49">
        <f t="shared" si="0"/>
        <v>2.7777777777777777</v>
      </c>
      <c r="C4" s="50">
        <f t="shared" si="1"/>
        <v>3.8580246913580245</v>
      </c>
      <c r="D4" s="50">
        <f t="shared" si="1"/>
        <v>192.90123456790121</v>
      </c>
      <c r="E4" s="50">
        <f t="shared" si="1"/>
        <v>385.80246913580243</v>
      </c>
      <c r="F4" s="50">
        <f t="shared" si="1"/>
        <v>578.7037037037037</v>
      </c>
      <c r="G4" s="50">
        <f t="shared" si="1"/>
        <v>771.60493827160485</v>
      </c>
      <c r="H4" s="50">
        <f t="shared" si="1"/>
        <v>964.50617283950612</v>
      </c>
      <c r="I4" s="50">
        <f t="shared" si="1"/>
        <v>1157.4074074074074</v>
      </c>
      <c r="J4" s="50">
        <f t="shared" si="1"/>
        <v>1350.3086419753085</v>
      </c>
      <c r="K4" s="50">
        <f t="shared" si="1"/>
        <v>1543.2098765432097</v>
      </c>
      <c r="L4" s="50">
        <f t="shared" si="1"/>
        <v>1736.1111111111111</v>
      </c>
      <c r="M4" s="50">
        <f t="shared" si="1"/>
        <v>1929.0123456790122</v>
      </c>
      <c r="N4" s="50">
        <f t="shared" si="1"/>
        <v>3858.0246913580245</v>
      </c>
    </row>
    <row r="5" spans="1:14" ht="20.100000000000001" customHeight="1">
      <c r="A5" s="48">
        <v>20</v>
      </c>
      <c r="B5" s="49">
        <f t="shared" si="0"/>
        <v>5.5555555555555554</v>
      </c>
      <c r="C5" s="50">
        <f t="shared" si="1"/>
        <v>15.432098765432098</v>
      </c>
      <c r="D5" s="50">
        <f t="shared" si="1"/>
        <v>771.60493827160485</v>
      </c>
      <c r="E5" s="50">
        <f t="shared" si="1"/>
        <v>1543.2098765432097</v>
      </c>
      <c r="F5" s="50">
        <f t="shared" si="1"/>
        <v>2314.8148148148148</v>
      </c>
      <c r="G5" s="50">
        <f t="shared" si="1"/>
        <v>3086.4197530864194</v>
      </c>
      <c r="H5" s="50">
        <f t="shared" si="1"/>
        <v>3858.0246913580245</v>
      </c>
      <c r="I5" s="50">
        <f t="shared" si="1"/>
        <v>4629.6296296296296</v>
      </c>
      <c r="J5" s="50">
        <f t="shared" si="1"/>
        <v>5401.2345679012342</v>
      </c>
      <c r="K5" s="50">
        <f t="shared" si="1"/>
        <v>6172.8395061728388</v>
      </c>
      <c r="L5" s="50">
        <f t="shared" si="1"/>
        <v>6944.4444444444443</v>
      </c>
      <c r="M5" s="50">
        <f t="shared" si="1"/>
        <v>7716.049382716049</v>
      </c>
      <c r="N5" s="50">
        <f t="shared" si="1"/>
        <v>15432.098765432098</v>
      </c>
    </row>
    <row r="6" spans="1:14" ht="20.100000000000001" customHeight="1">
      <c r="A6" s="48">
        <v>30</v>
      </c>
      <c r="B6" s="49">
        <f t="shared" si="0"/>
        <v>8.3333333333333339</v>
      </c>
      <c r="C6" s="50">
        <f t="shared" si="1"/>
        <v>34.722222222222229</v>
      </c>
      <c r="D6" s="50">
        <f t="shared" si="1"/>
        <v>1736.1111111111113</v>
      </c>
      <c r="E6" s="50">
        <f t="shared" si="1"/>
        <v>3472.2222222222226</v>
      </c>
      <c r="F6" s="50">
        <f t="shared" si="1"/>
        <v>5208.3333333333339</v>
      </c>
      <c r="G6" s="50">
        <f t="shared" si="1"/>
        <v>6944.4444444444453</v>
      </c>
      <c r="H6" s="50">
        <f t="shared" si="1"/>
        <v>8680.5555555555566</v>
      </c>
      <c r="I6" s="50">
        <f t="shared" si="1"/>
        <v>10416.666666666668</v>
      </c>
      <c r="J6" s="50">
        <f t="shared" si="1"/>
        <v>12152.777777777779</v>
      </c>
      <c r="K6" s="50">
        <f t="shared" si="1"/>
        <v>13888.888888888891</v>
      </c>
      <c r="L6" s="50">
        <f t="shared" si="1"/>
        <v>15625.000000000004</v>
      </c>
      <c r="M6" s="50">
        <f t="shared" si="1"/>
        <v>17361.111111111113</v>
      </c>
      <c r="N6" s="50">
        <f t="shared" si="1"/>
        <v>34722.222222222226</v>
      </c>
    </row>
    <row r="7" spans="1:14" ht="20.100000000000001" customHeight="1">
      <c r="A7" s="48">
        <v>40</v>
      </c>
      <c r="B7" s="49">
        <f t="shared" si="0"/>
        <v>11.111111111111111</v>
      </c>
      <c r="C7" s="50">
        <f t="shared" si="1"/>
        <v>61.728395061728392</v>
      </c>
      <c r="D7" s="50">
        <f t="shared" si="1"/>
        <v>3086.4197530864194</v>
      </c>
      <c r="E7" s="50">
        <f t="shared" si="1"/>
        <v>6172.8395061728388</v>
      </c>
      <c r="F7" s="50">
        <f t="shared" si="1"/>
        <v>9259.2592592592591</v>
      </c>
      <c r="G7" s="50">
        <f t="shared" si="1"/>
        <v>12345.679012345678</v>
      </c>
      <c r="H7" s="50">
        <f t="shared" si="1"/>
        <v>15432.098765432098</v>
      </c>
      <c r="I7" s="50">
        <f t="shared" si="1"/>
        <v>18518.518518518518</v>
      </c>
      <c r="J7" s="50">
        <f t="shared" si="1"/>
        <v>21604.938271604937</v>
      </c>
      <c r="K7" s="50">
        <f t="shared" si="1"/>
        <v>24691.358024691355</v>
      </c>
      <c r="L7" s="50">
        <f t="shared" si="1"/>
        <v>27777.777777777777</v>
      </c>
      <c r="M7" s="50">
        <f t="shared" si="1"/>
        <v>30864.197530864196</v>
      </c>
      <c r="N7" s="50">
        <f t="shared" si="1"/>
        <v>61728.395061728392</v>
      </c>
    </row>
    <row r="8" spans="1:14" ht="20.100000000000001" customHeight="1">
      <c r="A8" s="48">
        <v>50</v>
      </c>
      <c r="B8" s="49">
        <f t="shared" si="0"/>
        <v>13.888888888888889</v>
      </c>
      <c r="C8" s="50">
        <f t="shared" si="1"/>
        <v>96.450617283950621</v>
      </c>
      <c r="D8" s="50">
        <f t="shared" si="1"/>
        <v>4822.5308641975307</v>
      </c>
      <c r="E8" s="50">
        <f t="shared" si="1"/>
        <v>9645.0617283950614</v>
      </c>
      <c r="F8" s="50">
        <f t="shared" si="1"/>
        <v>14467.592592592593</v>
      </c>
      <c r="G8" s="50">
        <f t="shared" si="1"/>
        <v>19290.123456790123</v>
      </c>
      <c r="H8" s="50">
        <f t="shared" si="1"/>
        <v>24112.654320987655</v>
      </c>
      <c r="I8" s="50">
        <f t="shared" si="1"/>
        <v>28935.185185185186</v>
      </c>
      <c r="J8" s="50">
        <f t="shared" si="1"/>
        <v>33757.716049382718</v>
      </c>
      <c r="K8" s="50">
        <f t="shared" si="1"/>
        <v>38580.246913580246</v>
      </c>
      <c r="L8" s="50">
        <f t="shared" si="1"/>
        <v>43402.777777777781</v>
      </c>
      <c r="M8" s="50">
        <f t="shared" si="1"/>
        <v>48225.308641975309</v>
      </c>
      <c r="N8" s="50">
        <f t="shared" si="1"/>
        <v>96450.617283950618</v>
      </c>
    </row>
    <row r="9" spans="1:14" ht="20.100000000000001" customHeight="1">
      <c r="A9" s="48">
        <v>60</v>
      </c>
      <c r="B9" s="49">
        <f t="shared" si="0"/>
        <v>16.666666666666668</v>
      </c>
      <c r="C9" s="50">
        <f t="shared" si="1"/>
        <v>138.88888888888891</v>
      </c>
      <c r="D9" s="50">
        <f t="shared" si="1"/>
        <v>6944.4444444444453</v>
      </c>
      <c r="E9" s="50">
        <f t="shared" si="1"/>
        <v>13888.888888888891</v>
      </c>
      <c r="F9" s="50">
        <f t="shared" si="1"/>
        <v>20833.333333333336</v>
      </c>
      <c r="G9" s="50">
        <f t="shared" si="1"/>
        <v>27777.777777777781</v>
      </c>
      <c r="H9" s="50">
        <f t="shared" si="1"/>
        <v>34722.222222222226</v>
      </c>
      <c r="I9" s="50">
        <f t="shared" si="1"/>
        <v>41666.666666666672</v>
      </c>
      <c r="J9" s="50">
        <f t="shared" si="1"/>
        <v>48611.111111111117</v>
      </c>
      <c r="K9" s="50">
        <f t="shared" si="1"/>
        <v>55555.555555555562</v>
      </c>
      <c r="L9" s="50">
        <f t="shared" si="1"/>
        <v>62500.000000000015</v>
      </c>
      <c r="M9" s="50">
        <f t="shared" si="1"/>
        <v>69444.444444444453</v>
      </c>
      <c r="N9" s="50">
        <f t="shared" si="1"/>
        <v>138888.88888888891</v>
      </c>
    </row>
    <row r="10" spans="1:14" ht="20.100000000000001" customHeight="1">
      <c r="A10" s="48">
        <v>70</v>
      </c>
      <c r="B10" s="49">
        <f t="shared" si="0"/>
        <v>19.444444444444443</v>
      </c>
      <c r="C10" s="50">
        <f t="shared" si="1"/>
        <v>189.04320987654319</v>
      </c>
      <c r="D10" s="50">
        <f t="shared" si="1"/>
        <v>9452.1604938271594</v>
      </c>
      <c r="E10" s="50">
        <f t="shared" si="1"/>
        <v>18904.320987654319</v>
      </c>
      <c r="F10" s="50">
        <f t="shared" si="1"/>
        <v>28356.481481481478</v>
      </c>
      <c r="G10" s="50">
        <f t="shared" si="1"/>
        <v>37808.641975308637</v>
      </c>
      <c r="H10" s="50">
        <f t="shared" si="1"/>
        <v>47260.8024691358</v>
      </c>
      <c r="I10" s="50">
        <f t="shared" si="1"/>
        <v>56712.962962962956</v>
      </c>
      <c r="J10" s="50">
        <f t="shared" si="1"/>
        <v>66165.123456790112</v>
      </c>
      <c r="K10" s="50">
        <f t="shared" si="1"/>
        <v>75617.283950617275</v>
      </c>
      <c r="L10" s="50">
        <f t="shared" si="1"/>
        <v>85069.444444444438</v>
      </c>
      <c r="M10" s="50">
        <f t="shared" si="1"/>
        <v>94521.604938271601</v>
      </c>
      <c r="N10" s="50">
        <f t="shared" si="1"/>
        <v>189043.2098765432</v>
      </c>
    </row>
    <row r="11" spans="1:14" ht="20.100000000000001" customHeight="1">
      <c r="A11" s="48">
        <v>80</v>
      </c>
      <c r="B11" s="49">
        <f t="shared" si="0"/>
        <v>22.222222222222221</v>
      </c>
      <c r="C11" s="50">
        <f t="shared" si="1"/>
        <v>246.91358024691357</v>
      </c>
      <c r="D11" s="50">
        <f t="shared" si="1"/>
        <v>12345.679012345678</v>
      </c>
      <c r="E11" s="50">
        <f t="shared" si="1"/>
        <v>24691.358024691355</v>
      </c>
      <c r="F11" s="50">
        <f t="shared" si="1"/>
        <v>37037.037037037036</v>
      </c>
      <c r="G11" s="50">
        <f t="shared" si="1"/>
        <v>49382.71604938271</v>
      </c>
      <c r="H11" s="50">
        <f t="shared" si="1"/>
        <v>61728.395061728392</v>
      </c>
      <c r="I11" s="50">
        <f t="shared" si="1"/>
        <v>74074.074074074073</v>
      </c>
      <c r="J11" s="50">
        <f t="shared" si="1"/>
        <v>86419.753086419747</v>
      </c>
      <c r="K11" s="50">
        <f t="shared" si="1"/>
        <v>98765.432098765421</v>
      </c>
      <c r="L11" s="50">
        <f t="shared" si="1"/>
        <v>111111.11111111111</v>
      </c>
      <c r="M11" s="50">
        <f t="shared" si="1"/>
        <v>123456.79012345678</v>
      </c>
      <c r="N11" s="50">
        <f t="shared" si="1"/>
        <v>246913.58024691357</v>
      </c>
    </row>
    <row r="12" spans="1:14" ht="20.100000000000001" customHeight="1">
      <c r="A12" s="48">
        <v>90</v>
      </c>
      <c r="B12" s="49">
        <f t="shared" si="0"/>
        <v>25</v>
      </c>
      <c r="C12" s="50">
        <f t="shared" si="1"/>
        <v>312.5</v>
      </c>
      <c r="D12" s="50">
        <f t="shared" si="1"/>
        <v>15625</v>
      </c>
      <c r="E12" s="50">
        <f t="shared" si="1"/>
        <v>31250</v>
      </c>
      <c r="F12" s="50">
        <f t="shared" si="1"/>
        <v>46875</v>
      </c>
      <c r="G12" s="50">
        <f t="shared" si="1"/>
        <v>62500</v>
      </c>
      <c r="H12" s="50">
        <f t="shared" si="1"/>
        <v>78125</v>
      </c>
      <c r="I12" s="50">
        <f t="shared" si="1"/>
        <v>93750</v>
      </c>
      <c r="J12" s="50">
        <f t="shared" si="1"/>
        <v>109375</v>
      </c>
      <c r="K12" s="50">
        <f t="shared" si="1"/>
        <v>125000</v>
      </c>
      <c r="L12" s="50">
        <f t="shared" si="1"/>
        <v>140625</v>
      </c>
      <c r="M12" s="50">
        <f t="shared" si="1"/>
        <v>156250</v>
      </c>
      <c r="N12" s="50">
        <f t="shared" si="1"/>
        <v>312500</v>
      </c>
    </row>
    <row r="13" spans="1:14" ht="20.100000000000001" customHeight="1">
      <c r="A13" s="48">
        <v>100</v>
      </c>
      <c r="B13" s="49">
        <f t="shared" si="0"/>
        <v>27.777777777777779</v>
      </c>
      <c r="C13" s="50">
        <f t="shared" si="1"/>
        <v>385.80246913580248</v>
      </c>
      <c r="D13" s="50">
        <f t="shared" si="1"/>
        <v>19290.123456790123</v>
      </c>
      <c r="E13" s="50">
        <f t="shared" si="1"/>
        <v>38580.246913580246</v>
      </c>
      <c r="F13" s="50">
        <f t="shared" si="1"/>
        <v>57870.370370370372</v>
      </c>
      <c r="G13" s="50">
        <f t="shared" si="1"/>
        <v>77160.493827160491</v>
      </c>
      <c r="H13" s="50">
        <f t="shared" si="1"/>
        <v>96450.617283950618</v>
      </c>
      <c r="I13" s="50">
        <f t="shared" si="1"/>
        <v>115740.74074074074</v>
      </c>
      <c r="J13" s="50">
        <f t="shared" si="1"/>
        <v>135030.86419753087</v>
      </c>
      <c r="K13" s="50">
        <f t="shared" si="1"/>
        <v>154320.98765432098</v>
      </c>
      <c r="L13" s="50">
        <f t="shared" si="1"/>
        <v>173611.11111111112</v>
      </c>
      <c r="M13" s="50">
        <f t="shared" si="1"/>
        <v>192901.23456790124</v>
      </c>
      <c r="N13" s="50">
        <f t="shared" si="1"/>
        <v>385802.46913580247</v>
      </c>
    </row>
    <row r="14" spans="1:14" ht="20.100000000000001" customHeight="1">
      <c r="A14" s="48">
        <v>110</v>
      </c>
      <c r="B14" s="49">
        <f t="shared" si="0"/>
        <v>30.555555555555557</v>
      </c>
      <c r="C14" s="50">
        <f t="shared" si="1"/>
        <v>466.82098765432102</v>
      </c>
      <c r="D14" s="50">
        <f t="shared" si="1"/>
        <v>23341.04938271605</v>
      </c>
      <c r="E14" s="50">
        <f t="shared" si="1"/>
        <v>46682.0987654321</v>
      </c>
      <c r="F14" s="50">
        <f t="shared" si="1"/>
        <v>70023.148148148146</v>
      </c>
      <c r="G14" s="50">
        <f t="shared" si="1"/>
        <v>93364.1975308642</v>
      </c>
      <c r="H14" s="50">
        <f t="shared" si="1"/>
        <v>116705.24691358025</v>
      </c>
      <c r="I14" s="50">
        <f t="shared" si="1"/>
        <v>140046.29629629629</v>
      </c>
      <c r="J14" s="50">
        <f t="shared" si="1"/>
        <v>163387.34567901236</v>
      </c>
      <c r="K14" s="50">
        <f t="shared" si="1"/>
        <v>186728.3950617284</v>
      </c>
      <c r="L14" s="50">
        <f t="shared" si="1"/>
        <v>210069.44444444447</v>
      </c>
      <c r="M14" s="50">
        <f t="shared" si="1"/>
        <v>233410.49382716051</v>
      </c>
      <c r="N14" s="50">
        <f t="shared" si="1"/>
        <v>466820.98765432101</v>
      </c>
    </row>
    <row r="15" spans="1:14" ht="20.100000000000001" customHeight="1">
      <c r="A15" s="48">
        <v>120</v>
      </c>
      <c r="B15" s="49">
        <f t="shared" si="0"/>
        <v>33.333333333333336</v>
      </c>
      <c r="C15" s="50">
        <f t="shared" si="1"/>
        <v>555.55555555555566</v>
      </c>
      <c r="D15" s="50">
        <f t="shared" si="1"/>
        <v>27777.777777777781</v>
      </c>
      <c r="E15" s="50">
        <f t="shared" si="1"/>
        <v>55555.555555555562</v>
      </c>
      <c r="F15" s="50">
        <f t="shared" si="1"/>
        <v>83333.333333333343</v>
      </c>
      <c r="G15" s="50">
        <f t="shared" si="1"/>
        <v>111111.11111111112</v>
      </c>
      <c r="H15" s="50">
        <f t="shared" si="1"/>
        <v>138888.88888888891</v>
      </c>
      <c r="I15" s="50">
        <f t="shared" si="1"/>
        <v>166666.66666666669</v>
      </c>
      <c r="J15" s="50">
        <f t="shared" si="1"/>
        <v>194444.44444444447</v>
      </c>
      <c r="K15" s="50">
        <f t="shared" si="1"/>
        <v>222222.22222222225</v>
      </c>
      <c r="L15" s="50">
        <f t="shared" si="1"/>
        <v>250000.00000000006</v>
      </c>
      <c r="M15" s="50">
        <f t="shared" si="1"/>
        <v>277777.77777777781</v>
      </c>
      <c r="N15" s="50">
        <f t="shared" si="1"/>
        <v>555555.55555555562</v>
      </c>
    </row>
    <row r="16" spans="1:14" ht="20.100000000000001" customHeight="1">
      <c r="A16" s="48">
        <v>130</v>
      </c>
      <c r="B16" s="49">
        <f t="shared" si="0"/>
        <v>36.111111111111114</v>
      </c>
      <c r="C16" s="50">
        <f t="shared" si="1"/>
        <v>652.00617283950623</v>
      </c>
      <c r="D16" s="50">
        <f t="shared" si="1"/>
        <v>32600.308641975313</v>
      </c>
      <c r="E16" s="50">
        <f t="shared" si="1"/>
        <v>65200.617283950625</v>
      </c>
      <c r="F16" s="50">
        <f t="shared" si="1"/>
        <v>97800.925925925942</v>
      </c>
      <c r="G16" s="50">
        <f t="shared" si="1"/>
        <v>130401.23456790125</v>
      </c>
      <c r="H16" s="50">
        <f t="shared" si="1"/>
        <v>163001.54320987655</v>
      </c>
      <c r="I16" s="50">
        <f t="shared" si="1"/>
        <v>195601.85185185188</v>
      </c>
      <c r="J16" s="50">
        <f t="shared" si="1"/>
        <v>228202.16049382719</v>
      </c>
      <c r="K16" s="50">
        <f t="shared" si="1"/>
        <v>260802.4691358025</v>
      </c>
      <c r="L16" s="50">
        <f t="shared" si="1"/>
        <v>293402.77777777781</v>
      </c>
      <c r="M16" s="50">
        <f t="shared" si="1"/>
        <v>326003.08641975309</v>
      </c>
      <c r="N16" s="50">
        <f t="shared" si="1"/>
        <v>652006.17283950618</v>
      </c>
    </row>
    <row r="18" spans="1:14">
      <c r="A18" s="213" t="s">
        <v>98</v>
      </c>
      <c r="B18" s="213"/>
      <c r="C18" s="214" t="s">
        <v>95</v>
      </c>
      <c r="D18" s="214"/>
      <c r="E18" s="214"/>
      <c r="F18" s="214"/>
      <c r="G18" s="214"/>
      <c r="H18" s="214"/>
      <c r="I18" s="214"/>
      <c r="J18" s="214"/>
      <c r="K18" s="214"/>
    </row>
    <row r="19" spans="1:14">
      <c r="A19" s="47" t="s">
        <v>96</v>
      </c>
      <c r="B19" s="48" t="s">
        <v>97</v>
      </c>
      <c r="C19" s="46">
        <v>1</v>
      </c>
      <c r="D19" s="46">
        <v>50</v>
      </c>
      <c r="E19" s="46">
        <v>100</v>
      </c>
      <c r="F19" s="46">
        <v>150</v>
      </c>
      <c r="G19" s="46">
        <v>200</v>
      </c>
      <c r="H19" s="46">
        <v>250</v>
      </c>
      <c r="I19" s="46">
        <v>300</v>
      </c>
      <c r="J19" s="46">
        <v>350</v>
      </c>
      <c r="K19" s="46">
        <v>400</v>
      </c>
      <c r="L19" s="46">
        <v>450</v>
      </c>
      <c r="M19" s="46">
        <v>500</v>
      </c>
      <c r="N19" s="46">
        <v>1000</v>
      </c>
    </row>
    <row r="20" spans="1:14">
      <c r="A20" s="48">
        <v>0</v>
      </c>
      <c r="B20" s="49">
        <f t="shared" ref="B20:B33" si="2">A20*1000/3600</f>
        <v>0</v>
      </c>
      <c r="C20" s="51">
        <f>C3/3600</f>
        <v>0</v>
      </c>
      <c r="D20" s="51">
        <f t="shared" ref="D20:N20" si="3">D3/3600</f>
        <v>0</v>
      </c>
      <c r="E20" s="51">
        <f t="shared" si="3"/>
        <v>0</v>
      </c>
      <c r="F20" s="51">
        <f t="shared" si="3"/>
        <v>0</v>
      </c>
      <c r="G20" s="51">
        <f t="shared" si="3"/>
        <v>0</v>
      </c>
      <c r="H20" s="51">
        <f t="shared" si="3"/>
        <v>0</v>
      </c>
      <c r="I20" s="51">
        <f t="shared" si="3"/>
        <v>0</v>
      </c>
      <c r="J20" s="51">
        <f t="shared" si="3"/>
        <v>0</v>
      </c>
      <c r="K20" s="51">
        <f t="shared" si="3"/>
        <v>0</v>
      </c>
      <c r="L20" s="51">
        <f t="shared" si="3"/>
        <v>0</v>
      </c>
      <c r="M20" s="51">
        <f t="shared" si="3"/>
        <v>0</v>
      </c>
      <c r="N20" s="51">
        <f t="shared" si="3"/>
        <v>0</v>
      </c>
    </row>
    <row r="21" spans="1:14">
      <c r="A21" s="48">
        <v>10</v>
      </c>
      <c r="B21" s="49">
        <f t="shared" si="2"/>
        <v>2.7777777777777777</v>
      </c>
      <c r="C21" s="52">
        <f t="shared" ref="C21:N33" si="4">C4/3600</f>
        <v>1.0716735253772291E-3</v>
      </c>
      <c r="D21" s="52">
        <f t="shared" si="4"/>
        <v>5.3583676268861451E-2</v>
      </c>
      <c r="E21" s="52">
        <f t="shared" si="4"/>
        <v>0.1071673525377229</v>
      </c>
      <c r="F21" s="52">
        <f t="shared" si="4"/>
        <v>0.16075102880658437</v>
      </c>
      <c r="G21" s="52">
        <f t="shared" si="4"/>
        <v>0.2143347050754458</v>
      </c>
      <c r="H21" s="52">
        <f t="shared" si="4"/>
        <v>0.26791838134430723</v>
      </c>
      <c r="I21" s="52">
        <f t="shared" si="4"/>
        <v>0.32150205761316875</v>
      </c>
      <c r="J21" s="52">
        <f t="shared" si="4"/>
        <v>0.37508573388203015</v>
      </c>
      <c r="K21" s="52">
        <f t="shared" si="4"/>
        <v>0.42866941015089161</v>
      </c>
      <c r="L21" s="52">
        <f t="shared" si="4"/>
        <v>0.48225308641975306</v>
      </c>
      <c r="M21" s="52">
        <f t="shared" si="4"/>
        <v>0.53583676268861447</v>
      </c>
      <c r="N21" s="52">
        <f t="shared" si="4"/>
        <v>1.0716735253772289</v>
      </c>
    </row>
    <row r="22" spans="1:14">
      <c r="A22" s="48">
        <v>20</v>
      </c>
      <c r="B22" s="49">
        <f t="shared" si="2"/>
        <v>5.5555555555555554</v>
      </c>
      <c r="C22" s="52">
        <f t="shared" si="4"/>
        <v>4.2866941015089165E-3</v>
      </c>
      <c r="D22" s="52">
        <f t="shared" si="4"/>
        <v>0.2143347050754458</v>
      </c>
      <c r="E22" s="52">
        <f t="shared" si="4"/>
        <v>0.42866941015089161</v>
      </c>
      <c r="F22" s="52">
        <f t="shared" si="4"/>
        <v>0.64300411522633749</v>
      </c>
      <c r="G22" s="52">
        <f t="shared" si="4"/>
        <v>0.85733882030178321</v>
      </c>
      <c r="H22" s="52">
        <f t="shared" si="4"/>
        <v>1.0716735253772289</v>
      </c>
      <c r="I22" s="52">
        <f t="shared" si="4"/>
        <v>1.286008230452675</v>
      </c>
      <c r="J22" s="52">
        <f t="shared" si="4"/>
        <v>1.5003429355281206</v>
      </c>
      <c r="K22" s="52">
        <f t="shared" si="4"/>
        <v>1.7146776406035664</v>
      </c>
      <c r="L22" s="52">
        <f t="shared" si="4"/>
        <v>1.9290123456790123</v>
      </c>
      <c r="M22" s="52">
        <f t="shared" si="4"/>
        <v>2.1433470507544579</v>
      </c>
      <c r="N22" s="52">
        <f t="shared" si="4"/>
        <v>4.2866941015089157</v>
      </c>
    </row>
    <row r="23" spans="1:14">
      <c r="A23" s="48">
        <v>30</v>
      </c>
      <c r="B23" s="49">
        <f t="shared" si="2"/>
        <v>8.3333333333333339</v>
      </c>
      <c r="C23" s="52">
        <f t="shared" si="4"/>
        <v>9.6450617283950629E-3</v>
      </c>
      <c r="D23" s="52">
        <f t="shared" si="4"/>
        <v>0.48225308641975312</v>
      </c>
      <c r="E23" s="52">
        <f t="shared" si="4"/>
        <v>0.96450617283950624</v>
      </c>
      <c r="F23" s="51">
        <f t="shared" si="4"/>
        <v>1.4467592592592595</v>
      </c>
      <c r="G23" s="51">
        <f t="shared" si="4"/>
        <v>1.9290123456790125</v>
      </c>
      <c r="H23" s="51">
        <f t="shared" si="4"/>
        <v>2.4112654320987659</v>
      </c>
      <c r="I23" s="51">
        <f t="shared" si="4"/>
        <v>2.893518518518519</v>
      </c>
      <c r="J23" s="51">
        <f t="shared" si="4"/>
        <v>3.3757716049382722</v>
      </c>
      <c r="K23" s="51">
        <f t="shared" si="4"/>
        <v>3.8580246913580249</v>
      </c>
      <c r="L23" s="51">
        <f t="shared" si="4"/>
        <v>4.3402777777777786</v>
      </c>
      <c r="M23" s="51">
        <f t="shared" si="4"/>
        <v>4.8225308641975317</v>
      </c>
      <c r="N23" s="51">
        <f t="shared" si="4"/>
        <v>9.6450617283950635</v>
      </c>
    </row>
    <row r="24" spans="1:14">
      <c r="A24" s="48">
        <v>40</v>
      </c>
      <c r="B24" s="49">
        <f t="shared" si="2"/>
        <v>11.111111111111111</v>
      </c>
      <c r="C24" s="52">
        <f t="shared" si="4"/>
        <v>1.7146776406035666E-2</v>
      </c>
      <c r="D24" s="52">
        <f t="shared" si="4"/>
        <v>0.85733882030178321</v>
      </c>
      <c r="E24" s="50">
        <f t="shared" si="4"/>
        <v>1.7146776406035664</v>
      </c>
      <c r="F24" s="50">
        <f t="shared" si="4"/>
        <v>2.57201646090535</v>
      </c>
      <c r="G24" s="50">
        <f t="shared" si="4"/>
        <v>3.4293552812071328</v>
      </c>
      <c r="H24" s="50">
        <f t="shared" si="4"/>
        <v>4.2866941015089157</v>
      </c>
      <c r="I24" s="50">
        <f t="shared" si="4"/>
        <v>5.1440329218106999</v>
      </c>
      <c r="J24" s="50">
        <f t="shared" si="4"/>
        <v>6.0013717421124824</v>
      </c>
      <c r="K24" s="50">
        <f t="shared" si="4"/>
        <v>6.8587105624142657</v>
      </c>
      <c r="L24" s="50">
        <f t="shared" si="4"/>
        <v>7.716049382716049</v>
      </c>
      <c r="M24" s="50">
        <f t="shared" si="4"/>
        <v>8.5733882030178314</v>
      </c>
      <c r="N24" s="50">
        <f t="shared" si="4"/>
        <v>17.146776406035663</v>
      </c>
    </row>
    <row r="25" spans="1:14">
      <c r="A25" s="48">
        <v>50</v>
      </c>
      <c r="B25" s="49">
        <f t="shared" si="2"/>
        <v>13.888888888888889</v>
      </c>
      <c r="C25" s="52">
        <f t="shared" si="4"/>
        <v>2.6791838134430729E-2</v>
      </c>
      <c r="D25" s="52">
        <f t="shared" si="4"/>
        <v>1.3395919067215363</v>
      </c>
      <c r="E25" s="50">
        <f t="shared" si="4"/>
        <v>2.6791838134430725</v>
      </c>
      <c r="F25" s="50">
        <f t="shared" si="4"/>
        <v>4.0187757201646095</v>
      </c>
      <c r="G25" s="50">
        <f t="shared" si="4"/>
        <v>5.3583676268861451</v>
      </c>
      <c r="H25" s="50">
        <f t="shared" si="4"/>
        <v>6.6979595336076816</v>
      </c>
      <c r="I25" s="50">
        <f t="shared" si="4"/>
        <v>8.037551440329219</v>
      </c>
      <c r="J25" s="50">
        <f t="shared" si="4"/>
        <v>9.3771433470507546</v>
      </c>
      <c r="K25" s="50">
        <f t="shared" si="4"/>
        <v>10.71673525377229</v>
      </c>
      <c r="L25" s="50">
        <f t="shared" si="4"/>
        <v>12.056327160493828</v>
      </c>
      <c r="M25" s="50">
        <f t="shared" si="4"/>
        <v>13.395919067215363</v>
      </c>
      <c r="N25" s="50">
        <f t="shared" si="4"/>
        <v>26.791838134430726</v>
      </c>
    </row>
    <row r="26" spans="1:14">
      <c r="A26" s="48">
        <v>60</v>
      </c>
      <c r="B26" s="49">
        <f t="shared" si="2"/>
        <v>16.666666666666668</v>
      </c>
      <c r="C26" s="52">
        <f t="shared" si="4"/>
        <v>3.8580246913580252E-2</v>
      </c>
      <c r="D26" s="52">
        <f t="shared" si="4"/>
        <v>1.9290123456790125</v>
      </c>
      <c r="E26" s="50">
        <f t="shared" si="4"/>
        <v>3.8580246913580249</v>
      </c>
      <c r="F26" s="50">
        <f t="shared" si="4"/>
        <v>5.7870370370370381</v>
      </c>
      <c r="G26" s="50">
        <f t="shared" si="4"/>
        <v>7.7160493827160499</v>
      </c>
      <c r="H26" s="50">
        <f t="shared" si="4"/>
        <v>9.6450617283950635</v>
      </c>
      <c r="I26" s="50">
        <f t="shared" si="4"/>
        <v>11.574074074074076</v>
      </c>
      <c r="J26" s="50">
        <f t="shared" si="4"/>
        <v>13.503086419753089</v>
      </c>
      <c r="K26" s="50">
        <f t="shared" si="4"/>
        <v>15.4320987654321</v>
      </c>
      <c r="L26" s="50">
        <f t="shared" si="4"/>
        <v>17.361111111111114</v>
      </c>
      <c r="M26" s="50">
        <f t="shared" si="4"/>
        <v>19.290123456790127</v>
      </c>
      <c r="N26" s="50">
        <f t="shared" si="4"/>
        <v>38.580246913580254</v>
      </c>
    </row>
    <row r="27" spans="1:14">
      <c r="A27" s="48">
        <v>70</v>
      </c>
      <c r="B27" s="49">
        <f t="shared" si="2"/>
        <v>19.444444444444443</v>
      </c>
      <c r="C27" s="52">
        <f t="shared" si="4"/>
        <v>5.2512002743484221E-2</v>
      </c>
      <c r="D27" s="52">
        <f t="shared" si="4"/>
        <v>2.625600137174211</v>
      </c>
      <c r="E27" s="50">
        <f t="shared" si="4"/>
        <v>5.2512002743484221</v>
      </c>
      <c r="F27" s="50">
        <f t="shared" si="4"/>
        <v>7.8768004115226331</v>
      </c>
      <c r="G27" s="50">
        <f t="shared" si="4"/>
        <v>10.502400548696844</v>
      </c>
      <c r="H27" s="50">
        <f t="shared" si="4"/>
        <v>13.128000685871056</v>
      </c>
      <c r="I27" s="50">
        <f t="shared" si="4"/>
        <v>15.753600823045266</v>
      </c>
      <c r="J27" s="50">
        <f t="shared" si="4"/>
        <v>18.379200960219475</v>
      </c>
      <c r="K27" s="50">
        <f t="shared" si="4"/>
        <v>21.004801097393688</v>
      </c>
      <c r="L27" s="50">
        <f t="shared" si="4"/>
        <v>23.630401234567898</v>
      </c>
      <c r="M27" s="50">
        <f t="shared" si="4"/>
        <v>26.256001371742112</v>
      </c>
      <c r="N27" s="50">
        <f t="shared" si="4"/>
        <v>52.512002743484224</v>
      </c>
    </row>
    <row r="28" spans="1:14">
      <c r="A28" s="48">
        <v>80</v>
      </c>
      <c r="B28" s="49">
        <f t="shared" si="2"/>
        <v>22.222222222222221</v>
      </c>
      <c r="C28" s="52">
        <f t="shared" si="4"/>
        <v>6.8587105624142664E-2</v>
      </c>
      <c r="D28" s="52">
        <f t="shared" si="4"/>
        <v>3.4293552812071328</v>
      </c>
      <c r="E28" s="50">
        <f t="shared" si="4"/>
        <v>6.8587105624142657</v>
      </c>
      <c r="F28" s="50">
        <f t="shared" si="4"/>
        <v>10.2880658436214</v>
      </c>
      <c r="G28" s="50">
        <f t="shared" si="4"/>
        <v>13.717421124828531</v>
      </c>
      <c r="H28" s="50">
        <f t="shared" si="4"/>
        <v>17.146776406035663</v>
      </c>
      <c r="I28" s="50">
        <f t="shared" si="4"/>
        <v>20.5761316872428</v>
      </c>
      <c r="J28" s="50">
        <f t="shared" si="4"/>
        <v>24.005486968449929</v>
      </c>
      <c r="K28" s="50">
        <f t="shared" si="4"/>
        <v>27.434842249657063</v>
      </c>
      <c r="L28" s="50">
        <f t="shared" si="4"/>
        <v>30.864197530864196</v>
      </c>
      <c r="M28" s="50">
        <f t="shared" si="4"/>
        <v>34.293552812071326</v>
      </c>
      <c r="N28" s="50">
        <f t="shared" si="4"/>
        <v>68.587105624142652</v>
      </c>
    </row>
    <row r="29" spans="1:14">
      <c r="A29" s="48">
        <v>90</v>
      </c>
      <c r="B29" s="49">
        <f t="shared" si="2"/>
        <v>25</v>
      </c>
      <c r="C29" s="52">
        <f t="shared" si="4"/>
        <v>8.6805555555555552E-2</v>
      </c>
      <c r="D29" s="52">
        <f t="shared" si="4"/>
        <v>4.3402777777777777</v>
      </c>
      <c r="E29" s="50">
        <f t="shared" si="4"/>
        <v>8.6805555555555554</v>
      </c>
      <c r="F29" s="50">
        <f t="shared" si="4"/>
        <v>13.020833333333334</v>
      </c>
      <c r="G29" s="50">
        <f t="shared" si="4"/>
        <v>17.361111111111111</v>
      </c>
      <c r="H29" s="50">
        <f t="shared" si="4"/>
        <v>21.701388888888889</v>
      </c>
      <c r="I29" s="50">
        <f t="shared" si="4"/>
        <v>26.041666666666668</v>
      </c>
      <c r="J29" s="50">
        <f t="shared" si="4"/>
        <v>30.381944444444443</v>
      </c>
      <c r="K29" s="50">
        <f t="shared" si="4"/>
        <v>34.722222222222221</v>
      </c>
      <c r="L29" s="50">
        <f t="shared" si="4"/>
        <v>39.0625</v>
      </c>
      <c r="M29" s="50">
        <f t="shared" si="4"/>
        <v>43.402777777777779</v>
      </c>
      <c r="N29" s="50">
        <f t="shared" si="4"/>
        <v>86.805555555555557</v>
      </c>
    </row>
    <row r="30" spans="1:14">
      <c r="A30" s="48">
        <v>100</v>
      </c>
      <c r="B30" s="49">
        <f t="shared" si="2"/>
        <v>27.777777777777779</v>
      </c>
      <c r="C30" s="52">
        <f t="shared" si="4"/>
        <v>0.10716735253772292</v>
      </c>
      <c r="D30" s="52">
        <f t="shared" si="4"/>
        <v>5.3583676268861451</v>
      </c>
      <c r="E30" s="50">
        <f t="shared" si="4"/>
        <v>10.71673525377229</v>
      </c>
      <c r="F30" s="50">
        <f t="shared" si="4"/>
        <v>16.075102880658438</v>
      </c>
      <c r="G30" s="50">
        <f t="shared" si="4"/>
        <v>21.43347050754458</v>
      </c>
      <c r="H30" s="50">
        <f t="shared" si="4"/>
        <v>26.791838134430726</v>
      </c>
      <c r="I30" s="50">
        <f t="shared" si="4"/>
        <v>32.150205761316876</v>
      </c>
      <c r="J30" s="50">
        <f t="shared" si="4"/>
        <v>37.508573388203018</v>
      </c>
      <c r="K30" s="50">
        <f t="shared" si="4"/>
        <v>42.866941015089161</v>
      </c>
      <c r="L30" s="50">
        <f t="shared" si="4"/>
        <v>48.22530864197531</v>
      </c>
      <c r="M30" s="50">
        <f t="shared" si="4"/>
        <v>53.583676268861453</v>
      </c>
      <c r="N30" s="50">
        <f t="shared" si="4"/>
        <v>107.16735253772291</v>
      </c>
    </row>
    <row r="31" spans="1:14">
      <c r="A31" s="48">
        <v>110</v>
      </c>
      <c r="B31" s="49">
        <f t="shared" si="2"/>
        <v>30.555555555555557</v>
      </c>
      <c r="C31" s="52">
        <f t="shared" si="4"/>
        <v>0.12967249657064472</v>
      </c>
      <c r="D31" s="52">
        <f t="shared" si="4"/>
        <v>6.4836248285322364</v>
      </c>
      <c r="E31" s="50">
        <f t="shared" si="4"/>
        <v>12.967249657064473</v>
      </c>
      <c r="F31" s="50">
        <f t="shared" si="4"/>
        <v>19.450874485596707</v>
      </c>
      <c r="G31" s="50">
        <f t="shared" si="4"/>
        <v>25.934499314128946</v>
      </c>
      <c r="H31" s="50">
        <f t="shared" si="4"/>
        <v>32.418124142661185</v>
      </c>
      <c r="I31" s="50">
        <f t="shared" si="4"/>
        <v>38.901748971193413</v>
      </c>
      <c r="J31" s="50">
        <f t="shared" si="4"/>
        <v>45.385373799725656</v>
      </c>
      <c r="K31" s="50">
        <f t="shared" si="4"/>
        <v>51.868998628257891</v>
      </c>
      <c r="L31" s="50">
        <f t="shared" si="4"/>
        <v>58.352623456790127</v>
      </c>
      <c r="M31" s="50">
        <f t="shared" si="4"/>
        <v>64.83624828532237</v>
      </c>
      <c r="N31" s="50">
        <f t="shared" si="4"/>
        <v>129.67249657064474</v>
      </c>
    </row>
    <row r="32" spans="1:14">
      <c r="A32" s="48">
        <v>120</v>
      </c>
      <c r="B32" s="49">
        <f t="shared" si="2"/>
        <v>33.333333333333336</v>
      </c>
      <c r="C32" s="52">
        <f t="shared" si="4"/>
        <v>0.15432098765432101</v>
      </c>
      <c r="D32" s="52">
        <f t="shared" si="4"/>
        <v>7.7160493827160499</v>
      </c>
      <c r="E32" s="50">
        <f t="shared" si="4"/>
        <v>15.4320987654321</v>
      </c>
      <c r="F32" s="50">
        <f t="shared" si="4"/>
        <v>23.148148148148152</v>
      </c>
      <c r="G32" s="50">
        <f t="shared" si="4"/>
        <v>30.8641975308642</v>
      </c>
      <c r="H32" s="50">
        <f t="shared" si="4"/>
        <v>38.580246913580254</v>
      </c>
      <c r="I32" s="50">
        <f t="shared" si="4"/>
        <v>46.296296296296305</v>
      </c>
      <c r="J32" s="50">
        <f t="shared" si="4"/>
        <v>54.012345679012356</v>
      </c>
      <c r="K32" s="50">
        <f t="shared" si="4"/>
        <v>61.728395061728399</v>
      </c>
      <c r="L32" s="50">
        <f t="shared" si="4"/>
        <v>69.444444444444457</v>
      </c>
      <c r="M32" s="50">
        <f t="shared" si="4"/>
        <v>77.160493827160508</v>
      </c>
      <c r="N32" s="50">
        <f t="shared" si="4"/>
        <v>154.32098765432102</v>
      </c>
    </row>
    <row r="33" spans="1:14">
      <c r="A33" s="48">
        <v>130</v>
      </c>
      <c r="B33" s="49">
        <f t="shared" si="2"/>
        <v>36.111111111111114</v>
      </c>
      <c r="C33" s="52">
        <f t="shared" si="4"/>
        <v>0.18111282578875174</v>
      </c>
      <c r="D33" s="52">
        <f t="shared" si="4"/>
        <v>9.0556412894375864</v>
      </c>
      <c r="E33" s="50">
        <f t="shared" si="4"/>
        <v>18.111282578875173</v>
      </c>
      <c r="F33" s="50">
        <f t="shared" si="4"/>
        <v>27.166923868312761</v>
      </c>
      <c r="G33" s="50">
        <f t="shared" si="4"/>
        <v>36.222565157750346</v>
      </c>
      <c r="H33" s="50">
        <f t="shared" si="4"/>
        <v>45.278206447187927</v>
      </c>
      <c r="I33" s="50">
        <f t="shared" si="4"/>
        <v>54.333847736625522</v>
      </c>
      <c r="J33" s="50">
        <f t="shared" si="4"/>
        <v>63.38948902606311</v>
      </c>
      <c r="K33" s="50">
        <f t="shared" si="4"/>
        <v>72.445130315500691</v>
      </c>
      <c r="L33" s="50">
        <f t="shared" si="4"/>
        <v>81.500771604938279</v>
      </c>
      <c r="M33" s="50">
        <f t="shared" si="4"/>
        <v>90.556412894375853</v>
      </c>
      <c r="N33" s="50">
        <f t="shared" si="4"/>
        <v>181.11282578875171</v>
      </c>
    </row>
    <row r="35" spans="1:14">
      <c r="A35" s="213" t="s">
        <v>99</v>
      </c>
      <c r="B35" s="213"/>
      <c r="C35" s="214" t="s">
        <v>95</v>
      </c>
      <c r="D35" s="214"/>
      <c r="E35" s="214"/>
      <c r="F35" s="214"/>
      <c r="G35" s="214"/>
      <c r="H35" s="214"/>
      <c r="I35" s="214"/>
      <c r="J35" s="214"/>
      <c r="K35" s="214"/>
    </row>
    <row r="36" spans="1:14">
      <c r="A36" s="47" t="s">
        <v>96</v>
      </c>
      <c r="B36" s="48" t="s">
        <v>97</v>
      </c>
      <c r="C36" s="46">
        <v>1</v>
      </c>
      <c r="D36" s="46">
        <v>50</v>
      </c>
      <c r="E36" s="46">
        <v>100</v>
      </c>
      <c r="F36" s="46">
        <v>150</v>
      </c>
      <c r="G36" s="46">
        <v>200</v>
      </c>
      <c r="H36" s="46">
        <v>250</v>
      </c>
      <c r="I36" s="46">
        <v>300</v>
      </c>
      <c r="J36" s="46">
        <v>350</v>
      </c>
      <c r="K36" s="46">
        <v>400</v>
      </c>
      <c r="L36" s="46">
        <v>450</v>
      </c>
      <c r="M36" s="46">
        <v>500</v>
      </c>
      <c r="N36" s="46">
        <v>1000</v>
      </c>
    </row>
    <row r="37" spans="1:14">
      <c r="A37" s="48">
        <v>0</v>
      </c>
      <c r="B37" s="49">
        <f t="shared" ref="B37:B50" si="5">A37*1000/3600</f>
        <v>0</v>
      </c>
      <c r="C37" s="52">
        <f>C20/48</f>
        <v>0</v>
      </c>
      <c r="D37" s="52">
        <f t="shared" ref="D37:N37" si="6">D20/3600</f>
        <v>0</v>
      </c>
      <c r="E37" s="52">
        <f t="shared" si="6"/>
        <v>0</v>
      </c>
      <c r="F37" s="51">
        <f t="shared" si="6"/>
        <v>0</v>
      </c>
      <c r="G37" s="51">
        <f t="shared" si="6"/>
        <v>0</v>
      </c>
      <c r="H37" s="51">
        <f t="shared" si="6"/>
        <v>0</v>
      </c>
      <c r="I37" s="51">
        <f t="shared" si="6"/>
        <v>0</v>
      </c>
      <c r="J37" s="51">
        <f t="shared" si="6"/>
        <v>0</v>
      </c>
      <c r="K37" s="51">
        <f t="shared" si="6"/>
        <v>0</v>
      </c>
      <c r="L37" s="51">
        <f t="shared" si="6"/>
        <v>0</v>
      </c>
      <c r="M37" s="51">
        <f t="shared" si="6"/>
        <v>0</v>
      </c>
      <c r="N37" s="51">
        <f t="shared" si="6"/>
        <v>0</v>
      </c>
    </row>
    <row r="38" spans="1:14">
      <c r="A38" s="48">
        <v>10</v>
      </c>
      <c r="B38" s="49">
        <f t="shared" si="5"/>
        <v>2.7777777777777777</v>
      </c>
      <c r="C38" s="52">
        <f t="shared" ref="C38:N50" si="7">C21/48</f>
        <v>2.2326531778692274E-5</v>
      </c>
      <c r="D38" s="52">
        <f t="shared" si="7"/>
        <v>1.1163265889346135E-3</v>
      </c>
      <c r="E38" s="52">
        <f t="shared" si="7"/>
        <v>2.232653177869227E-3</v>
      </c>
      <c r="F38" s="51">
        <f t="shared" si="7"/>
        <v>3.3489797668038411E-3</v>
      </c>
      <c r="G38" s="51">
        <f t="shared" si="7"/>
        <v>4.4653063557384539E-3</v>
      </c>
      <c r="H38" s="51">
        <f t="shared" si="7"/>
        <v>5.5816329446730676E-3</v>
      </c>
      <c r="I38" s="51">
        <f t="shared" si="7"/>
        <v>6.6979595336076822E-3</v>
      </c>
      <c r="J38" s="51">
        <f t="shared" si="7"/>
        <v>7.8142861225422942E-3</v>
      </c>
      <c r="K38" s="51">
        <f t="shared" si="7"/>
        <v>8.9306127114769079E-3</v>
      </c>
      <c r="L38" s="51">
        <f t="shared" si="7"/>
        <v>1.0046939300411522E-2</v>
      </c>
      <c r="M38" s="51">
        <f t="shared" si="7"/>
        <v>1.1163265889346135E-2</v>
      </c>
      <c r="N38" s="51">
        <f t="shared" si="7"/>
        <v>2.2326531778692271E-2</v>
      </c>
    </row>
    <row r="39" spans="1:14">
      <c r="A39" s="48">
        <v>20</v>
      </c>
      <c r="B39" s="49">
        <f t="shared" si="5"/>
        <v>5.5555555555555554</v>
      </c>
      <c r="C39" s="52">
        <f t="shared" si="7"/>
        <v>8.9306127114769098E-5</v>
      </c>
      <c r="D39" s="52">
        <f t="shared" si="7"/>
        <v>4.4653063557384539E-3</v>
      </c>
      <c r="E39" s="52">
        <f t="shared" si="7"/>
        <v>8.9306127114769079E-3</v>
      </c>
      <c r="F39" s="51">
        <f t="shared" si="7"/>
        <v>1.3395919067215364E-2</v>
      </c>
      <c r="G39" s="51">
        <f t="shared" si="7"/>
        <v>1.7861225422953816E-2</v>
      </c>
      <c r="H39" s="51">
        <f t="shared" si="7"/>
        <v>2.2326531778692271E-2</v>
      </c>
      <c r="I39" s="51">
        <f t="shared" si="7"/>
        <v>2.6791838134430729E-2</v>
      </c>
      <c r="J39" s="51">
        <f t="shared" si="7"/>
        <v>3.1257144490169177E-2</v>
      </c>
      <c r="K39" s="51">
        <f t="shared" si="7"/>
        <v>3.5722450845907631E-2</v>
      </c>
      <c r="L39" s="51">
        <f t="shared" si="7"/>
        <v>4.0187757201646086E-2</v>
      </c>
      <c r="M39" s="51">
        <f t="shared" si="7"/>
        <v>4.4653063557384541E-2</v>
      </c>
      <c r="N39" s="51">
        <f t="shared" si="7"/>
        <v>8.9306127114769082E-2</v>
      </c>
    </row>
    <row r="40" spans="1:14">
      <c r="A40" s="48">
        <v>30</v>
      </c>
      <c r="B40" s="49">
        <f t="shared" si="5"/>
        <v>8.3333333333333339</v>
      </c>
      <c r="C40" s="52">
        <f t="shared" si="7"/>
        <v>2.0093878600823049E-4</v>
      </c>
      <c r="D40" s="52">
        <f t="shared" si="7"/>
        <v>1.0046939300411523E-2</v>
      </c>
      <c r="E40" s="52">
        <f t="shared" si="7"/>
        <v>2.0093878600823047E-2</v>
      </c>
      <c r="F40" s="51">
        <f t="shared" si="7"/>
        <v>3.0140817901234573E-2</v>
      </c>
      <c r="G40" s="51">
        <f t="shared" si="7"/>
        <v>4.0187757201646093E-2</v>
      </c>
      <c r="H40" s="51">
        <f t="shared" si="7"/>
        <v>5.023469650205762E-2</v>
      </c>
      <c r="I40" s="51">
        <f t="shared" si="7"/>
        <v>6.0281635802469147E-2</v>
      </c>
      <c r="J40" s="51">
        <f t="shared" si="7"/>
        <v>7.0328575102880667E-2</v>
      </c>
      <c r="K40" s="51">
        <f t="shared" si="7"/>
        <v>8.0375514403292186E-2</v>
      </c>
      <c r="L40" s="51">
        <f t="shared" si="7"/>
        <v>9.042245370370372E-2</v>
      </c>
      <c r="M40" s="51">
        <f t="shared" si="7"/>
        <v>0.10046939300411524</v>
      </c>
      <c r="N40" s="51">
        <f t="shared" si="7"/>
        <v>0.20093878600823048</v>
      </c>
    </row>
    <row r="41" spans="1:14">
      <c r="A41" s="48">
        <v>40</v>
      </c>
      <c r="B41" s="49">
        <f t="shared" si="5"/>
        <v>11.111111111111111</v>
      </c>
      <c r="C41" s="52">
        <f t="shared" si="7"/>
        <v>3.5722450845907639E-4</v>
      </c>
      <c r="D41" s="52">
        <f t="shared" si="7"/>
        <v>1.7861225422953816E-2</v>
      </c>
      <c r="E41" s="52">
        <f t="shared" si="7"/>
        <v>3.5722450845907631E-2</v>
      </c>
      <c r="F41" s="51">
        <f t="shared" si="7"/>
        <v>5.3583676268861458E-2</v>
      </c>
      <c r="G41" s="51">
        <f t="shared" si="7"/>
        <v>7.1444901691815263E-2</v>
      </c>
      <c r="H41" s="51">
        <f t="shared" si="7"/>
        <v>8.9306127114769082E-2</v>
      </c>
      <c r="I41" s="51">
        <f t="shared" si="7"/>
        <v>0.10716735253772292</v>
      </c>
      <c r="J41" s="51">
        <f t="shared" si="7"/>
        <v>0.12502857796067671</v>
      </c>
      <c r="K41" s="51">
        <f t="shared" si="7"/>
        <v>0.14288980338363053</v>
      </c>
      <c r="L41" s="51">
        <f t="shared" si="7"/>
        <v>0.16075102880658435</v>
      </c>
      <c r="M41" s="51">
        <f t="shared" si="7"/>
        <v>0.17861225422953816</v>
      </c>
      <c r="N41" s="51">
        <f t="shared" si="7"/>
        <v>0.35722450845907633</v>
      </c>
    </row>
    <row r="42" spans="1:14">
      <c r="A42" s="48">
        <v>50</v>
      </c>
      <c r="B42" s="49">
        <f t="shared" si="5"/>
        <v>13.888888888888889</v>
      </c>
      <c r="C42" s="52">
        <f t="shared" si="7"/>
        <v>5.5816329446730685E-4</v>
      </c>
      <c r="D42" s="52">
        <f t="shared" si="7"/>
        <v>2.7908164723365339E-2</v>
      </c>
      <c r="E42" s="52">
        <f t="shared" si="7"/>
        <v>5.5816329446730678E-2</v>
      </c>
      <c r="F42" s="51">
        <f t="shared" si="7"/>
        <v>8.3724494170096031E-2</v>
      </c>
      <c r="G42" s="51">
        <f t="shared" si="7"/>
        <v>0.11163265889346136</v>
      </c>
      <c r="H42" s="51">
        <f t="shared" si="7"/>
        <v>0.13954082361682671</v>
      </c>
      <c r="I42" s="51">
        <f t="shared" si="7"/>
        <v>0.16744898834019206</v>
      </c>
      <c r="J42" s="51">
        <f t="shared" si="7"/>
        <v>0.19535715306355739</v>
      </c>
      <c r="K42" s="51">
        <f t="shared" si="7"/>
        <v>0.22326531778692271</v>
      </c>
      <c r="L42" s="51">
        <f t="shared" si="7"/>
        <v>0.25117348251028809</v>
      </c>
      <c r="M42" s="51">
        <f t="shared" si="7"/>
        <v>0.27908164723365342</v>
      </c>
      <c r="N42" s="51">
        <f t="shared" si="7"/>
        <v>0.55816329446730684</v>
      </c>
    </row>
    <row r="43" spans="1:14">
      <c r="A43" s="48">
        <v>60</v>
      </c>
      <c r="B43" s="49">
        <f t="shared" si="5"/>
        <v>16.666666666666668</v>
      </c>
      <c r="C43" s="52">
        <f t="shared" si="7"/>
        <v>8.0375514403292195E-4</v>
      </c>
      <c r="D43" s="52">
        <f t="shared" si="7"/>
        <v>4.0187757201646093E-2</v>
      </c>
      <c r="E43" s="52">
        <f t="shared" si="7"/>
        <v>8.0375514403292186E-2</v>
      </c>
      <c r="F43" s="51">
        <f t="shared" si="7"/>
        <v>0.12056327160493829</v>
      </c>
      <c r="G43" s="51">
        <f t="shared" si="7"/>
        <v>0.16075102880658437</v>
      </c>
      <c r="H43" s="51">
        <f t="shared" si="7"/>
        <v>0.20093878600823048</v>
      </c>
      <c r="I43" s="51">
        <f t="shared" si="7"/>
        <v>0.24112654320987659</v>
      </c>
      <c r="J43" s="51">
        <f t="shared" si="7"/>
        <v>0.28131430041152267</v>
      </c>
      <c r="K43" s="51">
        <f t="shared" si="7"/>
        <v>0.32150205761316875</v>
      </c>
      <c r="L43" s="51">
        <f t="shared" si="7"/>
        <v>0.36168981481481488</v>
      </c>
      <c r="M43" s="51">
        <f t="shared" si="7"/>
        <v>0.40187757201646096</v>
      </c>
      <c r="N43" s="51">
        <f t="shared" si="7"/>
        <v>0.80375514403292192</v>
      </c>
    </row>
    <row r="44" spans="1:14">
      <c r="A44" s="48">
        <v>70</v>
      </c>
      <c r="B44" s="49">
        <f t="shared" si="5"/>
        <v>19.444444444444443</v>
      </c>
      <c r="C44" s="52">
        <f t="shared" si="7"/>
        <v>1.0940000571559212E-3</v>
      </c>
      <c r="D44" s="52">
        <f t="shared" si="7"/>
        <v>5.4700002857796061E-2</v>
      </c>
      <c r="E44" s="52">
        <f t="shared" si="7"/>
        <v>0.10940000571559212</v>
      </c>
      <c r="F44" s="51">
        <f t="shared" si="7"/>
        <v>0.16410000857338819</v>
      </c>
      <c r="G44" s="51">
        <f t="shared" si="7"/>
        <v>0.21880001143118424</v>
      </c>
      <c r="H44" s="51">
        <f t="shared" si="7"/>
        <v>0.27350001428898035</v>
      </c>
      <c r="I44" s="51">
        <f t="shared" si="7"/>
        <v>0.32820001714677638</v>
      </c>
      <c r="J44" s="51">
        <f t="shared" si="7"/>
        <v>0.38290002000457241</v>
      </c>
      <c r="K44" s="51">
        <f t="shared" si="7"/>
        <v>0.43760002286236849</v>
      </c>
      <c r="L44" s="51">
        <f t="shared" si="7"/>
        <v>0.49230002572016457</v>
      </c>
      <c r="M44" s="51">
        <f t="shared" si="7"/>
        <v>0.54700002857796071</v>
      </c>
      <c r="N44" s="51">
        <f t="shared" si="7"/>
        <v>1.0940000571559214</v>
      </c>
    </row>
    <row r="45" spans="1:14">
      <c r="A45" s="48">
        <v>80</v>
      </c>
      <c r="B45" s="49">
        <f t="shared" si="5"/>
        <v>22.222222222222221</v>
      </c>
      <c r="C45" s="52">
        <f t="shared" si="7"/>
        <v>1.4288980338363056E-3</v>
      </c>
      <c r="D45" s="52">
        <f t="shared" si="7"/>
        <v>7.1444901691815263E-2</v>
      </c>
      <c r="E45" s="52">
        <f t="shared" si="7"/>
        <v>0.14288980338363053</v>
      </c>
      <c r="F45" s="51">
        <f t="shared" si="7"/>
        <v>0.21433470507544583</v>
      </c>
      <c r="G45" s="51">
        <f t="shared" si="7"/>
        <v>0.28577960676726105</v>
      </c>
      <c r="H45" s="51">
        <f t="shared" si="7"/>
        <v>0.35722450845907633</v>
      </c>
      <c r="I45" s="51">
        <f t="shared" si="7"/>
        <v>0.42866941015089166</v>
      </c>
      <c r="J45" s="51">
        <f t="shared" si="7"/>
        <v>0.50011431184270683</v>
      </c>
      <c r="K45" s="51">
        <f t="shared" si="7"/>
        <v>0.5715592135345221</v>
      </c>
      <c r="L45" s="51">
        <f t="shared" si="7"/>
        <v>0.64300411522633738</v>
      </c>
      <c r="M45" s="51">
        <f t="shared" si="7"/>
        <v>0.71444901691815266</v>
      </c>
      <c r="N45" s="51">
        <f t="shared" si="7"/>
        <v>1.4288980338363053</v>
      </c>
    </row>
    <row r="46" spans="1:14">
      <c r="A46" s="48">
        <v>90</v>
      </c>
      <c r="B46" s="49">
        <f t="shared" si="5"/>
        <v>25</v>
      </c>
      <c r="C46" s="52">
        <f t="shared" si="7"/>
        <v>1.8084490740740741E-3</v>
      </c>
      <c r="D46" s="52">
        <f t="shared" si="7"/>
        <v>9.0422453703703706E-2</v>
      </c>
      <c r="E46" s="52">
        <f t="shared" si="7"/>
        <v>0.18084490740740741</v>
      </c>
      <c r="F46" s="51">
        <f t="shared" si="7"/>
        <v>0.2712673611111111</v>
      </c>
      <c r="G46" s="51">
        <f t="shared" si="7"/>
        <v>0.36168981481481483</v>
      </c>
      <c r="H46" s="51">
        <f t="shared" si="7"/>
        <v>0.45211226851851855</v>
      </c>
      <c r="I46" s="51">
        <f t="shared" si="7"/>
        <v>0.54253472222222221</v>
      </c>
      <c r="J46" s="51">
        <f t="shared" si="7"/>
        <v>0.63295717592592593</v>
      </c>
      <c r="K46" s="51">
        <f t="shared" si="7"/>
        <v>0.72337962962962965</v>
      </c>
      <c r="L46" s="51">
        <f t="shared" si="7"/>
        <v>0.81380208333333337</v>
      </c>
      <c r="M46" s="51">
        <f t="shared" si="7"/>
        <v>0.90422453703703709</v>
      </c>
      <c r="N46" s="51">
        <f t="shared" si="7"/>
        <v>1.8084490740740742</v>
      </c>
    </row>
    <row r="47" spans="1:14">
      <c r="A47" s="48">
        <v>100</v>
      </c>
      <c r="B47" s="49">
        <f t="shared" si="5"/>
        <v>27.777777777777779</v>
      </c>
      <c r="C47" s="52">
        <f t="shared" si="7"/>
        <v>2.2326531778692274E-3</v>
      </c>
      <c r="D47" s="52">
        <f t="shared" si="7"/>
        <v>0.11163265889346136</v>
      </c>
      <c r="E47" s="52">
        <f t="shared" si="7"/>
        <v>0.22326531778692271</v>
      </c>
      <c r="F47" s="51">
        <f t="shared" si="7"/>
        <v>0.33489797668038412</v>
      </c>
      <c r="G47" s="51">
        <f t="shared" si="7"/>
        <v>0.44653063557384542</v>
      </c>
      <c r="H47" s="51">
        <f t="shared" si="7"/>
        <v>0.55816329446730684</v>
      </c>
      <c r="I47" s="51">
        <f t="shared" si="7"/>
        <v>0.66979595336076825</v>
      </c>
      <c r="J47" s="51">
        <f t="shared" si="7"/>
        <v>0.78142861225422955</v>
      </c>
      <c r="K47" s="51">
        <f t="shared" si="7"/>
        <v>0.89306127114769085</v>
      </c>
      <c r="L47" s="51">
        <f t="shared" si="7"/>
        <v>1.0046939300411524</v>
      </c>
      <c r="M47" s="51">
        <f t="shared" si="7"/>
        <v>1.1163265889346137</v>
      </c>
      <c r="N47" s="51">
        <f t="shared" si="7"/>
        <v>2.2326531778692273</v>
      </c>
    </row>
    <row r="48" spans="1:14">
      <c r="A48" s="48">
        <v>110</v>
      </c>
      <c r="B48" s="49">
        <f t="shared" si="5"/>
        <v>30.555555555555557</v>
      </c>
      <c r="C48" s="52">
        <f t="shared" si="7"/>
        <v>2.7015103452217651E-3</v>
      </c>
      <c r="D48" s="52">
        <f t="shared" si="7"/>
        <v>0.13507551726108827</v>
      </c>
      <c r="E48" s="52">
        <f t="shared" si="7"/>
        <v>0.27015103452217654</v>
      </c>
      <c r="F48" s="51">
        <f t="shared" si="7"/>
        <v>0.40522655178326472</v>
      </c>
      <c r="G48" s="51">
        <f t="shared" si="7"/>
        <v>0.54030206904435307</v>
      </c>
      <c r="H48" s="51">
        <f t="shared" si="7"/>
        <v>0.67537758630544131</v>
      </c>
      <c r="I48" s="51">
        <f t="shared" si="7"/>
        <v>0.81045310356652944</v>
      </c>
      <c r="J48" s="51">
        <f t="shared" si="7"/>
        <v>0.94552862082761779</v>
      </c>
      <c r="K48" s="51">
        <f t="shared" si="7"/>
        <v>1.0806041380887061</v>
      </c>
      <c r="L48" s="51">
        <f t="shared" si="7"/>
        <v>1.2156796553497944</v>
      </c>
      <c r="M48" s="51">
        <f t="shared" si="7"/>
        <v>1.3507551726108826</v>
      </c>
      <c r="N48" s="51">
        <f t="shared" si="7"/>
        <v>2.7015103452217653</v>
      </c>
    </row>
    <row r="49" spans="1:14">
      <c r="A49" s="48">
        <v>120</v>
      </c>
      <c r="B49" s="49">
        <f t="shared" si="5"/>
        <v>33.333333333333336</v>
      </c>
      <c r="C49" s="52">
        <f t="shared" si="7"/>
        <v>3.2150205761316878E-3</v>
      </c>
      <c r="D49" s="52">
        <f t="shared" si="7"/>
        <v>0.16075102880658437</v>
      </c>
      <c r="E49" s="52">
        <f t="shared" si="7"/>
        <v>0.32150205761316875</v>
      </c>
      <c r="F49" s="51">
        <f t="shared" si="7"/>
        <v>0.48225308641975317</v>
      </c>
      <c r="G49" s="51">
        <f t="shared" si="7"/>
        <v>0.64300411522633749</v>
      </c>
      <c r="H49" s="51">
        <f t="shared" si="7"/>
        <v>0.80375514403292192</v>
      </c>
      <c r="I49" s="51">
        <f t="shared" si="7"/>
        <v>0.96450617283950635</v>
      </c>
      <c r="J49" s="51">
        <f t="shared" si="7"/>
        <v>1.1252572016460907</v>
      </c>
      <c r="K49" s="51">
        <f t="shared" si="7"/>
        <v>1.286008230452675</v>
      </c>
      <c r="L49" s="51">
        <f t="shared" si="7"/>
        <v>1.4467592592592595</v>
      </c>
      <c r="M49" s="51">
        <f t="shared" si="7"/>
        <v>1.6075102880658438</v>
      </c>
      <c r="N49" s="51">
        <f t="shared" si="7"/>
        <v>3.2150205761316877</v>
      </c>
    </row>
    <row r="50" spans="1:14">
      <c r="A50" s="48">
        <v>130</v>
      </c>
      <c r="B50" s="49">
        <f t="shared" si="5"/>
        <v>36.111111111111114</v>
      </c>
      <c r="C50" s="52">
        <f t="shared" si="7"/>
        <v>3.7731838705989946E-3</v>
      </c>
      <c r="D50" s="52">
        <f t="shared" si="7"/>
        <v>0.18865919352994973</v>
      </c>
      <c r="E50" s="52">
        <f t="shared" si="7"/>
        <v>0.37731838705989945</v>
      </c>
      <c r="F50" s="51">
        <f t="shared" si="7"/>
        <v>0.56597758058984915</v>
      </c>
      <c r="G50" s="51">
        <f t="shared" si="7"/>
        <v>0.7546367741197989</v>
      </c>
      <c r="H50" s="51">
        <f t="shared" si="7"/>
        <v>0.94329596764974843</v>
      </c>
      <c r="I50" s="51">
        <f t="shared" si="7"/>
        <v>1.1319551611796983</v>
      </c>
      <c r="J50" s="51">
        <f t="shared" si="7"/>
        <v>1.3206143547096481</v>
      </c>
      <c r="K50" s="51">
        <f t="shared" si="7"/>
        <v>1.5092735482395978</v>
      </c>
      <c r="L50" s="51">
        <f t="shared" si="7"/>
        <v>1.6979327417695476</v>
      </c>
      <c r="M50" s="51">
        <f t="shared" si="7"/>
        <v>1.8865919352994969</v>
      </c>
      <c r="N50" s="51">
        <f t="shared" si="7"/>
        <v>3.7731838705989937</v>
      </c>
    </row>
  </sheetData>
  <mergeCells count="6">
    <mergeCell ref="A1:B1"/>
    <mergeCell ref="C1:K1"/>
    <mergeCell ref="A18:B18"/>
    <mergeCell ref="C18:K18"/>
    <mergeCell ref="A35:B35"/>
    <mergeCell ref="C35:K3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1a0576-6c54-42c0-9c78-bae1f11706a2">
      <Terms xmlns="http://schemas.microsoft.com/office/infopath/2007/PartnerControls"/>
    </lcf76f155ced4ddcb4097134ff3c332f>
    <TaxCatchAll xmlns="f4eb3fa5-ea3d-4580-8feb-e45b727fc92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0BA3D20298A440A47FC1EA262D6B51" ma:contentTypeVersion="11" ma:contentTypeDescription="Create a new document." ma:contentTypeScope="" ma:versionID="53aeb58f6c76cce861d96cfa44c87da9">
  <xsd:schema xmlns:xsd="http://www.w3.org/2001/XMLSchema" xmlns:xs="http://www.w3.org/2001/XMLSchema" xmlns:p="http://schemas.microsoft.com/office/2006/metadata/properties" xmlns:ns2="be1a0576-6c54-42c0-9c78-bae1f11706a2" xmlns:ns3="f4eb3fa5-ea3d-4580-8feb-e45b727fc929" targetNamespace="http://schemas.microsoft.com/office/2006/metadata/properties" ma:root="true" ma:fieldsID="85a9124d19faf0910cfdc4dfbd68b149" ns2:_="" ns3:_="">
    <xsd:import namespace="be1a0576-6c54-42c0-9c78-bae1f11706a2"/>
    <xsd:import namespace="f4eb3fa5-ea3d-4580-8feb-e45b727fc9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1a0576-6c54-42c0-9c78-bae1f1170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395fa4d-03d7-40be-af55-868bfcda40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eb3fa5-ea3d-4580-8feb-e45b727fc92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f4630cb-d6a9-4b0b-ae61-52b7d9812e9c}" ma:internalName="TaxCatchAll" ma:showField="CatchAllData" ma:web="f4eb3fa5-ea3d-4580-8feb-e45b727fc9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C252F2-FCF6-4815-BF35-235CAC0F6BE2}"/>
</file>

<file path=customXml/itemProps2.xml><?xml version="1.0" encoding="utf-8"?>
<ds:datastoreItem xmlns:ds="http://schemas.openxmlformats.org/officeDocument/2006/customXml" ds:itemID="{B9CE568D-1AAD-482D-BAC0-44CB396F35E5}"/>
</file>

<file path=customXml/itemProps3.xml><?xml version="1.0" encoding="utf-8"?>
<ds:datastoreItem xmlns:ds="http://schemas.openxmlformats.org/officeDocument/2006/customXml" ds:itemID="{486F9109-109B-4B8E-BA1E-0C16A8EA2B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XERRI</dc:creator>
  <cp:keywords/>
  <dc:description/>
  <cp:lastModifiedBy>Frederic XERRI</cp:lastModifiedBy>
  <cp:revision/>
  <dcterms:created xsi:type="dcterms:W3CDTF">2001-12-12T10:18:53Z</dcterms:created>
  <dcterms:modified xsi:type="dcterms:W3CDTF">2025-02-14T14:36:42Z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0x0101000E0BA3D20298A440A47FC1EA262D6B51</vt:lpwstr>
  </property>
  <property fmtid="{D5CDD505-2E9C-101B-9397-08002B2CF9AE}" pid="3" name="MediaServiceImageTags">
    <vt:lpwstr/>
  </property>
</Properties>
</file>