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Ding\Desktop\"/>
    </mc:Choice>
  </mc:AlternateContent>
  <xr:revisionPtr revIDLastSave="0" documentId="13_ncr:1_{1E160549-CEB3-4F04-90E0-2378E3BFA8FB}" xr6:coauthVersionLast="47" xr6:coauthVersionMax="47" xr10:uidLastSave="{00000000-0000-0000-0000-000000000000}"/>
  <bookViews>
    <workbookView xWindow="-120" yWindow="-120" windowWidth="29040" windowHeight="15990" activeTab="3" xr2:uid="{00000000-000D-0000-FFFF-FFFF00000000}"/>
  </bookViews>
  <sheets>
    <sheet name="函数讲义" sheetId="2" r:id="rId1"/>
    <sheet name="函数集合" sheetId="3" r:id="rId2"/>
    <sheet name="函数单独用法" sheetId="5" r:id="rId3"/>
    <sheet name="实例" sheetId="1" r:id="rId4"/>
    <sheet name="疑难杂症1" sheetId="7" r:id="rId5"/>
    <sheet name="函数练习" sheetId="4" r:id="rId6"/>
  </sheets>
  <definedNames>
    <definedName name="_xlnm._FilterDatabase" localSheetId="0" hidden="1">函数讲义!$A$215:$B$218</definedName>
    <definedName name="_xlnm._FilterDatabase" localSheetId="4" hidden="1">疑难杂症1!$A$2:$H$71</definedName>
    <definedName name="abs">函数单独用法!$A$3</definedName>
    <definedName name="AND">函数单独用法!$A$210</definedName>
    <definedName name="AVERAGE">函数单独用法!$A$123</definedName>
    <definedName name="CHOOSE">函数单独用法!$A$114</definedName>
    <definedName name="COLUMN">函数单独用法!$A$400</definedName>
    <definedName name="COUNT">函数单独用法!$A$63</definedName>
    <definedName name="COUNTA">函数单独用法!$A$64</definedName>
    <definedName name="countif">函数单独用法!$A$71</definedName>
    <definedName name="COUNTIFS">函数单独用法!$A$78</definedName>
    <definedName name="DATE">函数单独用法!$A$340</definedName>
    <definedName name="DATEDIF">函数单独用法!$A$169</definedName>
    <definedName name="DAY">函数单独用法!$A$371</definedName>
    <definedName name="FALSE_">函数单独用法!$A$60</definedName>
    <definedName name="FILTER">函数单独用法!$A$507</definedName>
    <definedName name="FIND">函数单独用法!$A$297</definedName>
    <definedName name="FREQUENCY">函数单独用法!$A$601</definedName>
    <definedName name="HOUR">函数单独用法!$A$376</definedName>
    <definedName name="HYPERLINK">函数单独用法!$A$471</definedName>
    <definedName name="if">函数单独用法!$A$143</definedName>
    <definedName name="IFERROR">函数单独用法!$A$152</definedName>
    <definedName name="IFS">函数单独用法!$A$588</definedName>
    <definedName name="index">函数单独用法!$A$246</definedName>
    <definedName name="INDIRECT">函数单独用法!$A$484</definedName>
    <definedName name="int">函数单独用法!$A$8</definedName>
    <definedName name="ISERROR">函数单独用法!$A$195</definedName>
    <definedName name="ISEVEN">函数单独用法!$A$184</definedName>
    <definedName name="ISODD">函数单独用法!$A$190</definedName>
    <definedName name="LARGE">函数单独用法!$A$460</definedName>
    <definedName name="LEFT">函数单独用法!$A$434</definedName>
    <definedName name="len">函数单独用法!$A$423</definedName>
    <definedName name="LOOKUP">函数单独用法!$A$276</definedName>
    <definedName name="match">函数单独用法!$A$237</definedName>
    <definedName name="MAX">函数单独用法!$A$409</definedName>
    <definedName name="MID">函数单独用法!$A$445</definedName>
    <definedName name="MIN">函数单独用法!$A$416</definedName>
    <definedName name="MINUTE">函数单独用法!$A$382</definedName>
    <definedName name="MONTH">函数单独用法!$A$366</definedName>
    <definedName name="N">函数单独用法!$A$130</definedName>
    <definedName name="NETWORKDAYS">函数单独用法!$A$330</definedName>
    <definedName name="NOT">函数单独用法!$A$218</definedName>
    <definedName name="NOW">函数单独用法!$A$356</definedName>
    <definedName name="OFFSET">函数单独用法!$A$314</definedName>
    <definedName name="OR">函数单独用法!$A$211</definedName>
    <definedName name="RANDBETWEEN">函数单独用法!$A$39</definedName>
    <definedName name="RANK.EQ">函数单独用法!$A$27</definedName>
    <definedName name="REPLACE">函数单独用法!$A$556</definedName>
    <definedName name="RIGHT">函数单独用法!$A$435</definedName>
    <definedName name="round">函数单独用法!$A$14</definedName>
    <definedName name="ROUNDUP">函数单独用法!$A$580</definedName>
    <definedName name="ROW">函数单独用法!$A$392</definedName>
    <definedName name="SEARCH">函数单独用法!$A$298</definedName>
    <definedName name="SECOND">函数单独用法!$A$387</definedName>
    <definedName name="SEQUENCE">函数单独用法!$A$530</definedName>
    <definedName name="SMALL">函数单独用法!$A$459</definedName>
    <definedName name="SORTBY">函数单独用法!$A$517</definedName>
    <definedName name="SQRT">函数单独用法!$A$21</definedName>
    <definedName name="SUBSTITUTE">函数单独用法!$A$545</definedName>
    <definedName name="SUM">函数单独用法!$A$87</definedName>
    <definedName name="sumif">函数单独用法!$A$94</definedName>
    <definedName name="SUMIFS">函数单独用法!$A$103</definedName>
    <definedName name="SUMPRODUCT">函数单独用法!$A$161</definedName>
    <definedName name="TEXT">函数单独用法!$A$51</definedName>
    <definedName name="TEXTJOIN">函数单独用法!$A$569</definedName>
    <definedName name="TODAY">函数单独用法!$A$351</definedName>
    <definedName name="TRUE_">函数单独用法!$A$58</definedName>
    <definedName name="UNIQUE">函数单独用法!$A$495</definedName>
    <definedName name="VALUE">函数单独用法!$A$46</definedName>
    <definedName name="VLOOKUP">函数单独用法!$A$224</definedName>
    <definedName name="XLOOKUP">函数单独用法!$A$615</definedName>
    <definedName name="YEAR">函数单独用法!$A$361</definedName>
    <definedName name="广东省">函数讲义!$B$189:$B$192</definedName>
    <definedName name="江苏省">函数讲义!$C$189:$C$192</definedName>
    <definedName name="讲_INDIRECT">函数讲义!$F$196</definedName>
    <definedName name="例_CHOOSE">实例!$J$785</definedName>
    <definedName name="例_filter">实例!$E$1128</definedName>
    <definedName name="例_FREQUENCY">实例!$J$1601</definedName>
    <definedName name="例_SUBSTITUTE">实例!$H$1107</definedName>
    <definedName name="例_textjoin">实例!$P$212</definedName>
    <definedName name="例_UNIQUE">实例!$C$1205</definedName>
    <definedName name="切片器_销售处">#N/A</definedName>
    <definedName name="四川省">函数讲义!$D$189:$D$192</definedName>
  </definedNames>
  <calcPr calcId="191029"/>
  <pivotCaches>
    <pivotCache cacheId="0" r:id="rId7"/>
    <pivotCache cacheId="1" r:id="rId8"/>
    <pivotCache cacheId="2" r:id="rId9"/>
    <pivotCache cacheId="3"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75" i="1" l="1" a="1"/>
  <c r="C1675" i="1" s="1"/>
  <c r="C1676" i="1" a="1"/>
  <c r="C1676" i="1" s="1"/>
  <c r="C1677" i="1" a="1"/>
  <c r="C1677" i="1" s="1"/>
  <c r="C1678" i="1" a="1"/>
  <c r="C1678" i="1" s="1"/>
  <c r="C1679" i="1" a="1"/>
  <c r="C1679" i="1" s="1"/>
  <c r="C1680" i="1" a="1"/>
  <c r="C1680" i="1" s="1"/>
  <c r="C1681" i="1" a="1"/>
  <c r="C1681" i="1" s="1"/>
  <c r="C1682" i="1" a="1"/>
  <c r="C1682" i="1" s="1"/>
  <c r="C1683" i="1" a="1"/>
  <c r="C1683" i="1" s="1"/>
  <c r="C1684" i="1" a="1"/>
  <c r="C1684" i="1" s="1"/>
  <c r="C1685" i="1" a="1"/>
  <c r="C1685" i="1" s="1"/>
  <c r="C1686" i="1" a="1"/>
  <c r="C1686" i="1" s="1"/>
  <c r="C1687" i="1" a="1"/>
  <c r="C1687" i="1" s="1"/>
  <c r="C1688" i="1" a="1"/>
  <c r="C1688" i="1" s="1"/>
  <c r="C1689" i="1" a="1"/>
  <c r="C1689" i="1" s="1"/>
  <c r="C1690" i="1" a="1"/>
  <c r="C1690" i="1" s="1"/>
  <c r="C1691" i="1" a="1"/>
  <c r="C1691" i="1" s="1"/>
  <c r="C1692" i="1" a="1"/>
  <c r="C1692" i="1" s="1"/>
  <c r="C1693" i="1" a="1"/>
  <c r="C1693" i="1" s="1"/>
  <c r="C1694" i="1" a="1"/>
  <c r="C1694" i="1" s="1"/>
  <c r="C1674" i="1" a="1"/>
  <c r="C1674" i="1" s="1"/>
  <c r="D1675" i="1"/>
  <c r="D1676" i="1"/>
  <c r="D1677" i="1"/>
  <c r="D1678" i="1"/>
  <c r="D1679" i="1"/>
  <c r="D1680" i="1"/>
  <c r="D1681" i="1"/>
  <c r="D1682" i="1"/>
  <c r="D1683" i="1"/>
  <c r="D1684" i="1"/>
  <c r="D1685" i="1"/>
  <c r="D1686" i="1"/>
  <c r="D1687" i="1"/>
  <c r="D1688" i="1"/>
  <c r="D1689" i="1"/>
  <c r="D1690" i="1"/>
  <c r="D1691" i="1"/>
  <c r="D1692" i="1"/>
  <c r="D1693" i="1"/>
  <c r="D1694" i="1"/>
  <c r="D1674" i="1"/>
  <c r="D1662" i="1"/>
  <c r="D1663" i="1"/>
  <c r="D1664" i="1"/>
  <c r="D1665" i="1"/>
  <c r="D1666" i="1"/>
  <c r="D1667" i="1"/>
  <c r="D1668" i="1"/>
  <c r="D1661" i="1"/>
  <c r="L1644" i="1"/>
  <c r="L1645" i="1"/>
  <c r="L1646" i="1"/>
  <c r="L1647" i="1"/>
  <c r="L1648" i="1"/>
  <c r="L1643" i="1"/>
  <c r="K1648" i="1" a="1"/>
  <c r="K1648" i="1" s="1"/>
  <c r="K1647" i="1" a="1"/>
  <c r="K1647" i="1" s="1"/>
  <c r="K1646" i="1" a="1"/>
  <c r="K1646" i="1" s="1"/>
  <c r="K1645" i="1" a="1"/>
  <c r="K1645" i="1" s="1"/>
  <c r="K1644" i="1" a="1"/>
  <c r="K1644" i="1" s="1"/>
  <c r="K1643" i="1" a="1"/>
  <c r="K1643" i="1" s="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586" i="1"/>
  <c r="G1591" i="1" a="1"/>
  <c r="G1591" i="1" s="1"/>
  <c r="H1591" i="1" s="1"/>
  <c r="E1674" i="1" a="1"/>
  <c r="E1674" i="1" l="1"/>
  <c r="G1592" i="1" a="1"/>
  <c r="G1592" i="1" s="1"/>
  <c r="H1592" i="1" s="1"/>
  <c r="G1593" i="1" l="1" a="1"/>
  <c r="G1593" i="1" s="1"/>
  <c r="H1593" i="1" s="1"/>
  <c r="G1594" i="1" l="1" a="1"/>
  <c r="G1594" i="1" s="1"/>
  <c r="H1594" i="1" s="1"/>
  <c r="G1595" i="1" l="1" a="1"/>
  <c r="G1595" i="1" s="1"/>
  <c r="H1595" i="1" s="1"/>
  <c r="G1596" i="1" l="1" a="1"/>
  <c r="G1596" i="1" s="1"/>
  <c r="G1597" i="1" l="1" a="1"/>
  <c r="G1597" i="1" s="1"/>
  <c r="H1596" i="1"/>
  <c r="G1598" i="1" l="1" a="1"/>
  <c r="G1598" i="1" s="1"/>
  <c r="H1597" i="1"/>
  <c r="G1599" i="1" l="1" a="1"/>
  <c r="G1599" i="1" s="1"/>
  <c r="H1599" i="1" s="1"/>
  <c r="H1598" i="1"/>
  <c r="G1600" i="1" l="1" a="1"/>
  <c r="G1600" i="1" s="1"/>
  <c r="G1601" i="1" l="1" a="1"/>
  <c r="G1601" i="1" s="1"/>
  <c r="H1600" i="1"/>
  <c r="G1602" i="1" l="1" a="1"/>
  <c r="G1602" i="1" s="1"/>
  <c r="H1601" i="1"/>
  <c r="G1603" i="1" l="1" a="1"/>
  <c r="G1603" i="1" s="1"/>
  <c r="H1602" i="1"/>
  <c r="H1603" i="1" l="1"/>
  <c r="G1604" i="1" a="1"/>
  <c r="G1604" i="1" s="1"/>
  <c r="H1604" i="1" l="1"/>
  <c r="G1605" i="1" a="1"/>
  <c r="G1605" i="1" s="1"/>
  <c r="H1605" i="1" l="1"/>
  <c r="G1606" i="1" a="1"/>
  <c r="G1606" i="1" s="1"/>
  <c r="H1606" i="1" l="1"/>
  <c r="G1607" i="1" a="1"/>
  <c r="G1607" i="1" s="1"/>
  <c r="H1607" i="1" l="1"/>
  <c r="G1608" i="1" a="1"/>
  <c r="G1608" i="1" s="1"/>
  <c r="G1609" i="1" l="1" a="1"/>
  <c r="G1609" i="1" s="1"/>
  <c r="H1608" i="1"/>
  <c r="G1610" i="1" l="1" a="1"/>
  <c r="G1610" i="1" s="1"/>
  <c r="H1609" i="1"/>
  <c r="G1611" i="1" l="1" a="1"/>
  <c r="G1611" i="1" s="1"/>
  <c r="H1610" i="1"/>
  <c r="H1611" i="1" l="1"/>
  <c r="G1612" i="1" a="1"/>
  <c r="G1612" i="1" s="1"/>
  <c r="G1613" i="1" l="1" a="1"/>
  <c r="G1613" i="1" s="1"/>
  <c r="H1612" i="1"/>
  <c r="G1614" i="1" l="1" a="1"/>
  <c r="G1614" i="1" s="1"/>
  <c r="H1613" i="1"/>
  <c r="M9" i="7" a="1"/>
  <c r="M9" i="7" s="1"/>
  <c r="M10" i="7" a="1"/>
  <c r="M10" i="7" s="1"/>
  <c r="M11" i="7" a="1"/>
  <c r="M11" i="7" s="1"/>
  <c r="C1579" i="1" a="1"/>
  <c r="C1579" i="1" s="1"/>
  <c r="C1578" i="1" a="1"/>
  <c r="C1578" i="1" s="1"/>
  <c r="M1540" i="1" a="1"/>
  <c r="M1540" i="1" s="1"/>
  <c r="N1540" i="1" a="1"/>
  <c r="N1540" i="1" s="1"/>
  <c r="M1541" i="1" a="1"/>
  <c r="M1541" i="1" s="1"/>
  <c r="N1541" i="1" a="1"/>
  <c r="N1541" i="1" s="1"/>
  <c r="M1542" i="1" a="1"/>
  <c r="M1542" i="1" s="1"/>
  <c r="N1542" i="1" a="1"/>
  <c r="N1542" i="1" s="1"/>
  <c r="M1543" i="1" a="1"/>
  <c r="M1543" i="1" s="1"/>
  <c r="N1543" i="1" a="1"/>
  <c r="N1543" i="1" s="1"/>
  <c r="M1544" i="1" a="1"/>
  <c r="M1544" i="1" s="1"/>
  <c r="N1544" i="1" a="1"/>
  <c r="N1544" i="1" s="1"/>
  <c r="M1545" i="1" a="1"/>
  <c r="M1545" i="1" s="1"/>
  <c r="N1545" i="1" a="1"/>
  <c r="N1545" i="1" s="1"/>
  <c r="M1546" i="1" a="1"/>
  <c r="M1546" i="1" s="1"/>
  <c r="N1546" i="1" a="1"/>
  <c r="N1546" i="1" s="1"/>
  <c r="M1547" i="1" a="1"/>
  <c r="M1547" i="1" s="1"/>
  <c r="N1547" i="1" a="1"/>
  <c r="N1547" i="1" s="1"/>
  <c r="M1548" i="1" a="1"/>
  <c r="M1548" i="1" s="1"/>
  <c r="N1548" i="1" a="1"/>
  <c r="N1548" i="1" s="1"/>
  <c r="M1549" i="1" a="1"/>
  <c r="M1549" i="1" s="1"/>
  <c r="N1549" i="1" a="1"/>
  <c r="N1549" i="1" s="1"/>
  <c r="M1550" i="1" a="1"/>
  <c r="M1550" i="1" s="1"/>
  <c r="N1550" i="1" a="1"/>
  <c r="N1550" i="1" s="1"/>
  <c r="M1551" i="1" a="1"/>
  <c r="M1551" i="1" s="1"/>
  <c r="N1551" i="1" a="1"/>
  <c r="N1551" i="1" s="1"/>
  <c r="M1552" i="1" a="1"/>
  <c r="M1552" i="1" s="1"/>
  <c r="N1552" i="1" a="1"/>
  <c r="N1552" i="1" s="1"/>
  <c r="M1553" i="1" a="1"/>
  <c r="M1553" i="1" s="1"/>
  <c r="N1553" i="1" a="1"/>
  <c r="N1553" i="1" s="1"/>
  <c r="M1554" i="1" a="1"/>
  <c r="M1554" i="1" s="1"/>
  <c r="N1554" i="1" a="1"/>
  <c r="N1554" i="1" s="1"/>
  <c r="M1555" i="1" a="1"/>
  <c r="M1555" i="1" s="1"/>
  <c r="N1555" i="1" a="1"/>
  <c r="N1555" i="1" s="1"/>
  <c r="M1556" i="1" a="1"/>
  <c r="M1556" i="1" s="1"/>
  <c r="N1556" i="1" a="1"/>
  <c r="N1556" i="1" s="1"/>
  <c r="M1557" i="1" a="1"/>
  <c r="M1557" i="1" s="1"/>
  <c r="N1557" i="1" a="1"/>
  <c r="N1557" i="1" s="1"/>
  <c r="M1558" i="1" a="1"/>
  <c r="M1558" i="1" s="1"/>
  <c r="N1558" i="1" a="1"/>
  <c r="N1558" i="1" s="1"/>
  <c r="N1539" i="1" a="1"/>
  <c r="N1539" i="1" s="1"/>
  <c r="M1539" i="1" a="1"/>
  <c r="M1539" i="1" s="1"/>
  <c r="J1540" i="1" a="1"/>
  <c r="J1540" i="1" s="1"/>
  <c r="K1540" i="1" a="1"/>
  <c r="K1540" i="1" s="1"/>
  <c r="L1540" i="1" a="1"/>
  <c r="L1540" i="1" s="1"/>
  <c r="J1541" i="1" a="1"/>
  <c r="J1541" i="1" s="1"/>
  <c r="K1541" i="1" a="1"/>
  <c r="K1541" i="1" s="1"/>
  <c r="L1541" i="1" a="1"/>
  <c r="L1541" i="1" s="1"/>
  <c r="J1542" i="1" a="1"/>
  <c r="J1542" i="1" s="1"/>
  <c r="K1542" i="1" a="1"/>
  <c r="K1542" i="1" s="1"/>
  <c r="L1542" i="1" a="1"/>
  <c r="L1542" i="1" s="1"/>
  <c r="J1543" i="1" a="1"/>
  <c r="J1543" i="1" s="1"/>
  <c r="K1543" i="1" a="1"/>
  <c r="K1543" i="1" s="1"/>
  <c r="L1543" i="1" a="1"/>
  <c r="L1543" i="1" s="1"/>
  <c r="J1544" i="1" a="1"/>
  <c r="J1544" i="1" s="1"/>
  <c r="K1544" i="1" a="1"/>
  <c r="K1544" i="1" s="1"/>
  <c r="L1544" i="1" a="1"/>
  <c r="L1544" i="1" s="1"/>
  <c r="J1545" i="1" a="1"/>
  <c r="J1545" i="1" s="1"/>
  <c r="K1545" i="1" a="1"/>
  <c r="K1545" i="1" s="1"/>
  <c r="L1545" i="1" a="1"/>
  <c r="L1545" i="1"/>
  <c r="J1546" i="1" a="1"/>
  <c r="J1546" i="1" s="1"/>
  <c r="K1546" i="1" a="1"/>
  <c r="K1546" i="1" s="1"/>
  <c r="L1546" i="1" a="1"/>
  <c r="L1546" i="1" s="1"/>
  <c r="J1547" i="1" a="1"/>
  <c r="J1547" i="1" s="1"/>
  <c r="K1547" i="1" a="1"/>
  <c r="K1547" i="1" s="1"/>
  <c r="L1547" i="1" a="1"/>
  <c r="L1547" i="1" s="1"/>
  <c r="J1548" i="1" a="1"/>
  <c r="J1548" i="1" s="1"/>
  <c r="K1548" i="1" a="1"/>
  <c r="K1548" i="1" s="1"/>
  <c r="L1548" i="1" a="1"/>
  <c r="L1548" i="1" s="1"/>
  <c r="J1549" i="1" a="1"/>
  <c r="J1549" i="1" s="1"/>
  <c r="K1549" i="1" a="1"/>
  <c r="K1549" i="1" s="1"/>
  <c r="L1549" i="1" a="1"/>
  <c r="L1549" i="1" s="1"/>
  <c r="J1550" i="1" a="1"/>
  <c r="J1550" i="1" s="1"/>
  <c r="K1550" i="1" a="1"/>
  <c r="K1550" i="1" s="1"/>
  <c r="L1550" i="1" a="1"/>
  <c r="L1550" i="1" s="1"/>
  <c r="J1551" i="1" a="1"/>
  <c r="J1551" i="1" s="1"/>
  <c r="K1551" i="1" a="1"/>
  <c r="K1551" i="1" s="1"/>
  <c r="L1551" i="1" a="1"/>
  <c r="L1551" i="1" s="1"/>
  <c r="J1552" i="1" a="1"/>
  <c r="J1552" i="1" s="1"/>
  <c r="K1552" i="1" a="1"/>
  <c r="K1552" i="1" s="1"/>
  <c r="L1552" i="1" a="1"/>
  <c r="L1552" i="1" s="1"/>
  <c r="J1553" i="1" a="1"/>
  <c r="J1553" i="1" s="1"/>
  <c r="K1553" i="1" a="1"/>
  <c r="K1553" i="1" s="1"/>
  <c r="L1553" i="1" a="1"/>
  <c r="L1553" i="1" s="1"/>
  <c r="J1554" i="1" a="1"/>
  <c r="J1554" i="1" s="1"/>
  <c r="K1554" i="1" a="1"/>
  <c r="K1554" i="1" s="1"/>
  <c r="L1554" i="1" a="1"/>
  <c r="L1554" i="1" s="1"/>
  <c r="J1555" i="1" a="1"/>
  <c r="J1555" i="1" s="1"/>
  <c r="K1555" i="1" a="1"/>
  <c r="K1555" i="1" s="1"/>
  <c r="L1555" i="1" a="1"/>
  <c r="L1555" i="1" s="1"/>
  <c r="J1556" i="1" a="1"/>
  <c r="J1556" i="1" s="1"/>
  <c r="K1556" i="1" a="1"/>
  <c r="K1556" i="1" s="1"/>
  <c r="L1556" i="1" a="1"/>
  <c r="L1556" i="1" s="1"/>
  <c r="J1557" i="1" a="1"/>
  <c r="J1557" i="1" s="1"/>
  <c r="K1557" i="1" a="1"/>
  <c r="K1557" i="1" s="1"/>
  <c r="L1557" i="1" a="1"/>
  <c r="L1557" i="1"/>
  <c r="J1558" i="1" a="1"/>
  <c r="J1558" i="1" s="1"/>
  <c r="K1558" i="1" a="1"/>
  <c r="K1558" i="1" s="1"/>
  <c r="L1558" i="1" a="1"/>
  <c r="L1558" i="1" s="1"/>
  <c r="K1539" i="1" a="1"/>
  <c r="K1539" i="1" s="1"/>
  <c r="L1539" i="1" a="1"/>
  <c r="L1539" i="1" s="1"/>
  <c r="J1539" i="1" a="1"/>
  <c r="J1539" i="1" s="1"/>
  <c r="O1539" i="1" s="1" a="1"/>
  <c r="O1539" i="1" s="1"/>
  <c r="F1527" i="1"/>
  <c r="F1526" i="1"/>
  <c r="P1521" i="1"/>
  <c r="O1521" i="1"/>
  <c r="N1521" i="1"/>
  <c r="M1521" i="1"/>
  <c r="L1521" i="1"/>
  <c r="K1521" i="1"/>
  <c r="J1521" i="1"/>
  <c r="I1521" i="1"/>
  <c r="H1521" i="1"/>
  <c r="G1521" i="1"/>
  <c r="F1521" i="1"/>
  <c r="E1521" i="1"/>
  <c r="D1520" i="1"/>
  <c r="C1520" i="1"/>
  <c r="D1519" i="1"/>
  <c r="C1519" i="1"/>
  <c r="E1504" i="1"/>
  <c r="D1504" i="1"/>
  <c r="C1504" i="1"/>
  <c r="H1494" i="1" a="1"/>
  <c r="H1494" i="1" s="1"/>
  <c r="E1495" i="1"/>
  <c r="F1495" i="1" s="1"/>
  <c r="E1494" i="1"/>
  <c r="F1494" i="1" s="1"/>
  <c r="E1493" i="1"/>
  <c r="F1493" i="1" s="1"/>
  <c r="E1492" i="1"/>
  <c r="F1491" i="1" s="1"/>
  <c r="E1491" i="1"/>
  <c r="J1469" i="1" a="1"/>
  <c r="J1469" i="1" s="1"/>
  <c r="J1470" i="1" a="1"/>
  <c r="J1470" i="1" s="1"/>
  <c r="J1468" i="1" a="1"/>
  <c r="J1468" i="1" s="1"/>
  <c r="I1469" i="1" a="1"/>
  <c r="I1469" i="1" s="1"/>
  <c r="I1470" i="1" a="1"/>
  <c r="I1470" i="1" s="1"/>
  <c r="I1468" i="1" a="1"/>
  <c r="I1468" i="1" s="1"/>
  <c r="H1470" i="1" a="1"/>
  <c r="H1470" i="1" s="1"/>
  <c r="H1469" i="1" a="1"/>
  <c r="H1469" i="1" s="1"/>
  <c r="H1468" i="1" a="1"/>
  <c r="H1468" i="1" s="1"/>
  <c r="G1469" i="1" a="1"/>
  <c r="G1469" i="1" s="1"/>
  <c r="G1470" i="1" a="1"/>
  <c r="G1470" i="1" s="1"/>
  <c r="G1468" i="1" a="1"/>
  <c r="G1468" i="1" s="1"/>
  <c r="F1469" i="1"/>
  <c r="F1470" i="1"/>
  <c r="F1468" i="1"/>
  <c r="O1449" i="1" a="1"/>
  <c r="O1449" i="1" s="1"/>
  <c r="O1450" i="1" a="1"/>
  <c r="O1450" i="1" s="1"/>
  <c r="O1451" i="1" a="1"/>
  <c r="O1451" i="1" s="1"/>
  <c r="O1448" i="1" a="1"/>
  <c r="O1448" i="1" s="1"/>
  <c r="N1449" i="1" a="1"/>
  <c r="N1449" i="1" s="1"/>
  <c r="N1450" i="1" a="1"/>
  <c r="N1450" i="1" s="1"/>
  <c r="N1451" i="1" a="1"/>
  <c r="N1451" i="1" s="1"/>
  <c r="N1448" i="1" a="1"/>
  <c r="N1448" i="1" s="1"/>
  <c r="M1449" i="1" a="1"/>
  <c r="M1449" i="1" s="1"/>
  <c r="M1450" i="1" a="1"/>
  <c r="M1450" i="1" s="1"/>
  <c r="M1451" i="1" a="1"/>
  <c r="M1451" i="1" s="1"/>
  <c r="M1448" i="1" a="1"/>
  <c r="M1448" i="1" s="1"/>
  <c r="K1419" i="1" a="1"/>
  <c r="K1419" i="1" s="1"/>
  <c r="L1419" i="1" s="1"/>
  <c r="F1378" i="1" a="1"/>
  <c r="F1378" i="1" s="1"/>
  <c r="H1378" i="1" a="1"/>
  <c r="H1378" i="1" s="1"/>
  <c r="I1378" i="1" a="1"/>
  <c r="I1378" i="1" s="1"/>
  <c r="J1378" i="1" a="1"/>
  <c r="J1378" i="1" s="1"/>
  <c r="H1379" i="1" a="1"/>
  <c r="H1379" i="1" s="1"/>
  <c r="I1379" i="1" a="1"/>
  <c r="I1379" i="1" s="1"/>
  <c r="J1379" i="1" a="1"/>
  <c r="J1379" i="1" s="1"/>
  <c r="H1380" i="1" a="1"/>
  <c r="H1380" i="1" s="1"/>
  <c r="I1380" i="1" a="1"/>
  <c r="I1380" i="1" s="1"/>
  <c r="J1380" i="1" a="1"/>
  <c r="J1380" i="1" s="1"/>
  <c r="H1381" i="1" a="1"/>
  <c r="H1381" i="1" s="1"/>
  <c r="I1381" i="1" a="1"/>
  <c r="I1381" i="1" s="1"/>
  <c r="J1381" i="1" a="1"/>
  <c r="J1381" i="1" s="1"/>
  <c r="H1382" i="1" a="1"/>
  <c r="H1382" i="1" s="1"/>
  <c r="I1382" i="1" a="1"/>
  <c r="I1382" i="1" s="1"/>
  <c r="J1382" i="1" a="1"/>
  <c r="J1382" i="1" s="1"/>
  <c r="H1383" i="1" a="1"/>
  <c r="H1383" i="1" s="1"/>
  <c r="I1383" i="1" a="1"/>
  <c r="I1383" i="1" s="1"/>
  <c r="J1383" i="1" a="1"/>
  <c r="J1383" i="1" s="1"/>
  <c r="H1384" i="1" a="1"/>
  <c r="H1384" i="1" s="1"/>
  <c r="I1384" i="1" a="1"/>
  <c r="I1384" i="1" s="1"/>
  <c r="J1384" i="1" a="1"/>
  <c r="J1384" i="1" s="1"/>
  <c r="I1377" i="1" a="1"/>
  <c r="I1377" i="1" s="1"/>
  <c r="J1377" i="1" a="1"/>
  <c r="J1377" i="1" s="1"/>
  <c r="H1377" i="1" a="1"/>
  <c r="H1377" i="1" s="1"/>
  <c r="E326" i="4" a="1"/>
  <c r="E326" i="4" s="1"/>
  <c r="F318" i="4" a="1"/>
  <c r="F318" i="4" s="1"/>
  <c r="G318" i="4" a="1"/>
  <c r="G318" i="4" s="1"/>
  <c r="F319" i="4" a="1"/>
  <c r="F319" i="4" s="1"/>
  <c r="G319" i="4" a="1"/>
  <c r="G319" i="4" s="1"/>
  <c r="F320" i="4" a="1"/>
  <c r="F320" i="4" s="1"/>
  <c r="G320" i="4" a="1"/>
  <c r="G320" i="4" s="1"/>
  <c r="F321" i="4" a="1"/>
  <c r="F321" i="4" s="1"/>
  <c r="G321" i="4" a="1"/>
  <c r="G321" i="4" s="1"/>
  <c r="F322" i="4" a="1"/>
  <c r="F322" i="4" s="1"/>
  <c r="G322" i="4" a="1"/>
  <c r="G322" i="4" s="1"/>
  <c r="F323" i="4" a="1"/>
  <c r="F323" i="4" s="1"/>
  <c r="G323" i="4" a="1"/>
  <c r="G323" i="4" s="1"/>
  <c r="F324" i="4" a="1"/>
  <c r="F324" i="4" s="1"/>
  <c r="G324" i="4" a="1"/>
  <c r="G324" i="4" s="1"/>
  <c r="G317" i="4" a="1"/>
  <c r="G317" i="4" s="1"/>
  <c r="F317" i="4" a="1"/>
  <c r="F317" i="4" s="1"/>
  <c r="G325" i="4" a="1"/>
  <c r="G325" i="4" s="1"/>
  <c r="G326" i="4" a="1"/>
  <c r="G326" i="4" s="1"/>
  <c r="F325" i="4" a="1"/>
  <c r="F325" i="4" s="1"/>
  <c r="F326" i="4" a="1"/>
  <c r="F326" i="4" s="1"/>
  <c r="F327" i="4" a="1"/>
  <c r="F327" i="4" s="1"/>
  <c r="G327" i="4" a="1"/>
  <c r="G327" i="4" s="1"/>
  <c r="K581" i="5"/>
  <c r="K580" i="5"/>
  <c r="J1388" i="1" a="1"/>
  <c r="J1388" i="1" s="1"/>
  <c r="J1389" i="1" a="1"/>
  <c r="J1389" i="1" s="1"/>
  <c r="J1390" i="1" a="1"/>
  <c r="J1390" i="1" s="1"/>
  <c r="N109" i="2"/>
  <c r="N110" i="2"/>
  <c r="N111" i="2"/>
  <c r="N112" i="2"/>
  <c r="N113" i="2"/>
  <c r="N108" i="2"/>
  <c r="O1317" i="1" a="1"/>
  <c r="O1317" i="1" s="1"/>
  <c r="O1324" i="1" a="1"/>
  <c r="O1324" i="1" s="1"/>
  <c r="O1323" i="1" a="1"/>
  <c r="O1323" i="1" s="1"/>
  <c r="O1318" i="1" a="1"/>
  <c r="O1318" i="1" s="1"/>
  <c r="P1318" i="1" a="1"/>
  <c r="P1318" i="1" s="1"/>
  <c r="R1318" i="1" a="1"/>
  <c r="R1318" i="1" s="1"/>
  <c r="O1319" i="1" a="1"/>
  <c r="O1319" i="1" s="1"/>
  <c r="P1319" i="1" a="1"/>
  <c r="P1319" i="1" s="1"/>
  <c r="R1319" i="1" a="1"/>
  <c r="R1319" i="1" s="1"/>
  <c r="O1320" i="1" a="1"/>
  <c r="O1320" i="1" s="1"/>
  <c r="P1320" i="1" a="1"/>
  <c r="P1320" i="1" s="1"/>
  <c r="Q1320" i="1" a="1"/>
  <c r="Q1320" i="1" s="1"/>
  <c r="R1320" i="1" a="1"/>
  <c r="R1320" i="1" s="1"/>
  <c r="O1321" i="1" a="1"/>
  <c r="O1321" i="1" s="1"/>
  <c r="P1321" i="1" a="1"/>
  <c r="P1321" i="1" s="1"/>
  <c r="R1321" i="1" a="1"/>
  <c r="R1321" i="1" s="1"/>
  <c r="O1322" i="1" a="1"/>
  <c r="O1322" i="1" s="1"/>
  <c r="P1322" i="1" a="1"/>
  <c r="P1322" i="1" s="1"/>
  <c r="R1322" i="1" a="1"/>
  <c r="R1322" i="1" s="1"/>
  <c r="P1323" i="1" a="1"/>
  <c r="P1323" i="1" s="1"/>
  <c r="Q1323" i="1" a="1"/>
  <c r="Q1323" i="1" s="1"/>
  <c r="R1323" i="1" a="1"/>
  <c r="R1323" i="1" s="1"/>
  <c r="P1324" i="1" a="1"/>
  <c r="P1324" i="1" s="1"/>
  <c r="Q1324" i="1" a="1"/>
  <c r="Q1324" i="1" s="1"/>
  <c r="R1324" i="1" a="1"/>
  <c r="R1324" i="1" s="1"/>
  <c r="O1325" i="1" a="1"/>
  <c r="O1325" i="1" s="1"/>
  <c r="P1325" i="1" a="1"/>
  <c r="P1325" i="1" s="1"/>
  <c r="Q1325" i="1" a="1"/>
  <c r="Q1325" i="1" s="1"/>
  <c r="R1325" i="1" a="1"/>
  <c r="R1325" i="1" s="1"/>
  <c r="O1326" i="1" a="1"/>
  <c r="O1326" i="1" s="1"/>
  <c r="P1326" i="1" a="1"/>
  <c r="P1326" i="1" s="1"/>
  <c r="Q1326" i="1" a="1"/>
  <c r="Q1326" i="1" s="1"/>
  <c r="R1326" i="1" a="1"/>
  <c r="R1326" i="1" s="1"/>
  <c r="O1327" i="1" a="1"/>
  <c r="O1327" i="1" s="1"/>
  <c r="P1327" i="1" a="1"/>
  <c r="P1327" i="1" s="1"/>
  <c r="Q1327" i="1" a="1"/>
  <c r="Q1327" i="1" s="1"/>
  <c r="R1327" i="1" a="1"/>
  <c r="R1327" i="1" s="1"/>
  <c r="R1317" i="1" a="1"/>
  <c r="R1317" i="1" s="1"/>
  <c r="P1317" i="1" a="1"/>
  <c r="P1317" i="1" s="1"/>
  <c r="H1345" i="1"/>
  <c r="H1344" i="1"/>
  <c r="H1343" i="1"/>
  <c r="H1342" i="1"/>
  <c r="H1341" i="1"/>
  <c r="H1340" i="1"/>
  <c r="H1339" i="1"/>
  <c r="H1338" i="1"/>
  <c r="H1337" i="1"/>
  <c r="H1336" i="1"/>
  <c r="H1335" i="1"/>
  <c r="H1334" i="1"/>
  <c r="H1333" i="1"/>
  <c r="H1332" i="1"/>
  <c r="Q1322" i="1" s="1" a="1"/>
  <c r="Q1322" i="1" s="1"/>
  <c r="H1331" i="1"/>
  <c r="H1330" i="1"/>
  <c r="Q1321" i="1" s="1" a="1"/>
  <c r="Q1321" i="1" s="1"/>
  <c r="H1329" i="1"/>
  <c r="H1328" i="1"/>
  <c r="H1327" i="1"/>
  <c r="H1326" i="1"/>
  <c r="H1325" i="1"/>
  <c r="H1324" i="1"/>
  <c r="H1323" i="1"/>
  <c r="H1322" i="1"/>
  <c r="H1321" i="1"/>
  <c r="H1320" i="1"/>
  <c r="H1319" i="1"/>
  <c r="H1318" i="1"/>
  <c r="H1317" i="1"/>
  <c r="H1316" i="1"/>
  <c r="N1315" i="1"/>
  <c r="M1315" i="1"/>
  <c r="H1315" i="1"/>
  <c r="H1314" i="1"/>
  <c r="H1313" i="1"/>
  <c r="H1312" i="1"/>
  <c r="Q1319" i="1" s="1" a="1"/>
  <c r="Q1319" i="1" s="1"/>
  <c r="H1311" i="1"/>
  <c r="H1310" i="1"/>
  <c r="Q1318" i="1" s="1" a="1"/>
  <c r="Q1318" i="1" s="1"/>
  <c r="H1309" i="1"/>
  <c r="H1308" i="1"/>
  <c r="H1307" i="1"/>
  <c r="H1306" i="1"/>
  <c r="Q1317" i="1" s="1" a="1"/>
  <c r="Q1317" i="1" s="1"/>
  <c r="I284" i="4"/>
  <c r="I283" i="4"/>
  <c r="I282" i="4"/>
  <c r="I281" i="4"/>
  <c r="I280" i="4"/>
  <c r="I279" i="4"/>
  <c r="I278" i="4"/>
  <c r="I277" i="4"/>
  <c r="I276" i="4"/>
  <c r="G152" i="4"/>
  <c r="G142" i="4"/>
  <c r="C1291" i="1"/>
  <c r="J1283" i="1" a="1"/>
  <c r="J1283" i="1" s="1"/>
  <c r="J1282" i="1" a="1"/>
  <c r="J1282" i="1"/>
  <c r="J1281" i="1" a="1"/>
  <c r="J1281" i="1"/>
  <c r="J1280" i="1" a="1"/>
  <c r="J1280" i="1" s="1"/>
  <c r="J1279" i="1" a="1"/>
  <c r="J1279" i="1"/>
  <c r="J1278" i="1" a="1"/>
  <c r="J1278" i="1" s="1"/>
  <c r="J1277" i="1" a="1"/>
  <c r="J1277" i="1" s="1"/>
  <c r="J1276" i="1" a="1"/>
  <c r="J1276" i="1"/>
  <c r="J1275" i="1" a="1"/>
  <c r="J1275" i="1"/>
  <c r="H1247" i="1"/>
  <c r="G1247" i="1"/>
  <c r="H1246" i="1"/>
  <c r="G1246" i="1"/>
  <c r="H1245" i="1"/>
  <c r="G1245" i="1"/>
  <c r="H1244" i="1"/>
  <c r="G1244" i="1"/>
  <c r="H1243" i="1"/>
  <c r="G1243" i="1"/>
  <c r="H1242" i="1"/>
  <c r="G1242" i="1"/>
  <c r="H1241" i="1"/>
  <c r="G1241" i="1"/>
  <c r="I1236" i="1"/>
  <c r="G1236" i="1"/>
  <c r="D1232" i="1" a="1"/>
  <c r="D1232" i="1" s="1"/>
  <c r="D1229" i="1" a="1"/>
  <c r="D1229" i="1" s="1"/>
  <c r="D1228" i="1" a="1"/>
  <c r="D1228" i="1"/>
  <c r="D1227" i="1" a="1"/>
  <c r="D1227" i="1"/>
  <c r="D1226" i="1" a="1"/>
  <c r="D1226" i="1" s="1"/>
  <c r="D1225" i="1" a="1"/>
  <c r="D1225" i="1"/>
  <c r="D1224" i="1" a="1"/>
  <c r="D1224" i="1" s="1"/>
  <c r="D1223" i="1" a="1"/>
  <c r="D1223" i="1" s="1"/>
  <c r="D1222" i="1" a="1"/>
  <c r="D1222" i="1"/>
  <c r="D1221" i="1" a="1"/>
  <c r="D1221" i="1"/>
  <c r="D1220" i="1" a="1"/>
  <c r="D1220" i="1" s="1"/>
  <c r="D1219" i="1" a="1"/>
  <c r="D1219" i="1"/>
  <c r="D1218" i="1" a="1"/>
  <c r="D1218" i="1" s="1"/>
  <c r="D1217" i="1" a="1"/>
  <c r="D1217" i="1" s="1"/>
  <c r="D1216" i="1" a="1"/>
  <c r="D1216" i="1" s="1"/>
  <c r="P1187" i="1"/>
  <c r="R1187" i="1"/>
  <c r="P1205" i="1" s="1"/>
  <c r="P1193" i="1"/>
  <c r="R1193" i="1" s="1"/>
  <c r="J1204" i="1" a="1"/>
  <c r="J1204" i="1" s="1"/>
  <c r="J1203" i="1" a="1"/>
  <c r="J1203" i="1" s="1"/>
  <c r="R1202" i="1"/>
  <c r="P1201" i="1"/>
  <c r="R1201" i="1" s="1"/>
  <c r="R1200" i="1"/>
  <c r="P1199" i="1"/>
  <c r="R1199" i="1"/>
  <c r="P1198" i="1"/>
  <c r="R1198" i="1" s="1"/>
  <c r="P1197" i="1"/>
  <c r="R1197" i="1"/>
  <c r="R1196" i="1"/>
  <c r="P1195" i="1"/>
  <c r="R1195" i="1" s="1"/>
  <c r="R1194" i="1"/>
  <c r="R1192" i="1"/>
  <c r="P1191" i="1"/>
  <c r="R1191" i="1" s="1"/>
  <c r="R1190" i="1"/>
  <c r="P1189" i="1"/>
  <c r="R1189" i="1" s="1"/>
  <c r="R1188" i="1"/>
  <c r="R1186" i="1"/>
  <c r="P1185" i="1"/>
  <c r="R1185" i="1"/>
  <c r="Q1184" i="1"/>
  <c r="R1184" i="1"/>
  <c r="F1180" i="1" a="1"/>
  <c r="F1180" i="1" s="1"/>
  <c r="F1179" i="1" a="1"/>
  <c r="F1179" i="1"/>
  <c r="F1178" i="1" a="1"/>
  <c r="F1178" i="1" s="1"/>
  <c r="F1177" i="1" a="1"/>
  <c r="F1177" i="1" s="1"/>
  <c r="F1176" i="1" a="1"/>
  <c r="F1176" i="1"/>
  <c r="F1175" i="1" a="1"/>
  <c r="F1175" i="1"/>
  <c r="F1174" i="1" a="1"/>
  <c r="F1174" i="1" s="1"/>
  <c r="F1173" i="1" a="1"/>
  <c r="F1173" i="1"/>
  <c r="F1172" i="1" a="1"/>
  <c r="F1172" i="1" s="1"/>
  <c r="F1171" i="1" a="1"/>
  <c r="F1171" i="1" s="1"/>
  <c r="F1170" i="1" a="1"/>
  <c r="F1170" i="1" s="1"/>
  <c r="F1169" i="1" a="1"/>
  <c r="F1169" i="1" s="1"/>
  <c r="F1168" i="1" a="1"/>
  <c r="F1168" i="1" s="1"/>
  <c r="F1167" i="1" a="1"/>
  <c r="F1167" i="1" s="1"/>
  <c r="F1166" i="1" a="1"/>
  <c r="F1166" i="1" s="1"/>
  <c r="F1165" i="1" a="1"/>
  <c r="F1165" i="1" s="1"/>
  <c r="F1164" i="1" a="1"/>
  <c r="F1164" i="1"/>
  <c r="H1146" i="1"/>
  <c r="G1146" i="1"/>
  <c r="H1145" i="1"/>
  <c r="G1145" i="1"/>
  <c r="G1133" i="1" a="1"/>
  <c r="G1135" i="1" s="1"/>
  <c r="H1133" i="1"/>
  <c r="H1139" i="1"/>
  <c r="J1121" i="1"/>
  <c r="L1128" i="1" a="1"/>
  <c r="L1128" i="1" s="1"/>
  <c r="K1128" i="1" a="1"/>
  <c r="K1128" i="1" s="1"/>
  <c r="L1127" i="1" a="1"/>
  <c r="L1127" i="1" s="1"/>
  <c r="K1127" i="1" a="1"/>
  <c r="K1127" i="1" s="1"/>
  <c r="L1126" i="1" a="1"/>
  <c r="L1126" i="1" s="1"/>
  <c r="K1126" i="1" a="1"/>
  <c r="K1126" i="1" s="1"/>
  <c r="L1125" i="1" a="1"/>
  <c r="L1125" i="1" s="1"/>
  <c r="K1125" i="1" a="1"/>
  <c r="K1125" i="1" s="1"/>
  <c r="L1124" i="1" a="1"/>
  <c r="L1124" i="1" s="1"/>
  <c r="K1124" i="1" a="1"/>
  <c r="K1124" i="1" s="1"/>
  <c r="L1123" i="1" a="1"/>
  <c r="L1123" i="1" s="1"/>
  <c r="K1123" i="1" a="1"/>
  <c r="K1123" i="1" s="1"/>
  <c r="L1122" i="1" a="1"/>
  <c r="L1122" i="1" s="1"/>
  <c r="K1122" i="1" a="1"/>
  <c r="K1122" i="1" s="1"/>
  <c r="L1121" i="1" a="1"/>
  <c r="L1121" i="1" s="1"/>
  <c r="K1121" i="1" a="1"/>
  <c r="K1121" i="1" s="1"/>
  <c r="H1121" i="1" a="1"/>
  <c r="H1122" i="1" s="1"/>
  <c r="H1123" i="1"/>
  <c r="H1124" i="1"/>
  <c r="H1121" i="1"/>
  <c r="G1121" i="1" a="1"/>
  <c r="G1122" i="1" s="1"/>
  <c r="E1102" i="1"/>
  <c r="P1083" i="1"/>
  <c r="P1085" i="1" s="1" a="1"/>
  <c r="P1085" i="1" s="1"/>
  <c r="O1083" i="1"/>
  <c r="O1087" i="1" a="1"/>
  <c r="O1087" i="1" s="1"/>
  <c r="N1083" i="1"/>
  <c r="N1086" i="1" s="1" a="1"/>
  <c r="N1086" i="1" s="1"/>
  <c r="P1086" i="1" a="1"/>
  <c r="P1086" i="1" s="1"/>
  <c r="O1086" i="1" a="1"/>
  <c r="O1086" i="1" s="1"/>
  <c r="O1085" i="1" a="1"/>
  <c r="O1085" i="1" s="1"/>
  <c r="P1084" i="1" a="1"/>
  <c r="P1084" i="1" s="1"/>
  <c r="O1084" i="1" a="1"/>
  <c r="O1084" i="1" s="1"/>
  <c r="D1076" i="1" a="1"/>
  <c r="D1076" i="1"/>
  <c r="D1075" i="1" a="1"/>
  <c r="D1075" i="1"/>
  <c r="D1074" i="1" a="1"/>
  <c r="D1074" i="1" s="1"/>
  <c r="D1073" i="1" a="1"/>
  <c r="D1073" i="1"/>
  <c r="D1072" i="1" a="1"/>
  <c r="D1072" i="1" s="1"/>
  <c r="D1071" i="1" a="1"/>
  <c r="D1071" i="1" s="1"/>
  <c r="D1070" i="1" a="1"/>
  <c r="D1070" i="1"/>
  <c r="D1069" i="1" a="1"/>
  <c r="D1069" i="1"/>
  <c r="D1068" i="1" a="1"/>
  <c r="D1068" i="1" s="1"/>
  <c r="D1067" i="1" a="1"/>
  <c r="D1067" i="1"/>
  <c r="D1066" i="1" a="1"/>
  <c r="D1066" i="1" s="1"/>
  <c r="D1065" i="1" a="1"/>
  <c r="D1065" i="1" s="1"/>
  <c r="D1064" i="1" a="1"/>
  <c r="D1064" i="1"/>
  <c r="E1063" i="1"/>
  <c r="D1063" i="1" a="1"/>
  <c r="D1063" i="1" s="1"/>
  <c r="D1051" i="1" a="1"/>
  <c r="D1051" i="1" s="1"/>
  <c r="D1052" i="1" s="1" a="1"/>
  <c r="D1052" i="1" s="1"/>
  <c r="D1053" i="1" s="1" a="1"/>
  <c r="D1053" i="1" s="1"/>
  <c r="D1054" i="1" s="1" a="1"/>
  <c r="D1054" i="1" s="1"/>
  <c r="D1055" i="1" s="1" a="1"/>
  <c r="D1055" i="1" s="1"/>
  <c r="D1056" i="1" s="1" a="1"/>
  <c r="D1056" i="1" s="1"/>
  <c r="D1057" i="1" s="1" a="1"/>
  <c r="D1057" i="1" s="1"/>
  <c r="D1058" i="1" s="1" a="1"/>
  <c r="D1058" i="1" s="1"/>
  <c r="D1048" i="1" a="1"/>
  <c r="D1048" i="1" s="1"/>
  <c r="D1049" i="1" s="1" a="1"/>
  <c r="D1049" i="1" s="1"/>
  <c r="D1050" i="1" s="1" a="1"/>
  <c r="D1050" i="1" s="1"/>
  <c r="D1043" i="1" a="1"/>
  <c r="D1043" i="1" s="1"/>
  <c r="D1044" i="1" s="1" a="1"/>
  <c r="D1044" i="1" s="1"/>
  <c r="D1045" i="1" s="1" a="1"/>
  <c r="D1045" i="1" s="1"/>
  <c r="D1046" i="1" s="1" a="1"/>
  <c r="D1046" i="1" s="1"/>
  <c r="D1047" i="1" s="1" a="1"/>
  <c r="D1047" i="1" s="1"/>
  <c r="D1039" i="1" a="1"/>
  <c r="D1039" i="1" s="1"/>
  <c r="D1040" i="1" s="1" a="1"/>
  <c r="D1040" i="1" s="1"/>
  <c r="D1041" i="1" s="1" a="1"/>
  <c r="D1041" i="1" s="1"/>
  <c r="D1042" i="1" s="1" a="1"/>
  <c r="D1042" i="1" s="1"/>
  <c r="L1030" i="1"/>
  <c r="L1031" i="1" s="1"/>
  <c r="I1015" i="1"/>
  <c r="I1016" i="1"/>
  <c r="D1022" i="1" s="1"/>
  <c r="I1017" i="1"/>
  <c r="J1018" i="1"/>
  <c r="J1019" i="1"/>
  <c r="I1019" i="1"/>
  <c r="I1018" i="1"/>
  <c r="J1017" i="1"/>
  <c r="J1016" i="1"/>
  <c r="J1015" i="1"/>
  <c r="E1006" i="1"/>
  <c r="P996" i="1"/>
  <c r="H991" i="1" a="1"/>
  <c r="H991" i="1" s="1"/>
  <c r="H990" i="1" a="1"/>
  <c r="H990" i="1" s="1"/>
  <c r="H989" i="1" a="1"/>
  <c r="H989" i="1"/>
  <c r="H988" i="1" a="1"/>
  <c r="H988" i="1"/>
  <c r="H987" i="1" a="1"/>
  <c r="H987" i="1" s="1"/>
  <c r="H986" i="1" a="1"/>
  <c r="H986" i="1"/>
  <c r="H985" i="1" a="1"/>
  <c r="H985" i="1" s="1"/>
  <c r="H984" i="1" a="1"/>
  <c r="H984" i="1" s="1"/>
  <c r="H983" i="1" a="1"/>
  <c r="H983" i="1"/>
  <c r="H982" i="1" a="1"/>
  <c r="H982" i="1"/>
  <c r="H981" i="1" a="1"/>
  <c r="H981" i="1" s="1"/>
  <c r="H980" i="1" a="1"/>
  <c r="H980" i="1"/>
  <c r="H979" i="1" a="1"/>
  <c r="H979" i="1" s="1"/>
  <c r="H978" i="1" a="1"/>
  <c r="H978" i="1" s="1"/>
  <c r="H977" i="1" a="1"/>
  <c r="H977" i="1"/>
  <c r="H976" i="1" a="1"/>
  <c r="H976" i="1"/>
  <c r="H975" i="1" a="1"/>
  <c r="H975" i="1" s="1"/>
  <c r="H974" i="1" a="1"/>
  <c r="H974" i="1"/>
  <c r="H973" i="1" a="1"/>
  <c r="H973" i="1" s="1"/>
  <c r="B963" i="1"/>
  <c r="B964" i="1" s="1"/>
  <c r="Q963" i="1" a="1"/>
  <c r="Q963" i="1"/>
  <c r="K963" i="1" a="1"/>
  <c r="K963" i="1"/>
  <c r="E963" i="1" a="1"/>
  <c r="E963" i="1"/>
  <c r="V962" i="1" a="1"/>
  <c r="V962" i="1"/>
  <c r="U962" i="1" a="1"/>
  <c r="U962" i="1" s="1"/>
  <c r="T962" i="1" a="1"/>
  <c r="T962" i="1" s="1"/>
  <c r="S962" i="1" a="1"/>
  <c r="S962" i="1"/>
  <c r="R962" i="1" a="1"/>
  <c r="R962" i="1"/>
  <c r="Q962" i="1" a="1"/>
  <c r="Q962" i="1" s="1"/>
  <c r="P962" i="1" a="1"/>
  <c r="P962" i="1"/>
  <c r="O962" i="1" a="1"/>
  <c r="O962" i="1" s="1"/>
  <c r="N962" i="1" a="1"/>
  <c r="N962" i="1" s="1"/>
  <c r="M962" i="1" a="1"/>
  <c r="M962" i="1"/>
  <c r="L962" i="1" a="1"/>
  <c r="L962" i="1"/>
  <c r="K962" i="1" a="1"/>
  <c r="K962" i="1" s="1"/>
  <c r="J962" i="1" a="1"/>
  <c r="J962" i="1"/>
  <c r="I962" i="1" a="1"/>
  <c r="I962" i="1" s="1"/>
  <c r="H962" i="1" a="1"/>
  <c r="H962" i="1" s="1"/>
  <c r="G962" i="1" a="1"/>
  <c r="G962" i="1"/>
  <c r="F962" i="1" a="1"/>
  <c r="F962" i="1"/>
  <c r="E962" i="1" a="1"/>
  <c r="E962" i="1" s="1"/>
  <c r="D962" i="1" a="1"/>
  <c r="D962" i="1"/>
  <c r="C962" i="1" a="1"/>
  <c r="C962" i="1" s="1"/>
  <c r="E919" i="1"/>
  <c r="E918" i="1"/>
  <c r="E917" i="1"/>
  <c r="E916" i="1"/>
  <c r="E915" i="1"/>
  <c r="E914" i="1"/>
  <c r="E913" i="1"/>
  <c r="E912" i="1"/>
  <c r="E911" i="1"/>
  <c r="E910" i="1"/>
  <c r="E909" i="1"/>
  <c r="E908" i="1"/>
  <c r="E907" i="1"/>
  <c r="E906" i="1"/>
  <c r="E905" i="1"/>
  <c r="E904" i="1"/>
  <c r="E903" i="1"/>
  <c r="E902" i="1"/>
  <c r="E901" i="1"/>
  <c r="E900" i="1"/>
  <c r="E899" i="1"/>
  <c r="E898" i="1"/>
  <c r="E897" i="1"/>
  <c r="E896" i="1"/>
  <c r="E895" i="1"/>
  <c r="E894" i="1"/>
  <c r="E893" i="1"/>
  <c r="E892" i="1"/>
  <c r="E891" i="1"/>
  <c r="E890" i="1"/>
  <c r="E889" i="1"/>
  <c r="F885" i="1"/>
  <c r="H875" i="1" a="1"/>
  <c r="H875" i="1"/>
  <c r="H874" i="1" a="1"/>
  <c r="H874" i="1" s="1"/>
  <c r="H873" i="1" a="1"/>
  <c r="H873" i="1" s="1"/>
  <c r="H872" i="1" a="1"/>
  <c r="H872" i="1"/>
  <c r="H871" i="1" a="1"/>
  <c r="H871" i="1"/>
  <c r="H870" i="1" a="1"/>
  <c r="H870" i="1" s="1"/>
  <c r="H869" i="1" a="1"/>
  <c r="H869" i="1"/>
  <c r="H868" i="1" a="1"/>
  <c r="H868" i="1" s="1"/>
  <c r="H867" i="1" a="1"/>
  <c r="H867" i="1" s="1"/>
  <c r="H866" i="1" a="1"/>
  <c r="H866" i="1"/>
  <c r="H865" i="1" a="1"/>
  <c r="H865" i="1"/>
  <c r="H864" i="1" a="1"/>
  <c r="H864" i="1" s="1"/>
  <c r="H863" i="1" a="1"/>
  <c r="H863" i="1" s="1"/>
  <c r="H862" i="1" a="1"/>
  <c r="H862" i="1" s="1"/>
  <c r="H861" i="1" a="1"/>
  <c r="H861" i="1" s="1"/>
  <c r="H860" i="1" a="1"/>
  <c r="H860" i="1"/>
  <c r="H859" i="1" a="1"/>
  <c r="H859" i="1" s="1"/>
  <c r="H858" i="1" a="1"/>
  <c r="H858" i="1" s="1"/>
  <c r="H857" i="1" a="1"/>
  <c r="H857" i="1" s="1"/>
  <c r="B2" i="1"/>
  <c r="B3" i="1"/>
  <c r="B4" i="1"/>
  <c r="B5" i="1"/>
  <c r="B6" i="1"/>
  <c r="B7" i="1"/>
  <c r="B8" i="1"/>
  <c r="B9" i="1"/>
  <c r="B10" i="1"/>
  <c r="B11" i="1"/>
  <c r="B32" i="1"/>
  <c r="B33" i="1"/>
  <c r="B34" i="1"/>
  <c r="B35" i="1"/>
  <c r="B36" i="1"/>
  <c r="B37" i="1"/>
  <c r="B38" i="1"/>
  <c r="B39" i="1"/>
  <c r="B40" i="1"/>
  <c r="B41" i="1"/>
  <c r="B734" i="1" a="1"/>
  <c r="B734" i="1" s="1"/>
  <c r="B735" i="1" a="1"/>
  <c r="B735" i="1" s="1"/>
  <c r="B736" i="1" a="1"/>
  <c r="B736" i="1" s="1"/>
  <c r="B737" i="1" a="1"/>
  <c r="B737" i="1" s="1"/>
  <c r="B738" i="1" a="1"/>
  <c r="B738" i="1" s="1"/>
  <c r="B739" i="1" a="1"/>
  <c r="B739" i="1" s="1"/>
  <c r="B740" i="1" a="1"/>
  <c r="B740" i="1" s="1"/>
  <c r="B767" i="1"/>
  <c r="J802" i="1"/>
  <c r="J780" i="1"/>
  <c r="J782" i="1" s="1"/>
  <c r="M780" i="1"/>
  <c r="I786" i="1" s="1"/>
  <c r="J785" i="1"/>
  <c r="J788" i="1"/>
  <c r="J790" i="1"/>
  <c r="J792" i="1" a="1"/>
  <c r="J792" i="1" s="1"/>
  <c r="J796" i="1"/>
  <c r="K792" i="1"/>
  <c r="I774" i="1" a="1"/>
  <c r="I774" i="1" s="1"/>
  <c r="H774" i="1" a="1"/>
  <c r="H774" i="1" s="1"/>
  <c r="G774" i="1" a="1"/>
  <c r="G774" i="1" s="1"/>
  <c r="F774" i="1" a="1"/>
  <c r="F774" i="1" s="1"/>
  <c r="E774" i="1" a="1"/>
  <c r="E774" i="1" s="1"/>
  <c r="D774" i="1" a="1"/>
  <c r="D774" i="1" s="1"/>
  <c r="C774" i="1" a="1"/>
  <c r="C774" i="1" s="1"/>
  <c r="I773" i="1" a="1"/>
  <c r="I773" i="1" s="1"/>
  <c r="H773" i="1" a="1"/>
  <c r="H773" i="1" s="1"/>
  <c r="G773" i="1" a="1"/>
  <c r="G773" i="1" s="1"/>
  <c r="F773" i="1" a="1"/>
  <c r="F773" i="1" s="1"/>
  <c r="E773" i="1" a="1"/>
  <c r="E773" i="1" s="1"/>
  <c r="D773" i="1" a="1"/>
  <c r="D773" i="1" s="1"/>
  <c r="C773" i="1" a="1"/>
  <c r="C773" i="1" s="1"/>
  <c r="I772" i="1" a="1"/>
  <c r="I772" i="1" s="1"/>
  <c r="H772" i="1" a="1"/>
  <c r="H772" i="1" s="1"/>
  <c r="G772" i="1" a="1"/>
  <c r="G772" i="1" s="1"/>
  <c r="F772" i="1" a="1"/>
  <c r="F772" i="1" s="1"/>
  <c r="E772" i="1" a="1"/>
  <c r="E772" i="1" s="1"/>
  <c r="D772" i="1" a="1"/>
  <c r="D772" i="1" s="1"/>
  <c r="C772" i="1" a="1"/>
  <c r="C772" i="1" s="1"/>
  <c r="I771" i="1" a="1"/>
  <c r="I771" i="1" s="1"/>
  <c r="H771" i="1" a="1"/>
  <c r="H771" i="1" s="1"/>
  <c r="G771" i="1" a="1"/>
  <c r="G771" i="1" s="1"/>
  <c r="F771" i="1" a="1"/>
  <c r="F771" i="1" s="1"/>
  <c r="E771" i="1" a="1"/>
  <c r="E771" i="1" s="1"/>
  <c r="D771" i="1" a="1"/>
  <c r="D771" i="1" s="1"/>
  <c r="C771" i="1" a="1"/>
  <c r="C771" i="1" s="1"/>
  <c r="I770" i="1" a="1"/>
  <c r="I770" i="1" s="1"/>
  <c r="H770" i="1" a="1"/>
  <c r="H770" i="1" s="1"/>
  <c r="G770" i="1" a="1"/>
  <c r="G770" i="1" s="1"/>
  <c r="F770" i="1" a="1"/>
  <c r="F770" i="1" s="1"/>
  <c r="E770" i="1" a="1"/>
  <c r="E770" i="1" s="1"/>
  <c r="D770" i="1" a="1"/>
  <c r="D770" i="1" s="1"/>
  <c r="C770" i="1" a="1"/>
  <c r="C770" i="1" s="1"/>
  <c r="I769" i="1" a="1"/>
  <c r="I769" i="1" s="1"/>
  <c r="H769" i="1" a="1"/>
  <c r="H769" i="1" s="1"/>
  <c r="G769" i="1" a="1"/>
  <c r="G769" i="1" s="1"/>
  <c r="F769" i="1" a="1"/>
  <c r="F769" i="1" s="1"/>
  <c r="E769" i="1" a="1"/>
  <c r="E769" i="1" s="1"/>
  <c r="D769" i="1" a="1"/>
  <c r="D769" i="1" s="1"/>
  <c r="C769" i="1" a="1"/>
  <c r="C769" i="1" s="1"/>
  <c r="K740" i="1" a="1"/>
  <c r="K740" i="1" s="1"/>
  <c r="J740" i="1" a="1"/>
  <c r="J740" i="1" s="1"/>
  <c r="I740" i="1" a="1"/>
  <c r="I740" i="1" s="1"/>
  <c r="H740" i="1" a="1"/>
  <c r="H740" i="1" s="1"/>
  <c r="G740" i="1" a="1"/>
  <c r="G740" i="1" s="1"/>
  <c r="F740" i="1" a="1"/>
  <c r="F740" i="1" s="1"/>
  <c r="E740" i="1" a="1"/>
  <c r="E740" i="1" s="1"/>
  <c r="D740" i="1" a="1"/>
  <c r="D740" i="1" s="1"/>
  <c r="C740" i="1" a="1"/>
  <c r="C740" i="1" s="1"/>
  <c r="K739" i="1" a="1"/>
  <c r="K739" i="1" s="1"/>
  <c r="J739" i="1" a="1"/>
  <c r="J739" i="1" s="1"/>
  <c r="I739" i="1" a="1"/>
  <c r="I739" i="1" s="1"/>
  <c r="H739" i="1" a="1"/>
  <c r="H739" i="1" s="1"/>
  <c r="G739" i="1" a="1"/>
  <c r="G739" i="1" s="1"/>
  <c r="F739" i="1" a="1"/>
  <c r="F739" i="1" s="1"/>
  <c r="E739" i="1" a="1"/>
  <c r="E739" i="1" s="1"/>
  <c r="D739" i="1" a="1"/>
  <c r="D739" i="1" s="1"/>
  <c r="C739" i="1" a="1"/>
  <c r="C739" i="1" s="1"/>
  <c r="K738" i="1" a="1"/>
  <c r="K738" i="1" s="1"/>
  <c r="J738" i="1" a="1"/>
  <c r="J738" i="1" s="1"/>
  <c r="I738" i="1" a="1"/>
  <c r="I738" i="1" s="1"/>
  <c r="H738" i="1" a="1"/>
  <c r="H738" i="1" s="1"/>
  <c r="G738" i="1" a="1"/>
  <c r="G738" i="1" s="1"/>
  <c r="F738" i="1" a="1"/>
  <c r="F738" i="1" s="1"/>
  <c r="E738" i="1" a="1"/>
  <c r="E738" i="1" s="1"/>
  <c r="D738" i="1" a="1"/>
  <c r="D738" i="1" s="1"/>
  <c r="C738" i="1" a="1"/>
  <c r="C738" i="1" s="1"/>
  <c r="K737" i="1" a="1"/>
  <c r="K737" i="1" s="1"/>
  <c r="J737" i="1" a="1"/>
  <c r="J737" i="1" s="1"/>
  <c r="I737" i="1" a="1"/>
  <c r="I737" i="1" s="1"/>
  <c r="H737" i="1" a="1"/>
  <c r="H737" i="1" s="1"/>
  <c r="G737" i="1" a="1"/>
  <c r="G737" i="1" s="1"/>
  <c r="F737" i="1" a="1"/>
  <c r="F737" i="1" s="1"/>
  <c r="E737" i="1" a="1"/>
  <c r="E737" i="1" s="1"/>
  <c r="D737" i="1" a="1"/>
  <c r="D737" i="1" s="1"/>
  <c r="C737" i="1" a="1"/>
  <c r="C737" i="1" s="1"/>
  <c r="K736" i="1" a="1"/>
  <c r="K736" i="1" s="1"/>
  <c r="J736" i="1" a="1"/>
  <c r="J736" i="1" s="1"/>
  <c r="I736" i="1" a="1"/>
  <c r="I736" i="1" s="1"/>
  <c r="H736" i="1" a="1"/>
  <c r="H736" i="1" s="1"/>
  <c r="G736" i="1" a="1"/>
  <c r="G736" i="1" s="1"/>
  <c r="F736" i="1" a="1"/>
  <c r="F736" i="1" s="1"/>
  <c r="E736" i="1" a="1"/>
  <c r="E736" i="1" s="1"/>
  <c r="D736" i="1" a="1"/>
  <c r="D736" i="1" s="1"/>
  <c r="C736" i="1" a="1"/>
  <c r="C736" i="1" s="1"/>
  <c r="K735" i="1" a="1"/>
  <c r="K735" i="1" s="1"/>
  <c r="J735" i="1" a="1"/>
  <c r="J735" i="1" s="1"/>
  <c r="I735" i="1" a="1"/>
  <c r="I735" i="1" s="1"/>
  <c r="H735" i="1" a="1"/>
  <c r="H735" i="1" s="1"/>
  <c r="G735" i="1" a="1"/>
  <c r="G735" i="1" s="1"/>
  <c r="F735" i="1" a="1"/>
  <c r="F735" i="1" s="1"/>
  <c r="E735" i="1" a="1"/>
  <c r="E735" i="1" s="1"/>
  <c r="D735" i="1" a="1"/>
  <c r="D735" i="1" s="1"/>
  <c r="C735" i="1" a="1"/>
  <c r="C735" i="1" s="1"/>
  <c r="K734" i="1" a="1"/>
  <c r="K734" i="1" s="1"/>
  <c r="J734" i="1" a="1"/>
  <c r="J734" i="1" s="1"/>
  <c r="I734" i="1" a="1"/>
  <c r="I734" i="1" s="1"/>
  <c r="H734" i="1" a="1"/>
  <c r="H734" i="1" s="1"/>
  <c r="G734" i="1" a="1"/>
  <c r="G734" i="1" s="1"/>
  <c r="F734" i="1" a="1"/>
  <c r="F734" i="1" s="1"/>
  <c r="E734" i="1" a="1"/>
  <c r="E734" i="1" s="1"/>
  <c r="D734" i="1" a="1"/>
  <c r="D734" i="1" s="1"/>
  <c r="C734" i="1" a="1"/>
  <c r="C734" i="1" s="1"/>
  <c r="G727" i="1" a="1"/>
  <c r="G727" i="1" s="1"/>
  <c r="M683" i="1" a="1"/>
  <c r="M683" i="1" s="1"/>
  <c r="L683" i="1" a="1"/>
  <c r="L683" i="1" s="1"/>
  <c r="K683" i="1" a="1"/>
  <c r="K683" i="1" s="1"/>
  <c r="J683" i="1" a="1"/>
  <c r="J683" i="1" s="1"/>
  <c r="M682" i="1" a="1"/>
  <c r="M682" i="1" s="1"/>
  <c r="L682" i="1" a="1"/>
  <c r="L682" i="1" s="1"/>
  <c r="K682" i="1" a="1"/>
  <c r="K682" i="1" s="1"/>
  <c r="J682" i="1" a="1"/>
  <c r="J682" i="1" s="1"/>
  <c r="M681" i="1" a="1"/>
  <c r="M681" i="1" s="1"/>
  <c r="L681" i="1" a="1"/>
  <c r="L681" i="1" s="1"/>
  <c r="K681" i="1" a="1"/>
  <c r="K681" i="1" s="1"/>
  <c r="J681" i="1" a="1"/>
  <c r="J681" i="1" s="1"/>
  <c r="M680" i="1" a="1"/>
  <c r="M680" i="1" s="1"/>
  <c r="L680" i="1" a="1"/>
  <c r="L680" i="1" s="1"/>
  <c r="K680" i="1" a="1"/>
  <c r="K680" i="1" s="1"/>
  <c r="J680" i="1" a="1"/>
  <c r="J680" i="1" s="1"/>
  <c r="M679" i="1" a="1"/>
  <c r="M679" i="1" s="1"/>
  <c r="L679" i="1" a="1"/>
  <c r="L679" i="1" s="1"/>
  <c r="K679" i="1" a="1"/>
  <c r="K679" i="1" s="1"/>
  <c r="J679" i="1" a="1"/>
  <c r="J679" i="1" s="1"/>
  <c r="M678" i="1" a="1"/>
  <c r="M678" i="1" s="1"/>
  <c r="L678" i="1" a="1"/>
  <c r="L678" i="1" s="1"/>
  <c r="K678" i="1" a="1"/>
  <c r="K678" i="1" s="1"/>
  <c r="J678" i="1" a="1"/>
  <c r="J678" i="1" s="1"/>
  <c r="P676" i="1" a="1"/>
  <c r="P676" i="1" s="1"/>
  <c r="O676" i="1" a="1"/>
  <c r="O682" i="1" s="1"/>
  <c r="O677" i="1"/>
  <c r="O678" i="1"/>
  <c r="O679" i="1"/>
  <c r="O680" i="1"/>
  <c r="O681" i="1"/>
  <c r="O683" i="1"/>
  <c r="O684" i="1"/>
  <c r="O685" i="1"/>
  <c r="O686" i="1"/>
  <c r="O687" i="1"/>
  <c r="O688" i="1"/>
  <c r="O689" i="1"/>
  <c r="O690" i="1"/>
  <c r="O691" i="1"/>
  <c r="O692" i="1"/>
  <c r="O693" i="1"/>
  <c r="O695" i="1"/>
  <c r="O696" i="1"/>
  <c r="O697" i="1"/>
  <c r="O676" i="1"/>
  <c r="J665" i="1" a="1"/>
  <c r="J665" i="1" s="1"/>
  <c r="L665" i="1" a="1"/>
  <c r="L665" i="1"/>
  <c r="J664" i="1" a="1"/>
  <c r="J664" i="1" s="1"/>
  <c r="M664" i="1" s="1"/>
  <c r="L664" i="1" a="1"/>
  <c r="L664" i="1" s="1"/>
  <c r="J663" i="1" a="1"/>
  <c r="J663" i="1" s="1"/>
  <c r="L663" i="1" a="1"/>
  <c r="L663" i="1"/>
  <c r="J662" i="1" a="1"/>
  <c r="J662" i="1" s="1"/>
  <c r="L662" i="1" a="1"/>
  <c r="L662" i="1" s="1"/>
  <c r="J661" i="1" a="1"/>
  <c r="J661" i="1" s="1"/>
  <c r="L661" i="1" a="1"/>
  <c r="L661" i="1"/>
  <c r="J660" i="1" a="1"/>
  <c r="J660" i="1" s="1"/>
  <c r="M660" i="1" s="1"/>
  <c r="L660" i="1" a="1"/>
  <c r="L660" i="1" s="1"/>
  <c r="J659" i="1" a="1"/>
  <c r="J659" i="1" s="1"/>
  <c r="M659" i="1" s="1"/>
  <c r="L659" i="1" a="1"/>
  <c r="L659" i="1"/>
  <c r="J658" i="1" a="1"/>
  <c r="J658" i="1" s="1"/>
  <c r="L658" i="1" a="1"/>
  <c r="L658" i="1" s="1"/>
  <c r="J657" i="1" a="1"/>
  <c r="J657" i="1" s="1"/>
  <c r="L657" i="1" a="1"/>
  <c r="L657" i="1"/>
  <c r="J656" i="1" a="1"/>
  <c r="J656" i="1" s="1"/>
  <c r="M656" i="1" s="1"/>
  <c r="L656" i="1" a="1"/>
  <c r="L656" i="1" s="1"/>
  <c r="J655" i="1" a="1"/>
  <c r="J655" i="1" s="1"/>
  <c r="M655" i="1" s="1"/>
  <c r="L655" i="1" a="1"/>
  <c r="L655" i="1"/>
  <c r="J654" i="1" a="1"/>
  <c r="J654" i="1" s="1"/>
  <c r="L654" i="1" a="1"/>
  <c r="L654" i="1" s="1"/>
  <c r="J653" i="1" a="1"/>
  <c r="J653" i="1" s="1"/>
  <c r="L653" i="1" a="1"/>
  <c r="L653" i="1"/>
  <c r="J652" i="1" a="1"/>
  <c r="J652" i="1" s="1"/>
  <c r="M652" i="1" s="1"/>
  <c r="L652" i="1" a="1"/>
  <c r="L652" i="1" s="1"/>
  <c r="F646" i="1"/>
  <c r="E646" i="1"/>
  <c r="D646" i="1"/>
  <c r="F645" i="1"/>
  <c r="E645" i="1"/>
  <c r="D645" i="1"/>
  <c r="F644" i="1"/>
  <c r="E644" i="1"/>
  <c r="D644" i="1"/>
  <c r="J635" i="1" a="1"/>
  <c r="J635" i="1" s="1"/>
  <c r="J629" i="1" a="1"/>
  <c r="J629" i="1" s="1"/>
  <c r="I629" i="1" a="1"/>
  <c r="I629" i="1" s="1"/>
  <c r="I628" i="1" a="1"/>
  <c r="I628" i="1" s="1"/>
  <c r="G606" i="1" a="1"/>
  <c r="G606" i="1"/>
  <c r="H606" i="1" s="1" a="1"/>
  <c r="H606" i="1" s="1"/>
  <c r="J597" i="1"/>
  <c r="J596" i="1"/>
  <c r="J595" i="1"/>
  <c r="J594" i="1"/>
  <c r="J593" i="1"/>
  <c r="J592" i="1"/>
  <c r="N591" i="1"/>
  <c r="J591" i="1"/>
  <c r="N590" i="1"/>
  <c r="J590" i="1"/>
  <c r="N589" i="1"/>
  <c r="J589" i="1"/>
  <c r="M580" i="1"/>
  <c r="L580" i="1"/>
  <c r="K580" i="1"/>
  <c r="M579" i="1"/>
  <c r="L579" i="1"/>
  <c r="K579" i="1"/>
  <c r="M578" i="1"/>
  <c r="L578" i="1"/>
  <c r="K578" i="1"/>
  <c r="E566" i="1"/>
  <c r="E565" i="1"/>
  <c r="E564" i="1" a="1"/>
  <c r="E564" i="1" s="1"/>
  <c r="C530" i="1"/>
  <c r="C529" i="1" a="1"/>
  <c r="C529" i="1"/>
  <c r="C528" i="1" a="1"/>
  <c r="C528" i="1" s="1"/>
  <c r="C527" i="1" a="1"/>
  <c r="C527" i="1" s="1"/>
  <c r="C526" i="1" a="1"/>
  <c r="C526" i="1"/>
  <c r="C525" i="1" a="1"/>
  <c r="C525" i="1"/>
  <c r="C524" i="1" a="1"/>
  <c r="C524" i="1"/>
  <c r="C523" i="1" a="1"/>
  <c r="C523" i="1"/>
  <c r="C522" i="1" a="1"/>
  <c r="C522" i="1" s="1"/>
  <c r="C521" i="1" a="1"/>
  <c r="C521" i="1" s="1"/>
  <c r="E515" i="1"/>
  <c r="C504" i="1" a="1"/>
  <c r="C504" i="1" s="1"/>
  <c r="C503" i="1" a="1"/>
  <c r="C503" i="1" s="1"/>
  <c r="J469" i="1" a="1"/>
  <c r="J469" i="1" s="1"/>
  <c r="J470" i="1" a="1"/>
  <c r="J470" i="1" s="1"/>
  <c r="J471" i="1" a="1"/>
  <c r="J471" i="1" s="1"/>
  <c r="J472" i="1" a="1"/>
  <c r="J472" i="1" s="1"/>
  <c r="J473" i="1" a="1"/>
  <c r="J473" i="1" s="1"/>
  <c r="J474" i="1" a="1"/>
  <c r="J474" i="1" s="1"/>
  <c r="J475" i="1" a="1"/>
  <c r="J475" i="1" s="1"/>
  <c r="J476" i="1" a="1"/>
  <c r="J476" i="1" s="1"/>
  <c r="J477" i="1" a="1"/>
  <c r="J477" i="1" s="1"/>
  <c r="J478" i="1" a="1"/>
  <c r="J478" i="1" s="1"/>
  <c r="J479" i="1" a="1"/>
  <c r="J479" i="1" s="1"/>
  <c r="J480" i="1" a="1"/>
  <c r="J480" i="1" s="1"/>
  <c r="J481" i="1" a="1"/>
  <c r="J481" i="1" s="1"/>
  <c r="J482" i="1" a="1"/>
  <c r="J482" i="1" s="1"/>
  <c r="J483" i="1" a="1"/>
  <c r="J483" i="1" s="1"/>
  <c r="J484" i="1" a="1"/>
  <c r="J484" i="1" s="1"/>
  <c r="J485" i="1" a="1"/>
  <c r="J485" i="1" s="1"/>
  <c r="J486" i="1" a="1"/>
  <c r="J486" i="1" s="1"/>
  <c r="J487" i="1" a="1"/>
  <c r="J487" i="1" s="1"/>
  <c r="J488" i="1" a="1"/>
  <c r="J488" i="1" s="1"/>
  <c r="J489" i="1" a="1"/>
  <c r="J489" i="1" s="1"/>
  <c r="J490" i="1" a="1"/>
  <c r="J490" i="1" s="1"/>
  <c r="J491" i="1" a="1"/>
  <c r="J491" i="1" s="1"/>
  <c r="J492" i="1" a="1"/>
  <c r="J492" i="1" s="1"/>
  <c r="J493" i="1" a="1"/>
  <c r="J493"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C464" i="1"/>
  <c r="C463" i="1"/>
  <c r="C462" i="1"/>
  <c r="C461" i="1"/>
  <c r="E455" i="1"/>
  <c r="D415" i="1"/>
  <c r="E444" i="1"/>
  <c r="F430" i="1"/>
  <c r="E430" i="1"/>
  <c r="F429" i="1"/>
  <c r="F428" i="1"/>
  <c r="F427" i="1"/>
  <c r="F426" i="1"/>
  <c r="F425" i="1"/>
  <c r="F424" i="1"/>
  <c r="F423" i="1"/>
  <c r="F422" i="1"/>
  <c r="F421" i="1"/>
  <c r="F420" i="1"/>
  <c r="F419" i="1"/>
  <c r="F418" i="1"/>
  <c r="F417" i="1"/>
  <c r="F416" i="1"/>
  <c r="F415" i="1"/>
  <c r="E415" i="1"/>
  <c r="F414" i="1"/>
  <c r="D414" i="1"/>
  <c r="F413" i="1"/>
  <c r="D413" i="1"/>
  <c r="F412" i="1"/>
  <c r="D412" i="1"/>
  <c r="E404" i="1"/>
  <c r="F404" i="1" s="1"/>
  <c r="E403" i="1"/>
  <c r="F403" i="1"/>
  <c r="E402" i="1"/>
  <c r="F402" i="1"/>
  <c r="E401" i="1"/>
  <c r="F401" i="1" s="1"/>
  <c r="E400" i="1"/>
  <c r="F400" i="1"/>
  <c r="E399" i="1"/>
  <c r="F399" i="1"/>
  <c r="E398" i="1"/>
  <c r="F398" i="1" s="1"/>
  <c r="E397" i="1"/>
  <c r="F397" i="1"/>
  <c r="E396" i="1"/>
  <c r="F396" i="1" s="1"/>
  <c r="E395" i="1"/>
  <c r="F395" i="1" s="1"/>
  <c r="E394" i="1"/>
  <c r="F394" i="1"/>
  <c r="E393" i="1"/>
  <c r="F393" i="1"/>
  <c r="E392" i="1"/>
  <c r="F392" i="1" s="1"/>
  <c r="E391" i="1"/>
  <c r="F391" i="1"/>
  <c r="E390" i="1"/>
  <c r="F390" i="1"/>
  <c r="E389" i="1"/>
  <c r="F389" i="1" s="1"/>
  <c r="E384" i="1" a="1"/>
  <c r="E384" i="1"/>
  <c r="E383" i="1" a="1"/>
  <c r="E383" i="1"/>
  <c r="E382" i="1" a="1"/>
  <c r="E382" i="1" s="1"/>
  <c r="E381" i="1" a="1"/>
  <c r="E381" i="1"/>
  <c r="E380" i="1" a="1"/>
  <c r="E380" i="1"/>
  <c r="E379" i="1" a="1"/>
  <c r="E379" i="1" s="1"/>
  <c r="E378" i="1" a="1"/>
  <c r="E378" i="1"/>
  <c r="E377" i="1" a="1"/>
  <c r="E377" i="1"/>
  <c r="E376" i="1" a="1"/>
  <c r="E376" i="1" s="1"/>
  <c r="E375" i="1" a="1"/>
  <c r="E375" i="1"/>
  <c r="E374" i="1" a="1"/>
  <c r="E374" i="1" s="1"/>
  <c r="E373" i="1" a="1"/>
  <c r="E373" i="1" s="1"/>
  <c r="E372" i="1" a="1"/>
  <c r="E372" i="1"/>
  <c r="E371" i="1" a="1"/>
  <c r="E371" i="1"/>
  <c r="E370" i="1" a="1"/>
  <c r="E370" i="1" s="1"/>
  <c r="E369" i="1" a="1"/>
  <c r="E369" i="1"/>
  <c r="E368" i="1" a="1"/>
  <c r="E368" i="1" s="1"/>
  <c r="E367" i="1" a="1"/>
  <c r="E367" i="1" s="1"/>
  <c r="E366" i="1" a="1"/>
  <c r="E366" i="1"/>
  <c r="E365" i="1" a="1"/>
  <c r="E365" i="1"/>
  <c r="E364" i="1" a="1"/>
  <c r="E364" i="1" s="1"/>
  <c r="E363" i="1" a="1"/>
  <c r="E363" i="1"/>
  <c r="E362" i="1" a="1"/>
  <c r="E362" i="1"/>
  <c r="E361" i="1" a="1"/>
  <c r="E361" i="1" s="1"/>
  <c r="E360" i="1" a="1"/>
  <c r="E360" i="1"/>
  <c r="E359" i="1" a="1"/>
  <c r="E359" i="1"/>
  <c r="E358" i="1" a="1"/>
  <c r="E358" i="1" s="1"/>
  <c r="E357" i="1" a="1"/>
  <c r="E357" i="1"/>
  <c r="E356" i="1" a="1"/>
  <c r="E356" i="1" s="1"/>
  <c r="E355" i="1" a="1"/>
  <c r="E355" i="1" s="1"/>
  <c r="E354" i="1" a="1"/>
  <c r="E354" i="1"/>
  <c r="E353" i="1" a="1"/>
  <c r="E353" i="1"/>
  <c r="E352" i="1" a="1"/>
  <c r="E352" i="1" s="1"/>
  <c r="E351" i="1" a="1"/>
  <c r="E351" i="1"/>
  <c r="E350" i="1" a="1"/>
  <c r="E350" i="1"/>
  <c r="E349" i="1" a="1"/>
  <c r="E349" i="1" s="1"/>
  <c r="E348" i="1" a="1"/>
  <c r="E348" i="1"/>
  <c r="E347" i="1" a="1"/>
  <c r="E347" i="1"/>
  <c r="E346" i="1" a="1"/>
  <c r="E346" i="1" s="1"/>
  <c r="E345" i="1" a="1"/>
  <c r="E345" i="1"/>
  <c r="E344" i="1" a="1"/>
  <c r="E344" i="1" s="1"/>
  <c r="E343" i="1" a="1"/>
  <c r="E343" i="1" s="1"/>
  <c r="E342" i="1" a="1"/>
  <c r="E342" i="1"/>
  <c r="E341" i="1" a="1"/>
  <c r="E341" i="1"/>
  <c r="E340" i="1" a="1"/>
  <c r="E340" i="1" s="1"/>
  <c r="E339" i="1" a="1"/>
  <c r="E339" i="1"/>
  <c r="E338" i="1" a="1"/>
  <c r="E338" i="1" s="1"/>
  <c r="E337" i="1" a="1"/>
  <c r="E337" i="1" s="1"/>
  <c r="E336" i="1" a="1"/>
  <c r="E336" i="1"/>
  <c r="E335" i="1" a="1"/>
  <c r="E335" i="1"/>
  <c r="E334" i="1" a="1"/>
  <c r="E334" i="1" s="1"/>
  <c r="E333" i="1" a="1"/>
  <c r="E333" i="1"/>
  <c r="E332" i="1" a="1"/>
  <c r="E332" i="1" s="1"/>
  <c r="E331" i="1" a="1"/>
  <c r="E331" i="1" s="1"/>
  <c r="E330" i="1" a="1"/>
  <c r="E330" i="1"/>
  <c r="C323" i="1"/>
  <c r="C322" i="1"/>
  <c r="C321" i="1"/>
  <c r="C320" i="1"/>
  <c r="G319" i="1" a="1"/>
  <c r="G319" i="1"/>
  <c r="F319" i="1" a="1"/>
  <c r="F319" i="1"/>
  <c r="E319" i="1" a="1"/>
  <c r="E319" i="1" s="1"/>
  <c r="D319" i="1" a="1"/>
  <c r="D319" i="1"/>
  <c r="G318" i="1" a="1"/>
  <c r="G318" i="1" s="1"/>
  <c r="F318" i="1" a="1"/>
  <c r="F318" i="1" s="1"/>
  <c r="E318" i="1" a="1"/>
  <c r="E318" i="1"/>
  <c r="D318" i="1" a="1"/>
  <c r="D318" i="1" s="1"/>
  <c r="C318" i="1" s="1"/>
  <c r="G317" i="1" a="1"/>
  <c r="G317" i="1"/>
  <c r="F317" i="1" a="1"/>
  <c r="F317" i="1"/>
  <c r="E317" i="1" a="1"/>
  <c r="E317" i="1" s="1"/>
  <c r="C317" i="1" s="1"/>
  <c r="D317" i="1" a="1"/>
  <c r="D317" i="1"/>
  <c r="Q293" i="1" a="1"/>
  <c r="Q293" i="1" s="1"/>
  <c r="P293" i="1" a="1"/>
  <c r="P293" i="1" s="1"/>
  <c r="O293" i="1" a="1"/>
  <c r="O293" i="1" s="1"/>
  <c r="N293" i="1" a="1"/>
  <c r="N293" i="1" s="1"/>
  <c r="M293" i="1" a="1"/>
  <c r="M293" i="1" s="1"/>
  <c r="L293" i="1" a="1"/>
  <c r="L293" i="1" s="1"/>
  <c r="K293" i="1" a="1"/>
  <c r="K293" i="1" s="1"/>
  <c r="Q292" i="1" a="1"/>
  <c r="Q292" i="1" s="1"/>
  <c r="P292" i="1" a="1"/>
  <c r="P292" i="1" s="1"/>
  <c r="O292" i="1" a="1"/>
  <c r="O292" i="1" s="1"/>
  <c r="N292" i="1" a="1"/>
  <c r="N292" i="1" s="1"/>
  <c r="M292" i="1" a="1"/>
  <c r="M292" i="1" s="1"/>
  <c r="L292" i="1" a="1"/>
  <c r="L292" i="1" s="1"/>
  <c r="K292" i="1" a="1"/>
  <c r="K292" i="1" s="1"/>
  <c r="Q291" i="1" a="1"/>
  <c r="Q291" i="1" s="1"/>
  <c r="P291" i="1" a="1"/>
  <c r="P291" i="1" s="1"/>
  <c r="O291" i="1" a="1"/>
  <c r="O291" i="1" s="1"/>
  <c r="N291" i="1" a="1"/>
  <c r="N291" i="1" s="1"/>
  <c r="M291" i="1" a="1"/>
  <c r="M291" i="1" s="1"/>
  <c r="L291" i="1" a="1"/>
  <c r="L291" i="1" s="1"/>
  <c r="K291" i="1" a="1"/>
  <c r="K291" i="1" s="1"/>
  <c r="Q290" i="1" a="1"/>
  <c r="Q290" i="1" s="1"/>
  <c r="P290" i="1" a="1"/>
  <c r="P290" i="1" s="1"/>
  <c r="O290" i="1" a="1"/>
  <c r="O290" i="1" s="1"/>
  <c r="N290" i="1" a="1"/>
  <c r="N290" i="1" s="1"/>
  <c r="M290" i="1" a="1"/>
  <c r="M290" i="1" s="1"/>
  <c r="L290" i="1" a="1"/>
  <c r="L290" i="1" s="1"/>
  <c r="K290" i="1" a="1"/>
  <c r="K290" i="1" s="1"/>
  <c r="Q289" i="1" a="1"/>
  <c r="Q289" i="1" s="1"/>
  <c r="P289" i="1" a="1"/>
  <c r="P289" i="1" s="1"/>
  <c r="O289" i="1" a="1"/>
  <c r="O289" i="1" s="1"/>
  <c r="N289" i="1" a="1"/>
  <c r="N289" i="1" s="1"/>
  <c r="M289" i="1" a="1"/>
  <c r="M289" i="1" s="1"/>
  <c r="L289" i="1" a="1"/>
  <c r="L289" i="1" s="1"/>
  <c r="K289" i="1" a="1"/>
  <c r="K289" i="1" s="1"/>
  <c r="Q288" i="1" a="1"/>
  <c r="Q288" i="1" s="1"/>
  <c r="P288" i="1" a="1"/>
  <c r="P288" i="1" s="1"/>
  <c r="O288" i="1" a="1"/>
  <c r="O288" i="1" s="1"/>
  <c r="N288" i="1" a="1"/>
  <c r="N288" i="1" s="1"/>
  <c r="M288" i="1" a="1"/>
  <c r="M288" i="1" s="1"/>
  <c r="L288" i="1" a="1"/>
  <c r="L288" i="1" s="1"/>
  <c r="K288" i="1" a="1"/>
  <c r="K288" i="1" s="1"/>
  <c r="Q287" i="1" a="1"/>
  <c r="Q287" i="1" s="1"/>
  <c r="P287" i="1" a="1"/>
  <c r="P287" i="1" s="1"/>
  <c r="O287" i="1" a="1"/>
  <c r="O287" i="1" s="1"/>
  <c r="N287" i="1" a="1"/>
  <c r="N287" i="1" s="1"/>
  <c r="M287" i="1" a="1"/>
  <c r="M287" i="1" s="1"/>
  <c r="L287" i="1" a="1"/>
  <c r="L287" i="1" s="1"/>
  <c r="K287" i="1" a="1"/>
  <c r="K287" i="1" s="1"/>
  <c r="Q286" i="1" a="1"/>
  <c r="Q286" i="1" s="1"/>
  <c r="P286" i="1" a="1"/>
  <c r="P286" i="1" s="1"/>
  <c r="O286" i="1" a="1"/>
  <c r="O286" i="1" s="1"/>
  <c r="N286" i="1" a="1"/>
  <c r="N286" i="1" s="1"/>
  <c r="M286" i="1" a="1"/>
  <c r="M286" i="1" s="1"/>
  <c r="L286" i="1" a="1"/>
  <c r="L286" i="1" s="1"/>
  <c r="K286" i="1" a="1"/>
  <c r="K286" i="1" s="1"/>
  <c r="Q285" i="1" a="1"/>
  <c r="Q285" i="1" s="1"/>
  <c r="P285" i="1" a="1"/>
  <c r="P285" i="1" s="1"/>
  <c r="O285" i="1" a="1"/>
  <c r="O285" i="1" s="1"/>
  <c r="N285" i="1" a="1"/>
  <c r="N285" i="1" s="1"/>
  <c r="M285" i="1" a="1"/>
  <c r="M285" i="1" s="1"/>
  <c r="L285" i="1" a="1"/>
  <c r="L285" i="1" s="1"/>
  <c r="K285" i="1" a="1"/>
  <c r="K285" i="1" s="1"/>
  <c r="Q284" i="1" a="1"/>
  <c r="Q284" i="1" s="1"/>
  <c r="P284" i="1" a="1"/>
  <c r="P284" i="1" s="1"/>
  <c r="O284" i="1" a="1"/>
  <c r="O284" i="1" s="1"/>
  <c r="N284" i="1" a="1"/>
  <c r="N284" i="1" s="1"/>
  <c r="M284" i="1" a="1"/>
  <c r="M284" i="1" s="1"/>
  <c r="L284" i="1" a="1"/>
  <c r="L284" i="1" s="1"/>
  <c r="K284" i="1" a="1"/>
  <c r="K284" i="1" s="1"/>
  <c r="Q283" i="1" a="1"/>
  <c r="Q283" i="1" s="1"/>
  <c r="P283" i="1" a="1"/>
  <c r="P283" i="1" s="1"/>
  <c r="O283" i="1" a="1"/>
  <c r="O283" i="1" s="1"/>
  <c r="N283" i="1" a="1"/>
  <c r="N283" i="1" s="1"/>
  <c r="M283" i="1" a="1"/>
  <c r="M283" i="1" s="1"/>
  <c r="L283" i="1" a="1"/>
  <c r="L283" i="1" s="1"/>
  <c r="K283" i="1" a="1"/>
  <c r="K283" i="1" s="1"/>
  <c r="Q282" i="1" a="1"/>
  <c r="Q282" i="1" s="1"/>
  <c r="P282" i="1" a="1"/>
  <c r="P282" i="1" s="1"/>
  <c r="O282" i="1" a="1"/>
  <c r="O282" i="1" s="1"/>
  <c r="N282" i="1" a="1"/>
  <c r="N282" i="1" s="1"/>
  <c r="M282" i="1" a="1"/>
  <c r="M282" i="1" s="1"/>
  <c r="L282" i="1" a="1"/>
  <c r="L282" i="1" s="1"/>
  <c r="K282" i="1" a="1"/>
  <c r="K282" i="1" s="1"/>
  <c r="Q281" i="1" a="1"/>
  <c r="Q281" i="1" s="1"/>
  <c r="P281" i="1" a="1"/>
  <c r="P281" i="1" s="1"/>
  <c r="O281" i="1" a="1"/>
  <c r="O281" i="1" s="1"/>
  <c r="N281" i="1" a="1"/>
  <c r="N281" i="1" s="1"/>
  <c r="M281" i="1" a="1"/>
  <c r="M281" i="1" s="1"/>
  <c r="L281" i="1" a="1"/>
  <c r="L281" i="1" s="1"/>
  <c r="K281" i="1" a="1"/>
  <c r="K281" i="1" s="1"/>
  <c r="Q280" i="1" a="1"/>
  <c r="Q280" i="1" s="1"/>
  <c r="P280" i="1" a="1"/>
  <c r="P280" i="1" s="1"/>
  <c r="O280" i="1" a="1"/>
  <c r="O280" i="1" s="1"/>
  <c r="N280" i="1" a="1"/>
  <c r="N280" i="1" s="1"/>
  <c r="M280" i="1" a="1"/>
  <c r="M280" i="1" s="1"/>
  <c r="L280" i="1" a="1"/>
  <c r="L280" i="1" s="1"/>
  <c r="K280" i="1" a="1"/>
  <c r="K280" i="1" s="1"/>
  <c r="Q279" i="1" a="1"/>
  <c r="Q279" i="1" s="1"/>
  <c r="P279" i="1" a="1"/>
  <c r="P279" i="1" s="1"/>
  <c r="O279" i="1" a="1"/>
  <c r="O279" i="1" s="1"/>
  <c r="N279" i="1" a="1"/>
  <c r="N279" i="1" s="1"/>
  <c r="M279" i="1" a="1"/>
  <c r="M279" i="1" s="1"/>
  <c r="L279" i="1" a="1"/>
  <c r="L279" i="1" s="1"/>
  <c r="K279" i="1" a="1"/>
  <c r="K279" i="1" s="1"/>
  <c r="Q278" i="1" a="1"/>
  <c r="Q278" i="1" s="1"/>
  <c r="P278" i="1" a="1"/>
  <c r="P278" i="1" s="1"/>
  <c r="O278" i="1" a="1"/>
  <c r="O278" i="1" s="1"/>
  <c r="N278" i="1" a="1"/>
  <c r="N278" i="1" s="1"/>
  <c r="M278" i="1" a="1"/>
  <c r="M278" i="1" s="1"/>
  <c r="L278" i="1" a="1"/>
  <c r="L278" i="1" s="1"/>
  <c r="K278" i="1" a="1"/>
  <c r="K278" i="1" s="1"/>
  <c r="Q277" i="1" a="1"/>
  <c r="Q277" i="1" s="1"/>
  <c r="P277" i="1" a="1"/>
  <c r="P277" i="1" s="1"/>
  <c r="O277" i="1" a="1"/>
  <c r="O277" i="1" s="1"/>
  <c r="N277" i="1" a="1"/>
  <c r="N277" i="1" s="1"/>
  <c r="M277" i="1" a="1"/>
  <c r="M277" i="1" s="1"/>
  <c r="L277" i="1" a="1"/>
  <c r="L277" i="1" s="1"/>
  <c r="K277" i="1" a="1"/>
  <c r="K277" i="1" s="1"/>
  <c r="J226" i="1" a="1"/>
  <c r="J226" i="1" s="1"/>
  <c r="F37" i="1"/>
  <c r="F38" i="1"/>
  <c r="F39" i="1"/>
  <c r="F40" i="1"/>
  <c r="F41" i="1"/>
  <c r="F59" i="1" a="1"/>
  <c r="F59" i="1" s="1"/>
  <c r="F60" i="1" a="1"/>
  <c r="F102" i="1"/>
  <c r="F103" i="1"/>
  <c r="F104" i="1"/>
  <c r="F134" i="1"/>
  <c r="F135" i="1"/>
  <c r="F60" i="1"/>
  <c r="D66" i="1"/>
  <c r="D67" i="1"/>
  <c r="D68" i="1"/>
  <c r="D153" i="1" a="1"/>
  <c r="D153" i="1"/>
  <c r="J223" i="1" a="1"/>
  <c r="J223" i="1" s="1"/>
  <c r="L218" i="1"/>
  <c r="K218" i="1"/>
  <c r="J218" i="1"/>
  <c r="P211" i="1" a="1"/>
  <c r="P211" i="1" s="1"/>
  <c r="P210" i="1" a="1"/>
  <c r="P210" i="1" s="1"/>
  <c r="P209" i="1" a="1"/>
  <c r="P209" i="1" s="1"/>
  <c r="P208" i="1" a="1"/>
  <c r="P208" i="1" s="1"/>
  <c r="P207" i="1" a="1"/>
  <c r="P207" i="1" s="1"/>
  <c r="P206" i="1" a="1"/>
  <c r="P206" i="1" s="1"/>
  <c r="P205" i="1" a="1"/>
  <c r="P205" i="1" s="1"/>
  <c r="P204" i="1" a="1"/>
  <c r="P204" i="1" s="1"/>
  <c r="P203" i="1" a="1"/>
  <c r="P203" i="1" s="1"/>
  <c r="P202" i="1" a="1"/>
  <c r="P202" i="1" s="1"/>
  <c r="H195" i="1"/>
  <c r="K195" i="1" a="1"/>
  <c r="K195" i="1"/>
  <c r="J195" i="1" a="1"/>
  <c r="J195" i="1"/>
  <c r="K194" i="1" a="1"/>
  <c r="K194" i="1"/>
  <c r="J194" i="1" a="1"/>
  <c r="J194" i="1"/>
  <c r="K193" i="1" a="1"/>
  <c r="K193" i="1" s="1"/>
  <c r="J193" i="1" a="1"/>
  <c r="J193" i="1" s="1"/>
  <c r="K192" i="1" a="1"/>
  <c r="K192" i="1"/>
  <c r="J192" i="1" a="1"/>
  <c r="J192" i="1"/>
  <c r="K191" i="1" a="1"/>
  <c r="K191" i="1"/>
  <c r="J191" i="1" a="1"/>
  <c r="J191" i="1" s="1"/>
  <c r="K190" i="1" a="1"/>
  <c r="K190" i="1" s="1"/>
  <c r="J190" i="1" a="1"/>
  <c r="J190" i="1" s="1"/>
  <c r="K189" i="1" a="1"/>
  <c r="K189" i="1"/>
  <c r="J189" i="1" a="1"/>
  <c r="J189" i="1"/>
  <c r="K188" i="1" a="1"/>
  <c r="K188" i="1"/>
  <c r="J188" i="1" a="1"/>
  <c r="J188" i="1"/>
  <c r="K187" i="1" a="1"/>
  <c r="K187" i="1" s="1"/>
  <c r="J187" i="1" a="1"/>
  <c r="J187" i="1" s="1"/>
  <c r="K186" i="1" a="1"/>
  <c r="K186" i="1"/>
  <c r="J186" i="1" a="1"/>
  <c r="J186" i="1"/>
  <c r="H185" i="1"/>
  <c r="K185" i="1" a="1"/>
  <c r="K185" i="1"/>
  <c r="J185" i="1" a="1"/>
  <c r="J185" i="1"/>
  <c r="K184" i="1" a="1"/>
  <c r="K184" i="1" s="1"/>
  <c r="J184" i="1" a="1"/>
  <c r="J184" i="1"/>
  <c r="K183" i="1" a="1"/>
  <c r="K183" i="1" s="1"/>
  <c r="J183" i="1" a="1"/>
  <c r="J183" i="1"/>
  <c r="K182" i="1" a="1"/>
  <c r="K182" i="1"/>
  <c r="J182" i="1" a="1"/>
  <c r="J182" i="1" s="1"/>
  <c r="K181" i="1" a="1"/>
  <c r="K181" i="1" s="1"/>
  <c r="J181" i="1" a="1"/>
  <c r="J181" i="1"/>
  <c r="I118" i="1"/>
  <c r="H118" i="1"/>
  <c r="I117" i="1"/>
  <c r="H117" i="1"/>
  <c r="I116" i="1"/>
  <c r="H116" i="1"/>
  <c r="L95" i="1"/>
  <c r="L94" i="1"/>
  <c r="L93" i="1"/>
  <c r="C74" i="1"/>
  <c r="C73" i="1"/>
  <c r="C72" i="1"/>
  <c r="H60" i="1" a="1"/>
  <c r="H60" i="1" s="1"/>
  <c r="G60" i="1" a="1"/>
  <c r="G60" i="1"/>
  <c r="H59" i="1" a="1"/>
  <c r="H59" i="1"/>
  <c r="G59" i="1" a="1"/>
  <c r="G59" i="1"/>
  <c r="H51" i="1"/>
  <c r="H49" i="1"/>
  <c r="H48" i="1"/>
  <c r="I36" i="1" a="1"/>
  <c r="I36" i="1"/>
  <c r="L34" i="1"/>
  <c r="K34" i="1"/>
  <c r="J34" i="1"/>
  <c r="L32" i="1"/>
  <c r="K32" i="1"/>
  <c r="J32" i="1"/>
  <c r="P29" i="1"/>
  <c r="O29" i="1"/>
  <c r="H11" i="1"/>
  <c r="S5" i="1" s="1" a="1"/>
  <c r="S5" i="1" s="1"/>
  <c r="H9" i="1"/>
  <c r="S4" i="1" s="1" a="1"/>
  <c r="S4" i="1" s="1"/>
  <c r="P26" i="1"/>
  <c r="O26" i="1"/>
  <c r="H6" i="1"/>
  <c r="S3" i="1" s="1" a="1"/>
  <c r="S3" i="1" s="1"/>
  <c r="H3" i="1"/>
  <c r="S14" i="1" s="1"/>
  <c r="S24" i="1"/>
  <c r="R24" i="1"/>
  <c r="Q24" i="1"/>
  <c r="P24" i="1"/>
  <c r="O24" i="1"/>
  <c r="S19" i="1"/>
  <c r="S17" i="1"/>
  <c r="R17" i="1"/>
  <c r="Q17" i="1"/>
  <c r="R15" i="1"/>
  <c r="Q15" i="1"/>
  <c r="P15" i="1"/>
  <c r="O15" i="1"/>
  <c r="R14" i="1"/>
  <c r="Q14" i="1"/>
  <c r="P14" i="1"/>
  <c r="O14" i="1"/>
  <c r="H10" i="1"/>
  <c r="H8" i="1"/>
  <c r="S7" i="1" a="1"/>
  <c r="S7" i="1" s="1"/>
  <c r="R7" i="1" a="1"/>
  <c r="R7" i="1" s="1"/>
  <c r="Q7" i="1" a="1"/>
  <c r="Q7" i="1" s="1"/>
  <c r="P7" i="1" a="1"/>
  <c r="P7" i="1" s="1"/>
  <c r="O7" i="1" a="1"/>
  <c r="O7" i="1" s="1"/>
  <c r="H7" i="1"/>
  <c r="S6" i="1" a="1"/>
  <c r="S6" i="1" s="1"/>
  <c r="R6" i="1" a="1"/>
  <c r="R6" i="1" s="1"/>
  <c r="Q6" i="1" a="1"/>
  <c r="Q6" i="1" s="1"/>
  <c r="P6" i="1" a="1"/>
  <c r="P6" i="1" s="1"/>
  <c r="O6" i="1" a="1"/>
  <c r="O6" i="1" s="1"/>
  <c r="R5" i="1" a="1"/>
  <c r="R5" i="1" s="1"/>
  <c r="Q5" i="1" a="1"/>
  <c r="Q5" i="1" s="1"/>
  <c r="P5" i="1" a="1"/>
  <c r="P5" i="1" s="1"/>
  <c r="O5" i="1" a="1"/>
  <c r="O5" i="1" s="1"/>
  <c r="H5" i="1"/>
  <c r="R4" i="1" a="1"/>
  <c r="R4" i="1" s="1"/>
  <c r="Q4" i="1" a="1"/>
  <c r="Q4" i="1" s="1"/>
  <c r="P4" i="1" a="1"/>
  <c r="P4" i="1" s="1"/>
  <c r="O4" i="1" a="1"/>
  <c r="O4" i="1" s="1"/>
  <c r="H4" i="1"/>
  <c r="R3" i="1" a="1"/>
  <c r="R3" i="1" s="1"/>
  <c r="Q3" i="1" a="1"/>
  <c r="Q3" i="1" s="1"/>
  <c r="P3" i="1" a="1"/>
  <c r="P3" i="1" s="1"/>
  <c r="O3" i="1" a="1"/>
  <c r="O3" i="1" s="1"/>
  <c r="R2" i="1" a="1"/>
  <c r="R2" i="1" s="1"/>
  <c r="Q2" i="1" a="1"/>
  <c r="Q2" i="1" s="1"/>
  <c r="P2" i="1" a="1"/>
  <c r="P2" i="1" s="1"/>
  <c r="O2" i="1" a="1"/>
  <c r="O2" i="1" s="1"/>
  <c r="H2" i="1"/>
  <c r="O460" i="5"/>
  <c r="N460" i="5"/>
  <c r="L438" i="5"/>
  <c r="L437" i="5"/>
  <c r="L436" i="5"/>
  <c r="K425" i="5"/>
  <c r="L411" i="5"/>
  <c r="K411" i="5"/>
  <c r="T401" i="5"/>
  <c r="Q392" i="5"/>
  <c r="X387" i="5"/>
  <c r="X382" i="5"/>
  <c r="X378" i="5"/>
  <c r="W343" i="5"/>
  <c r="N361" i="5"/>
  <c r="P371" i="5"/>
  <c r="P366" i="5"/>
  <c r="P361" i="5"/>
  <c r="K332" i="5"/>
  <c r="Q319" i="5"/>
  <c r="T301" i="5"/>
  <c r="S301" i="5"/>
  <c r="T300" i="5"/>
  <c r="S300" i="5"/>
  <c r="T299" i="5"/>
  <c r="S299" i="5"/>
  <c r="T298" i="5"/>
  <c r="S298" i="5"/>
  <c r="T297" i="5"/>
  <c r="S297" i="5"/>
  <c r="V277" i="5"/>
  <c r="X250" i="5" a="1"/>
  <c r="X250" i="5"/>
  <c r="S238" i="5"/>
  <c r="T225" i="5"/>
  <c r="M215" i="5"/>
  <c r="M220" i="5"/>
  <c r="M213" i="5"/>
  <c r="M218" i="5"/>
  <c r="L213" i="5"/>
  <c r="L218" i="5"/>
  <c r="Q195" i="5"/>
  <c r="Q197" i="5"/>
  <c r="M189" i="5"/>
  <c r="L189" i="5"/>
  <c r="M188" i="5"/>
  <c r="L188" i="5"/>
  <c r="M187" i="5"/>
  <c r="L187" i="5"/>
  <c r="M186" i="5"/>
  <c r="L186" i="5"/>
  <c r="M185" i="5"/>
  <c r="L185" i="5"/>
  <c r="M184" i="5"/>
  <c r="L184" i="5"/>
  <c r="M175" i="5"/>
  <c r="P162" i="5"/>
  <c r="J154" i="5"/>
  <c r="J155" i="5"/>
  <c r="K145" i="5"/>
  <c r="H137" i="5"/>
  <c r="H136" i="5"/>
  <c r="H135" i="5"/>
  <c r="H134" i="5"/>
  <c r="H133" i="5"/>
  <c r="M124" i="5"/>
  <c r="G132" i="5"/>
  <c r="H132" i="5"/>
  <c r="H131" i="5"/>
  <c r="AA115" i="5"/>
  <c r="Q95" i="5"/>
  <c r="P95" i="5"/>
  <c r="O95" i="5"/>
  <c r="M81" i="5"/>
  <c r="N79" i="5"/>
  <c r="M79" i="5"/>
  <c r="M64" i="5"/>
  <c r="M62" i="5"/>
  <c r="K52" i="5"/>
  <c r="K47" i="5"/>
  <c r="J42" i="5"/>
  <c r="O33" i="5"/>
  <c r="O32" i="5"/>
  <c r="O31" i="5"/>
  <c r="O30" i="5"/>
  <c r="O29" i="5"/>
  <c r="O28" i="5"/>
  <c r="K7" i="5"/>
  <c r="K6" i="5"/>
  <c r="K5" i="5"/>
  <c r="K4" i="5"/>
  <c r="F580" i="2" a="1"/>
  <c r="G580" i="2"/>
  <c r="F581" i="2"/>
  <c r="G581" i="2"/>
  <c r="F582" i="2"/>
  <c r="G582" i="2"/>
  <c r="F583" i="2"/>
  <c r="G583" i="2"/>
  <c r="F584" i="2"/>
  <c r="G584" i="2"/>
  <c r="F580" i="2"/>
  <c r="E339" i="2" a="1"/>
  <c r="F339" i="2"/>
  <c r="G339" i="2"/>
  <c r="E340" i="2"/>
  <c r="F340" i="2"/>
  <c r="G340" i="2"/>
  <c r="E341" i="2"/>
  <c r="F341" i="2"/>
  <c r="G341" i="2"/>
  <c r="E342" i="2"/>
  <c r="F342" i="2"/>
  <c r="G342" i="2"/>
  <c r="E343" i="2"/>
  <c r="F343" i="2"/>
  <c r="G343" i="2"/>
  <c r="E344" i="2"/>
  <c r="F344" i="2"/>
  <c r="G344" i="2"/>
  <c r="E345" i="2"/>
  <c r="F345" i="2"/>
  <c r="G345" i="2"/>
  <c r="E346" i="2"/>
  <c r="F346" i="2"/>
  <c r="G346" i="2"/>
  <c r="E347" i="2"/>
  <c r="F347" i="2"/>
  <c r="G347" i="2"/>
  <c r="E348" i="2"/>
  <c r="F348" i="2"/>
  <c r="G348" i="2"/>
  <c r="E349" i="2"/>
  <c r="F349" i="2"/>
  <c r="G349" i="2"/>
  <c r="E350" i="2"/>
  <c r="F350" i="2"/>
  <c r="G350" i="2"/>
  <c r="E351" i="2"/>
  <c r="F351" i="2"/>
  <c r="G351" i="2"/>
  <c r="E352" i="2"/>
  <c r="F352" i="2"/>
  <c r="G352" i="2"/>
  <c r="E353" i="2"/>
  <c r="F353" i="2"/>
  <c r="G353" i="2"/>
  <c r="E354" i="2"/>
  <c r="F354" i="2"/>
  <c r="G354" i="2"/>
  <c r="E339" i="2"/>
  <c r="D305" i="2" a="1"/>
  <c r="E305" i="2"/>
  <c r="F305" i="2"/>
  <c r="G305" i="2"/>
  <c r="D306" i="2"/>
  <c r="E306" i="2"/>
  <c r="F306" i="2"/>
  <c r="G306" i="2"/>
  <c r="D307" i="2"/>
  <c r="E307" i="2"/>
  <c r="F307" i="2"/>
  <c r="G307" i="2"/>
  <c r="D308" i="2"/>
  <c r="E308" i="2"/>
  <c r="F308" i="2"/>
  <c r="G308" i="2"/>
  <c r="D309" i="2"/>
  <c r="E309" i="2"/>
  <c r="F309" i="2"/>
  <c r="G309" i="2"/>
  <c r="D305" i="2"/>
  <c r="D279" i="2"/>
  <c r="G264" i="2"/>
  <c r="F264" i="2"/>
  <c r="E264" i="2"/>
  <c r="G263" i="2"/>
  <c r="G262" i="2"/>
  <c r="T259" i="2" a="1"/>
  <c r="U260" i="2" s="1"/>
  <c r="I259" i="2" a="1"/>
  <c r="I259" i="2"/>
  <c r="E259" i="2" a="1"/>
  <c r="F259" i="2"/>
  <c r="G259" i="2"/>
  <c r="E260" i="2"/>
  <c r="F260" i="2"/>
  <c r="G260" i="2"/>
  <c r="E261" i="2"/>
  <c r="F261" i="2"/>
  <c r="G261" i="2"/>
  <c r="E259" i="2"/>
  <c r="D259" i="2" a="1"/>
  <c r="D260" i="2"/>
  <c r="D261" i="2"/>
  <c r="D259" i="2"/>
  <c r="C239" i="2" a="1"/>
  <c r="C240" i="2"/>
  <c r="C239" i="2"/>
  <c r="B239" i="2" a="1"/>
  <c r="B240" i="2"/>
  <c r="B241" i="2"/>
  <c r="B242" i="2"/>
  <c r="B243" i="2"/>
  <c r="B239" i="2"/>
  <c r="T231" i="2" a="1"/>
  <c r="T232" i="2"/>
  <c r="T233" i="2"/>
  <c r="T231" i="2"/>
  <c r="G217" i="2"/>
  <c r="G216" i="2"/>
  <c r="C182" i="2"/>
  <c r="C181" i="2"/>
  <c r="C180" i="2"/>
  <c r="B159" i="2"/>
  <c r="B158" i="2"/>
  <c r="B157" i="2"/>
  <c r="B156" i="2"/>
  <c r="B155" i="2"/>
  <c r="B148" i="2"/>
  <c r="B147" i="2"/>
  <c r="B146" i="2"/>
  <c r="B145" i="2"/>
  <c r="I138" i="2"/>
  <c r="H138" i="2"/>
  <c r="G138" i="2"/>
  <c r="F138" i="2"/>
  <c r="E138" i="2"/>
  <c r="D138" i="2"/>
  <c r="C138" i="2"/>
  <c r="B138" i="2"/>
  <c r="C133" i="2"/>
  <c r="C132" i="2"/>
  <c r="C131" i="2"/>
  <c r="C130" i="2"/>
  <c r="B122" i="2"/>
  <c r="C122" i="2"/>
  <c r="C116" i="2"/>
  <c r="D116" i="2"/>
  <c r="C115" i="2"/>
  <c r="D115" i="2"/>
  <c r="C114" i="2"/>
  <c r="D114" i="2"/>
  <c r="C113" i="2"/>
  <c r="D113" i="2"/>
  <c r="C112" i="2"/>
  <c r="D112" i="2"/>
  <c r="E103" i="2"/>
  <c r="D103" i="2"/>
  <c r="C103" i="2"/>
  <c r="B103" i="2"/>
  <c r="O99" i="2" a="1"/>
  <c r="O99" i="2" s="1"/>
  <c r="O98" i="2"/>
  <c r="O97" i="2"/>
  <c r="N92" i="2"/>
  <c r="N91" i="2"/>
  <c r="B86" i="2"/>
  <c r="B72" i="2"/>
  <c r="B69" i="2"/>
  <c r="H59" i="2"/>
  <c r="G59" i="2"/>
  <c r="F59" i="2"/>
  <c r="H58" i="2"/>
  <c r="G58" i="2"/>
  <c r="F58" i="2"/>
  <c r="H57" i="2"/>
  <c r="G57" i="2"/>
  <c r="F57" i="2"/>
  <c r="H56" i="2"/>
  <c r="G56" i="2"/>
  <c r="F56" i="2"/>
  <c r="H55" i="2"/>
  <c r="G55" i="2"/>
  <c r="F55" i="2"/>
  <c r="H54" i="2"/>
  <c r="G54" i="2"/>
  <c r="F54" i="2"/>
  <c r="H53" i="2"/>
  <c r="G53" i="2"/>
  <c r="F53" i="2"/>
  <c r="H52" i="2"/>
  <c r="G52" i="2"/>
  <c r="F52" i="2"/>
  <c r="C47" i="2"/>
  <c r="C46" i="2"/>
  <c r="C45" i="2"/>
  <c r="O42" i="2"/>
  <c r="O41" i="2"/>
  <c r="H33" i="2"/>
  <c r="H32" i="2"/>
  <c r="H31" i="2"/>
  <c r="B19" i="2"/>
  <c r="D8" i="2"/>
  <c r="B14" i="2"/>
  <c r="D10" i="2"/>
  <c r="D9" i="2"/>
  <c r="G607" i="1" a="1"/>
  <c r="G607" i="1" s="1"/>
  <c r="A223" i="2" a="1"/>
  <c r="A224" i="2" a="1"/>
  <c r="A220" i="2" a="1"/>
  <c r="A222" i="2" a="1"/>
  <c r="A221" i="2" a="1"/>
  <c r="D427" i="1" l="1"/>
  <c r="D430" i="1"/>
  <c r="D445" i="1" s="1"/>
  <c r="D426" i="1"/>
  <c r="D420" i="1"/>
  <c r="D444" i="1"/>
  <c r="D452" i="1" s="1"/>
  <c r="D432" i="1"/>
  <c r="D428" i="1"/>
  <c r="D416" i="1"/>
  <c r="D455" i="1"/>
  <c r="D431" i="1"/>
  <c r="D425" i="1"/>
  <c r="D419" i="1"/>
  <c r="D442" i="1"/>
  <c r="D449" i="1"/>
  <c r="D422" i="1"/>
  <c r="D453" i="1"/>
  <c r="D441" i="1"/>
  <c r="D424" i="1"/>
  <c r="D418" i="1"/>
  <c r="D440" i="1"/>
  <c r="D439" i="1"/>
  <c r="D429" i="1"/>
  <c r="D423" i="1"/>
  <c r="D417" i="1"/>
  <c r="D450" i="1"/>
  <c r="D438" i="1"/>
  <c r="D437" i="1"/>
  <c r="D421" i="1"/>
  <c r="S964" i="1" a="1"/>
  <c r="S964" i="1" s="1"/>
  <c r="M964" i="1" a="1"/>
  <c r="M964" i="1" s="1"/>
  <c r="G964" i="1" a="1"/>
  <c r="G964" i="1" s="1"/>
  <c r="U964" i="1" a="1"/>
  <c r="U964" i="1" s="1"/>
  <c r="O964" i="1" a="1"/>
  <c r="O964" i="1" s="1"/>
  <c r="I964" i="1" a="1"/>
  <c r="I964" i="1" s="1"/>
  <c r="C964" i="1" a="1"/>
  <c r="C964" i="1" s="1"/>
  <c r="B965" i="1"/>
  <c r="R964" i="1" a="1"/>
  <c r="R964" i="1" s="1"/>
  <c r="L964" i="1" a="1"/>
  <c r="L964" i="1" s="1"/>
  <c r="F964" i="1" a="1"/>
  <c r="F964" i="1" s="1"/>
  <c r="Q964" i="1" a="1"/>
  <c r="Q964" i="1" s="1"/>
  <c r="K964" i="1" a="1"/>
  <c r="K964" i="1" s="1"/>
  <c r="E964" i="1" a="1"/>
  <c r="E964" i="1" s="1"/>
  <c r="V964" i="1" a="1"/>
  <c r="V964" i="1" s="1"/>
  <c r="P964" i="1" a="1"/>
  <c r="P964" i="1" s="1"/>
  <c r="J964" i="1" a="1"/>
  <c r="J964" i="1" s="1"/>
  <c r="D964" i="1" a="1"/>
  <c r="D964" i="1" s="1"/>
  <c r="T964" i="1" a="1"/>
  <c r="T964" i="1" s="1"/>
  <c r="N964" i="1" a="1"/>
  <c r="N964" i="1" s="1"/>
  <c r="H964" i="1" a="1"/>
  <c r="H964" i="1" s="1"/>
  <c r="D434" i="1"/>
  <c r="G608" i="1" a="1"/>
  <c r="G608" i="1" s="1"/>
  <c r="H608" i="1" s="1" a="1"/>
  <c r="H608" i="1" s="1"/>
  <c r="H607" i="1" a="1"/>
  <c r="H607" i="1" s="1"/>
  <c r="M34" i="1"/>
  <c r="M32" i="1"/>
  <c r="Q29" i="1"/>
  <c r="O18" i="1"/>
  <c r="F101" i="1"/>
  <c r="Q26" i="1"/>
  <c r="C319" i="1"/>
  <c r="I34" i="1"/>
  <c r="J628" i="1" a="1"/>
  <c r="J628" i="1" s="1"/>
  <c r="J634" i="1" a="1"/>
  <c r="J634" i="1" s="1"/>
  <c r="F1026" i="1"/>
  <c r="H1140" i="1"/>
  <c r="H1134" i="1"/>
  <c r="F1492" i="1"/>
  <c r="D963" i="1" a="1"/>
  <c r="D963" i="1" s="1"/>
  <c r="J963" i="1" a="1"/>
  <c r="J963" i="1" s="1"/>
  <c r="P963" i="1" a="1"/>
  <c r="P963" i="1" s="1"/>
  <c r="V963" i="1" a="1"/>
  <c r="V963" i="1" s="1"/>
  <c r="N1087" i="1" a="1"/>
  <c r="N1087" i="1" s="1"/>
  <c r="G1140" i="1"/>
  <c r="G1134" i="1"/>
  <c r="H1491" i="1" a="1"/>
  <c r="H1491" i="1" s="1"/>
  <c r="D1521" i="1"/>
  <c r="H1495" i="1" a="1"/>
  <c r="H1495" i="1" s="1"/>
  <c r="G1491" i="1" a="1"/>
  <c r="G1491" i="1" s="1"/>
  <c r="F100" i="1"/>
  <c r="J630" i="1" a="1"/>
  <c r="J630" i="1" s="1"/>
  <c r="N1084" i="1" a="1"/>
  <c r="N1084" i="1" s="1"/>
  <c r="H1138" i="1"/>
  <c r="G1495" i="1" a="1"/>
  <c r="G1495" i="1" s="1"/>
  <c r="H1493" i="1" a="1"/>
  <c r="H1493" i="1" s="1"/>
  <c r="F99" i="1"/>
  <c r="M653" i="1"/>
  <c r="M657" i="1"/>
  <c r="M661" i="1"/>
  <c r="M665" i="1"/>
  <c r="F963" i="1" a="1"/>
  <c r="F963" i="1" s="1"/>
  <c r="L963" i="1" a="1"/>
  <c r="L963" i="1" s="1"/>
  <c r="R963" i="1" a="1"/>
  <c r="R963" i="1" s="1"/>
  <c r="P1087" i="1" a="1"/>
  <c r="P1087" i="1" s="1"/>
  <c r="G1138" i="1"/>
  <c r="G1494" i="1" a="1"/>
  <c r="G1494" i="1" s="1"/>
  <c r="H1492" i="1" a="1"/>
  <c r="H1492" i="1" s="1"/>
  <c r="P18" i="1"/>
  <c r="R26" i="1"/>
  <c r="N32" i="1"/>
  <c r="O16" i="1"/>
  <c r="S29" i="1"/>
  <c r="M35" i="1"/>
  <c r="P16" i="1"/>
  <c r="R18" i="1"/>
  <c r="O30" i="1"/>
  <c r="J33" i="1"/>
  <c r="N35" i="1"/>
  <c r="J631" i="1" a="1"/>
  <c r="J631" i="1" s="1"/>
  <c r="H1137" i="1"/>
  <c r="G1493" i="1" a="1"/>
  <c r="G1493" i="1" s="1"/>
  <c r="S18" i="1"/>
  <c r="G963" i="1" a="1"/>
  <c r="G963" i="1" s="1"/>
  <c r="M963" i="1" a="1"/>
  <c r="M963" i="1" s="1"/>
  <c r="S963" i="1" a="1"/>
  <c r="S963" i="1" s="1"/>
  <c r="N1085" i="1" a="1"/>
  <c r="N1085" i="1" s="1"/>
  <c r="G1137" i="1"/>
  <c r="G1492" i="1" a="1"/>
  <c r="G1492" i="1" s="1"/>
  <c r="R16" i="1"/>
  <c r="P27" i="1"/>
  <c r="J632" i="1" a="1"/>
  <c r="J632" i="1" s="1"/>
  <c r="M654" i="1"/>
  <c r="M658" i="1"/>
  <c r="M662" i="1"/>
  <c r="G1121" i="1"/>
  <c r="H1136" i="1"/>
  <c r="S15" i="1"/>
  <c r="R29" i="1"/>
  <c r="N34" i="1"/>
  <c r="O25" i="1"/>
  <c r="O19" i="1"/>
  <c r="P25" i="1"/>
  <c r="Q30" i="1"/>
  <c r="L33" i="1"/>
  <c r="S16" i="1"/>
  <c r="P19" i="1"/>
  <c r="Q25" i="1"/>
  <c r="Q27" i="1"/>
  <c r="R30" i="1"/>
  <c r="M33" i="1"/>
  <c r="H963" i="1" a="1"/>
  <c r="H963" i="1" s="1"/>
  <c r="N963" i="1" a="1"/>
  <c r="N963" i="1" s="1"/>
  <c r="T963" i="1" a="1"/>
  <c r="T963" i="1" s="1"/>
  <c r="G1124" i="1"/>
  <c r="G1136" i="1"/>
  <c r="C1521" i="1"/>
  <c r="O27" i="1"/>
  <c r="K33" i="1"/>
  <c r="O17" i="1"/>
  <c r="Q19" i="1"/>
  <c r="R25" i="1"/>
  <c r="R27" i="1"/>
  <c r="S30" i="1"/>
  <c r="N33" i="1"/>
  <c r="F106" i="1"/>
  <c r="J633" i="1" a="1"/>
  <c r="J633" i="1" s="1"/>
  <c r="O694" i="1"/>
  <c r="G1123" i="1"/>
  <c r="H1135" i="1"/>
  <c r="G1139" i="1"/>
  <c r="Q18" i="1"/>
  <c r="S26" i="1"/>
  <c r="I33" i="1"/>
  <c r="Q16" i="1"/>
  <c r="P30" i="1"/>
  <c r="S2" i="1" a="1"/>
  <c r="S2" i="1" s="1"/>
  <c r="P17" i="1"/>
  <c r="R19" i="1"/>
  <c r="S25" i="1"/>
  <c r="S27" i="1"/>
  <c r="I32" i="1"/>
  <c r="F105" i="1"/>
  <c r="M663" i="1"/>
  <c r="C963" i="1" a="1"/>
  <c r="C963" i="1" s="1"/>
  <c r="I963" i="1" a="1"/>
  <c r="I963" i="1" s="1"/>
  <c r="O963" i="1" a="1"/>
  <c r="O963" i="1" s="1"/>
  <c r="U963" i="1" a="1"/>
  <c r="U963" i="1" s="1"/>
  <c r="G1133" i="1"/>
  <c r="G1615" i="1" a="1"/>
  <c r="G1615" i="1" s="1"/>
  <c r="H1614" i="1"/>
  <c r="J800" i="1"/>
  <c r="G1350" i="1" a="1"/>
  <c r="G1350" i="1" s="1"/>
  <c r="J1436" i="1"/>
  <c r="K1424" i="1"/>
  <c r="L1424" i="1" s="1"/>
  <c r="K1423" i="1"/>
  <c r="L1423" i="1" s="1"/>
  <c r="K1422" i="1"/>
  <c r="L1422" i="1" s="1"/>
  <c r="K1421" i="1"/>
  <c r="L1421" i="1" s="1"/>
  <c r="K1420" i="1"/>
  <c r="L1420" i="1" s="1"/>
  <c r="J1425" i="1"/>
  <c r="J1426" i="1"/>
  <c r="J1420" i="1"/>
  <c r="J1427" i="1"/>
  <c r="J1428" i="1"/>
  <c r="J1421" i="1"/>
  <c r="J1429" i="1"/>
  <c r="J1430" i="1"/>
  <c r="J1419" i="1"/>
  <c r="J1422" i="1"/>
  <c r="J1431" i="1"/>
  <c r="J1432" i="1"/>
  <c r="J1423" i="1"/>
  <c r="J1433" i="1"/>
  <c r="J1434" i="1"/>
  <c r="J1424" i="1"/>
  <c r="J1435" i="1"/>
  <c r="W259" i="2"/>
  <c r="V259" i="2"/>
  <c r="T260" i="2"/>
  <c r="T259" i="2"/>
  <c r="U259" i="2"/>
  <c r="W260" i="2"/>
  <c r="V260" i="2"/>
  <c r="G841" i="1"/>
  <c r="G829" i="1"/>
  <c r="G817" i="1"/>
  <c r="G840" i="1"/>
  <c r="G828" i="1"/>
  <c r="G816" i="1"/>
  <c r="G839" i="1"/>
  <c r="G827" i="1"/>
  <c r="G815" i="1"/>
  <c r="G850" i="1"/>
  <c r="G838" i="1"/>
  <c r="G826" i="1"/>
  <c r="G849" i="1"/>
  <c r="G837" i="1"/>
  <c r="G825" i="1"/>
  <c r="G848" i="1"/>
  <c r="G836" i="1"/>
  <c r="G824" i="1"/>
  <c r="G847" i="1"/>
  <c r="G835" i="1"/>
  <c r="G823" i="1"/>
  <c r="G846" i="1"/>
  <c r="G834" i="1"/>
  <c r="G822" i="1"/>
  <c r="G845" i="1"/>
  <c r="G833" i="1"/>
  <c r="G821" i="1"/>
  <c r="G844" i="1"/>
  <c r="G832" i="1"/>
  <c r="G820" i="1"/>
  <c r="G843" i="1"/>
  <c r="G831" i="1"/>
  <c r="G819" i="1"/>
  <c r="G842" i="1"/>
  <c r="G830" i="1"/>
  <c r="G818" i="1"/>
  <c r="O1330" i="1" a="1"/>
  <c r="A224" i="2"/>
  <c r="A220" i="2"/>
  <c r="A221" i="2"/>
  <c r="A222" i="2"/>
  <c r="A223" i="2"/>
  <c r="L483" i="1"/>
  <c r="L471" i="1"/>
  <c r="L482" i="1"/>
  <c r="L470" i="1"/>
  <c r="L492" i="1"/>
  <c r="L480" i="1"/>
  <c r="L491" i="1"/>
  <c r="L479" i="1"/>
  <c r="L493" i="1"/>
  <c r="L481" i="1"/>
  <c r="L469" i="1"/>
  <c r="L490" i="1"/>
  <c r="L478" i="1"/>
  <c r="L489" i="1"/>
  <c r="L477" i="1"/>
  <c r="L488" i="1"/>
  <c r="L476" i="1"/>
  <c r="L487" i="1"/>
  <c r="L475" i="1"/>
  <c r="L473" i="1"/>
  <c r="L485" i="1"/>
  <c r="L486" i="1"/>
  <c r="L474" i="1"/>
  <c r="L484" i="1"/>
  <c r="L472" i="1"/>
  <c r="P1331" i="1" l="1"/>
  <c r="Q1331" i="1" a="1"/>
  <c r="Q1331" i="1" s="1"/>
  <c r="Q1332" i="1" a="1"/>
  <c r="Q1332" i="1" s="1"/>
  <c r="Q1333" i="1" a="1"/>
  <c r="Q1333" i="1" s="1"/>
  <c r="Q965" i="1" a="1"/>
  <c r="Q965" i="1" s="1"/>
  <c r="K965" i="1" a="1"/>
  <c r="K965" i="1" s="1"/>
  <c r="E965" i="1" a="1"/>
  <c r="E965" i="1" s="1"/>
  <c r="S965" i="1" a="1"/>
  <c r="S965" i="1" s="1"/>
  <c r="M965" i="1" a="1"/>
  <c r="M965" i="1" s="1"/>
  <c r="G965" i="1" a="1"/>
  <c r="G965" i="1" s="1"/>
  <c r="V965" i="1" a="1"/>
  <c r="V965" i="1" s="1"/>
  <c r="P965" i="1" a="1"/>
  <c r="P965" i="1" s="1"/>
  <c r="J965" i="1" a="1"/>
  <c r="J965" i="1" s="1"/>
  <c r="D965" i="1" a="1"/>
  <c r="D965" i="1" s="1"/>
  <c r="U965" i="1" a="1"/>
  <c r="U965" i="1" s="1"/>
  <c r="O965" i="1" a="1"/>
  <c r="O965" i="1" s="1"/>
  <c r="I965" i="1" a="1"/>
  <c r="I965" i="1" s="1"/>
  <c r="C965" i="1" a="1"/>
  <c r="C965" i="1" s="1"/>
  <c r="T965" i="1" a="1"/>
  <c r="T965" i="1" s="1"/>
  <c r="N965" i="1" a="1"/>
  <c r="N965" i="1" s="1"/>
  <c r="H965" i="1" a="1"/>
  <c r="H965" i="1" s="1"/>
  <c r="R965" i="1" a="1"/>
  <c r="R965" i="1" s="1"/>
  <c r="L965" i="1" a="1"/>
  <c r="L965" i="1" s="1"/>
  <c r="F965" i="1" a="1"/>
  <c r="F965" i="1" s="1"/>
  <c r="G609" i="1" a="1"/>
  <c r="G609" i="1" s="1"/>
  <c r="G610" i="1" s="1" a="1"/>
  <c r="G610" i="1" s="1"/>
  <c r="H610" i="1" s="1" a="1"/>
  <c r="H610" i="1" s="1"/>
  <c r="D454" i="1"/>
  <c r="D433" i="1"/>
  <c r="D451" i="1"/>
  <c r="D446" i="1"/>
  <c r="D436" i="1"/>
  <c r="D435" i="1"/>
  <c r="D447" i="1"/>
  <c r="D443" i="1"/>
  <c r="D448" i="1"/>
  <c r="G1616" i="1" a="1"/>
  <c r="G1616" i="1" s="1"/>
  <c r="H1616" i="1" s="1"/>
  <c r="H1615" i="1"/>
  <c r="O1550" i="1" a="1"/>
  <c r="O1550" i="1" s="1"/>
  <c r="O1553" i="1" a="1"/>
  <c r="O1553" i="1" s="1"/>
  <c r="O1548" i="1" a="1"/>
  <c r="O1548" i="1" s="1"/>
  <c r="O1546" i="1" a="1"/>
  <c r="O1546" i="1" s="1"/>
  <c r="O1549" i="1" a="1"/>
  <c r="O1549" i="1" s="1"/>
  <c r="O1544" i="1" a="1"/>
  <c r="O1544" i="1" s="1"/>
  <c r="O1542" i="1" a="1"/>
  <c r="O1542" i="1" s="1"/>
  <c r="O1545" i="1" a="1"/>
  <c r="O1545" i="1" s="1"/>
  <c r="O1540" i="1" a="1"/>
  <c r="O1540" i="1" s="1"/>
  <c r="O1541" i="1" a="1"/>
  <c r="O1541" i="1" s="1"/>
  <c r="O1547" i="1" a="1"/>
  <c r="O1547" i="1" s="1"/>
  <c r="O1558" i="1" a="1"/>
  <c r="O1558" i="1" s="1"/>
  <c r="O1543" i="1" a="1"/>
  <c r="O1543" i="1" s="1"/>
  <c r="O1556" i="1" a="1"/>
  <c r="O1556" i="1" s="1"/>
  <c r="O1555" i="1" a="1"/>
  <c r="O1555" i="1" s="1"/>
  <c r="O1554" i="1" a="1"/>
  <c r="O1554" i="1" s="1"/>
  <c r="O1557" i="1" a="1"/>
  <c r="O1557" i="1" s="1"/>
  <c r="O1552" i="1" a="1"/>
  <c r="O1552" i="1" s="1"/>
  <c r="O1551" i="1" a="1"/>
  <c r="O1551" i="1" s="1"/>
  <c r="P1332" i="1"/>
  <c r="P1333" i="1"/>
  <c r="O1330" i="1"/>
  <c r="Q1330" i="1" s="1" a="1"/>
  <c r="L224" i="1" l="1"/>
  <c r="L220" i="1"/>
  <c r="L221" i="1"/>
  <c r="L222" i="1"/>
  <c r="L219" i="1"/>
  <c r="L225" i="1"/>
  <c r="K222" i="1"/>
  <c r="K225" i="1"/>
  <c r="K219" i="1"/>
  <c r="K221" i="1"/>
  <c r="K220" i="1"/>
  <c r="K224" i="1"/>
  <c r="G612" i="1" a="1"/>
  <c r="G612" i="1" s="1"/>
  <c r="H612" i="1" s="1" a="1"/>
  <c r="H612" i="1" s="1"/>
  <c r="H609" i="1" a="1"/>
  <c r="H609" i="1" s="1"/>
  <c r="G611" i="1" a="1"/>
  <c r="G611" i="1" s="1"/>
  <c r="H611" i="1" s="1" a="1"/>
  <c r="H611" i="1" s="1"/>
  <c r="J224" i="1"/>
  <c r="J225" i="1"/>
  <c r="J221" i="1"/>
  <c r="J222" i="1"/>
  <c r="J219" i="1"/>
  <c r="J220" i="1"/>
  <c r="P1330" i="1"/>
  <c r="Q1330" i="1"/>
  <c r="G613" i="1" l="1" a="1"/>
  <c r="G613" i="1" s="1"/>
  <c r="H613" i="1" l="1" a="1"/>
  <c r="H613" i="1" s="1"/>
  <c r="G614" i="1" a="1"/>
  <c r="G614" i="1" s="1"/>
  <c r="H614" i="1" s="1" a="1"/>
  <c r="H614" i="1" s="1"/>
  <c r="G615" i="1" l="1" a="1"/>
  <c r="G615" i="1" s="1"/>
  <c r="H615" i="1" l="1" a="1"/>
  <c r="H615" i="1" s="1"/>
  <c r="G616" i="1" a="1"/>
  <c r="G616" i="1" s="1"/>
  <c r="H616" i="1" s="1" a="1"/>
  <c r="H61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丁金枫</author>
  </authors>
  <commentList>
    <comment ref="D625" authorId="0" shapeId="0" xr:uid="{2A55B405-8304-42E5-A367-C3B16FA0D806}">
      <text>
        <r>
          <rPr>
            <b/>
            <sz val="9"/>
            <color indexed="81"/>
            <rFont val="宋体"/>
            <family val="3"/>
            <charset val="134"/>
          </rPr>
          <t>丁金枫:</t>
        </r>
        <r>
          <rPr>
            <sz val="9"/>
            <color indexed="81"/>
            <rFont val="宋体"/>
            <family val="3"/>
            <charset val="134"/>
          </rPr>
          <t xml:space="preserve">
0  完全匹配。 如果未找到，则返回 #N/A。 这是默认选项。
-1 完全匹配。 如果没有找到，则返回下一个较小的项。
1  完全匹配。 如果没有找到，则返回下一个较大的项。
2  通配符匹配。其中 *, ? 和 ~ 有特殊含义。</t>
        </r>
      </text>
    </comment>
    <comment ref="D627" authorId="0" shapeId="0" xr:uid="{F0E02896-0318-4955-9A92-B08E23EBB420}">
      <text>
        <r>
          <rPr>
            <b/>
            <sz val="9"/>
            <color indexed="81"/>
            <rFont val="宋体"/>
            <family val="3"/>
            <charset val="134"/>
          </rPr>
          <t>丁金枫:</t>
        </r>
        <r>
          <rPr>
            <sz val="9"/>
            <color indexed="81"/>
            <rFont val="宋体"/>
            <family val="3"/>
            <charset val="134"/>
          </rPr>
          <t xml:space="preserve">
1  从第一项开始执行搜索。 这是默认选项。
-1 从最后一项开始执行反向搜索。
2  执行依赖于 lookup_array 按升序排序的二进制搜索。 如果未排序，将返回无效结果。
2  执行依赖于 lookup_array 按降序排序的二进制搜索。 如果未排序，将返回无效结果。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<sst xmlns="http://schemas.openxmlformats.org/spreadsheetml/2006/main" count="6274" uniqueCount="3011">
  <si>
    <t>1.取绝对值</t>
  </si>
  <si>
    <t>/=abs()</t>
  </si>
  <si>
    <t>2.取整</t>
  </si>
  <si>
    <t>/=int()</t>
  </si>
  <si>
    <t>3.四舍五入</t>
  </si>
  <si>
    <t>/=round()</t>
  </si>
  <si>
    <t>4.随机数</t>
  </si>
  <si>
    <t>/=RANDBETWEEN()</t>
  </si>
  <si>
    <t>5.判断公式</t>
  </si>
  <si>
    <t>/iferror（）</t>
  </si>
  <si>
    <t>实际</t>
  </si>
  <si>
    <t>计划</t>
  </si>
  <si>
    <t>完成度</t>
  </si>
  <si>
    <t>员工A</t>
  </si>
  <si>
    <t>员工B</t>
  </si>
  <si>
    <t>员工C</t>
  </si>
  <si>
    <t>/=if()</t>
  </si>
  <si>
    <t>b14=IF(D8&gt;=0.6,"及格","不及格")</t>
  </si>
  <si>
    <t>6.统计公式</t>
  </si>
  <si>
    <t>/=countif( , )</t>
  </si>
  <si>
    <t>员工</t>
  </si>
  <si>
    <t>员工数</t>
  </si>
  <si>
    <t>b19=SUMPRODUCT(1/COUNTIF(A19:A23,A19:A23))</t>
  </si>
  <si>
    <t>说明：用1除的方式是把出现的次数变成分母，然后相加，达到去重的效果</t>
  </si>
  <si>
    <t>7.求和公式</t>
  </si>
  <si>
    <t>产品</t>
  </si>
  <si>
    <t>1月</t>
  </si>
  <si>
    <t>2月</t>
  </si>
  <si>
    <t>3月</t>
  </si>
  <si>
    <t>合计</t>
  </si>
  <si>
    <r>
      <rPr>
        <sz val="11"/>
        <color theme="1"/>
        <rFont val="等线"/>
        <family val="3"/>
        <charset val="134"/>
      </rPr>
      <t>/=SUMIF(range，</t>
    </r>
    <r>
      <rPr>
        <b/>
        <sz val="11"/>
        <color rgb="FFFF0000"/>
        <rFont val="等线"/>
        <family val="3"/>
        <charset val="134"/>
      </rPr>
      <t>criteria</t>
    </r>
    <r>
      <rPr>
        <sz val="11"/>
        <color theme="1"/>
        <rFont val="等线"/>
        <family val="3"/>
        <charset val="134"/>
      </rPr>
      <t>，sum_range)</t>
    </r>
  </si>
  <si>
    <t>sumif函数的参数如下：</t>
  </si>
  <si>
    <t>A</t>
  </si>
  <si>
    <t>第一个参数：Range为条件区域，用于条件判断的单元格区域。</t>
  </si>
  <si>
    <t>B</t>
  </si>
  <si>
    <t>第二个参数：Criteria是求和条件，由数字、逻辑表达式等组成的判定条件。</t>
  </si>
  <si>
    <t>C</t>
  </si>
  <si>
    <t>第三个参数：Sum_range 为实际求和区域，需要求和的单元格、区域或引用。</t>
  </si>
  <si>
    <t>当省略第三个参数时，则条件区域就是实际求和区域。</t>
  </si>
  <si>
    <t>H29=SUMIF($B$28:$G$28,$H$28,B30:G30)</t>
  </si>
  <si>
    <t>H29=SUMPRODUCT((MOD(COLUMN(B31:G31),2)=0)*B31:G31)</t>
  </si>
  <si>
    <r>
      <rPr>
        <sz val="11"/>
        <color theme="1"/>
        <rFont val="等线"/>
        <family val="3"/>
        <charset val="134"/>
      </rPr>
      <t>注：关于</t>
    </r>
    <r>
      <rPr>
        <sz val="11"/>
        <color rgb="FFFF0000"/>
        <rFont val="等线"/>
        <family val="3"/>
        <charset val="134"/>
      </rPr>
      <t>criteria</t>
    </r>
    <r>
      <rPr>
        <sz val="11"/>
        <rFont val="等线"/>
        <family val="3"/>
        <charset val="134"/>
      </rPr>
      <t>一般指定单元格或者直接输入条件，这个条件一般要</t>
    </r>
    <r>
      <rPr>
        <sz val="11"/>
        <color rgb="FFFF0000"/>
        <rFont val="等线"/>
        <family val="3"/>
        <charset val="134"/>
      </rPr>
      <t>加引号</t>
    </r>
  </si>
  <si>
    <t>8.单条件模糊求和</t>
  </si>
  <si>
    <t>日期</t>
  </si>
  <si>
    <t>数量</t>
  </si>
  <si>
    <t>单价</t>
  </si>
  <si>
    <t>金额</t>
  </si>
  <si>
    <t>日期前的数量合计</t>
  </si>
  <si>
    <t>abc</t>
  </si>
  <si>
    <r>
      <rPr>
        <sz val="11"/>
        <color theme="1"/>
        <rFont val="等线"/>
        <family val="3"/>
        <charset val="134"/>
      </rPr>
      <t>o41=SUMIF(K40:K43,</t>
    </r>
    <r>
      <rPr>
        <b/>
        <sz val="11"/>
        <color rgb="FFFF0000"/>
        <rFont val="等线"/>
        <family val="3"/>
        <charset val="134"/>
      </rPr>
      <t>"&lt;="&amp;N41</t>
    </r>
    <r>
      <rPr>
        <sz val="11"/>
        <color theme="1"/>
        <rFont val="等线"/>
        <family val="3"/>
        <charset val="134"/>
      </rPr>
      <t>,L40:L43)</t>
    </r>
  </si>
  <si>
    <t>bd</t>
  </si>
  <si>
    <r>
      <rPr>
        <sz val="11"/>
        <color theme="1"/>
        <rFont val="等线"/>
        <family val="3"/>
        <charset val="134"/>
      </rPr>
      <t>o42=SUMIF(K40:K43,</t>
    </r>
    <r>
      <rPr>
        <b/>
        <sz val="11"/>
        <color rgb="FFFF0000"/>
        <rFont val="等线"/>
        <family val="3"/>
        <charset val="134"/>
      </rPr>
      <t>"&lt;=2021/1/4"</t>
    </r>
    <r>
      <rPr>
        <sz val="11"/>
        <color theme="1"/>
        <rFont val="等线"/>
        <family val="3"/>
        <charset val="134"/>
      </rPr>
      <t>,L40:L43)</t>
    </r>
  </si>
  <si>
    <t>ca</t>
  </si>
  <si>
    <t>包含a的求和</t>
  </si>
  <si>
    <t>c45=SUMIF($A$41:$A$43,"*a*",$C$41:$C$43)</t>
  </si>
  <si>
    <t>以a开始求和</t>
  </si>
  <si>
    <t>c46=SUMIF($A$41:$A$43,"a*",C41:C43)</t>
  </si>
  <si>
    <t>以a结尾求和</t>
  </si>
  <si>
    <t>c47=SUMIF($A$41:$A$43,"*a",C41:C43)</t>
  </si>
  <si>
    <t>9.日期产品求和</t>
  </si>
  <si>
    <t>销量</t>
  </si>
  <si>
    <t>a</t>
  </si>
  <si>
    <t>b</t>
  </si>
  <si>
    <t>c</t>
  </si>
  <si>
    <t>d</t>
  </si>
  <si>
    <t>s</t>
  </si>
  <si>
    <t>e</t>
  </si>
  <si>
    <t>f</t>
  </si>
  <si>
    <t>g</t>
  </si>
  <si>
    <t>f52=SUMPRODUCT((MONTH($A$52:$A$61)=F$51)*($B$52:$B$61=$E52)*$C$52:$C$61)</t>
  </si>
  <si>
    <t>10.查找</t>
  </si>
  <si>
    <t>/=vlookup()</t>
  </si>
  <si>
    <t>人</t>
  </si>
  <si>
    <t>/=match()</t>
  </si>
  <si>
    <t>/=index()</t>
  </si>
  <si>
    <t>lookup解析</t>
  </si>
  <si>
    <t>b69=VLOOKUP(A69,A64:C67,3,0)</t>
  </si>
  <si>
    <t>1.向量形式</t>
  </si>
  <si>
    <t>LOOKUP（①查找值，②查找值所在区域，③返回的结果）</t>
  </si>
  <si>
    <r>
      <rPr>
        <sz val="11"/>
        <color theme="1"/>
        <rFont val="等线"/>
        <family val="3"/>
        <charset val="134"/>
      </rPr>
      <t>②为单行或单列区域，查找值所在区域</t>
    </r>
    <r>
      <rPr>
        <b/>
        <sz val="11"/>
        <color rgb="FFFF0000"/>
        <rFont val="等线"/>
        <family val="3"/>
        <charset val="134"/>
      </rPr>
      <t>必须先排序</t>
    </r>
    <r>
      <rPr>
        <sz val="11"/>
        <color theme="1"/>
        <rFont val="等线"/>
        <family val="3"/>
        <charset val="134"/>
      </rPr>
      <t>，否则出错。</t>
    </r>
  </si>
  <si>
    <t>b72=INDEX(A65:A67,MATCH(A72,C65:C67,0),MATCH(B71,A64:C64,0))</t>
  </si>
  <si>
    <t>③可以省略</t>
  </si>
  <si>
    <t>没有精确匹配对象时，则会进行模糊匹配，返回小于等于目标值的最大值</t>
  </si>
  <si>
    <t>说明：利用match函数查找位置，用index函数取值</t>
  </si>
  <si>
    <t>11.多条件查找</t>
  </si>
  <si>
    <t>入库时间</t>
  </si>
  <si>
    <t>产品名称</t>
  </si>
  <si>
    <t>入库单价</t>
  </si>
  <si>
    <t>2、数组</t>
  </si>
  <si>
    <t>LOOKUP（①查找值，②二维数组）</t>
  </si>
  <si>
    <t>逆向查询、单条件和多条件查询通用公式：</t>
  </si>
  <si>
    <t>/=LOOKUP(1,0/(条件),目标区域或数组)</t>
  </si>
  <si>
    <t>其中，条件可以是多个逻辑判断相乘组成的多条件数组。</t>
  </si>
  <si>
    <t>/=LOOKUP(1,0/((条件1)*( 条件2)* ( 条件N)),目标区域或数组)</t>
  </si>
  <si>
    <t>LOOKUP（查找值，{下限1, 下限2……}，{评语1,评语2……}）</t>
  </si>
  <si>
    <t xml:space="preserve">               姓名
月份</t>
  </si>
  <si>
    <t>236sd1</t>
  </si>
  <si>
    <t>m91=LOOKUP(10,MID(L91,ROW($1:$6),1)/1)</t>
  </si>
  <si>
    <t>51ds5s</t>
  </si>
  <si>
    <t>m92=-LOOKUP(0,-MID(L92,ROW($1:$6),1))</t>
  </si>
  <si>
    <r>
      <rPr>
        <sz val="11"/>
        <color theme="1"/>
        <rFont val="等线"/>
        <family val="3"/>
        <charset val="134"/>
      </rPr>
      <t>用"</t>
    </r>
    <r>
      <rPr>
        <b/>
        <sz val="11"/>
        <color rgb="FFFF0000"/>
        <rFont val="等线"/>
        <family val="3"/>
        <charset val="134"/>
      </rPr>
      <t>-</t>
    </r>
    <r>
      <rPr>
        <sz val="11"/>
        <color theme="1"/>
        <rFont val="等线"/>
        <family val="3"/>
        <charset val="134"/>
      </rPr>
      <t>"或者"</t>
    </r>
    <r>
      <rPr>
        <sz val="11"/>
        <color rgb="FFFF0000"/>
        <rFont val="等线"/>
        <family val="3"/>
        <charset val="134"/>
      </rPr>
      <t>/</t>
    </r>
    <r>
      <rPr>
        <sz val="11"/>
        <color theme="1"/>
        <rFont val="等线"/>
        <family val="3"/>
        <charset val="134"/>
      </rPr>
      <t>"都可以将数字筛选出来</t>
    </r>
  </si>
  <si>
    <t>4月</t>
  </si>
  <si>
    <t>5月</t>
  </si>
  <si>
    <t>6月</t>
  </si>
  <si>
    <t>7月</t>
  </si>
  <si>
    <t>sad</t>
  </si>
  <si>
    <t>最后文本</t>
  </si>
  <si>
    <t>n97=LOOKUP("坐",L97:L104)</t>
  </si>
  <si>
    <t>8月</t>
  </si>
  <si>
    <t>安排发</t>
  </si>
  <si>
    <t>最后数值</t>
  </si>
  <si>
    <t>n98LOOKUP(4^8,$L$97:$L$110)</t>
  </si>
  <si>
    <t>9月</t>
  </si>
  <si>
    <t>adw</t>
  </si>
  <si>
    <t>最后非空</t>
  </si>
  <si>
    <t>n99LOOKUP(1,0/($L$97:$L$109&lt;&gt;""),$L$97:$L$109)</t>
  </si>
  <si>
    <t>10月</t>
  </si>
  <si>
    <t>11月</t>
  </si>
  <si>
    <t>4scs</t>
  </si>
  <si>
    <t>12月</t>
  </si>
  <si>
    <t>相处的4</t>
  </si>
  <si>
    <t>最后还款日</t>
  </si>
  <si>
    <t>b103=LOOKUP(1,0/(B91:B102&lt;&gt;""),$A$91:$A$102)</t>
  </si>
  <si>
    <t>朝鲜族4</t>
  </si>
  <si>
    <t>提成表</t>
  </si>
  <si>
    <t>销售量</t>
  </si>
  <si>
    <t>单个提成</t>
  </si>
  <si>
    <t>b列表示区间</t>
  </si>
  <si>
    <t>0-49</t>
  </si>
  <si>
    <t>50-199</t>
  </si>
  <si>
    <t>&gt;=200</t>
  </si>
  <si>
    <t>姓名</t>
  </si>
  <si>
    <t>销售数量</t>
  </si>
  <si>
    <t>提成额</t>
  </si>
  <si>
    <t>c112=LOOKUP(B112,$A$107:$A$109,$B$107:$B$109)</t>
  </si>
  <si>
    <t>12.多单元格字符串合并</t>
  </si>
  <si>
    <t>合并</t>
  </si>
  <si>
    <t>截取除后3位之外的部分</t>
  </si>
  <si>
    <t>b122=PHONETIC(A122:A127)</t>
  </si>
  <si>
    <t>c122=LEFT(B122,LEN(B122)-3)</t>
  </si>
  <si>
    <t>科目</t>
  </si>
  <si>
    <t>"-"前的</t>
  </si>
  <si>
    <t>sads-sd</t>
  </si>
  <si>
    <t>c130=LEFT(A130,FIND("-",A130)-1)</t>
  </si>
  <si>
    <t>sdadwadw-asc</t>
  </si>
  <si>
    <t>sadcas-s</t>
  </si>
  <si>
    <t>sadadw-adwddw</t>
  </si>
  <si>
    <t>13.截取字符串中任一段的公式</t>
  </si>
  <si>
    <t>122 2 15 1  6 5 6 11 1 165 1 5 6</t>
  </si>
  <si>
    <t>14.字符串查找</t>
  </si>
  <si>
    <t>地址</t>
  </si>
  <si>
    <t>是否为湖北</t>
  </si>
  <si>
    <t>湖南长沙</t>
  </si>
  <si>
    <t>b145=IF(COUNT(FIND("湖北",A145))=0,"否","是")</t>
  </si>
  <si>
    <t>湖北武汉</t>
  </si>
  <si>
    <t>河南整走</t>
  </si>
  <si>
    <t>count可以统计#VALUE!，将其值转化为0</t>
  </si>
  <si>
    <t>黄冈在湖北</t>
  </si>
  <si>
    <t>/=IFERROR(,)也可以将其转化为0，</t>
  </si>
  <si>
    <t>说明: FIND查找成功，返回字符的位置，否则返回错误值，而COUNT可以统计出数字的个数，这里可以用来判断查找是否成功。</t>
  </si>
  <si>
    <t>15.字符串查找一对多</t>
  </si>
  <si>
    <t>b155=IF(COUNT(FIND({"武汉","黄冈","孝感"},A155))=0,"否","是")</t>
  </si>
  <si>
    <t>河南郑州</t>
  </si>
  <si>
    <t>孝感</t>
  </si>
  <si>
    <t>16.日期计算公式</t>
  </si>
  <si>
    <t>、两日期相隔的年、月、天数计算</t>
  </si>
  <si>
    <t>A1是开始日期（2011-12-1），B1是结束日期(2013-6-10)。计算：</t>
  </si>
  <si>
    <t>相隔多少天？=datedif(A1,B1,"d") 结果：557</t>
  </si>
  <si>
    <t>相隔多少月? =datedif(A1,B1,"m") 结果：18</t>
  </si>
  <si>
    <t>相隔多少年? =datedif(A1,B1,"Y") 结果：1</t>
  </si>
  <si>
    <t>不考虑年相隔多少月？=datedif(A1,B1,"Ym") 结果：6</t>
  </si>
  <si>
    <t>不考虑年相隔多少天？=datedif(A1,B1,"YD") 结果：192</t>
  </si>
  <si>
    <t>不考虑年月相隔多少天？=datedif(A1,B1,"MD") 结果：9</t>
  </si>
  <si>
    <t>入职日期</t>
  </si>
  <si>
    <t>工作天数</t>
  </si>
  <si>
    <t>/=NETWORKDAYS.INTL()</t>
  </si>
  <si>
    <t>/=DATE()</t>
  </si>
  <si>
    <t>c180=NETWORKDAYS.INTL(IF(B180&lt;DATE(2015,1,1),DATE(2015,1,1),B180),DATE(2015,1,31),11)</t>
  </si>
  <si>
    <t>说明：返回两个日期之间的所有工作日数，使用参数指示哪些天是周末，以及有多少天是周末。周末和任何指定为假期的日期不被视为工作日</t>
  </si>
  <si>
    <t>17.二级下拉菜单制作</t>
  </si>
  <si>
    <t>一级菜单</t>
  </si>
  <si>
    <t>广东省</t>
  </si>
  <si>
    <t>江苏省</t>
  </si>
  <si>
    <t>四川省</t>
  </si>
  <si>
    <t>二级菜单</t>
  </si>
  <si>
    <t>深圳市</t>
  </si>
  <si>
    <t>南京市</t>
  </si>
  <si>
    <t>成都市</t>
  </si>
  <si>
    <t>广州市</t>
  </si>
  <si>
    <t>无锡市</t>
  </si>
  <si>
    <t>广元市</t>
  </si>
  <si>
    <t>珠海市</t>
  </si>
  <si>
    <t>苏州市</t>
  </si>
  <si>
    <t>中山市</t>
  </si>
  <si>
    <t>订单号</t>
  </si>
  <si>
    <t>商品名称</t>
  </si>
  <si>
    <t>销售地区</t>
  </si>
  <si>
    <t>省份</t>
  </si>
  <si>
    <t>城市</t>
  </si>
  <si>
    <t>a001</t>
  </si>
  <si>
    <t>d196=INDIRECT(C196)</t>
  </si>
  <si>
    <t>a002</t>
  </si>
  <si>
    <t>a003</t>
  </si>
  <si>
    <t>18.单元格的引用</t>
  </si>
  <si>
    <r>
      <rPr>
        <sz val="11"/>
        <color theme="1"/>
        <rFont val="等线"/>
        <family val="3"/>
        <charset val="134"/>
      </rPr>
      <t>/=INDIRECT(</t>
    </r>
    <r>
      <rPr>
        <sz val="11"/>
        <color rgb="FFFF0000"/>
        <rFont val="等线"/>
        <family val="3"/>
        <charset val="134"/>
      </rPr>
      <t>ref_text</t>
    </r>
    <r>
      <rPr>
        <sz val="11"/>
        <color theme="1"/>
        <rFont val="等线"/>
        <family val="3"/>
        <charset val="134"/>
      </rPr>
      <t>,[</t>
    </r>
    <r>
      <rPr>
        <b/>
        <sz val="11"/>
        <color rgb="FF0070C0"/>
        <rFont val="等线"/>
        <family val="3"/>
        <charset val="134"/>
      </rPr>
      <t>a1</t>
    </r>
    <r>
      <rPr>
        <sz val="11"/>
        <color theme="1"/>
        <rFont val="等线"/>
        <family val="3"/>
        <charset val="134"/>
      </rPr>
      <t>])</t>
    </r>
  </si>
  <si>
    <r>
      <rPr>
        <sz val="11"/>
        <color theme="1"/>
        <rFont val="等线"/>
        <family val="3"/>
        <charset val="134"/>
      </rPr>
      <t>(返回</t>
    </r>
    <r>
      <rPr>
        <b/>
        <sz val="11"/>
        <color rgb="FFFF0000"/>
        <rFont val="等线"/>
        <family val="3"/>
        <charset val="134"/>
      </rPr>
      <t>文本字符串</t>
    </r>
    <r>
      <rPr>
        <sz val="11"/>
        <color theme="1"/>
        <rFont val="等线"/>
        <family val="3"/>
        <charset val="134"/>
      </rPr>
      <t>指定的引用)</t>
    </r>
  </si>
  <si>
    <r>
      <rPr>
        <sz val="11"/>
        <color rgb="FFFF0000"/>
        <rFont val="等线"/>
        <family val="3"/>
        <charset val="134"/>
      </rPr>
      <t>Ref_text</t>
    </r>
    <r>
      <rPr>
        <sz val="11"/>
        <color theme="1"/>
        <rFont val="等线"/>
        <family val="3"/>
        <charset val="134"/>
      </rPr>
      <t xml:space="preserve"> 为对单元格的引用，此单元格可以包含 A1-样式的引用、R1C1-样式的引用、定义为引用的名称或对文本字符串单元格的引用。</t>
    </r>
  </si>
  <si>
    <r>
      <rPr>
        <b/>
        <sz val="11"/>
        <color rgb="FF0070C0"/>
        <rFont val="等线"/>
        <family val="3"/>
        <charset val="134"/>
      </rPr>
      <t>a1</t>
    </r>
    <r>
      <rPr>
        <sz val="11"/>
        <color theme="1"/>
        <rFont val="等线"/>
        <family val="3"/>
        <charset val="134"/>
      </rPr>
      <t xml:space="preserve"> 为一逻辑值，指明包含在单元格ref_text 中的引用的类型。</t>
    </r>
  </si>
  <si>
    <r>
      <rPr>
        <sz val="11"/>
        <color theme="1"/>
        <rFont val="等线"/>
        <family val="3"/>
        <charset val="134"/>
      </rPr>
      <t>如果</t>
    </r>
    <r>
      <rPr>
        <b/>
        <sz val="11"/>
        <color rgb="FF0070C0"/>
        <rFont val="等线"/>
        <family val="3"/>
        <charset val="134"/>
      </rPr>
      <t xml:space="preserve"> a1</t>
    </r>
    <r>
      <rPr>
        <sz val="11"/>
        <color theme="1"/>
        <rFont val="等线"/>
        <family val="3"/>
        <charset val="134"/>
      </rPr>
      <t xml:space="preserve"> 为 </t>
    </r>
    <r>
      <rPr>
        <b/>
        <sz val="11"/>
        <color theme="1"/>
        <rFont val="等线"/>
        <family val="3"/>
        <charset val="134"/>
      </rPr>
      <t xml:space="preserve">TRUE </t>
    </r>
    <r>
      <rPr>
        <sz val="11"/>
        <color theme="1"/>
        <rFont val="等线"/>
        <family val="3"/>
        <charset val="134"/>
      </rPr>
      <t>或</t>
    </r>
    <r>
      <rPr>
        <b/>
        <sz val="11"/>
        <color theme="1"/>
        <rFont val="等线"/>
        <family val="3"/>
        <charset val="134"/>
      </rPr>
      <t>省略</t>
    </r>
    <r>
      <rPr>
        <sz val="11"/>
        <color theme="1"/>
        <rFont val="等线"/>
        <family val="3"/>
        <charset val="134"/>
      </rPr>
      <t xml:space="preserve">，ref_text 被解释为 </t>
    </r>
    <r>
      <rPr>
        <b/>
        <sz val="11"/>
        <color theme="1"/>
        <rFont val="等线"/>
        <family val="3"/>
        <charset val="134"/>
      </rPr>
      <t>A1-样式</t>
    </r>
    <r>
      <rPr>
        <sz val="11"/>
        <color theme="1"/>
        <rFont val="等线"/>
        <family val="3"/>
        <charset val="134"/>
      </rPr>
      <t>的引用。</t>
    </r>
  </si>
  <si>
    <r>
      <rPr>
        <sz val="11"/>
        <color theme="1"/>
        <rFont val="等线"/>
        <family val="3"/>
        <charset val="134"/>
      </rPr>
      <t xml:space="preserve">如果 </t>
    </r>
    <r>
      <rPr>
        <b/>
        <sz val="11"/>
        <color rgb="FF0070C0"/>
        <rFont val="等线"/>
        <family val="3"/>
        <charset val="134"/>
      </rPr>
      <t xml:space="preserve">a1 </t>
    </r>
    <r>
      <rPr>
        <sz val="11"/>
        <color theme="1"/>
        <rFont val="等线"/>
        <family val="3"/>
        <charset val="134"/>
      </rPr>
      <t xml:space="preserve">为 </t>
    </r>
    <r>
      <rPr>
        <b/>
        <sz val="11"/>
        <color rgb="FFFF0000"/>
        <rFont val="等线"/>
        <family val="3"/>
        <charset val="134"/>
      </rPr>
      <t>FALSE</t>
    </r>
    <r>
      <rPr>
        <sz val="11"/>
        <color theme="1"/>
        <rFont val="等线"/>
        <family val="3"/>
        <charset val="134"/>
      </rPr>
      <t xml:space="preserve">，ref_text 被解释为 </t>
    </r>
    <r>
      <rPr>
        <b/>
        <sz val="11"/>
        <color rgb="FFFF0000"/>
        <rFont val="等线"/>
        <family val="3"/>
        <charset val="134"/>
      </rPr>
      <t>R1C1-样式</t>
    </r>
    <r>
      <rPr>
        <sz val="11"/>
        <color theme="1"/>
        <rFont val="等线"/>
        <family val="3"/>
        <charset val="134"/>
      </rPr>
      <t>的引用。</t>
    </r>
  </si>
  <si>
    <t>R1C1表示第一行，第一列</t>
  </si>
  <si>
    <t>19.文本格式转换</t>
  </si>
  <si>
    <t>/=TEXT(value,format_text)</t>
  </si>
  <si>
    <r>
      <rPr>
        <sz val="11"/>
        <color theme="1"/>
        <rFont val="等线"/>
        <family val="3"/>
        <charset val="134"/>
      </rPr>
      <t>Value 为</t>
    </r>
    <r>
      <rPr>
        <sz val="11"/>
        <color rgb="FFFF0000"/>
        <rFont val="等线"/>
        <family val="3"/>
        <charset val="134"/>
      </rPr>
      <t>数值</t>
    </r>
    <r>
      <rPr>
        <sz val="11"/>
        <color theme="1"/>
        <rFont val="等线"/>
        <family val="3"/>
        <charset val="134"/>
      </rPr>
      <t>、计算结果为</t>
    </r>
    <r>
      <rPr>
        <sz val="11"/>
        <color rgb="FFFF0000"/>
        <rFont val="等线"/>
        <family val="3"/>
        <charset val="134"/>
      </rPr>
      <t>数字值</t>
    </r>
    <r>
      <rPr>
        <sz val="11"/>
        <color theme="1"/>
        <rFont val="等线"/>
        <family val="3"/>
        <charset val="134"/>
      </rPr>
      <t>的公式，或对包含</t>
    </r>
    <r>
      <rPr>
        <sz val="11"/>
        <color rgb="FFFF0000"/>
        <rFont val="等线"/>
        <family val="3"/>
        <charset val="134"/>
      </rPr>
      <t>数字值</t>
    </r>
    <r>
      <rPr>
        <sz val="11"/>
        <color theme="1"/>
        <rFont val="等线"/>
        <family val="3"/>
        <charset val="134"/>
      </rPr>
      <t>的单元格的引用。(</t>
    </r>
    <r>
      <rPr>
        <b/>
        <sz val="11"/>
        <color rgb="FFFF0000"/>
        <rFont val="等线"/>
        <family val="3"/>
        <charset val="134"/>
      </rPr>
      <t>结果有且只能是数值</t>
    </r>
    <r>
      <rPr>
        <sz val="11"/>
        <color theme="1"/>
        <rFont val="等线"/>
        <family val="3"/>
        <charset val="134"/>
      </rPr>
      <t>)</t>
    </r>
  </si>
  <si>
    <t>Format_text 为“单元格格式”对话框中“数字”选项卡上“分类”框中的文本形式的数字格式。</t>
  </si>
  <si>
    <t>数值转换文本</t>
  </si>
  <si>
    <t>文本转换数值</t>
  </si>
  <si>
    <t>1234</t>
  </si>
  <si>
    <t>a217</t>
  </si>
  <si>
    <t>a220=INDIRECT(B215&amp;A217,TRUE)</t>
  </si>
  <si>
    <t>a221=INDIRECT(B215&amp;A217,TRUE)</t>
  </si>
  <si>
    <t>a222=INDIRECT("a"&amp;A217,TRUE)</t>
  </si>
  <si>
    <t>a223=INDIRECT("r218c1",FALSE)</t>
  </si>
  <si>
    <t>a224=INDIRECT("r217c1",FALSE)</t>
  </si>
  <si>
    <t>20.去除重复值,提取唯一的值</t>
  </si>
  <si>
    <r>
      <rPr>
        <sz val="11"/>
        <color theme="1"/>
        <rFont val="等线"/>
        <family val="3"/>
        <charset val="134"/>
      </rPr>
      <t>/=UNIQUE(</t>
    </r>
    <r>
      <rPr>
        <sz val="11"/>
        <color rgb="FFFF0000"/>
        <rFont val="等线"/>
        <family val="3"/>
        <charset val="134"/>
      </rPr>
      <t>arary</t>
    </r>
    <r>
      <rPr>
        <sz val="11"/>
        <color theme="1"/>
        <rFont val="等线"/>
        <family val="3"/>
        <charset val="134"/>
      </rPr>
      <t>,</t>
    </r>
    <r>
      <rPr>
        <sz val="11"/>
        <color theme="4"/>
        <rFont val="等线"/>
        <family val="3"/>
        <charset val="134"/>
      </rPr>
      <t>[by_col]</t>
    </r>
    <r>
      <rPr>
        <sz val="11"/>
        <color theme="1"/>
        <rFont val="等线"/>
        <family val="3"/>
        <charset val="134"/>
      </rPr>
      <t>,</t>
    </r>
    <r>
      <rPr>
        <sz val="11"/>
        <color theme="9" tint="-0.249977111117893"/>
        <rFont val="等线"/>
        <family val="3"/>
        <charset val="134"/>
      </rPr>
      <t>[excotly_once]</t>
    </r>
    <r>
      <rPr>
        <sz val="11"/>
        <color theme="1"/>
        <rFont val="等线"/>
        <family val="3"/>
        <charset val="134"/>
      </rPr>
      <t>)</t>
    </r>
  </si>
  <si>
    <t>区域</t>
  </si>
  <si>
    <t>客户编号</t>
  </si>
  <si>
    <t>属性</t>
  </si>
  <si>
    <t>老城区</t>
  </si>
  <si>
    <t>array</t>
  </si>
  <si>
    <t>必需</t>
  </si>
  <si>
    <t>要返回唯一行或列的范围或数组</t>
  </si>
  <si>
    <t>新城区</t>
  </si>
  <si>
    <t>000012</t>
  </si>
  <si>
    <t>新客户</t>
  </si>
  <si>
    <t>健康保险B</t>
  </si>
  <si>
    <t>000013</t>
  </si>
  <si>
    <t>益寿延年A</t>
  </si>
  <si>
    <t>[by_col]</t>
  </si>
  <si>
    <t>可选</t>
  </si>
  <si>
    <t>by_col参数是一个逻辑值，指示如何进行比较。</t>
  </si>
  <si>
    <t>开发区</t>
  </si>
  <si>
    <t>000014</t>
  </si>
  <si>
    <t>老客户</t>
  </si>
  <si>
    <r>
      <rPr>
        <sz val="11"/>
        <color theme="1"/>
        <rFont val="等线"/>
        <family val="3"/>
        <charset val="134"/>
      </rPr>
      <t>TRUE 将</t>
    </r>
    <r>
      <rPr>
        <sz val="11"/>
        <color rgb="FFFF0000"/>
        <rFont val="等线"/>
        <family val="3"/>
        <charset val="134"/>
      </rPr>
      <t>比较列</t>
    </r>
    <r>
      <rPr>
        <sz val="11"/>
        <color theme="1"/>
        <rFont val="等线"/>
        <family val="3"/>
        <charset val="134"/>
      </rPr>
      <t>彼此并返回唯一列</t>
    </r>
  </si>
  <si>
    <t>000015</t>
  </si>
  <si>
    <t>臻尚人生B</t>
  </si>
  <si>
    <r>
      <rPr>
        <sz val="11"/>
        <color theme="1"/>
        <rFont val="等线"/>
        <family val="3"/>
        <charset val="134"/>
      </rPr>
      <t>FALSE (或省略) 将</t>
    </r>
    <r>
      <rPr>
        <sz val="11"/>
        <color rgb="FFFF0000"/>
        <rFont val="等线"/>
        <family val="3"/>
        <charset val="134"/>
      </rPr>
      <t>行彼此比较</t>
    </r>
    <r>
      <rPr>
        <sz val="11"/>
        <color theme="1"/>
        <rFont val="等线"/>
        <family val="3"/>
        <charset val="134"/>
      </rPr>
      <t>并返回唯一行</t>
    </r>
  </si>
  <si>
    <t>[exactly_once]</t>
  </si>
  <si>
    <t>exactly_once参数是一个逻辑值，它将返回在区域或数组中恰好出现一次的行或列。 这是唯一的数据库概念。</t>
  </si>
  <si>
    <t>TRUE 将返回范围或数组中恰好发生一次的所有非重复行或列</t>
  </si>
  <si>
    <t>养老无忧A</t>
  </si>
  <si>
    <t>FALSE (或省略) 将返回区域或数组中所有不同的行或列</t>
  </si>
  <si>
    <t>数值</t>
  </si>
  <si>
    <t>非重复值</t>
  </si>
  <si>
    <t>唯一值</t>
  </si>
  <si>
    <t>b239=UNIQUE(A239:A246)</t>
  </si>
  <si>
    <t>c239=UNIQUE(A239:A246)</t>
  </si>
  <si>
    <t>000016</t>
  </si>
  <si>
    <t>000019</t>
  </si>
  <si>
    <t>000018</t>
  </si>
  <si>
    <t>悦享康健B</t>
  </si>
  <si>
    <t>21.筛选区域或者数组</t>
  </si>
  <si>
    <r>
      <rPr>
        <sz val="11"/>
        <color theme="1"/>
        <rFont val="等线"/>
        <family val="3"/>
        <charset val="134"/>
      </rPr>
      <t>/=</t>
    </r>
    <r>
      <rPr>
        <b/>
        <sz val="11"/>
        <color theme="1"/>
        <rFont val="等线"/>
        <family val="3"/>
        <charset val="134"/>
      </rPr>
      <t>FILTER</t>
    </r>
    <r>
      <rPr>
        <sz val="11"/>
        <color theme="1"/>
        <rFont val="等线"/>
        <family val="3"/>
        <charset val="134"/>
      </rPr>
      <t>(数组，包括，[if_empty])</t>
    </r>
  </si>
  <si>
    <t>数组</t>
  </si>
  <si>
    <t>要筛选的数据列</t>
  </si>
  <si>
    <t>包括</t>
  </si>
  <si>
    <r>
      <rPr>
        <sz val="11"/>
        <color theme="1"/>
        <rFont val="等线"/>
        <family val="3"/>
        <charset val="134"/>
      </rPr>
      <t>筛选的条件，必须是一组true或false的数组。用</t>
    </r>
    <r>
      <rPr>
        <sz val="11"/>
        <color rgb="FFFF0000"/>
        <rFont val="等线"/>
        <family val="3"/>
        <charset val="134"/>
      </rPr>
      <t>条件列</t>
    </r>
    <r>
      <rPr>
        <sz val="11"/>
        <color theme="1"/>
        <rFont val="等线"/>
        <family val="3"/>
        <charset val="134"/>
      </rPr>
      <t xml:space="preserve"> 与 </t>
    </r>
    <r>
      <rPr>
        <sz val="11"/>
        <color rgb="FFFF0000"/>
        <rFont val="等线"/>
        <family val="3"/>
        <charset val="134"/>
      </rPr>
      <t>条件值</t>
    </r>
    <r>
      <rPr>
        <sz val="11"/>
        <color theme="1"/>
        <rFont val="等线"/>
        <family val="3"/>
        <charset val="134"/>
      </rPr>
      <t xml:space="preserve"> 间的关系（</t>
    </r>
    <r>
      <rPr>
        <sz val="11"/>
        <color rgb="FFFF0000"/>
        <rFont val="等线"/>
        <family val="3"/>
        <charset val="134"/>
      </rPr>
      <t>&gt;</t>
    </r>
    <r>
      <rPr>
        <sz val="11"/>
        <color theme="1"/>
        <rFont val="等线"/>
        <family val="3"/>
        <charset val="134"/>
      </rPr>
      <t>,</t>
    </r>
    <r>
      <rPr>
        <sz val="11"/>
        <color rgb="FFFF0000"/>
        <rFont val="等线"/>
        <family val="3"/>
        <charset val="134"/>
      </rPr>
      <t>&lt;</t>
    </r>
    <r>
      <rPr>
        <sz val="11"/>
        <color theme="1"/>
        <rFont val="等线"/>
        <family val="3"/>
        <charset val="134"/>
      </rPr>
      <t>,</t>
    </r>
    <r>
      <rPr>
        <sz val="11"/>
        <color rgb="FFFF0000"/>
        <rFont val="等线"/>
        <family val="3"/>
        <charset val="134"/>
      </rPr>
      <t>&gt;=</t>
    </r>
    <r>
      <rPr>
        <sz val="11"/>
        <color theme="1"/>
        <rFont val="等线"/>
        <family val="3"/>
        <charset val="134"/>
      </rPr>
      <t>,</t>
    </r>
    <r>
      <rPr>
        <sz val="11"/>
        <color rgb="FFFF0000"/>
        <rFont val="等线"/>
        <family val="3"/>
        <charset val="134"/>
      </rPr>
      <t>&lt;=</t>
    </r>
    <r>
      <rPr>
        <sz val="11"/>
        <color theme="1"/>
        <rFont val="等线"/>
        <family val="3"/>
        <charset val="134"/>
      </rPr>
      <t>,</t>
    </r>
    <r>
      <rPr>
        <sz val="11"/>
        <color rgb="FFFF0000"/>
        <rFont val="等线"/>
        <family val="3"/>
        <charset val="134"/>
      </rPr>
      <t>&lt;&gt;</t>
    </r>
    <r>
      <rPr>
        <sz val="11"/>
        <color theme="1"/>
        <rFont val="等线"/>
        <family val="3"/>
        <charset val="134"/>
      </rPr>
      <t>）</t>
    </r>
  </si>
  <si>
    <t>部门</t>
  </si>
  <si>
    <t>职务</t>
  </si>
  <si>
    <t>值班费</t>
  </si>
  <si>
    <t>财务部</t>
  </si>
  <si>
    <t>出纳</t>
  </si>
  <si>
    <t>陆逊</t>
  </si>
  <si>
    <t>人资部</t>
  </si>
  <si>
    <t>if_empty</t>
  </si>
  <si>
    <t>如果找不到怎么办，省略为空</t>
  </si>
  <si>
    <t>部长</t>
  </si>
  <si>
    <t>黄月英</t>
  </si>
  <si>
    <t>内勤</t>
  </si>
  <si>
    <t>销售部</t>
  </si>
  <si>
    <t>经理</t>
  </si>
  <si>
    <t>邓艾</t>
  </si>
  <si>
    <t>人员</t>
  </si>
  <si>
    <t>大于数值3</t>
  </si>
  <si>
    <t>数值大于3日期大于2021/1/5</t>
  </si>
  <si>
    <t>小乔</t>
  </si>
  <si>
    <t>主管</t>
  </si>
  <si>
    <t>周瑜</t>
  </si>
  <si>
    <t>采购部</t>
  </si>
  <si>
    <t>黄忠</t>
  </si>
  <si>
    <t>职员</t>
  </si>
  <si>
    <t>司马懿</t>
  </si>
  <si>
    <t>i259=FILTER(A259:A264,((B259:B264&gt;3)*(C259:C264&gt;K259)))</t>
  </si>
  <si>
    <t>张辽</t>
  </si>
  <si>
    <t>大于K259这个日期怎么能写成2021/1/5</t>
  </si>
  <si>
    <t>曹操</t>
  </si>
  <si>
    <t>孙尚香</t>
  </si>
  <si>
    <t>例如：</t>
  </si>
  <si>
    <t>22.使用分隔符连接列表或文本字符串区域</t>
  </si>
  <si>
    <r>
      <rPr>
        <b/>
        <sz val="11"/>
        <color rgb="FF0070C0"/>
        <rFont val="等线"/>
        <family val="3"/>
        <charset val="134"/>
      </rPr>
      <t>t259=FILTER(O254:R264,</t>
    </r>
    <r>
      <rPr>
        <b/>
        <sz val="11"/>
        <color rgb="FFFF0000"/>
        <rFont val="等线"/>
        <family val="3"/>
        <charset val="134"/>
      </rPr>
      <t>O254:O264&amp;P254:P264=U255&amp;U256</t>
    </r>
    <r>
      <rPr>
        <sz val="11"/>
        <color theme="1"/>
        <rFont val="等线"/>
        <family val="3"/>
        <charset val="134"/>
      </rPr>
      <t>)</t>
    </r>
  </si>
  <si>
    <r>
      <rPr>
        <sz val="12"/>
        <color rgb="FF1E1E1E"/>
        <rFont val="Segoe UI"/>
        <family val="2"/>
      </rPr>
      <t>/=</t>
    </r>
    <r>
      <rPr>
        <b/>
        <sz val="12"/>
        <color rgb="FF1E1E1E"/>
        <rFont val="Segoe UI"/>
        <family val="2"/>
      </rPr>
      <t>TEXTJOIN</t>
    </r>
    <r>
      <rPr>
        <sz val="12"/>
        <color rgb="FF1E1E1E"/>
        <rFont val="Segoe UI"/>
        <family val="2"/>
      </rPr>
      <t>(delimiter, ignore_empty, text1, [text2], …)</t>
    </r>
  </si>
  <si>
    <t>delimiter</t>
  </si>
  <si>
    <r>
      <rPr>
        <sz val="11"/>
        <color theme="1"/>
        <rFont val="等线"/>
        <family val="3"/>
        <charset val="134"/>
      </rPr>
      <t>文本字符串，或者为空，或用</t>
    </r>
    <r>
      <rPr>
        <b/>
        <sz val="11"/>
        <color rgb="FFFF0000"/>
        <rFont val="等线"/>
        <family val="3"/>
        <charset val="134"/>
      </rPr>
      <t>双引号引起来</t>
    </r>
    <r>
      <rPr>
        <sz val="11"/>
        <color theme="1"/>
        <rFont val="等线"/>
        <family val="3"/>
        <charset val="134"/>
      </rPr>
      <t>的一个或多个字符，或对有效文本字符串的引用。 如果提供一个</t>
    </r>
    <r>
      <rPr>
        <sz val="11"/>
        <color rgb="FFFF0000"/>
        <rFont val="等线"/>
        <family val="3"/>
        <charset val="134"/>
      </rPr>
      <t>数字</t>
    </r>
    <r>
      <rPr>
        <sz val="11"/>
        <color theme="1"/>
        <rFont val="等线"/>
        <family val="3"/>
        <charset val="134"/>
      </rPr>
      <t>，则将被视为</t>
    </r>
    <r>
      <rPr>
        <sz val="11"/>
        <color rgb="FFFF0000"/>
        <rFont val="等线"/>
        <family val="3"/>
        <charset val="134"/>
      </rPr>
      <t>文本</t>
    </r>
    <r>
      <rPr>
        <sz val="11"/>
        <color theme="1"/>
        <rFont val="等线"/>
        <family val="3"/>
        <charset val="134"/>
      </rPr>
      <t>。</t>
    </r>
  </si>
  <si>
    <t>ignore_empty</t>
  </si>
  <si>
    <t>如果为 TRUE，则忽略空白单元格。</t>
  </si>
  <si>
    <t>text1</t>
  </si>
  <si>
    <t>要联接的文本项。 文本字符串或字符串数组，如单元格区域中。</t>
  </si>
  <si>
    <t>[text2， ...]</t>
  </si>
  <si>
    <t>要联接的其他文本项。 文本项最多可以包含 252 个文本参数 text1。 每个参数可以是一个文本字符串或字符串数组，如单元格区域。</t>
  </si>
  <si>
    <t>例1</t>
  </si>
  <si>
    <t>/=TEXTJOIN(" ",TRUE,"The","sun","will","come","up","tomorrow.")</t>
  </si>
  <si>
    <t>例2</t>
  </si>
  <si>
    <t>TEXTJOIN</t>
  </si>
  <si>
    <t>23.行列转置</t>
  </si>
  <si>
    <r>
      <rPr>
        <sz val="11"/>
        <color theme="1"/>
        <rFont val="等线"/>
        <family val="3"/>
        <charset val="134"/>
      </rPr>
      <t>/=</t>
    </r>
    <r>
      <rPr>
        <b/>
        <sz val="11"/>
        <color theme="1"/>
        <rFont val="等线"/>
        <family val="3"/>
        <charset val="134"/>
      </rPr>
      <t>SEQUENCE</t>
    </r>
    <r>
      <rPr>
        <sz val="11"/>
        <color theme="1"/>
        <rFont val="等线"/>
        <family val="3"/>
        <charset val="134"/>
      </rPr>
      <t>(行,[列],[开始数],[增量])</t>
    </r>
  </si>
  <si>
    <r>
      <rPr>
        <sz val="11"/>
        <color theme="1"/>
        <rFont val="等线"/>
        <family val="3"/>
        <charset val="134"/>
      </rPr>
      <t>/=SEQUENCE(</t>
    </r>
    <r>
      <rPr>
        <sz val="11"/>
        <color rgb="FFFF0000"/>
        <rFont val="等线"/>
        <family val="3"/>
        <charset val="134"/>
      </rPr>
      <t>rows</t>
    </r>
    <r>
      <rPr>
        <sz val="11"/>
        <color theme="1"/>
        <rFont val="等线"/>
        <family val="3"/>
        <charset val="134"/>
      </rPr>
      <t>,</t>
    </r>
    <r>
      <rPr>
        <sz val="11"/>
        <color rgb="FF00B050"/>
        <rFont val="等线"/>
        <family val="3"/>
        <charset val="134"/>
      </rPr>
      <t>[columns]</t>
    </r>
    <r>
      <rPr>
        <sz val="11"/>
        <color theme="1"/>
        <rFont val="等线"/>
        <family val="3"/>
        <charset val="134"/>
      </rPr>
      <t>,</t>
    </r>
    <r>
      <rPr>
        <sz val="11"/>
        <color rgb="FF00B0F0"/>
        <rFont val="等线"/>
        <family val="3"/>
        <charset val="134"/>
      </rPr>
      <t>[start]</t>
    </r>
    <r>
      <rPr>
        <sz val="11"/>
        <color theme="1"/>
        <rFont val="等线"/>
        <family val="3"/>
        <charset val="134"/>
      </rPr>
      <t>,</t>
    </r>
    <r>
      <rPr>
        <sz val="11"/>
        <color rgb="FF7030A0"/>
        <rFont val="等线"/>
        <family val="3"/>
        <charset val="134"/>
      </rPr>
      <t>[step]</t>
    </r>
    <r>
      <rPr>
        <sz val="11"/>
        <color theme="1"/>
        <rFont val="等线"/>
        <family val="3"/>
        <charset val="134"/>
      </rPr>
      <t>)</t>
    </r>
  </si>
  <si>
    <t>rows</t>
  </si>
  <si>
    <t>要返回的行数</t>
  </si>
  <si>
    <t>[columns]</t>
  </si>
  <si>
    <r>
      <rPr>
        <sz val="11"/>
        <color theme="1"/>
        <rFont val="等线"/>
        <family val="3"/>
        <charset val="134"/>
      </rPr>
      <t>要返回的列，数默认为</t>
    </r>
    <r>
      <rPr>
        <sz val="11"/>
        <color rgb="FFFF0000"/>
        <rFont val="等线"/>
        <family val="3"/>
        <charset val="134"/>
      </rPr>
      <t>1列</t>
    </r>
  </si>
  <si>
    <t>[start]</t>
  </si>
  <si>
    <t>默认为序列中第一个数字</t>
  </si>
  <si>
    <t>[step]</t>
  </si>
  <si>
    <t>数组中每个连续值递增的值，默认为1</t>
  </si>
  <si>
    <t>注意: </t>
  </si>
  <si>
    <r>
      <rPr>
        <sz val="12"/>
        <color theme="1"/>
        <rFont val="宋体"/>
        <family val="3"/>
        <charset val="134"/>
        <scheme val="minor"/>
      </rPr>
      <t>任何缺少的可选参数都将</t>
    </r>
    <r>
      <rPr>
        <sz val="12"/>
        <color rgb="FFFF0000"/>
        <rFont val="宋体"/>
        <family val="3"/>
        <charset val="134"/>
        <scheme val="minor"/>
      </rPr>
      <t>默认为1</t>
    </r>
    <r>
      <rPr>
        <sz val="12"/>
        <color theme="1"/>
        <rFont val="宋体"/>
        <family val="3"/>
        <charset val="134"/>
        <scheme val="minor"/>
      </rPr>
      <t>。 </t>
    </r>
  </si>
  <si>
    <t>可将数组视为一行值、一列值或几行值和几列值的组合。</t>
  </si>
  <si>
    <t>朱绍启</t>
  </si>
  <si>
    <t>杨桂仙</t>
  </si>
  <si>
    <t>行数</t>
  </si>
  <si>
    <t>张国美</t>
  </si>
  <si>
    <t>列数</t>
  </si>
  <si>
    <t>何国栋</t>
  </si>
  <si>
    <t>吴琼芳</t>
  </si>
  <si>
    <t>吴秀琴</t>
  </si>
  <si>
    <t>赵学国</t>
  </si>
  <si>
    <t>马建昆</t>
  </si>
  <si>
    <t>张凤芝</t>
  </si>
  <si>
    <t>高五一</t>
  </si>
  <si>
    <t>付雪莲</t>
  </si>
  <si>
    <t>d305=INDEX($A$300:$A$403,SEQUENCE(E302,E303,2))&amp;""</t>
  </si>
  <si>
    <t>李为涛</t>
  </si>
  <si>
    <t>欧燕立</t>
  </si>
  <si>
    <t>周莉敏</t>
  </si>
  <si>
    <t>王建珊</t>
  </si>
  <si>
    <t>周蜀康</t>
  </si>
  <si>
    <t>覃兆烜</t>
  </si>
  <si>
    <t>张玉华</t>
  </si>
  <si>
    <t>陈华英</t>
  </si>
  <si>
    <t>24.多条件排序</t>
  </si>
  <si>
    <r>
      <rPr>
        <sz val="11"/>
        <color rgb="FF1E1E1E"/>
        <rFont val="Segoe UI"/>
        <family val="2"/>
      </rPr>
      <t>/=</t>
    </r>
    <r>
      <rPr>
        <b/>
        <sz val="11"/>
        <color rgb="FF1E1E1E"/>
        <rFont val="Segoe UI"/>
        <family val="2"/>
      </rPr>
      <t>SORTBY</t>
    </r>
    <r>
      <rPr>
        <sz val="11"/>
        <color rgb="FF1E1E1E"/>
        <rFont val="Segoe UI"/>
        <family val="2"/>
      </rPr>
      <t xml:space="preserve"> (</t>
    </r>
    <r>
      <rPr>
        <sz val="11"/>
        <color rgb="FFFF0000"/>
        <rFont val="微软雅黑"/>
        <family val="2"/>
        <charset val="134"/>
      </rPr>
      <t>数组</t>
    </r>
    <r>
      <rPr>
        <sz val="11"/>
        <color rgb="FFFF0000"/>
        <rFont val="Segoe UI"/>
        <family val="2"/>
      </rPr>
      <t>,</t>
    </r>
    <r>
      <rPr>
        <sz val="11"/>
        <color rgb="FF0070C0"/>
        <rFont val="Segoe UI"/>
        <family val="2"/>
      </rPr>
      <t>by_array1</t>
    </r>
    <r>
      <rPr>
        <sz val="11"/>
        <color rgb="FF1E1E1E"/>
        <rFont val="Segoe UI"/>
        <family val="2"/>
      </rPr>
      <t>,</t>
    </r>
    <r>
      <rPr>
        <sz val="11"/>
        <color rgb="FFFFC000"/>
        <rFont val="Segoe UI"/>
        <family val="2"/>
      </rPr>
      <t>[sort_order1]</t>
    </r>
    <r>
      <rPr>
        <sz val="11"/>
        <color rgb="FF1E1E1E"/>
        <rFont val="Segoe UI"/>
        <family val="2"/>
      </rPr>
      <t>,</t>
    </r>
    <r>
      <rPr>
        <sz val="11"/>
        <color rgb="FFFFFF00"/>
        <rFont val="Segoe UI"/>
        <family val="2"/>
      </rPr>
      <t>[by_array2</t>
    </r>
    <r>
      <rPr>
        <sz val="11"/>
        <color rgb="FF1E1E1E"/>
        <rFont val="Segoe UI"/>
        <family val="2"/>
      </rPr>
      <t>,</t>
    </r>
    <r>
      <rPr>
        <sz val="11"/>
        <color rgb="FF00B050"/>
        <rFont val="Segoe UI"/>
        <family val="2"/>
      </rPr>
      <t>sort_order2]</t>
    </r>
    <r>
      <rPr>
        <sz val="11"/>
        <color rgb="FF1E1E1E"/>
        <rFont val="Segoe UI"/>
        <family val="2"/>
      </rPr>
      <t>,...)  </t>
    </r>
  </si>
  <si>
    <t>要进行排序的数组或区域</t>
  </si>
  <si>
    <t>by_array1</t>
  </si>
  <si>
    <r>
      <rPr>
        <sz val="11"/>
        <color theme="1"/>
        <rFont val="等线"/>
        <family val="3"/>
        <charset val="134"/>
      </rPr>
      <t>要对其进行排序的</t>
    </r>
    <r>
      <rPr>
        <sz val="11"/>
        <color rgb="FFFF0000"/>
        <rFont val="等线"/>
        <family val="3"/>
        <charset val="134"/>
      </rPr>
      <t>数组</t>
    </r>
    <r>
      <rPr>
        <sz val="11"/>
        <color theme="1"/>
        <rFont val="等线"/>
        <family val="3"/>
        <charset val="134"/>
      </rPr>
      <t>或</t>
    </r>
    <r>
      <rPr>
        <sz val="11"/>
        <color rgb="FFFF0000"/>
        <rFont val="等线"/>
        <family val="3"/>
        <charset val="134"/>
      </rPr>
      <t>区域</t>
    </r>
  </si>
  <si>
    <t>[sort_order1]</t>
  </si>
  <si>
    <r>
      <rPr>
        <sz val="11"/>
        <color theme="1"/>
        <rFont val="等线"/>
        <family val="3"/>
        <charset val="134"/>
      </rPr>
      <t>要用于排序的顺序。 1 表示升序，-1 表示降序。 默认值为</t>
    </r>
    <r>
      <rPr>
        <sz val="11"/>
        <color rgb="FFFF0000"/>
        <rFont val="等线"/>
        <family val="3"/>
        <charset val="134"/>
      </rPr>
      <t>升序</t>
    </r>
    <r>
      <rPr>
        <sz val="11"/>
        <color theme="1"/>
        <rFont val="等线"/>
        <family val="3"/>
        <charset val="134"/>
      </rPr>
      <t>。</t>
    </r>
  </si>
  <si>
    <t>[by_array2]</t>
  </si>
  <si>
    <t>要对其进行排序的数组或区域</t>
  </si>
  <si>
    <t>[sort_order2]</t>
  </si>
  <si>
    <t>要用于排序的顺序。 1 表示升序，-1 表示降序。 默认值为升序。</t>
  </si>
  <si>
    <t>销售处</t>
  </si>
  <si>
    <t>销售套数</t>
  </si>
  <si>
    <t>高新区营销处</t>
  </si>
  <si>
    <t>e339=SORTBY(A339:C354,A339:A354,1,C339:C354,-1)</t>
  </si>
  <si>
    <t>青年路营销中心</t>
  </si>
  <si>
    <t>老城区营销处</t>
  </si>
  <si>
    <t>切片器</t>
  </si>
  <si>
    <t>行标签</t>
  </si>
  <si>
    <t>求和项:销售套数</t>
  </si>
  <si>
    <t>总计</t>
  </si>
  <si>
    <t>25.EXCEL中常见的空格取值法</t>
  </si>
  <si>
    <t>假设在某单元格内,有文本它以字符串1,2,3(字符长度分别为x,y,z)和某固定字符相连,现在要分别取出这3个字符串到不同单元格(分裂效果)。</t>
  </si>
  <si>
    <t>我们有这样一个设想,就是我们不妨用2个很长的空格(a)去取代这个固定字符,然后以一个固定长度(b)去截取,然后用TRIM函数去掉多余的空格,如上图所示。如何确定a,b的取值大小？。</t>
  </si>
  <si>
    <t>据图我们有：</t>
  </si>
  <si>
    <t>b&gt;=x,2b&gt;=x+y+a,3b&gt;=2a+x+y+z,b&lt;=x+a,2b&lt;=x+2a+y</t>
  </si>
  <si>
    <t>整理一下有：</t>
  </si>
  <si>
    <t>b-a&lt;=x&lt;=b</t>
  </si>
  <si>
    <t>2b-2a&lt;=x+y&lt;=2b-a</t>
  </si>
  <si>
    <t>x+y+z&lt;=3b-2a</t>
  </si>
  <si>
    <t>我们发现并不是需要求出所有的a,b才能进行拉伸截取,我们只需要找出符合条件的一组a,b即可。于是,我们可以令a=b达到一个简化方程的效果(注意：a,b值可以不相等,实际上,满足截取条件的a,b值往往有相当多组,可令a为自变量,b为因变量画出函数图像,图像包围的范围即为a,b的取值范围。),于是上式即变为：a&gt;=x,a&gt;=x+y,a&gt;=x+y+z(因为x&gt;=1),即应有a&gt;=x+y+z。</t>
  </si>
  <si>
    <t>所以,我们设置一个空格值及截取长度值都等于a的数值,它要大于等于所有字符串的长度总和。显而易见,对于4个,5个甚至更多个字符串连接,我们也可以得出类似结果,就是应该有a&gt;=x+y+z+.........</t>
  </si>
  <si>
    <t>对此,我们可以就可以截取了：</t>
  </si>
  <si>
    <t>即在0*a+1处取a,在1*a+1处取a,在2*a+1处取a.........</t>
  </si>
  <si>
    <t>(就是在前面的总长度上再加1处取)</t>
  </si>
  <si>
    <t>即开始位置为：</t>
  </si>
  <si>
    <t>(ROW(A1)-1)*a+1</t>
  </si>
  <si>
    <t>(ROW(A2)-1)*a+1</t>
  </si>
  <si>
    <t>(ROW(A3)-1)*a+1</t>
  </si>
  <si>
    <t>.........</t>
  </si>
  <si>
    <t>即在</t>
  </si>
  <si>
    <t>ROW(A1)*a-(a-1)</t>
  </si>
  <si>
    <t>ROW(A2)*a-(a-1)</t>
  </si>
  <si>
    <t>ROW(A3)*a-(a-1)</t>
  </si>
  <si>
    <t>......</t>
  </si>
  <si>
    <t>处取a长度的字符串。</t>
  </si>
  <si>
    <t>最终,就有了我们常见的取值公式：</t>
  </si>
  <si>
    <t>/=TRIM(MID(SUBSTITUTE(A21,”,”,REPT(““,99)),ROW(A21)*99-98,99))</t>
  </si>
  <si>
    <t>当我们目测单元格文本不是很长的时候,我们就可以大致用一个比较大的a值来算,例如99或999。</t>
  </si>
  <si>
    <t>26.EXCEL中常见的超额累进法</t>
  </si>
  <si>
    <t>有关超额累进法的文章在论坛有很多,它的算法也不止一种,在这里,我根据一种常见的算法给大家讲讲,这个公式究竟怎么来的？</t>
  </si>
  <si>
    <t>在这里我们设4个(或者更多)区间[0,a1],(a1,a2],(a2,a3],(a3,+∞),每个区间对应的进率为b1,b2,b3,b4,所求值设C,结果为S。</t>
  </si>
  <si>
    <t>若C落在第1个区间,我们有：</t>
  </si>
  <si>
    <t>S=C*b1=(C-0)*(b1-0)；</t>
  </si>
  <si>
    <t>若C落在第2个区间,我们有：</t>
  </si>
  <si>
    <t>S=a1*b1+(C-a1)*b2+C*b1-C*b1</t>
  </si>
  <si>
    <t>=C*b1+(C-a1)*b2+a1*b1-C*b1</t>
  </si>
  <si>
    <t>=(C-0)*(b1-0)+(C-a1)*(b2-b1)</t>
  </si>
  <si>
    <t>若C落在第3个区间,我们有：</t>
  </si>
  <si>
    <t>S=a1*b1+(a2-a1)*b2+(C-a2)*b3+C*b1-C*b1+C*b2-C*b2</t>
  </si>
  <si>
    <t xml:space="preserve">     =C*b1+C*(b2-b1)+a1*b1-a1*b2+(C-a2)*b3+a2*b2-C*b2</t>
  </si>
  <si>
    <t xml:space="preserve">     =(C-0)*(b1-0)+(C-a1)*(b2-b1)+(C-a2)*(b3-b2)</t>
  </si>
  <si>
    <t>若C落在第4个区间,我们有：</t>
  </si>
  <si>
    <t>S=a1*b1+(a2-a1)*b2+(a3-a2)*b3+(C-a3)*b4+</t>
  </si>
  <si>
    <t>C*b1-C*b1+C*b2-C*b2+C*b3-C*b3</t>
  </si>
  <si>
    <t>那么在这里,我们就可以明显发现规律了，就是b2-b1部分，b3-b2，b4-b3部分明显可以提取出来</t>
  </si>
  <si>
    <t>于是就有了</t>
  </si>
  <si>
    <t>S=(C-0)*(b1-0)+(C-a1)*(b2-b1)+(C-a2)*(b3-b2)+(C-a3)*(b4-b3)</t>
  </si>
  <si>
    <t>我们发现4个区间的公式有着高度相似性,右边部分都是常数部</t>
  </si>
  <si>
    <t>分b1,b2-b1,b3-b2之类的。如果C是在第4区间,就用上式求得</t>
  </si>
  <si>
    <t>结果,如果C是在第3区间,那么+(C-a3)*(b4-b3)这一部分我们</t>
  </si>
  <si>
    <t>就不要了,那么C是在第2区间,那么+(C-a2)*(b3-b2)+(C-a3)*(b4-b3)这一部分我们也不要,如果C是在第1区间,那么我们+(C-a1)*(b2-b1)+(C-a2)*(b3-b2)+(C-a3)*(b4-b3)这一部分也舍去。</t>
  </si>
  <si>
    <t>我们怎么去判断哪部分要舍去呢？可以发现,如果C在第3区间,C-a3是小于等于0的,C在第2区间,C-a2,C-a3都是小于等于0的。所以,我们就用TEXT函数的”0;!0”来把小于0的部分变为0,等于舍去。不过要是有小数的,如时间类的算法,那么我们就要改为”[&lt;]!0”。</t>
  </si>
  <si>
    <t>对于更多的区间,我们也可以得出类似的结果。于是,就有了我们常见的超额累进公式</t>
  </si>
  <si>
    <t>=SUM(TEXT(A1-{0,a1,a2,a3},"0;!0")*{b1,b2-b1,b3-b2,b4-b3})特别的,如果b1,b2,b3,b4为等差数列,公差为D,A1&gt;=0，还可以把公式简化成：=A1*b1+SUM(D*TEXT(A1-{a1,a2,a3},"0;!0"))</t>
  </si>
  <si>
    <t>27.EXCEL中常见的去9法</t>
  </si>
  <si>
    <t>在一些数据校验算法（如银行卡的Luhn校验算法）中常见到这个公式,下面我来给大家简单的讲解一下其中原理,即反复去9原理。</t>
  </si>
  <si>
    <t>如8→8,38→11→2,8983→28→10→1,999→27→9.......</t>
  </si>
  <si>
    <t>等等(即把各个位数上的数字反复相加,直至结果为1位数)</t>
  </si>
  <si>
    <t>在这里我简单的假设有一个4位数e=abcd(或任意正整数),设各个位数上数值反复相加的最终结果设为j(1&lt;=j&lt;=9)。</t>
  </si>
  <si>
    <t>则e=a*10^3+b*10^2+c*10^1+d*10^0</t>
  </si>
  <si>
    <t xml:space="preserve">   =a*(999+1)+b*(99+1)+c*(9+1)+d</t>
  </si>
  <si>
    <t xml:space="preserve">   =(a+b+c+d)+9*(a*111+b*11+c)</t>
  </si>
  <si>
    <t>设f=a+b+c+d</t>
  </si>
  <si>
    <t>一、若MOD(e,9)=0,则明显有MOD(f,9)=0,即f是9的倍数，那么反复将f去9后必有j=9。</t>
  </si>
  <si>
    <t>二、若MOD(e,9)&lt;&gt;0,则我们反复将f去9,最终会剩余一个1到8之间的整数,即可得到j=MOD(e,9)。</t>
  </si>
  <si>
    <t>我们将2个情况合并一下：</t>
  </si>
  <si>
    <t>第一种情况,我们把e减去1,那么f反复去9后j=8,那么j+1=9.</t>
  </si>
  <si>
    <t>第二种情况,若最终j=1,则在去9之前的数值必为10的n次方,那么减去1必为9的倍数,那么此时有MOD(e-1,9)=0,加1即为结果1.若最终j&lt;&gt;1,即2到8,那么在去9之前的数值减去1后反复去9后就变成1到7,加上1后即为2到8。</t>
  </si>
  <si>
    <t>所以就有了我们常见的判断公式=MOD(A1-1,9)+1。</t>
  </si>
  <si>
    <t>28.EXCEL中常见的MOD函数详解(数轴旋转法)及其简单应用</t>
  </si>
  <si>
    <t>新手在学习MOD函数之初应该会遇到以下几个疑问：</t>
  </si>
  <si>
    <t>疑问1：为什么-3除以2是商-2余1，为什么不能是商-1余-1？</t>
  </si>
  <si>
    <t>疑问2：为什么余数的符号要跟除数相同？为什么相同？可以不相同吗？</t>
  </si>
  <si>
    <t>疑问3：为什么2除以-1是商-2余0，那0的正负号跟除数-1不同呀？</t>
  </si>
  <si>
    <t>带着种种疑问，下面我来简单的说一下个中原理及用数轴旋转法来直观快速的理解这些问题的答案。</t>
  </si>
  <si>
    <t>首先大家知道求余数在数学中一开始只是作为正整数的一种运算法则，比如9/2=4……1呀，那么在EXCEL中，可没那么多要求，可能是正数也可能是负数，那么如何去定义运算规则呢？</t>
  </si>
  <si>
    <t>在正整数中的运算法则是：MOD(A,B)=A-INT(A/B)*B，A为被除数，B为除数，这个公式也非常好理解，那么对于负数运算，也要按照这个规则计算，即要统一。INT(A/B)这一部分是关键，INT表示向下取整，何为向下？2.1到2是向下，那-2.1到哪里是向下取整呢？就是-3，只要弄懂了这个，就容易求得MOD函数的结果。不要觉得奇怪，这个结果非常自然，向下就是往小的方向去舍入。</t>
  </si>
  <si>
    <t>现在按照此规则推导余数与除数符号将相同。</t>
  </si>
  <si>
    <t>一、设A,B为被除数与除数，商为C，余数为D，其中B不为0</t>
  </si>
  <si>
    <t>  （一）若MOD(|A|,|B|)=0,则依据定义有D=0，此时0与B的正负号将不同（所以常说的余数与除数正负号相同是在不整除的情况下才成立）；</t>
  </si>
  <si>
    <t>（二）若MOD(|A|,|B|)&lt;&gt;0;</t>
  </si>
  <si>
    <t>    1.若A&gt;0，B&gt;0，则明显C&gt;0,D&gt;0，即与B符号相同；</t>
  </si>
  <si>
    <t>    2.若A&lt;0，B&lt;0,则明显C&gt;0,D&lt;0,即与B符号也相同；</t>
  </si>
  <si>
    <t>    3.若A&gt;0，B&lt;0，则因为有|A/B|&lt;|INT(A/B)|的，所以有</t>
  </si>
  <si>
    <t>    A&lt;B*INT(A/B),即有余数需要小于0，即与B符号相同。</t>
  </si>
  <si>
    <t>    4.若A&lt;0，B&gt;0，则因为有|A/B|&lt;|INT(A/B)|的，所以有</t>
  </si>
  <si>
    <t>    A&gt;B*INT(A/B),即有余数需要大于0，即与B符号相同。</t>
  </si>
  <si>
    <t>我们可以根据数轴旋转法来直观的看这个结果。</t>
  </si>
  <si>
    <t>我们首先看MOD(-3,2)的结果，就是2怎么变到-3。我们根据|A|&lt;|B*INT(A/B)|的性质可以发现，首先将2逆时针旋转180到-2的位置，此时还需继续伸缩整数倍（INT)，超过或等于（等于的情况是整除的情况）-3，也就是再伸缩2倍，最后往正半轴方向再加一个单位即可得-3。</t>
  </si>
  <si>
    <t>所以至此，我们就可以根据这种方法得出计算方式，即：</t>
  </si>
  <si>
    <t>1. 除数在数轴上的线段往被除数所在半轴进行旋转；</t>
  </si>
  <si>
    <t>2. 伸缩整数倍后的绝对值要大于等于被除数的绝对值。</t>
  </si>
  <si>
    <t>我们来看看一些具体的计算规则：</t>
  </si>
  <si>
    <t>（1）如：MOD(-5,6)，6怎么变-5？往负半轴旋转（乘以-1），再往正半轴方向加1，即商-1，余1；</t>
  </si>
  <si>
    <t>（2）如：MOD(-22/24,1),1怎么变-22/24？1往负半轴旋转（乘以-1），再正半轴加2/24，即商-1，余2/24;</t>
  </si>
  <si>
    <t>（3）如：MOD(6,-6),-6怎么变到6？-6往正半轴旋转（乘以-1），刚好相同，余数为0，即商-1，余0；</t>
  </si>
  <si>
    <t>（4）如：MOD(0.9,-0.11),-0.11往正半轴旋转（乘以-9,乘以-1再乘以9，要保证最后的长度大于0.9），往负半轴减0.09，即商-9，余-0.09；</t>
  </si>
  <si>
    <t>（5）如：MOD(5.8,-5.7),-5.7正半轴旋转（乘以-2）,得11.4,11.4减去5.8等于5.6，即商-2，余-5.6，即往负半轴减5.6。</t>
  </si>
  <si>
    <t>（6）如：MOD(-4.99,1.23),这里乘4为4.92不够，只能乘以5，所以商为-5，余数为+（5*1.23-4.99）=+（6.15-4.99），即1.16（即往正半轴加1.16）。</t>
  </si>
  <si>
    <t>我们来看一下实际应用，比如求跨(同)天时长(小于24小时)</t>
  </si>
  <si>
    <t>例如算今晚22:00至明天凌晨02:00的时长,即2/24-22/24=-20/24,若是同天的例如6:00到20:00,即20/24-6/24=16/24。</t>
  </si>
  <si>
    <t>即跨天就加1,同天就不变,我们发现同天的可以用MOD(A1,1)保留原值,那么跨天可以吗？我们可以发现：设N为跨天时长相减的结果,因MOD(N,D)=N-INT(N/D)*D,若D=1,因跨天(小于24小时)的相减结果为(-1,0)之间的数值,则有INT(N/D)=-1,即有MOD(N,1)=N--1=N+1。所以跨天的也适合此方法，于是就有了我们常见的公式=MOD(A1,1)。</t>
  </si>
  <si>
    <t>29.EXCEL中常见的虚数函数及其简单用法</t>
  </si>
  <si>
    <t xml:space="preserve">    大家经常可以看到一些虚数的乘除法来进行简单的求和,下面我就简单的讲解一下个中原理及一些简单用法。</t>
  </si>
  <si>
    <t>首先讲解一下虚数的由来,虚数字符i是取英文单词Imaginary(形容词,虚构的,想象的意思)首字母来的。EXCEL中的常见的虚数函数IMDIV,IMSUB,IMREAL也是取首2个字母(IM)加用法单词如</t>
  </si>
  <si>
    <t>除法Division(DIV),减法Subtract(SUB),求和Summation(SUM)等等结合而成。</t>
  </si>
  <si>
    <t>虚数最早来源于解方程中出现的问题,如：根号-1,大家知道,在实数范围中,没有数的平方是等于-1的。所以为了扩充数系,让更多的问题得到合理解释，就把i^2=-1变换了形式,变为1*i*i=-1,视为把乘以i定义了数轴上的1逆时针旋转90°,即数轴上的1逆时针旋转90°再旋转90°即为-1,给虚数定义了几何意义,进一步把原来只用一条数轴表示的实数系扩充为二维的复数系。</t>
  </si>
  <si>
    <t>在此基础上根据(1+1/n)^n取极限为e（EXCEL中的EXP函数）,即有e^i表示旋转1弧度（EXCEL中的RADIANS函数）,那么e^πi即为旋转180°(到-1点),于是有了欧拉公式e^πi+1=0，在通信行业的傅里叶变换中，欧拉公式能起到很大的简化作用。</t>
  </si>
  <si>
    <t>在虚数（复数）的基础上（二维）进一步发展就有了更为高级的四元数（空间），四元数在航天领域有着重要作用。</t>
  </si>
  <si>
    <t>经过了简单的介绍，现在我们就来简单讲解一下虚数：</t>
  </si>
  <si>
    <t>形如a+bi的数我们就叫复数，其中a（实部），b（虚部）为实数，i^2=-1，b=0就是实数，a=0就是纯虚数，a，b均不为0，我们就叫它为复数或者虚数。</t>
  </si>
  <si>
    <t>而在EXCEL中,我们主要用到的还是虚数函数中的一个最为基本的特点,就是i^2=-1，其实之前说那么多，只是让大家知道虚数其实并不虚也并不是毫无用处，它仅是一个事物的另一种表现形式罢了。</t>
  </si>
  <si>
    <t>简单用法一  求值</t>
  </si>
  <si>
    <t>表格中经常会有类似a-b或a+b这种的字符串,我们可以&amp;"i"</t>
  </si>
  <si>
    <t>进行一些虚数运算(注意时间类的字符串&amp;i也能被正确识别为虚数)。</t>
  </si>
  <si>
    <t>(一)a-b型(如：3-38,8:00-13:30)</t>
  </si>
  <si>
    <t>求a+b,令(a-bi)*(1+i)=a+b+(a-b)i(IMREAL取实部+IMPRODUCT相乘)</t>
  </si>
  <si>
    <t>求a-b,令(a-bi)*(1-i)=a-b-(a+b)i(IMREAL取实部+IMPRODUCT相乘)</t>
  </si>
  <si>
    <t>求b-a,令(a-bi)*(i-1)=b-a+(a+b)i(IMREAL取实部+IMPRODUCT相乘)</t>
  </si>
  <si>
    <t>(二)a+b型(如：3+38,8:00+13:30)</t>
  </si>
  <si>
    <t>求a+b,令(a+bi)*(1-i)=a+b+(b-a)i(IMREAL取实部+IMPRODUCT相乘)</t>
  </si>
  <si>
    <t>求a-b,令(a+bi)*(1+i)=a-b+(a+b)i(IMREAL取实部+IMPRODUCT相乘)</t>
  </si>
  <si>
    <t>求b-a,令(a+bi)*(1-i)=a+b+(b-a)i(IMREAL取虚部+IMPRODUCT相乘)</t>
  </si>
  <si>
    <t>在实际计算过程中,算法很灵活,上述方法只是作为一个参考。</t>
  </si>
  <si>
    <t>例如：我们在乘以1+i的时候,我们也可以用IMDIV(虚数,"1-i")*2的方法来实现。假设这个虚数是a,那么a*2/(1-i)=a*2*(1+i)/(1-i)/(1+i)=a*2*(1+i)/(1--1)=a*2*(1+i)/2=a*(1+i),毕竟IMDIV比IMPRODUCT看上去稍微简短点。</t>
  </si>
  <si>
    <t>简单用法二  判断区间</t>
  </si>
  <si>
    <t>经常可以遇到一些类似于120-310的字符串用来表示整数120到310之间的数,现在我们要判断一个数值在不在这个区间内,也同样可以借助虚数函数来进行一个简洁的判断。</t>
  </si>
  <si>
    <t>设有一字符串S=a-b,其中b&gt;a,现有一值c,我们需要判断c属不属于区间[a,b]。</t>
  </si>
  <si>
    <t>令S&amp;i变为虚数d=a-bi,c也变为虚数e=c&amp;-c&amp;i=c-ci。</t>
  </si>
  <si>
    <t>令f=IMSUB(e,d),记f的实部为g,虚部为h；</t>
  </si>
  <si>
    <t>若c属于[a,b],则有g&gt;=0,h&gt;=0;</t>
  </si>
  <si>
    <t>若c&lt;a,则有g&lt;0,h&gt;0;</t>
  </si>
  <si>
    <t>若c&gt;b,则有g&gt;0,h&lt;0。</t>
  </si>
  <si>
    <t>于是我们就可以发现,c不在[a,b]区间f必会出现负号"-"。</t>
  </si>
  <si>
    <t>所以就可以利用FIND("-",f)来进行正确区间的判断,大致结构为(例如返回正确区间,当然也可以判断返回正确数值,灵活应用)：</t>
  </si>
  <si>
    <t>=LOOKUP(,0/ISERR(FIND("-",IMSUB(需判断的值(虚数结构),所有区间(虚数结构)))),所有区间)。</t>
  </si>
  <si>
    <t>30.EXCEL中常见的时间间隔计算</t>
  </si>
  <si>
    <t>此篇分2部分，一是同天时间计算，二是跨天计算。</t>
  </si>
  <si>
    <t>描述均采用线段表示法。</t>
  </si>
  <si>
    <t>一、同天时间计算</t>
  </si>
  <si>
    <t>图一：（数字0点记为大写字母O点）</t>
  </si>
  <si>
    <t>图二：</t>
  </si>
  <si>
    <t>在开讲以前，我们先看看图二，我假设红色区域加黑色区域里面总共有5人，其中红色区域有3人，那么黑色区域有几人呢？那肯定是2人嘛对吧，那我再问你，2个区域加起来长得帅的人一共有3人，红色区域里帅的有1人，那么黑色区域里帅的呢？那肯定是3-1=2人嘛。其实时间类的算法也是根据这个来进行相减的，就是总的符合值减去前半段的符合值就是后半段的符合值。</t>
  </si>
  <si>
    <t>（一）计算线段EB+CF的和(区间内)</t>
  </si>
  <si>
    <t>    我们根据图一来进行展开联想，我们先求E点以前包含AB段、CD段的线段长有多少，明显是AE-BE+CE-DE，F点以前包含AB段、CD段的线段长是AF-BF+CF-DF。然后两段一减就是所求结果。</t>
  </si>
  <si>
    <t>    但在实际情况下，E点可能在A、B、C、D点左侧，那么这个时候，我们只需令线段长为负值的返回0即可，例如线段BE是正值，EB就为负值。</t>
  </si>
  <si>
    <t>所以E、F点前符合的值先用TEXT函数表示出来就是：</t>
  </si>
  <si>
    <t>=TEXT({OE,OF}-{OA;OB;OC;OD},"[&lt;]!0")*{1;-1;1-1}</t>
  </si>
  <si>
    <t>因为减去一个数，就是加上它的相反数(即乘以-1)和减法性质(即(a+b+c)-(e+d+f)=(a-e)+(b-d)+(c-f))，所以我们就可以把{-1,1}乘进去，再相加，最后的结果就是：</t>
  </si>
  <si>
    <t>EB+CF=SUM(TEXT({OE,OF}-{OA;OB;OC;OD},"[&lt;]!0")*{1;-1;1;-1}*{-1,1})</t>
  </si>
  <si>
    <t>（二）计算线段BC(区间外)</t>
  </si>
  <si>
    <t>根据第一部分的理解，我们就很容易得出一模一样的结果：</t>
  </si>
  <si>
    <t>BC=SUM(TEXT({OE,OF}-{0;OA;OB;OC;OD},"[&lt;]!0")*{1;-1;1;-1;1}*{-1,1})</t>
  </si>
  <si>
    <t>二、跨天时间计算</t>
  </si>
  <si>
    <t>因为跨2天及以上的，中间的时间不会变，所以我们只算头尾2天（跨1天）的差值再配合所跨天数的总符合值运算即可求得结果。</t>
  </si>
  <si>
    <t>如图所示：</t>
  </si>
  <si>
    <t>因为跨天的区间内外的算法原理都一样，这里就不再赘述区间外的算法，就简单讲解一下区间内的计算过程。</t>
  </si>
  <si>
    <t>如图，我们可以把黄色箭头部分视为一辆会伸缩的小火车，总长24小时，从车头在24点位置向右移动。。</t>
  </si>
  <si>
    <t>现分三种情况：</t>
  </si>
  <si>
    <t>1.头到第二天到E点，那么明显第一天的EB+CD加上第二天的AE就等于AB+CD的长度,即结果是：AB+CD；</t>
  </si>
  <si>
    <t>2.头缩到第二天E点左侧的F点，那么有EB+CD+AF的值等于等于AB+CD减去第一天的AE减去第二天的AF的差的差，即结果是：AB+CD-(AE-AF);</t>
  </si>
  <si>
    <t>3.头缩到第二天E点右侧的G点，那么有EB+CD+AB的值等于等于AB+CD减去第一天的AE减去第二天的AB的差的差，即结果是：AB+CD-(AE-AB)，即：AB+CD+(AB-AE)。</t>
  </si>
  <si>
    <t>综上，就容易得到跨多天的区间内算法，设开始日期为S，结束日期为Y，则结果为：</t>
  </si>
  <si>
    <t>(INT(S)-INT(Y))*(AB+CD)-SUM(TEXT({OE,24F或24E或24G}-{OA;OB;OC;OD},"[&lt;]!0")*{1;-1;1;-1}*{1,-1})</t>
  </si>
  <si>
    <t>注意：这里是{1,-1}不是{-1,1}。</t>
  </si>
  <si>
    <t>跨多天的区间外算法类似。</t>
  </si>
  <si>
    <t>学号</t>
  </si>
  <si>
    <t>年龄</t>
  </si>
  <si>
    <t>张三</t>
  </si>
  <si>
    <t>四川</t>
  </si>
  <si>
    <t>李四</t>
  </si>
  <si>
    <t>浙江</t>
  </si>
  <si>
    <t>王五</t>
  </si>
  <si>
    <t>广东</t>
  </si>
  <si>
    <t>王二</t>
  </si>
  <si>
    <t>原理介绍</t>
  </si>
  <si>
    <t>IF 函数返回单一值的语法：IF(条件,返回值1,返回值2)，如果条件为真，函数的结果为：“返回值1”，如果条件为假，函数的结果是：“返回值2”。常用的条件返回值为单一值TRUE或FALSE，返回的结果也为单一值。</t>
  </si>
  <si>
    <t>当条件返回值有多个时，返回的结果是什么样子的呢？公式 IF({1,0},返回值1,返回值2) 中，条件返回值就有1和0两个，1在EXCEL条件判断中表示TRUE，0表示FALSE。</t>
  </si>
  <si>
    <t>当返回1时，结果为返回值1，当返回值为0时，结果为返回值2，也就是说：公式IF({1,0},返回值1,返回值2) = “返回值1”，“返回值2”。</t>
  </si>
  <si>
    <t>重要知识点：Excel函数数组规则：在进行计算的时候，数组元素不一致，会进行数组扩展</t>
  </si>
  <si>
    <t>函数类型</t>
  </si>
  <si>
    <t>函数</t>
  </si>
  <si>
    <t>函数参数</t>
  </si>
  <si>
    <t>作用</t>
  </si>
  <si>
    <t>老函数</t>
  </si>
  <si>
    <t>数学运算</t>
  </si>
  <si>
    <t>取绝对值</t>
  </si>
  <si>
    <t>/=ROUND(number,num_digits)</t>
  </si>
  <si>
    <t>四舍五入</t>
  </si>
  <si>
    <t>/=RANK.EQ()</t>
  </si>
  <si>
    <t>/=RANK.EQ(number,ref,[order])</t>
  </si>
  <si>
    <t>中国式排名，分数相同，同样名次</t>
  </si>
  <si>
    <t>/=RANDBETWEEN(bottom,top)</t>
  </si>
  <si>
    <t>返回随机整数</t>
  </si>
  <si>
    <t>/=VALUE()</t>
  </si>
  <si>
    <t>/=VALUE(text)</t>
  </si>
  <si>
    <t>将数值文本转换为数值</t>
  </si>
  <si>
    <t>/=TEXT()</t>
  </si>
  <si>
    <t>将数值转换为文本</t>
  </si>
  <si>
    <t>/=TRUE</t>
  </si>
  <si>
    <t>逻辑值，也等于1</t>
  </si>
  <si>
    <t>/=FALSE</t>
  </si>
  <si>
    <t>逻辑值，也等于0</t>
  </si>
  <si>
    <t>/=COUNT()</t>
  </si>
  <si>
    <t>/=COUNT(value1,[value],...)</t>
  </si>
  <si>
    <t>单元格计数</t>
  </si>
  <si>
    <t>/=COUNTA()</t>
  </si>
  <si>
    <t>/=COUNTA(value1,[value],...)</t>
  </si>
  <si>
    <t>非空单元格计数</t>
  </si>
  <si>
    <t>/=SUM()</t>
  </si>
  <si>
    <t>/=SUM(number1,number2,...)</t>
  </si>
  <si>
    <t>求和</t>
  </si>
  <si>
    <t>/=CHOOSE()</t>
  </si>
  <si>
    <t>/=CHOOSE(index_num,value1,[value2],...)</t>
  </si>
  <si>
    <t>根据索引号匹配值</t>
  </si>
  <si>
    <t>/=AVERAGE()</t>
  </si>
  <si>
    <t>/=AVERAGE(number1,number2,...)</t>
  </si>
  <si>
    <t>算术平均数</t>
  </si>
  <si>
    <t>/=N()</t>
  </si>
  <si>
    <t>/=N(value)</t>
  </si>
  <si>
    <t>将非数值转化为数值</t>
  </si>
  <si>
    <t>/=SQRT()</t>
  </si>
  <si>
    <t>/=SQRT(number)</t>
  </si>
  <si>
    <t>返回数值平方根</t>
  </si>
  <si>
    <t>逻辑判断</t>
  </si>
  <si>
    <t>如果</t>
  </si>
  <si>
    <t>/=IFERROR()</t>
  </si>
  <si>
    <t>/=IFERROR(value,value_if_error)</t>
  </si>
  <si>
    <t>如果错误，输出给定值</t>
  </si>
  <si>
    <t>/=SUMPRODUCT()</t>
  </si>
  <si>
    <t>/=SUMPRODUCT(array1,[array2],...)</t>
  </si>
  <si>
    <t>数组乘积之和</t>
  </si>
  <si>
    <t>/=sumif()</t>
  </si>
  <si>
    <t>/=sumif(range,criteria,[sum_range])</t>
  </si>
  <si>
    <t>单条件求和</t>
  </si>
  <si>
    <t>/=SUMIFS()</t>
  </si>
  <si>
    <t>/=SUMIFS(sum_range,criteria_range1,criteria1,[criteria_range2,criteria2],...)</t>
  </si>
  <si>
    <t>多条件求和</t>
  </si>
  <si>
    <t>/=countif()</t>
  </si>
  <si>
    <t>/=countif(range,criteria)</t>
  </si>
  <si>
    <t>单条件计数</t>
  </si>
  <si>
    <t>/=COUNTIFS()</t>
  </si>
  <si>
    <t>/=COUNTIFS(criteria_range1,criteria1,[criteria_range2,criteria2],...)</t>
  </si>
  <si>
    <t>/=DATEDIF()</t>
  </si>
  <si>
    <t>/=DATEDIF(start_date,end_date,unit)</t>
  </si>
  <si>
    <t>计算日期的间隔时间</t>
  </si>
  <si>
    <t>/=ISEVEN()</t>
  </si>
  <si>
    <t>/=ISEVEN(number)</t>
  </si>
  <si>
    <t>判断是否为偶数，是为true，否为false</t>
  </si>
  <si>
    <t>/=ISODD()</t>
  </si>
  <si>
    <t>/=ISODD(number)</t>
  </si>
  <si>
    <t>判断是否为奇数，是为true，否为false</t>
  </si>
  <si>
    <t>/=ISERROR()</t>
  </si>
  <si>
    <t>/=ISERROR(value)</t>
  </si>
  <si>
    <t>判断纸是否错误，错误为true,否者false</t>
  </si>
  <si>
    <t>/=AND()</t>
  </si>
  <si>
    <t>/=AND(logical1,[logical2],...)</t>
  </si>
  <si>
    <t>逻辑词，且</t>
  </si>
  <si>
    <t>/=OR()</t>
  </si>
  <si>
    <t>/=OR(logical1,[logical2],...)</t>
  </si>
  <si>
    <t>逻辑词，或</t>
  </si>
  <si>
    <t>/=NOT()</t>
  </si>
  <si>
    <t>/=NOT(logical)</t>
  </si>
  <si>
    <t>逻辑词，否</t>
  </si>
  <si>
    <t>查找</t>
  </si>
  <si>
    <t>/=vlookup(lookup_value,table_array,col_index_num,[range_lookup])</t>
  </si>
  <si>
    <t>列查找</t>
  </si>
  <si>
    <t>/=match(lookup_value,lookup_array,[match_type])</t>
  </si>
  <si>
    <t>定位行或者列</t>
  </si>
  <si>
    <t>/=index(array,row_num,[column_num])</t>
  </si>
  <si>
    <t>返回行或者列</t>
  </si>
  <si>
    <t>/=LOOKUP()</t>
  </si>
  <si>
    <t>/=LOOKUP(lookup_value,looup_vector,[result_vector])</t>
  </si>
  <si>
    <t>以单行或者单列查找</t>
  </si>
  <si>
    <t>/=FIND()</t>
  </si>
  <si>
    <t>/=FIND(find_text,within_text,[start_num])</t>
  </si>
  <si>
    <t>查找出起始定位</t>
  </si>
  <si>
    <t>/=SEARCH()</t>
  </si>
  <si>
    <t>/=SEARCH(find_text,within_text,[start_num]</t>
  </si>
  <si>
    <t>查找出起始定位(忽略大小写)</t>
  </si>
  <si>
    <t>/=OFFSET()</t>
  </si>
  <si>
    <t>/=OFFSET(reference,rows,cols,[hight],[width])</t>
  </si>
  <si>
    <t>以指定单元格为参考系，向下向右为正，引用单元格</t>
  </si>
  <si>
    <t>/=NETWORKDAYS()</t>
  </si>
  <si>
    <t>/=NETWORKDAYS(start_date,end_date,[holidays])</t>
  </si>
  <si>
    <t>返回工作日天数</t>
  </si>
  <si>
    <t>/=DATE(year,month,day)</t>
  </si>
  <si>
    <t>返回特定序列日期</t>
  </si>
  <si>
    <t>/=TODAY()</t>
  </si>
  <si>
    <t>返回现在日期</t>
  </si>
  <si>
    <t>/=NOW()</t>
  </si>
  <si>
    <t>返回现在时间</t>
  </si>
  <si>
    <t>/=YEAR()</t>
  </si>
  <si>
    <t>/=YEAR(serial_number)</t>
  </si>
  <si>
    <t>返回序列年份</t>
  </si>
  <si>
    <t>/=MONTH()</t>
  </si>
  <si>
    <t>/=MONTH(serial_number)</t>
  </si>
  <si>
    <t>返回序列月份</t>
  </si>
  <si>
    <t>/=DAY()</t>
  </si>
  <si>
    <t>/=DAY(serial_number)</t>
  </si>
  <si>
    <t>返回序列天数</t>
  </si>
  <si>
    <t>/=HOUR()</t>
  </si>
  <si>
    <t>/=HOUR(serial_number)</t>
  </si>
  <si>
    <t>返回小时值</t>
  </si>
  <si>
    <t>/=MINUTE()</t>
  </si>
  <si>
    <t>/=MINUTE(serial_number)</t>
  </si>
  <si>
    <t>返回分钟值</t>
  </si>
  <si>
    <t>/=SECOND()</t>
  </si>
  <si>
    <t>/=SECOND(serial_number)</t>
  </si>
  <si>
    <t>返回秒钟值</t>
  </si>
  <si>
    <t>其他</t>
  </si>
  <si>
    <t>/=ROW()</t>
  </si>
  <si>
    <t>/=ROW(reference)</t>
  </si>
  <si>
    <t>返回引用行号</t>
  </si>
  <si>
    <t>/=COLUMN()</t>
  </si>
  <si>
    <t>/=COLUMN(feference)</t>
  </si>
  <si>
    <t>返回引用列号</t>
  </si>
  <si>
    <t>/=MAX()</t>
  </si>
  <si>
    <t>/=MAX(number1.[number2],...)</t>
  </si>
  <si>
    <t>一组中最大的数</t>
  </si>
  <si>
    <t>/=MIN()</t>
  </si>
  <si>
    <t>/=MIN(number1,[number2],...)</t>
  </si>
  <si>
    <t>一组中最小的数</t>
  </si>
  <si>
    <t>/=REPLACE()</t>
  </si>
  <si>
    <t>/=REPLACE(old_text, start_num, num_chars, new_text)</t>
  </si>
  <si>
    <t>将部分文本字符串替换为不同的文本字符串</t>
  </si>
  <si>
    <t>/=len()</t>
  </si>
  <si>
    <t>/=LEN(text)</t>
  </si>
  <si>
    <t>字符个数</t>
  </si>
  <si>
    <t>/=LEFT()</t>
  </si>
  <si>
    <t>/=LEFT(text,[num_chars])</t>
  </si>
  <si>
    <t>重左边开始取字符</t>
  </si>
  <si>
    <t>/=RIGHT()</t>
  </si>
  <si>
    <t>/=RIGHT(text,[num_chars])</t>
  </si>
  <si>
    <t>重右边开始取字符</t>
  </si>
  <si>
    <t>/=MID()</t>
  </si>
  <si>
    <t>/=MID(text,start_num,num_chars)</t>
  </si>
  <si>
    <t>中间取字符</t>
  </si>
  <si>
    <t>/=SMALL()</t>
  </si>
  <si>
    <t>/=SMALL(array,k)</t>
  </si>
  <si>
    <t>返回一组中第k个最小值</t>
  </si>
  <si>
    <t>/=LARGE()</t>
  </si>
  <si>
    <t>/=LARGE(array,k)</t>
  </si>
  <si>
    <t>返回一组中第k个最大值</t>
  </si>
  <si>
    <t>/=HYPERLINK()</t>
  </si>
  <si>
    <t>/=HYPERLINK(linl_location,[friendly_name)</t>
  </si>
  <si>
    <t>创建一个超链接</t>
  </si>
  <si>
    <t>新函数</t>
  </si>
  <si>
    <t>/=INDIRECT()</t>
  </si>
  <si>
    <t>/=INDIRECT(ref_text,[a1])</t>
  </si>
  <si>
    <t>单元格的引用</t>
  </si>
  <si>
    <t>/=UNIQUE()</t>
  </si>
  <si>
    <t>/=UNIQUE(array,[by_col],[exactly_once])</t>
  </si>
  <si>
    <t>去除重复值</t>
  </si>
  <si>
    <t>/=FILTER()</t>
  </si>
  <si>
    <t>/=FILTER(array,criteria,[if_empty])</t>
  </si>
  <si>
    <t>筛选区域或者数组</t>
  </si>
  <si>
    <t>/=SORTBY(）</t>
  </si>
  <si>
    <t>/=SORTBY(array,by_array1,[sort_order1],[by_array2],[sort_order2,…]）</t>
  </si>
  <si>
    <t>排序</t>
  </si>
  <si>
    <t>/=SEQUENCE()</t>
  </si>
  <si>
    <t>/=SEQUENCE(rows,columns,[star_num],[增量])</t>
  </si>
  <si>
    <t>行列转置</t>
  </si>
  <si>
    <t>/=SUBSTITUTE()</t>
  </si>
  <si>
    <t>/=SUBSTITUTE(text,old_text,new_text,[instance_num])</t>
  </si>
  <si>
    <t>将字符串里部分字符串用新的字符串替换</t>
  </si>
  <si>
    <t>/=TEXTJOIN()</t>
  </si>
  <si>
    <t>/=TEXTJOIN(delimiter,ignore_empty,text1,[text2,…])</t>
  </si>
  <si>
    <t>文本连接</t>
  </si>
  <si>
    <t>函数及参数</t>
  </si>
  <si>
    <r>
      <rPr>
        <sz val="11"/>
        <color theme="1"/>
        <rFont val="等线"/>
        <family val="3"/>
        <charset val="134"/>
      </rPr>
      <t>/=abs(</t>
    </r>
    <r>
      <rPr>
        <sz val="11"/>
        <color rgb="FFFF0000"/>
        <rFont val="等线"/>
        <family val="3"/>
        <charset val="134"/>
      </rPr>
      <t>number</t>
    </r>
    <r>
      <rPr>
        <sz val="11"/>
        <color theme="1"/>
        <rFont val="等线"/>
        <family val="3"/>
        <charset val="134"/>
      </rPr>
      <t>)</t>
    </r>
  </si>
  <si>
    <t>计算方式</t>
  </si>
  <si>
    <t>结果</t>
  </si>
  <si>
    <t>number</t>
  </si>
  <si>
    <t>必须</t>
  </si>
  <si>
    <t>需要计算其绝对值的实数。</t>
  </si>
  <si>
    <t>向下取整数</t>
  </si>
  <si>
    <t>平方根</t>
  </si>
  <si>
    <r>
      <rPr>
        <sz val="11"/>
        <color theme="1"/>
        <rFont val="等线"/>
        <family val="3"/>
        <charset val="134"/>
      </rPr>
      <t>/=int(</t>
    </r>
    <r>
      <rPr>
        <sz val="11"/>
        <color rgb="FFFF0000"/>
        <rFont val="等线"/>
        <family val="3"/>
        <charset val="134"/>
      </rPr>
      <t>number</t>
    </r>
    <r>
      <rPr>
        <sz val="11"/>
        <color theme="1"/>
        <rFont val="等线"/>
        <family val="3"/>
        <charset val="134"/>
      </rPr>
      <t>)</t>
    </r>
  </si>
  <si>
    <t>向下舍去小数为整数。</t>
  </si>
  <si>
    <t>需要进行向下舍入取整的实数。</t>
  </si>
  <si>
    <r>
      <rPr>
        <sz val="11"/>
        <color theme="1"/>
        <rFont val="等线"/>
        <family val="3"/>
        <charset val="134"/>
      </rPr>
      <t>/=ROUND(</t>
    </r>
    <r>
      <rPr>
        <sz val="11"/>
        <color rgb="FFFF0000"/>
        <rFont val="等线"/>
        <family val="3"/>
        <charset val="134"/>
      </rPr>
      <t>number</t>
    </r>
    <r>
      <rPr>
        <sz val="11"/>
        <color theme="1"/>
        <rFont val="等线"/>
        <family val="3"/>
        <charset val="134"/>
      </rPr>
      <t>,</t>
    </r>
    <r>
      <rPr>
        <sz val="11"/>
        <color theme="9" tint="-0.249977111117893"/>
        <rFont val="等线"/>
        <family val="3"/>
        <charset val="134"/>
      </rPr>
      <t>num_digits</t>
    </r>
    <r>
      <rPr>
        <sz val="11"/>
        <color theme="1"/>
        <rFont val="等线"/>
        <family val="3"/>
        <charset val="134"/>
      </rPr>
      <t>)</t>
    </r>
  </si>
  <si>
    <t>要四舍五入的数字。</t>
  </si>
  <si>
    <t>num_digits</t>
  </si>
  <si>
    <t>要进行四舍五入运算的位数。</t>
  </si>
  <si>
    <r>
      <rPr>
        <sz val="11"/>
        <color theme="1"/>
        <rFont val="等线"/>
        <family val="3"/>
        <charset val="134"/>
      </rPr>
      <t>/=SQRT(</t>
    </r>
    <r>
      <rPr>
        <sz val="11"/>
        <color rgb="FFFF0000"/>
        <rFont val="等线"/>
        <family val="3"/>
        <charset val="134"/>
      </rPr>
      <t>number</t>
    </r>
    <r>
      <rPr>
        <sz val="11"/>
        <color theme="1"/>
        <rFont val="等线"/>
        <family val="3"/>
        <charset val="134"/>
      </rPr>
      <t>)</t>
    </r>
  </si>
  <si>
    <t>要计算其平方根的数字。</t>
  </si>
  <si>
    <r>
      <rPr>
        <sz val="11"/>
        <color theme="1"/>
        <rFont val="Segoe UI Symbol"/>
        <family val="2"/>
      </rPr>
      <t>◾</t>
    </r>
    <r>
      <rPr>
        <sz val="11"/>
        <color theme="1"/>
        <rFont val="等线"/>
        <family val="3"/>
        <charset val="134"/>
      </rPr>
      <t>如果 number 为负数，则 SQRT 返回#NUM！ 错误值。</t>
    </r>
  </si>
  <si>
    <r>
      <rPr>
        <sz val="11"/>
        <color theme="1"/>
        <rFont val="等线"/>
        <family val="3"/>
        <charset val="134"/>
      </rPr>
      <t>/=RANK.EQ(</t>
    </r>
    <r>
      <rPr>
        <sz val="11"/>
        <color rgb="FFFF0000"/>
        <rFont val="等线"/>
        <family val="3"/>
        <charset val="134"/>
      </rPr>
      <t>number</t>
    </r>
    <r>
      <rPr>
        <sz val="11"/>
        <color theme="1"/>
        <rFont val="等线"/>
        <family val="3"/>
        <charset val="134"/>
      </rPr>
      <t>,</t>
    </r>
    <r>
      <rPr>
        <sz val="11"/>
        <color rgb="FFFFC000"/>
        <rFont val="等线"/>
        <family val="3"/>
        <charset val="134"/>
      </rPr>
      <t>ref</t>
    </r>
    <r>
      <rPr>
        <sz val="11"/>
        <color theme="1"/>
        <rFont val="等线"/>
        <family val="3"/>
        <charset val="134"/>
      </rPr>
      <t>,</t>
    </r>
    <r>
      <rPr>
        <sz val="11"/>
        <color rgb="FF0070C0"/>
        <rFont val="等线"/>
        <family val="3"/>
        <charset val="134"/>
      </rPr>
      <t>[order]</t>
    </r>
    <r>
      <rPr>
        <sz val="11"/>
        <color theme="1"/>
        <rFont val="等线"/>
        <family val="3"/>
        <charset val="134"/>
      </rPr>
      <t>)</t>
    </r>
  </si>
  <si>
    <t>中国式排名，分数相同，同样名次。返回一列数字的数字排位。 其大小与列表中其他值相关；如果多个值具有相同的排位，则返回该组值的最高排位。</t>
  </si>
  <si>
    <t>数据</t>
  </si>
  <si>
    <t>排名</t>
  </si>
  <si>
    <t>要找到其排位的数字。</t>
  </si>
  <si>
    <t>数字列表的数组，对数字列表的引用。 Ref 中的非数字值会被忽略。</t>
  </si>
  <si>
    <t>ref</t>
  </si>
  <si>
    <t>一个指定数字排位方式的数字。</t>
  </si>
  <si>
    <t>[order]</t>
  </si>
  <si>
    <t>可选。</t>
  </si>
  <si>
    <r>
      <rPr>
        <sz val="11"/>
        <color theme="1"/>
        <rFont val="等线"/>
        <family val="3"/>
        <charset val="134"/>
      </rPr>
      <t>如果 Order 为 0（零）或省略，Excel 对数字的排位是基于 Ref 为按</t>
    </r>
    <r>
      <rPr>
        <sz val="11"/>
        <color rgb="FFFF0000"/>
        <rFont val="等线"/>
        <family val="3"/>
        <charset val="134"/>
      </rPr>
      <t>降序</t>
    </r>
    <r>
      <rPr>
        <sz val="11"/>
        <color theme="1"/>
        <rFont val="等线"/>
        <family val="3"/>
        <charset val="134"/>
      </rPr>
      <t>排列的列表。</t>
    </r>
  </si>
  <si>
    <r>
      <rPr>
        <sz val="11"/>
        <color theme="1"/>
        <rFont val="等线"/>
        <family val="3"/>
        <charset val="134"/>
      </rPr>
      <t>如果</t>
    </r>
    <r>
      <rPr>
        <sz val="11"/>
        <color theme="1"/>
        <rFont val="Calibri"/>
        <family val="2"/>
      </rPr>
      <t xml:space="preserve"> Order </t>
    </r>
    <r>
      <rPr>
        <sz val="11"/>
        <color theme="1"/>
        <rFont val="等线"/>
        <family val="3"/>
        <charset val="134"/>
      </rPr>
      <t>不为零，</t>
    </r>
    <r>
      <rPr>
        <sz val="11"/>
        <color theme="1"/>
        <rFont val="Calibri"/>
        <family val="2"/>
      </rPr>
      <t xml:space="preserve"> Excel </t>
    </r>
    <r>
      <rPr>
        <sz val="11"/>
        <color theme="1"/>
        <rFont val="等线"/>
        <family val="3"/>
        <charset val="134"/>
      </rPr>
      <t>对数字的排位是基于</t>
    </r>
    <r>
      <rPr>
        <sz val="11"/>
        <color theme="1"/>
        <rFont val="Calibri"/>
        <family val="2"/>
      </rPr>
      <t xml:space="preserve"> Ref </t>
    </r>
    <r>
      <rPr>
        <sz val="11"/>
        <color theme="1"/>
        <rFont val="等线"/>
        <family val="3"/>
        <charset val="134"/>
      </rPr>
      <t>为按照</t>
    </r>
    <r>
      <rPr>
        <sz val="11"/>
        <color rgb="FFFF0000"/>
        <rFont val="等线"/>
        <family val="3"/>
        <charset val="134"/>
      </rPr>
      <t>升序</t>
    </r>
    <r>
      <rPr>
        <sz val="11"/>
        <color theme="1"/>
        <rFont val="等线"/>
        <family val="3"/>
        <charset val="134"/>
      </rPr>
      <t>排列的列表。</t>
    </r>
  </si>
  <si>
    <t>返回随机整数。</t>
  </si>
  <si>
    <t>最大数</t>
  </si>
  <si>
    <t>最小数</t>
  </si>
  <si>
    <t>RANDBETWEEN 将返回的最小整数。</t>
  </si>
  <si>
    <t>bottom</t>
  </si>
  <si>
    <t>RANDBETWEEN 将返回的最大整数。</t>
  </si>
  <si>
    <t>随机数</t>
  </si>
  <si>
    <t>top</t>
  </si>
  <si>
    <t>将表示数字的文本字符串转换为数字。</t>
  </si>
  <si>
    <t>文本</t>
  </si>
  <si>
    <t>text</t>
  </si>
  <si>
    <t>必需。</t>
  </si>
  <si>
    <t>用引号括起来的文本或包含要转换文本的单元格的引用。</t>
  </si>
  <si>
    <t>其他格式</t>
  </si>
  <si>
    <t>value</t>
  </si>
  <si>
    <t>要转换为文本的数值。</t>
  </si>
  <si>
    <t>format_text</t>
  </si>
  <si>
    <t>一个文本字符串，定义要应用于所提供值的格式。</t>
  </si>
  <si>
    <t>逻辑值(正确)，也等于1</t>
  </si>
  <si>
    <t>逻辑值(错误)，也等于0</t>
  </si>
  <si>
    <t>数列</t>
  </si>
  <si>
    <t>/=COUNT(value1,[value2],...)</t>
  </si>
  <si>
    <t>包含数字单元格计数</t>
  </si>
  <si>
    <t>/=COUNTA(value1,[value2],...)</t>
  </si>
  <si>
    <t>value1</t>
  </si>
  <si>
    <t>要计算其中数字的个数的第一项、单元格引用或区域。</t>
  </si>
  <si>
    <t>[value2],...</t>
  </si>
  <si>
    <t>要计算其中数字的个数的其他项、单元格引用或区域，最多可包含 255 个。</t>
  </si>
  <si>
    <t>range</t>
  </si>
  <si>
    <t>要进行计数的单元格组。 区域可以包括数字、数组、命名区域或包含数字的引用。 空白和文本值将被忽略。</t>
  </si>
  <si>
    <t>criteria</t>
  </si>
  <si>
    <t>用于决定要统计哪些单元格的数量的数字、表达式、单元格引用或文本字符串。</t>
  </si>
  <si>
    <t>多条件计数</t>
  </si>
  <si>
    <t>大于50</t>
  </si>
  <si>
    <t>大于50,小于450</t>
  </si>
  <si>
    <t>criteria_range1</t>
  </si>
  <si>
    <t>在其中计算关联条件的第一个区域。</t>
  </si>
  <si>
    <t>criteria1</t>
  </si>
  <si>
    <t>条件的形式为数字、表达式、单元格引用或文本，它定义了要计数的单元格范围。</t>
  </si>
  <si>
    <t>[criteria_range2,criteria2],...</t>
  </si>
  <si>
    <t>附加的区域及其关联条件。 最多允许 127 个区域/条件对。</t>
  </si>
  <si>
    <t>/=SUM(number1,[number2],...)</t>
  </si>
  <si>
    <t>number1</t>
  </si>
  <si>
    <t>要相加的第一个数字。 该数字可以是 4 之类的数字，B6 之类的单元格引用或 B2:B8 之类的单元格范围。</t>
  </si>
  <si>
    <t>[number2],...</t>
  </si>
  <si>
    <t>这是要相加的第二个数字。 可以按照这种方式最多指定 255 个数字。</t>
  </si>
  <si>
    <t>所有加和</t>
  </si>
  <si>
    <t>大于4加和</t>
  </si>
  <si>
    <t>大于4小于7加和</t>
  </si>
  <si>
    <t>用于条件判断的单元格区域。</t>
  </si>
  <si>
    <t>求和条件，由数字、逻辑表达式等组成的判定条件。</t>
  </si>
  <si>
    <t>[sum_range]</t>
  </si>
  <si>
    <t>实际求和区域，需要求和的单元格、区域或引用。当省略第三个参数时，则条件区域就是实际求和区域。</t>
  </si>
  <si>
    <t>sum_range</t>
  </si>
  <si>
    <t>要求和的单元格区域。</t>
  </si>
  <si>
    <t>Criteria_range1  和 Criteria1 设置用于搜索某个区域是否符合特定条件的搜索对。 一旦在该区域中找到了项，将计算 Sum_range 中的相应值的和。</t>
  </si>
  <si>
    <t>定义将计算 Criteria_range1 中的哪些单元格的和的条件。 例如，可以将条件输入为 32、"&gt;32"、B4、"苹果" 或 "32"。</t>
  </si>
  <si>
    <t>criteria1,[criteria_range2,criteria2],…</t>
  </si>
  <si>
    <t>附加的区域及其关联条件。 最多可以输入 127 个区域/条件对。</t>
  </si>
  <si>
    <t>用于指定所选定的数值参数。 index_num 必须是介于 1 到 254 之间的数字，或是包含 1 到 254 之间的数字的公式或单元格引用。</t>
  </si>
  <si>
    <t>量</t>
  </si>
  <si>
    <t>index_num</t>
  </si>
  <si>
    <t>Value1 是必需的，后续值是可选的。 1 到 254 个数值参数，CHOOSE 将根据 index_num 从中选择一个数值或一项要执行的操作。 参数可以是数字、单元格引用、定义的名称、公式、函数或文本。</t>
  </si>
  <si>
    <t>value1,[value2],…</t>
  </si>
  <si>
    <t>如果 index_num 为 1，则 CHOOSE 返回 value1；如果为 2，则 CHOOSE 返回 value2，以此类推。</t>
  </si>
  <si>
    <t>如果 index_num 小于 1 或大于列表中最后一个值的索引号，则 CHOOSE 返回 #VALUE! 错误值。</t>
  </si>
  <si>
    <t>如果 index_num 为小数，则在使用前将被截尾取整。</t>
  </si>
  <si>
    <t>算术平方根</t>
  </si>
  <si>
    <t>要计算平均值的第一个数字、单元格引用或单元格区域。</t>
  </si>
  <si>
    <t>number2,...</t>
  </si>
  <si>
    <t>要计算平均值的其他数字、单元格引用或单元格区域，最多可包含 255 个。</t>
  </si>
  <si>
    <t>要转换的值。</t>
  </si>
  <si>
    <t>字符串</t>
  </si>
  <si>
    <t>转换</t>
  </si>
  <si>
    <t>数值或引用</t>
  </si>
  <si>
    <t>N 返回值</t>
  </si>
  <si>
    <t>数字</t>
  </si>
  <si>
    <t>该数字</t>
  </si>
  <si>
    <t>日期（Microsoft Excel 的一种内部日期格式）</t>
  </si>
  <si>
    <t>该日期的序列号</t>
  </si>
  <si>
    <t>错误值，例如 #DIV/0!</t>
  </si>
  <si>
    <t>错误值</t>
  </si>
  <si>
    <t>其他值</t>
  </si>
  <si>
    <t>/=IF(logical_test,value_if_true,[value_if_false])</t>
  </si>
  <si>
    <t>如果…那么…</t>
  </si>
  <si>
    <t>所有量和大于5，就输出大于，否则输出小于</t>
  </si>
  <si>
    <t>logical_test</t>
  </si>
  <si>
    <t>要测试的条件。</t>
  </si>
  <si>
    <t>value_if_true</t>
  </si>
  <si>
    <t>logical_test  的结果为 TRUE 时，您希望返回的值。</t>
  </si>
  <si>
    <t xml:space="preserve">value_if_false   </t>
  </si>
  <si>
    <t>logical_test  的结果为 FALSE 时，您希望返回的值。</t>
  </si>
  <si>
    <t>检查是否存在错误的参数。</t>
  </si>
  <si>
    <t>value_if_error</t>
  </si>
  <si>
    <t>公式计算结果为错误时要返回的值。</t>
  </si>
  <si>
    <t>注意：评估以下错误类型：#N/A、#VALUE！、#REF！、#DIV/0！、#NUM！、#NAME？或 #NULL！。</t>
  </si>
  <si>
    <t>积和</t>
  </si>
  <si>
    <t>1*2+2*3+4</t>
  </si>
  <si>
    <t>array1</t>
  </si>
  <si>
    <t>其相应元素需要进行相乘并求和的第一个数组参数。</t>
  </si>
  <si>
    <t xml:space="preserve">[array2]， [array3],...    </t>
  </si>
  <si>
    <t>2 到 255 个数组参数，其相应元素需要进行相乘并求和。</t>
  </si>
  <si>
    <t>注意: 如果使用算术运算符，请考虑将数组参数括在括号中，并使用括号对数组参数进行分组以控制算术运算的顺序。</t>
  </si>
  <si>
    <t>start_date</t>
  </si>
  <si>
    <t xml:space="preserve">表示给定期间的第一个或开始日期的日期。 </t>
  </si>
  <si>
    <t>end_date</t>
  </si>
  <si>
    <t>用于表示时间段的最后一个（即结束）日期的日期。</t>
  </si>
  <si>
    <t>unit</t>
  </si>
  <si>
    <t>要返回的信息类型。</t>
  </si>
  <si>
    <t xml:space="preserve">Unit </t>
  </si>
  <si>
    <t xml:space="preserve">返回结果 </t>
  </si>
  <si>
    <t>"Y"</t>
  </si>
  <si>
    <t>一段时期内的整年数。</t>
  </si>
  <si>
    <t>"M"</t>
  </si>
  <si>
    <t>一段时期内的整月数。</t>
  </si>
  <si>
    <t>"D"</t>
  </si>
  <si>
    <t>一段时期内的天数。</t>
  </si>
  <si>
    <t>"YM"</t>
  </si>
  <si>
    <t>start_date 与 end_date 之间月份之差。 忽略日期中的天和年份</t>
  </si>
  <si>
    <t>"YD"</t>
  </si>
  <si>
    <t>start_date 与 end_date 的日期部分之差。 忽略日期中的年份。</t>
  </si>
  <si>
    <t>是否偶数</t>
  </si>
  <si>
    <t>是否奇数</t>
  </si>
  <si>
    <t>要测试的值。</t>
  </si>
  <si>
    <t>如果 number 是非数字的，则 ISEVEN 返回#VALUE！ 错误值。</t>
  </si>
  <si>
    <t>指的是要测试的值。 参数 value 可以是空白（空单元格）、错误值、逻辑值、文本、数字、引用值，或者引用要测试的以上任意值的名称。</t>
  </si>
  <si>
    <t>如果符合以下条件，则返回 TRUE</t>
  </si>
  <si>
    <t>ISBLANK</t>
  </si>
  <si>
    <t>值为空白单元格。</t>
  </si>
  <si>
    <t>ISERR</t>
  </si>
  <si>
    <t>值为任意错误值（除去 #N/A）。</t>
  </si>
  <si>
    <t>ISERROR</t>
  </si>
  <si>
    <t>值为任意错误值（#N/A、#VALUE!、#REF!、#DIV/0!、#NUM!、#NAME? 或 #NULL!）。</t>
  </si>
  <si>
    <t>ISLOGICAL</t>
  </si>
  <si>
    <t>值为逻辑值。</t>
  </si>
  <si>
    <t>ISNA</t>
  </si>
  <si>
    <t>值为错误值 #N/A（值不存在）。</t>
  </si>
  <si>
    <t>ISNONTEXT</t>
  </si>
  <si>
    <t>值为不是文本的任意项。 （请注意，此函数在值为空单元格时返回 TRUE）。</t>
  </si>
  <si>
    <t>ISNUMBER</t>
  </si>
  <si>
    <t>值为数字。</t>
  </si>
  <si>
    <t>ISREF</t>
  </si>
  <si>
    <t>值为引用。</t>
  </si>
  <si>
    <t>ISTEXT</t>
  </si>
  <si>
    <t>值为文本。</t>
  </si>
  <si>
    <t xml:space="preserve"> </t>
  </si>
  <si>
    <t>logical1</t>
  </si>
  <si>
    <t>第一个想要测试且计算结果可为 TRUE 或 FALSE 的条件。</t>
  </si>
  <si>
    <t>[logical2],...</t>
  </si>
  <si>
    <t>其他想要测试且计算结果可为 TRUE 或 FALSE 的条件（最多 255 个条件）。</t>
  </si>
  <si>
    <t>logical</t>
  </si>
  <si>
    <t>计算结果为 TRUE 或 FALSE 的任何值或表达式。</t>
  </si>
  <si>
    <t>如果逻辑为 FALSE，NOT 将返回 TRUE；如果逻辑为 TRUE，NOT 将返回 FALSE。</t>
  </si>
  <si>
    <t>编号</t>
  </si>
  <si>
    <t>代号</t>
  </si>
  <si>
    <t>lookup_value</t>
  </si>
  <si>
    <t>要查找的值。 要查找的值必须列于在参数参数中指定的单元格table_array列中。Lookup_value  可以是值，也可以是单元格引用。</t>
  </si>
  <si>
    <t>sw</t>
  </si>
  <si>
    <t>table_array</t>
  </si>
  <si>
    <t xml:space="preserve">lookup_value 和返回值的单元格区域。 可以使用命名区域或表，并且可以在参数中使用名称，而不是单元格引用。 </t>
  </si>
  <si>
    <t>col_index_num</t>
  </si>
  <si>
    <t xml:space="preserve">对于包含 (的列，列号table_array) 从 1 开始。 </t>
  </si>
  <si>
    <t>[range_lookup]</t>
  </si>
  <si>
    <t>一个逻辑值，该值指定希望 VLOOKUP 查找近似匹配还是精确匹配：</t>
  </si>
  <si>
    <r>
      <rPr>
        <sz val="11"/>
        <color theme="1"/>
        <rFont val="Segoe UI Symbol"/>
        <family val="2"/>
      </rPr>
      <t>◾</t>
    </r>
    <r>
      <rPr>
        <sz val="11"/>
        <color theme="1"/>
        <rFont val="等线"/>
        <family val="3"/>
        <charset val="134"/>
      </rPr>
      <t>近似匹配 - 1/TRUE 假定表中的第一列按数字或字母顺序排序，然后搜索最接近的值。 这是未指定值时的默认方法。</t>
    </r>
  </si>
  <si>
    <r>
      <rPr>
        <sz val="11"/>
        <color theme="1"/>
        <rFont val="Segoe UI Symbol"/>
        <family val="2"/>
      </rPr>
      <t>◾</t>
    </r>
    <r>
      <rPr>
        <sz val="11"/>
        <color theme="1"/>
        <rFont val="等线"/>
        <family val="3"/>
        <charset val="134"/>
      </rPr>
      <t xml:space="preserve">完全匹配 - 0/FALSE 将搜索第一列中的确切值。 </t>
    </r>
  </si>
  <si>
    <t>列1</t>
  </si>
  <si>
    <t>位置</t>
  </si>
  <si>
    <t>要在 lookup_array 中匹配的值。</t>
  </si>
  <si>
    <t>lookup_array</t>
  </si>
  <si>
    <t>要搜索的单元格区域。</t>
  </si>
  <si>
    <t>[match_type]</t>
  </si>
  <si>
    <t>数字 -1、0 或 1。 match_type 参数指定 Excel 如何将 lookup_value 与 lookup_array 中的值匹配。 此参数的默认值为 1。</t>
  </si>
  <si>
    <t>数组形式</t>
  </si>
  <si>
    <t>单元格区域或数组常量。</t>
  </si>
  <si>
    <t>row_num</t>
  </si>
  <si>
    <t>除非column_num存在。 选择数组中的某行，函数从该行返回数值。 如果row_num，column_num参数。</t>
  </si>
  <si>
    <t>[column_num]</t>
  </si>
  <si>
    <t>选择数组中的某列，函数从该列返回数值。 如果column_num，row_num参数。</t>
  </si>
  <si>
    <t>/=INDEX(reference, row_num, [column_num], [area_num])</t>
  </si>
  <si>
    <t>返回指定的行与列交叉处的单元格引用。 如果引用由非相邻选定区域所决定，您可以选择要查找的选定区域。</t>
  </si>
  <si>
    <t>引用窗体</t>
  </si>
  <si>
    <t>reference</t>
  </si>
  <si>
    <t>对一个或多个单元格区域的引用。</t>
  </si>
  <si>
    <t>引用中某行的行号，函数从该行返回一个引用。</t>
  </si>
  <si>
    <t>引用中某列的列标，函数从该列返回一个引用。</t>
  </si>
  <si>
    <t>[area_num]</t>
  </si>
  <si>
    <t>在引用中选择一个区域，从该范围返回row_num column_num。 选定或输入的第一个区域编号为 1，第二个为 2，以此类比。</t>
  </si>
  <si>
    <t>如果area_num，INDEX 使用区域 1。  此处列出的区域必须全部位于一个工作表上。  如果指定彼此不在同一张工作表上的区域，将导致#VALUE！ 错误。  如果需要使用彼此位于不同工作表上的区域，建议使用 INDEX 函数的数组形式，并使用另一个函数计算构成数组的范围。  例如，可以使用 CHOOSE 函数计算将使用的范围。</t>
  </si>
  <si>
    <r>
      <rPr>
        <sz val="11"/>
        <color theme="1"/>
        <rFont val="Segoe UI Symbol"/>
        <family val="2"/>
      </rPr>
      <t>◾</t>
    </r>
    <r>
      <rPr>
        <sz val="11"/>
        <color theme="1"/>
        <rFont val="等线"/>
        <family val="3"/>
        <charset val="134"/>
      </rPr>
      <t>引用</t>
    </r>
    <r>
      <rPr>
        <sz val="11"/>
        <color theme="1"/>
        <rFont val="Calibri"/>
        <family val="2"/>
      </rPr>
      <t>area_num</t>
    </r>
    <r>
      <rPr>
        <sz val="11"/>
        <color theme="1"/>
        <rFont val="等线"/>
        <family val="3"/>
        <charset val="134"/>
      </rPr>
      <t>选择特定区域后，</t>
    </r>
    <r>
      <rPr>
        <sz val="11"/>
        <color theme="1"/>
        <rFont val="Calibri"/>
        <family val="2"/>
      </rPr>
      <t xml:space="preserve">row_num </t>
    </r>
    <r>
      <rPr>
        <sz val="11"/>
        <color theme="1"/>
        <rFont val="等线"/>
        <family val="3"/>
        <charset val="134"/>
      </rPr>
      <t>和</t>
    </r>
    <r>
      <rPr>
        <sz val="11"/>
        <color theme="1"/>
        <rFont val="Calibri"/>
        <family val="2"/>
      </rPr>
      <t xml:space="preserve"> column_num </t>
    </r>
    <r>
      <rPr>
        <sz val="11"/>
        <color theme="1"/>
        <rFont val="等线"/>
        <family val="3"/>
        <charset val="134"/>
      </rPr>
      <t>选择特定单元格：</t>
    </r>
    <r>
      <rPr>
        <sz val="11"/>
        <color theme="1"/>
        <rFont val="Calibri"/>
        <family val="2"/>
      </rPr>
      <t xml:space="preserve">row_num 1 </t>
    </r>
    <r>
      <rPr>
        <sz val="11"/>
        <color theme="1"/>
        <rFont val="等线"/>
        <family val="3"/>
        <charset val="134"/>
      </rPr>
      <t>是区域的第一行，</t>
    </r>
    <r>
      <rPr>
        <sz val="11"/>
        <color theme="1"/>
        <rFont val="Calibri"/>
        <family val="2"/>
      </rPr>
      <t xml:space="preserve">column_num 1 </t>
    </r>
    <r>
      <rPr>
        <sz val="11"/>
        <color theme="1"/>
        <rFont val="等线"/>
        <family val="3"/>
        <charset val="134"/>
      </rPr>
      <t>是第一列，以此类比。</t>
    </r>
    <r>
      <rPr>
        <sz val="11"/>
        <color theme="1"/>
        <rFont val="Calibri"/>
        <family val="2"/>
      </rPr>
      <t xml:space="preserve"> INDEX </t>
    </r>
    <r>
      <rPr>
        <sz val="11"/>
        <color theme="1"/>
        <rFont val="等线"/>
        <family val="3"/>
        <charset val="134"/>
      </rPr>
      <t>返回的引用是索引和</t>
    </r>
    <r>
      <rPr>
        <sz val="11"/>
        <color theme="1"/>
        <rFont val="Calibri"/>
        <family val="2"/>
      </rPr>
      <t>row_num column_num</t>
    </r>
    <r>
      <rPr>
        <sz val="11"/>
        <color theme="1"/>
        <rFont val="等线"/>
        <family val="3"/>
        <charset val="134"/>
      </rPr>
      <t>。</t>
    </r>
  </si>
  <si>
    <r>
      <rPr>
        <sz val="11"/>
        <color theme="1"/>
        <rFont val="Segoe UI Symbol"/>
        <family val="2"/>
      </rPr>
      <t>◾</t>
    </r>
    <r>
      <rPr>
        <sz val="11"/>
        <color theme="1"/>
        <rFont val="等线"/>
        <family val="3"/>
        <charset val="134"/>
      </rPr>
      <t>如果将</t>
    </r>
    <r>
      <rPr>
        <sz val="11"/>
        <color theme="1"/>
        <rFont val="Calibri"/>
        <family val="2"/>
      </rPr>
      <t>"row_num</t>
    </r>
    <r>
      <rPr>
        <sz val="11"/>
        <color theme="1"/>
        <rFont val="等线"/>
        <family val="3"/>
        <charset val="134"/>
      </rPr>
      <t>或</t>
    </r>
    <r>
      <rPr>
        <sz val="11"/>
        <color theme="1"/>
        <rFont val="Calibri"/>
        <family val="2"/>
      </rPr>
      <t>column_num</t>
    </r>
    <r>
      <rPr>
        <sz val="11"/>
        <color theme="1"/>
        <rFont val="等线"/>
        <family val="3"/>
        <charset val="134"/>
      </rPr>
      <t>设置为</t>
    </r>
    <r>
      <rPr>
        <sz val="11"/>
        <color theme="1"/>
        <rFont val="Calibri"/>
        <family val="2"/>
      </rPr>
      <t xml:space="preserve"> 0 (0) </t>
    </r>
    <r>
      <rPr>
        <sz val="11"/>
        <color theme="1"/>
        <rFont val="等线"/>
        <family val="3"/>
        <charset val="134"/>
      </rPr>
      <t>，</t>
    </r>
    <r>
      <rPr>
        <sz val="11"/>
        <color theme="1"/>
        <rFont val="Calibri"/>
        <family val="2"/>
      </rPr>
      <t xml:space="preserve">INDEX </t>
    </r>
    <r>
      <rPr>
        <sz val="11"/>
        <color theme="1"/>
        <rFont val="等线"/>
        <family val="3"/>
        <charset val="134"/>
      </rPr>
      <t>将分别返回整个列或行的引用。</t>
    </r>
  </si>
  <si>
    <r>
      <rPr>
        <sz val="11"/>
        <color theme="1"/>
        <rFont val="Segoe UI Symbol"/>
        <family val="2"/>
      </rPr>
      <t>◾</t>
    </r>
    <r>
      <rPr>
        <sz val="11"/>
        <color theme="1"/>
        <rFont val="Calibri"/>
        <family val="2"/>
      </rPr>
      <t>row_num</t>
    </r>
    <r>
      <rPr>
        <sz val="11"/>
        <color theme="1"/>
        <rFont val="等线"/>
        <family val="3"/>
        <charset val="134"/>
      </rPr>
      <t>、</t>
    </r>
    <r>
      <rPr>
        <sz val="11"/>
        <color theme="1"/>
        <rFont val="Calibri"/>
        <family val="2"/>
      </rPr>
      <t>column_num</t>
    </r>
    <r>
      <rPr>
        <sz val="11"/>
        <color theme="1"/>
        <rFont val="等线"/>
        <family val="3"/>
        <charset val="134"/>
      </rPr>
      <t>和</t>
    </r>
    <r>
      <rPr>
        <sz val="11"/>
        <color theme="1"/>
        <rFont val="Calibri"/>
        <family val="2"/>
      </rPr>
      <t>area_num</t>
    </r>
    <r>
      <rPr>
        <sz val="11"/>
        <color theme="1"/>
        <rFont val="等线"/>
        <family val="3"/>
        <charset val="134"/>
      </rPr>
      <t>必须指向引用中的单元格</t>
    </r>
    <r>
      <rPr>
        <sz val="11"/>
        <color theme="1"/>
        <rFont val="Calibri"/>
        <family val="2"/>
      </rPr>
      <t>;</t>
    </r>
    <r>
      <rPr>
        <sz val="11"/>
        <color theme="1"/>
        <rFont val="等线"/>
        <family val="3"/>
        <charset val="134"/>
      </rPr>
      <t>否则，</t>
    </r>
    <r>
      <rPr>
        <sz val="11"/>
        <color theme="1"/>
        <rFont val="Calibri"/>
        <family val="2"/>
      </rPr>
      <t xml:space="preserve">INDEX </t>
    </r>
    <r>
      <rPr>
        <sz val="11"/>
        <color theme="1"/>
        <rFont val="等线"/>
        <family val="3"/>
        <charset val="134"/>
      </rPr>
      <t>返回</t>
    </r>
    <r>
      <rPr>
        <sz val="11"/>
        <color theme="1"/>
        <rFont val="Calibri"/>
        <family val="2"/>
      </rPr>
      <t>#REF</t>
    </r>
    <r>
      <rPr>
        <sz val="11"/>
        <color theme="1"/>
        <rFont val="等线"/>
        <family val="3"/>
        <charset val="134"/>
      </rPr>
      <t>！</t>
    </r>
    <r>
      <rPr>
        <sz val="11"/>
        <color theme="1"/>
        <rFont val="Calibri"/>
        <family val="2"/>
      </rPr>
      <t xml:space="preserve"> </t>
    </r>
    <r>
      <rPr>
        <sz val="11"/>
        <color theme="1"/>
        <rFont val="等线"/>
        <family val="3"/>
        <charset val="134"/>
      </rPr>
      <t>错误。</t>
    </r>
    <r>
      <rPr>
        <sz val="11"/>
        <color theme="1"/>
        <rFont val="Calibri"/>
        <family val="2"/>
      </rPr>
      <t xml:space="preserve"> </t>
    </r>
    <r>
      <rPr>
        <sz val="11"/>
        <color theme="1"/>
        <rFont val="等线"/>
        <family val="3"/>
        <charset val="134"/>
      </rPr>
      <t>如果</t>
    </r>
    <r>
      <rPr>
        <sz val="11"/>
        <color theme="1"/>
        <rFont val="Calibri"/>
        <family val="2"/>
      </rPr>
      <t>row_num</t>
    </r>
    <r>
      <rPr>
        <sz val="11"/>
        <color theme="1"/>
        <rFont val="等线"/>
        <family val="3"/>
        <charset val="134"/>
      </rPr>
      <t>和</t>
    </r>
    <r>
      <rPr>
        <sz val="11"/>
        <color theme="1"/>
        <rFont val="Calibri"/>
        <family val="2"/>
      </rPr>
      <t>column_num</t>
    </r>
    <r>
      <rPr>
        <sz val="11"/>
        <color theme="1"/>
        <rFont val="等线"/>
        <family val="3"/>
        <charset val="134"/>
      </rPr>
      <t>，</t>
    </r>
    <r>
      <rPr>
        <sz val="11"/>
        <color theme="1"/>
        <rFont val="Calibri"/>
        <family val="2"/>
      </rPr>
      <t xml:space="preserve">INDEX </t>
    </r>
    <r>
      <rPr>
        <sz val="11"/>
        <color theme="1"/>
        <rFont val="等线"/>
        <family val="3"/>
        <charset val="134"/>
      </rPr>
      <t>将返回引用中由</t>
    </r>
    <r>
      <rPr>
        <sz val="11"/>
        <color theme="1"/>
        <rFont val="Calibri"/>
        <family val="2"/>
      </rPr>
      <t xml:space="preserve"> area_num</t>
    </r>
    <r>
      <rPr>
        <sz val="11"/>
        <color theme="1"/>
        <rFont val="等线"/>
        <family val="3"/>
        <charset val="134"/>
      </rPr>
      <t>。</t>
    </r>
  </si>
  <si>
    <r>
      <rPr>
        <sz val="11"/>
        <color theme="1"/>
        <rFont val="Segoe UI Symbol"/>
        <family val="2"/>
      </rPr>
      <t>◾</t>
    </r>
    <r>
      <rPr>
        <sz val="11"/>
        <color theme="1"/>
        <rFont val="等线"/>
        <family val="3"/>
        <charset val="134"/>
      </rPr>
      <t>函数</t>
    </r>
    <r>
      <rPr>
        <sz val="11"/>
        <color theme="1"/>
        <rFont val="Calibri"/>
        <family val="2"/>
      </rPr>
      <t xml:space="preserve"> INDEX </t>
    </r>
    <r>
      <rPr>
        <sz val="11"/>
        <color theme="1"/>
        <rFont val="等线"/>
        <family val="3"/>
        <charset val="134"/>
      </rPr>
      <t>的结果为一个引用，且在其他公式中也被解释为引用。</t>
    </r>
    <r>
      <rPr>
        <sz val="11"/>
        <color theme="1"/>
        <rFont val="Calibri"/>
        <family val="2"/>
      </rPr>
      <t xml:space="preserve"> </t>
    </r>
    <r>
      <rPr>
        <sz val="11"/>
        <color theme="1"/>
        <rFont val="等线"/>
        <family val="3"/>
        <charset val="134"/>
      </rPr>
      <t>根据公式的需要，函数</t>
    </r>
    <r>
      <rPr>
        <sz val="11"/>
        <color theme="1"/>
        <rFont val="Calibri"/>
        <family val="2"/>
      </rPr>
      <t xml:space="preserve"> INDEX </t>
    </r>
    <r>
      <rPr>
        <sz val="11"/>
        <color theme="1"/>
        <rFont val="等线"/>
        <family val="3"/>
        <charset val="134"/>
      </rPr>
      <t>的返回值可以作为引用或是数值。</t>
    </r>
    <r>
      <rPr>
        <sz val="11"/>
        <color theme="1"/>
        <rFont val="Calibri"/>
        <family val="2"/>
      </rPr>
      <t xml:space="preserve"> </t>
    </r>
  </si>
  <si>
    <r>
      <rPr>
        <sz val="11"/>
        <color theme="1"/>
        <rFont val="等线"/>
        <family val="3"/>
        <charset val="134"/>
      </rPr>
      <t>如果数组仅包含一行或一列，则相应的</t>
    </r>
    <r>
      <rPr>
        <sz val="11"/>
        <color theme="1"/>
        <rFont val="Calibri"/>
        <family val="2"/>
      </rPr>
      <t>row_num</t>
    </r>
    <r>
      <rPr>
        <sz val="11"/>
        <color theme="1"/>
        <rFont val="等线"/>
        <family val="3"/>
        <charset val="134"/>
      </rPr>
      <t>或</t>
    </r>
    <r>
      <rPr>
        <sz val="11"/>
        <color theme="1"/>
        <rFont val="Calibri"/>
        <family val="2"/>
      </rPr>
      <t>column_num</t>
    </r>
    <r>
      <rPr>
        <sz val="11"/>
        <color theme="1"/>
        <rFont val="等线"/>
        <family val="3"/>
        <charset val="134"/>
      </rPr>
      <t>参数是可选的。</t>
    </r>
  </si>
  <si>
    <r>
      <rPr>
        <sz val="11"/>
        <color theme="1"/>
        <rFont val="Segoe UI Symbol"/>
        <family val="2"/>
      </rPr>
      <t>◾</t>
    </r>
    <r>
      <rPr>
        <sz val="11"/>
        <color theme="1"/>
        <rFont val="等线"/>
        <family val="3"/>
        <charset val="134"/>
      </rPr>
      <t>如果同时使用</t>
    </r>
    <r>
      <rPr>
        <sz val="11"/>
        <color theme="1"/>
        <rFont val="Calibri"/>
        <family val="2"/>
      </rPr>
      <t xml:space="preserve"> row_num </t>
    </r>
    <r>
      <rPr>
        <sz val="11"/>
        <color theme="1"/>
        <rFont val="等线"/>
        <family val="3"/>
        <charset val="134"/>
      </rPr>
      <t>和</t>
    </r>
    <r>
      <rPr>
        <sz val="11"/>
        <color theme="1"/>
        <rFont val="Calibri"/>
        <family val="2"/>
      </rPr>
      <t xml:space="preserve"> column_num </t>
    </r>
    <r>
      <rPr>
        <sz val="11"/>
        <color theme="1"/>
        <rFont val="等线"/>
        <family val="3"/>
        <charset val="134"/>
      </rPr>
      <t>参数，</t>
    </r>
    <r>
      <rPr>
        <sz val="11"/>
        <color theme="1"/>
        <rFont val="Calibri"/>
        <family val="2"/>
      </rPr>
      <t xml:space="preserve">INDEX </t>
    </r>
    <r>
      <rPr>
        <sz val="11"/>
        <color theme="1"/>
        <rFont val="等线"/>
        <family val="3"/>
        <charset val="134"/>
      </rPr>
      <t>将返回单元格中两</t>
    </r>
    <r>
      <rPr>
        <sz val="11"/>
        <color theme="1"/>
        <rFont val="Calibri"/>
        <family val="2"/>
      </rPr>
      <t>row_num column_num</t>
    </r>
    <r>
      <rPr>
        <sz val="11"/>
        <color theme="1"/>
        <rFont val="等线"/>
        <family val="3"/>
        <charset val="134"/>
      </rPr>
      <t>。</t>
    </r>
  </si>
  <si>
    <r>
      <rPr>
        <sz val="11"/>
        <color theme="1"/>
        <rFont val="Segoe UI Symbol"/>
        <family val="2"/>
      </rPr>
      <t>◾</t>
    </r>
    <r>
      <rPr>
        <sz val="11"/>
        <color theme="1"/>
        <rFont val="Calibri"/>
        <family val="2"/>
      </rPr>
      <t>row_num</t>
    </r>
    <r>
      <rPr>
        <sz val="11"/>
        <color theme="1"/>
        <rFont val="等线"/>
        <family val="3"/>
        <charset val="134"/>
      </rPr>
      <t>和</t>
    </r>
    <r>
      <rPr>
        <sz val="11"/>
        <color theme="1"/>
        <rFont val="Calibri"/>
        <family val="2"/>
      </rPr>
      <t>column_num</t>
    </r>
    <r>
      <rPr>
        <sz val="11"/>
        <color theme="1"/>
        <rFont val="等线"/>
        <family val="3"/>
        <charset val="134"/>
      </rPr>
      <t>必须指向数组中的单元格</t>
    </r>
    <r>
      <rPr>
        <sz val="11"/>
        <color theme="1"/>
        <rFont val="Calibri"/>
        <family val="2"/>
      </rPr>
      <t>;</t>
    </r>
    <r>
      <rPr>
        <sz val="11"/>
        <color theme="1"/>
        <rFont val="等线"/>
        <family val="3"/>
        <charset val="134"/>
      </rPr>
      <t>否则，</t>
    </r>
    <r>
      <rPr>
        <sz val="11"/>
        <color theme="1"/>
        <rFont val="Calibri"/>
        <family val="2"/>
      </rPr>
      <t xml:space="preserve">INDEX </t>
    </r>
    <r>
      <rPr>
        <sz val="11"/>
        <color theme="1"/>
        <rFont val="等线"/>
        <family val="3"/>
        <charset val="134"/>
      </rPr>
      <t>返回</t>
    </r>
    <r>
      <rPr>
        <sz val="11"/>
        <color theme="1"/>
        <rFont val="Calibri"/>
        <family val="2"/>
      </rPr>
      <t>#REF</t>
    </r>
    <r>
      <rPr>
        <sz val="11"/>
        <color theme="1"/>
        <rFont val="等线"/>
        <family val="3"/>
        <charset val="134"/>
      </rPr>
      <t>！</t>
    </r>
    <r>
      <rPr>
        <sz val="11"/>
        <color theme="1"/>
        <rFont val="Calibri"/>
        <family val="2"/>
      </rPr>
      <t xml:space="preserve"> </t>
    </r>
    <r>
      <rPr>
        <sz val="11"/>
        <color theme="1"/>
        <rFont val="等线"/>
        <family val="3"/>
        <charset val="134"/>
      </rPr>
      <t>错误。</t>
    </r>
  </si>
  <si>
    <r>
      <rPr>
        <sz val="11"/>
        <color theme="1"/>
        <rFont val="Segoe UI Symbol"/>
        <family val="2"/>
      </rPr>
      <t>◾</t>
    </r>
    <r>
      <rPr>
        <sz val="11"/>
        <color theme="1"/>
        <rFont val="等线"/>
        <family val="3"/>
        <charset val="134"/>
      </rPr>
      <t>如果将值</t>
    </r>
    <r>
      <rPr>
        <sz val="11"/>
        <color theme="1"/>
        <rFont val="Calibri"/>
        <family val="2"/>
      </rPr>
      <t>row_num</t>
    </r>
    <r>
      <rPr>
        <sz val="11"/>
        <color theme="1"/>
        <rFont val="等线"/>
        <family val="3"/>
        <charset val="134"/>
      </rPr>
      <t>或</t>
    </r>
    <r>
      <rPr>
        <sz val="11"/>
        <color theme="1"/>
        <rFont val="Calibri"/>
        <family val="2"/>
      </rPr>
      <t>column_num</t>
    </r>
    <r>
      <rPr>
        <sz val="11"/>
        <color theme="1"/>
        <rFont val="等线"/>
        <family val="3"/>
        <charset val="134"/>
      </rPr>
      <t>为</t>
    </r>
    <r>
      <rPr>
        <sz val="11"/>
        <color theme="1"/>
        <rFont val="Calibri"/>
        <family val="2"/>
      </rPr>
      <t xml:space="preserve"> 0 (</t>
    </r>
    <r>
      <rPr>
        <sz val="11"/>
        <color theme="1"/>
        <rFont val="等线"/>
        <family val="3"/>
        <charset val="134"/>
      </rPr>
      <t>零</t>
    </r>
    <r>
      <rPr>
        <sz val="11"/>
        <color theme="1"/>
        <rFont val="Calibri"/>
        <family val="2"/>
      </rPr>
      <t xml:space="preserve">) </t>
    </r>
    <r>
      <rPr>
        <sz val="11"/>
        <color theme="1"/>
        <rFont val="等线"/>
        <family val="3"/>
        <charset val="134"/>
      </rPr>
      <t>，</t>
    </r>
    <r>
      <rPr>
        <sz val="11"/>
        <color theme="1"/>
        <rFont val="Calibri"/>
        <family val="2"/>
      </rPr>
      <t xml:space="preserve">INDEX </t>
    </r>
    <r>
      <rPr>
        <sz val="11"/>
        <color theme="1"/>
        <rFont val="等线"/>
        <family val="3"/>
        <charset val="134"/>
      </rPr>
      <t>将分别返回整列或整行的值数组。</t>
    </r>
    <r>
      <rPr>
        <sz val="11"/>
        <color theme="1"/>
        <rFont val="Calibri"/>
        <family val="2"/>
      </rPr>
      <t xml:space="preserve"> </t>
    </r>
    <r>
      <rPr>
        <sz val="11"/>
        <color theme="1"/>
        <rFont val="等线"/>
        <family val="3"/>
        <charset val="134"/>
      </rPr>
      <t>若要使用作为数组返回的值，请输入</t>
    </r>
    <r>
      <rPr>
        <sz val="11"/>
        <color theme="1"/>
        <rFont val="Calibri"/>
        <family val="2"/>
      </rPr>
      <t xml:space="preserve"> INDEX </t>
    </r>
    <r>
      <rPr>
        <sz val="11"/>
        <color theme="1"/>
        <rFont val="等线"/>
        <family val="3"/>
        <charset val="134"/>
      </rPr>
      <t>函数作为数组公式。</t>
    </r>
  </si>
  <si>
    <r>
      <rPr>
        <sz val="11"/>
        <color theme="1"/>
        <rFont val="Segoe UI Symbol"/>
        <family val="2"/>
      </rPr>
      <t>◾</t>
    </r>
    <r>
      <rPr>
        <sz val="11"/>
        <color theme="1"/>
        <rFont val="等线"/>
        <family val="3"/>
        <charset val="134"/>
      </rPr>
      <t>按 Ctrl+Shift+Enter 进行确认，才能将公式作为旧数组公式输入。</t>
    </r>
  </si>
  <si>
    <t>向量形式</t>
  </si>
  <si>
    <t>LOOKUP 在第一个向量中搜索的值。 Lookup_value 可以是数字、文本、逻辑值、名称或对值的引用。</t>
  </si>
  <si>
    <t>looup_vector</t>
  </si>
  <si>
    <t>只包含一行或一列的区域。 lookup_vector 中的值可以是文本、数字或逻辑值。</t>
  </si>
  <si>
    <t>[result_vector]</t>
  </si>
  <si>
    <t>只包含一行或一列的区域。 result_vector 参数必须与 lookup_vector 参数大小相同。 其大小必须相同。</t>
  </si>
  <si>
    <r>
      <rPr>
        <sz val="11"/>
        <color theme="1"/>
        <rFont val="Segoe UI Symbol"/>
        <family val="2"/>
      </rPr>
      <t>◾</t>
    </r>
    <r>
      <rPr>
        <sz val="11"/>
        <color theme="1"/>
        <rFont val="等线"/>
        <family val="3"/>
        <charset val="134"/>
      </rPr>
      <t>重要: lookup_vector 中的值必须按升序排列：..., -2, -1, 0, 1, 2, ..., A-Z, FALSE, TRUE；否则，LOOKUP 可能无法返回正确的值。 文本不区分大小写。</t>
    </r>
  </si>
  <si>
    <r>
      <rPr>
        <sz val="11"/>
        <color theme="1"/>
        <rFont val="Segoe UI Symbol"/>
        <family val="2"/>
      </rPr>
      <t>◾</t>
    </r>
    <r>
      <rPr>
        <sz val="11"/>
        <color theme="1"/>
        <rFont val="等线"/>
        <family val="3"/>
        <charset val="134"/>
      </rPr>
      <t>result_vector 参数必须与 lookup_vector 参数大小相同。 其大小必须相同。</t>
    </r>
  </si>
  <si>
    <r>
      <rPr>
        <sz val="11"/>
        <color theme="1"/>
        <rFont val="Segoe UI Symbol"/>
        <family val="2"/>
      </rPr>
      <t>◾</t>
    </r>
    <r>
      <rPr>
        <sz val="11"/>
        <color theme="1"/>
        <rFont val="等线"/>
        <family val="3"/>
        <charset val="134"/>
      </rPr>
      <t>如果</t>
    </r>
    <r>
      <rPr>
        <sz val="11"/>
        <color theme="1"/>
        <rFont val="Calibri"/>
        <family val="2"/>
      </rPr>
      <t xml:space="preserve"> LOOKUP </t>
    </r>
    <r>
      <rPr>
        <sz val="11"/>
        <color theme="1"/>
        <rFont val="等线"/>
        <family val="3"/>
        <charset val="134"/>
      </rPr>
      <t>函数找不到</t>
    </r>
    <r>
      <rPr>
        <sz val="11"/>
        <color theme="1"/>
        <rFont val="Calibri"/>
        <family val="2"/>
      </rPr>
      <t xml:space="preserve"> lookup_value</t>
    </r>
    <r>
      <rPr>
        <sz val="11"/>
        <color theme="1"/>
        <rFont val="等线"/>
        <family val="3"/>
        <charset val="134"/>
      </rPr>
      <t>，则该函数会与</t>
    </r>
    <r>
      <rPr>
        <sz val="11"/>
        <color theme="1"/>
        <rFont val="Calibri"/>
        <family val="2"/>
      </rPr>
      <t xml:space="preserve"> lookup_vector </t>
    </r>
    <r>
      <rPr>
        <sz val="11"/>
        <color theme="1"/>
        <rFont val="等线"/>
        <family val="3"/>
        <charset val="134"/>
      </rPr>
      <t>中小于或等于</t>
    </r>
    <r>
      <rPr>
        <sz val="11"/>
        <color theme="1"/>
        <rFont val="Calibri"/>
        <family val="2"/>
      </rPr>
      <t xml:space="preserve"> lookup_value </t>
    </r>
    <r>
      <rPr>
        <sz val="11"/>
        <color theme="1"/>
        <rFont val="等线"/>
        <family val="3"/>
        <charset val="134"/>
      </rPr>
      <t>的最大值进行匹配。</t>
    </r>
  </si>
  <si>
    <r>
      <rPr>
        <sz val="11"/>
        <color theme="1"/>
        <rFont val="Segoe UI Symbol"/>
        <family val="2"/>
      </rPr>
      <t>◾</t>
    </r>
    <r>
      <rPr>
        <sz val="11"/>
        <color theme="1"/>
        <rFont val="等线"/>
        <family val="3"/>
        <charset val="134"/>
      </rPr>
      <t>如果</t>
    </r>
    <r>
      <rPr>
        <sz val="11"/>
        <color theme="1"/>
        <rFont val="Calibri"/>
        <family val="2"/>
      </rPr>
      <t xml:space="preserve"> lookup_value </t>
    </r>
    <r>
      <rPr>
        <sz val="11"/>
        <color theme="1"/>
        <rFont val="等线"/>
        <family val="3"/>
        <charset val="134"/>
      </rPr>
      <t>小于</t>
    </r>
    <r>
      <rPr>
        <sz val="11"/>
        <color theme="1"/>
        <rFont val="Calibri"/>
        <family val="2"/>
      </rPr>
      <t xml:space="preserve"> lookup_vector </t>
    </r>
    <r>
      <rPr>
        <sz val="11"/>
        <color theme="1"/>
        <rFont val="等线"/>
        <family val="3"/>
        <charset val="134"/>
      </rPr>
      <t>中的最小值，则</t>
    </r>
    <r>
      <rPr>
        <sz val="11"/>
        <color theme="1"/>
        <rFont val="Calibri"/>
        <family val="2"/>
      </rPr>
      <t xml:space="preserve"> LOOKUP </t>
    </r>
    <r>
      <rPr>
        <sz val="11"/>
        <color theme="1"/>
        <rFont val="等线"/>
        <family val="3"/>
        <charset val="134"/>
      </rPr>
      <t>会返回</t>
    </r>
    <r>
      <rPr>
        <sz val="11"/>
        <color theme="1"/>
        <rFont val="Calibri"/>
        <family val="2"/>
      </rPr>
      <t xml:space="preserve"> #N/A </t>
    </r>
    <r>
      <rPr>
        <sz val="11"/>
        <color theme="1"/>
        <rFont val="等线"/>
        <family val="3"/>
        <charset val="134"/>
      </rPr>
      <t>错误值。</t>
    </r>
  </si>
  <si>
    <t>/=LOOKUP(lookup_value, array)</t>
  </si>
  <si>
    <t>LOOKUP 在数组中搜索的值。 lookup_value 参数可以是数字、文本、逻辑值、名称或对值的引用。</t>
  </si>
  <si>
    <t>包含要与 lookup_value 进行比较的文本、数字或逻辑值的单元格区域。</t>
  </si>
  <si>
    <r>
      <rPr>
        <sz val="11"/>
        <color theme="1"/>
        <rFont val="Segoe UI Symbol"/>
        <family val="2"/>
      </rPr>
      <t>◾</t>
    </r>
    <r>
      <rPr>
        <sz val="11"/>
        <color theme="1"/>
        <rFont val="等线"/>
        <family val="3"/>
        <charset val="134"/>
      </rPr>
      <t>如果</t>
    </r>
    <r>
      <rPr>
        <sz val="11"/>
        <color theme="1"/>
        <rFont val="Calibri"/>
        <family val="2"/>
      </rPr>
      <t xml:space="preserve"> LOOKUP </t>
    </r>
    <r>
      <rPr>
        <sz val="11"/>
        <color theme="1"/>
        <rFont val="等线"/>
        <family val="3"/>
        <charset val="134"/>
      </rPr>
      <t>找不到</t>
    </r>
    <r>
      <rPr>
        <sz val="11"/>
        <color theme="1"/>
        <rFont val="Calibri"/>
        <family val="2"/>
      </rPr>
      <t xml:space="preserve"> lookup_value </t>
    </r>
    <r>
      <rPr>
        <sz val="11"/>
        <color theme="1"/>
        <rFont val="等线"/>
        <family val="3"/>
        <charset val="134"/>
      </rPr>
      <t>的值，它会使用数组中小于或等于</t>
    </r>
    <r>
      <rPr>
        <sz val="11"/>
        <color theme="1"/>
        <rFont val="Calibri"/>
        <family val="2"/>
      </rPr>
      <t xml:space="preserve"> lookup_value </t>
    </r>
    <r>
      <rPr>
        <sz val="11"/>
        <color theme="1"/>
        <rFont val="等线"/>
        <family val="3"/>
        <charset val="134"/>
      </rPr>
      <t>的最大值。</t>
    </r>
  </si>
  <si>
    <r>
      <rPr>
        <sz val="11"/>
        <color theme="1"/>
        <rFont val="Segoe UI Symbol"/>
        <family val="2"/>
      </rPr>
      <t>◾</t>
    </r>
    <r>
      <rPr>
        <sz val="11"/>
        <color theme="1"/>
        <rFont val="等线"/>
        <family val="3"/>
        <charset val="134"/>
      </rPr>
      <t>如果</t>
    </r>
    <r>
      <rPr>
        <sz val="11"/>
        <color theme="1"/>
        <rFont val="Calibri"/>
        <family val="2"/>
      </rPr>
      <t xml:space="preserve"> lookup_value </t>
    </r>
    <r>
      <rPr>
        <sz val="11"/>
        <color theme="1"/>
        <rFont val="等线"/>
        <family val="3"/>
        <charset val="134"/>
      </rPr>
      <t>的值小于第一行或第一列中的最小值（取决于数组维度），</t>
    </r>
    <r>
      <rPr>
        <sz val="11"/>
        <color theme="1"/>
        <rFont val="Calibri"/>
        <family val="2"/>
      </rPr>
      <t xml:space="preserve">LOOKUP </t>
    </r>
    <r>
      <rPr>
        <sz val="11"/>
        <color theme="1"/>
        <rFont val="等线"/>
        <family val="3"/>
        <charset val="134"/>
      </rPr>
      <t>会返回</t>
    </r>
    <r>
      <rPr>
        <sz val="11"/>
        <color theme="1"/>
        <rFont val="Calibri"/>
        <family val="2"/>
      </rPr>
      <t xml:space="preserve"> #N/A </t>
    </r>
    <r>
      <rPr>
        <sz val="11"/>
        <color theme="1"/>
        <rFont val="等线"/>
        <family val="3"/>
        <charset val="134"/>
      </rPr>
      <t>错误值。</t>
    </r>
  </si>
  <si>
    <t>find查找a6</t>
  </si>
  <si>
    <t>SEARCH查找a6</t>
  </si>
  <si>
    <t>1a6</t>
  </si>
  <si>
    <t>a65</t>
  </si>
  <si>
    <t>c16</t>
  </si>
  <si>
    <t>find_text</t>
  </si>
  <si>
    <t xml:space="preserve"> 要查找的文本。</t>
  </si>
  <si>
    <t>A6e5f4</t>
  </si>
  <si>
    <t>cv1</t>
  </si>
  <si>
    <t>within_text</t>
  </si>
  <si>
    <t>包含要查找文本的文本。</t>
  </si>
  <si>
    <t>[start_num]</t>
  </si>
  <si>
    <t>指定开始进行查找的字符。 within_text 中的首字符是编号为 1 的字符。 如果省略 start_num，则假定其值为 1。</t>
  </si>
  <si>
    <r>
      <rPr>
        <sz val="11"/>
        <color theme="1"/>
        <rFont val="Segoe UI Symbol"/>
        <family val="2"/>
      </rPr>
      <t>◾</t>
    </r>
    <r>
      <rPr>
        <sz val="11"/>
        <color theme="1"/>
        <rFont val="Calibri"/>
        <family val="2"/>
      </rPr>
      <t xml:space="preserve">FIND </t>
    </r>
    <r>
      <rPr>
        <sz val="11"/>
        <color theme="1"/>
        <rFont val="等线"/>
        <family val="3"/>
        <charset val="134"/>
      </rPr>
      <t>和</t>
    </r>
    <r>
      <rPr>
        <sz val="11"/>
        <color theme="1"/>
        <rFont val="Calibri"/>
        <family val="2"/>
      </rPr>
      <t xml:space="preserve"> FINDB </t>
    </r>
    <r>
      <rPr>
        <sz val="11"/>
        <color theme="1"/>
        <rFont val="等线"/>
        <family val="3"/>
        <charset val="134"/>
      </rPr>
      <t>区分大小写，并且不允许使用通配符。</t>
    </r>
    <r>
      <rPr>
        <sz val="11"/>
        <color theme="1"/>
        <rFont val="Calibri"/>
        <family val="2"/>
      </rPr>
      <t xml:space="preserve"> </t>
    </r>
    <r>
      <rPr>
        <sz val="11"/>
        <color theme="1"/>
        <rFont val="等线"/>
        <family val="3"/>
        <charset val="134"/>
      </rPr>
      <t>如果您不希望执行区分大小写的搜索或使用通配符，则可以使用</t>
    </r>
    <r>
      <rPr>
        <sz val="11"/>
        <color theme="1"/>
        <rFont val="Calibri"/>
        <family val="2"/>
      </rPr>
      <t xml:space="preserve"> SEARCH </t>
    </r>
    <r>
      <rPr>
        <sz val="11"/>
        <color theme="1"/>
        <rFont val="等线"/>
        <family val="3"/>
        <charset val="134"/>
      </rPr>
      <t>和</t>
    </r>
    <r>
      <rPr>
        <sz val="11"/>
        <color theme="1"/>
        <rFont val="Calibri"/>
        <family val="2"/>
      </rPr>
      <t xml:space="preserve"> SEARCHB </t>
    </r>
    <r>
      <rPr>
        <sz val="11"/>
        <color theme="1"/>
        <rFont val="等线"/>
        <family val="3"/>
        <charset val="134"/>
      </rPr>
      <t>函数。</t>
    </r>
  </si>
  <si>
    <r>
      <rPr>
        <sz val="11"/>
        <color theme="1"/>
        <rFont val="Segoe UI Symbol"/>
        <family val="2"/>
      </rPr>
      <t>◾</t>
    </r>
    <r>
      <rPr>
        <sz val="11"/>
        <color theme="1"/>
        <rFont val="等线"/>
        <family val="3"/>
        <charset val="134"/>
      </rPr>
      <t>如果</t>
    </r>
    <r>
      <rPr>
        <sz val="11"/>
        <color theme="1"/>
        <rFont val="Calibri"/>
        <family val="2"/>
      </rPr>
      <t xml:space="preserve"> find_text </t>
    </r>
    <r>
      <rPr>
        <sz val="11"/>
        <color theme="1"/>
        <rFont val="等线"/>
        <family val="3"/>
        <charset val="134"/>
      </rPr>
      <t>为空文本</t>
    </r>
    <r>
      <rPr>
        <sz val="11"/>
        <color theme="1"/>
        <rFont val="Calibri"/>
        <family val="2"/>
      </rPr>
      <t xml:space="preserve"> ("")</t>
    </r>
    <r>
      <rPr>
        <sz val="11"/>
        <color theme="1"/>
        <rFont val="等线"/>
        <family val="3"/>
        <charset val="134"/>
      </rPr>
      <t>，则</t>
    </r>
    <r>
      <rPr>
        <sz val="11"/>
        <color theme="1"/>
        <rFont val="Calibri"/>
        <family val="2"/>
      </rPr>
      <t xml:space="preserve"> FIND </t>
    </r>
    <r>
      <rPr>
        <sz val="11"/>
        <color theme="1"/>
        <rFont val="等线"/>
        <family val="3"/>
        <charset val="134"/>
      </rPr>
      <t>会匹配搜索字符串中的首字符（即编号为</t>
    </r>
    <r>
      <rPr>
        <sz val="11"/>
        <color theme="1"/>
        <rFont val="Calibri"/>
        <family val="2"/>
      </rPr>
      <t xml:space="preserve"> start_num </t>
    </r>
    <r>
      <rPr>
        <sz val="11"/>
        <color theme="1"/>
        <rFont val="等线"/>
        <family val="3"/>
        <charset val="134"/>
      </rPr>
      <t>或</t>
    </r>
    <r>
      <rPr>
        <sz val="11"/>
        <color theme="1"/>
        <rFont val="Calibri"/>
        <family val="2"/>
      </rPr>
      <t xml:space="preserve"> 1 </t>
    </r>
    <r>
      <rPr>
        <sz val="11"/>
        <color theme="1"/>
        <rFont val="等线"/>
        <family val="3"/>
        <charset val="134"/>
      </rPr>
      <t>的字符）。</t>
    </r>
  </si>
  <si>
    <r>
      <rPr>
        <sz val="11"/>
        <color theme="1"/>
        <rFont val="Segoe UI Symbol"/>
        <family val="2"/>
      </rPr>
      <t>◾</t>
    </r>
    <r>
      <rPr>
        <sz val="11"/>
        <color theme="1"/>
        <rFont val="Calibri"/>
        <family val="2"/>
      </rPr>
      <t xml:space="preserve">Find_text </t>
    </r>
    <r>
      <rPr>
        <sz val="11"/>
        <color theme="1"/>
        <rFont val="等线"/>
        <family val="3"/>
        <charset val="134"/>
      </rPr>
      <t>不能包含任何通配符。</t>
    </r>
  </si>
  <si>
    <r>
      <rPr>
        <sz val="11"/>
        <color theme="1"/>
        <rFont val="Segoe UI Symbol"/>
        <family val="2"/>
      </rPr>
      <t>◾</t>
    </r>
    <r>
      <rPr>
        <sz val="11"/>
        <color theme="1"/>
        <rFont val="等线"/>
        <family val="3"/>
        <charset val="134"/>
      </rPr>
      <t>如果</t>
    </r>
    <r>
      <rPr>
        <sz val="11"/>
        <color theme="1"/>
        <rFont val="Calibri"/>
        <family val="2"/>
      </rPr>
      <t>find_text</t>
    </r>
    <r>
      <rPr>
        <sz val="11"/>
        <color theme="1"/>
        <rFont val="等线"/>
        <family val="3"/>
        <charset val="134"/>
      </rPr>
      <t>中未显示</t>
    </r>
    <r>
      <rPr>
        <sz val="11"/>
        <color theme="1"/>
        <rFont val="Calibri"/>
        <family val="2"/>
      </rPr>
      <t>within_text</t>
    </r>
    <r>
      <rPr>
        <sz val="11"/>
        <color theme="1"/>
        <rFont val="等线"/>
        <family val="3"/>
        <charset val="134"/>
      </rPr>
      <t>，则</t>
    </r>
    <r>
      <rPr>
        <sz val="11"/>
        <color theme="1"/>
        <rFont val="Calibri"/>
        <family val="2"/>
      </rPr>
      <t xml:space="preserve"> FIND </t>
    </r>
    <r>
      <rPr>
        <sz val="11"/>
        <color theme="1"/>
        <rFont val="等线"/>
        <family val="3"/>
        <charset val="134"/>
      </rPr>
      <t>和</t>
    </r>
    <r>
      <rPr>
        <sz val="11"/>
        <color theme="1"/>
        <rFont val="Calibri"/>
        <family val="2"/>
      </rPr>
      <t xml:space="preserve"> FINDB </t>
    </r>
    <r>
      <rPr>
        <sz val="11"/>
        <color theme="1"/>
        <rFont val="等线"/>
        <family val="3"/>
        <charset val="134"/>
      </rPr>
      <t>返回</t>
    </r>
    <r>
      <rPr>
        <sz val="11"/>
        <color theme="1"/>
        <rFont val="Calibri"/>
        <family val="2"/>
      </rPr>
      <t>#VALUE</t>
    </r>
    <r>
      <rPr>
        <sz val="11"/>
        <color theme="1"/>
        <rFont val="等线"/>
        <family val="3"/>
        <charset val="134"/>
      </rPr>
      <t>！</t>
    </r>
    <r>
      <rPr>
        <sz val="11"/>
        <color theme="1"/>
        <rFont val="Calibri"/>
        <family val="2"/>
      </rPr>
      <t xml:space="preserve"> </t>
    </r>
    <r>
      <rPr>
        <sz val="11"/>
        <color theme="1"/>
        <rFont val="等线"/>
        <family val="3"/>
        <charset val="134"/>
      </rPr>
      <t>错误值。</t>
    </r>
  </si>
  <si>
    <r>
      <rPr>
        <sz val="11"/>
        <color theme="1"/>
        <rFont val="Segoe UI Symbol"/>
        <family val="2"/>
      </rPr>
      <t>◾</t>
    </r>
    <r>
      <rPr>
        <sz val="11"/>
        <color theme="1"/>
        <rFont val="等线"/>
        <family val="3"/>
        <charset val="134"/>
      </rPr>
      <t>如果</t>
    </r>
    <r>
      <rPr>
        <sz val="11"/>
        <color theme="1"/>
        <rFont val="Calibri"/>
        <family val="2"/>
      </rPr>
      <t>start_num</t>
    </r>
    <r>
      <rPr>
        <sz val="11"/>
        <color theme="1"/>
        <rFont val="等线"/>
        <family val="3"/>
        <charset val="134"/>
      </rPr>
      <t>不大于零，则</t>
    </r>
    <r>
      <rPr>
        <sz val="11"/>
        <color theme="1"/>
        <rFont val="Calibri"/>
        <family val="2"/>
      </rPr>
      <t xml:space="preserve"> FIND </t>
    </r>
    <r>
      <rPr>
        <sz val="11"/>
        <color theme="1"/>
        <rFont val="等线"/>
        <family val="3"/>
        <charset val="134"/>
      </rPr>
      <t>和</t>
    </r>
    <r>
      <rPr>
        <sz val="11"/>
        <color theme="1"/>
        <rFont val="Calibri"/>
        <family val="2"/>
      </rPr>
      <t xml:space="preserve"> FINDB </t>
    </r>
    <r>
      <rPr>
        <sz val="11"/>
        <color theme="1"/>
        <rFont val="等线"/>
        <family val="3"/>
        <charset val="134"/>
      </rPr>
      <t>返回</t>
    </r>
    <r>
      <rPr>
        <sz val="11"/>
        <color theme="1"/>
        <rFont val="Calibri"/>
        <family val="2"/>
      </rPr>
      <t>#VALUE</t>
    </r>
    <r>
      <rPr>
        <sz val="11"/>
        <color theme="1"/>
        <rFont val="等线"/>
        <family val="3"/>
        <charset val="134"/>
      </rPr>
      <t>！</t>
    </r>
    <r>
      <rPr>
        <sz val="11"/>
        <color theme="1"/>
        <rFont val="Calibri"/>
        <family val="2"/>
      </rPr>
      <t xml:space="preserve"> </t>
    </r>
    <r>
      <rPr>
        <sz val="11"/>
        <color theme="1"/>
        <rFont val="等线"/>
        <family val="3"/>
        <charset val="134"/>
      </rPr>
      <t>错误值。</t>
    </r>
  </si>
  <si>
    <r>
      <rPr>
        <sz val="11"/>
        <color theme="1"/>
        <rFont val="Segoe UI Symbol"/>
        <family val="2"/>
      </rPr>
      <t>◾</t>
    </r>
    <r>
      <rPr>
        <sz val="11"/>
        <color theme="1"/>
        <rFont val="等线"/>
        <family val="3"/>
        <charset val="134"/>
      </rPr>
      <t>如果</t>
    </r>
    <r>
      <rPr>
        <sz val="11"/>
        <color theme="1"/>
        <rFont val="Calibri"/>
        <family val="2"/>
      </rPr>
      <t>start_num</t>
    </r>
    <r>
      <rPr>
        <sz val="11"/>
        <color theme="1"/>
        <rFont val="等线"/>
        <family val="3"/>
        <charset val="134"/>
      </rPr>
      <t>大于最大长度，则</t>
    </r>
    <r>
      <rPr>
        <sz val="11"/>
        <color theme="1"/>
        <rFont val="Calibri"/>
        <family val="2"/>
      </rPr>
      <t xml:space="preserve"> FIND within_text FINDB </t>
    </r>
    <r>
      <rPr>
        <sz val="11"/>
        <color theme="1"/>
        <rFont val="等线"/>
        <family val="3"/>
        <charset val="134"/>
      </rPr>
      <t>返回</t>
    </r>
    <r>
      <rPr>
        <sz val="11"/>
        <color theme="1"/>
        <rFont val="Calibri"/>
        <family val="2"/>
      </rPr>
      <t>#VALUE</t>
    </r>
    <r>
      <rPr>
        <sz val="11"/>
        <color theme="1"/>
        <rFont val="等线"/>
        <family val="3"/>
        <charset val="134"/>
      </rPr>
      <t>！</t>
    </r>
    <r>
      <rPr>
        <sz val="11"/>
        <color theme="1"/>
        <rFont val="Calibri"/>
        <family val="2"/>
      </rPr>
      <t xml:space="preserve"> </t>
    </r>
    <r>
      <rPr>
        <sz val="11"/>
        <color theme="1"/>
        <rFont val="等线"/>
        <family val="3"/>
        <charset val="134"/>
      </rPr>
      <t>错误值。</t>
    </r>
  </si>
  <si>
    <r>
      <rPr>
        <sz val="11"/>
        <color theme="1"/>
        <rFont val="Segoe UI Symbol"/>
        <family val="2"/>
      </rPr>
      <t>◾</t>
    </r>
    <r>
      <rPr>
        <sz val="11"/>
        <color theme="1"/>
        <rFont val="等线"/>
        <family val="3"/>
        <charset val="134"/>
      </rPr>
      <t>可以使用</t>
    </r>
    <r>
      <rPr>
        <sz val="11"/>
        <color theme="1"/>
        <rFont val="Calibri"/>
        <family val="2"/>
      </rPr>
      <t xml:space="preserve"> start_num </t>
    </r>
    <r>
      <rPr>
        <sz val="11"/>
        <color theme="1"/>
        <rFont val="等线"/>
        <family val="3"/>
        <charset val="134"/>
      </rPr>
      <t>来跳过指定数目的字符。</t>
    </r>
  </si>
  <si>
    <t>要基于偏移量的引用。 引用必须引用单元格或相邻单元格区域;否则，OFFSET 返回#VALUE！ 错误值。</t>
  </si>
  <si>
    <t>需要左上角单元格引用的向上或向下行数。</t>
  </si>
  <si>
    <t>cols</t>
  </si>
  <si>
    <t>要结果的左上角单元格引用的从左到右的列数。</t>
  </si>
  <si>
    <t>[hight]</t>
  </si>
  <si>
    <t>需要返回的引用的行高。 Height 必须为正数。</t>
  </si>
  <si>
    <t>[width]</t>
  </si>
  <si>
    <t>需要返回的引用的列宽。 Width 必须为正数。</t>
  </si>
  <si>
    <r>
      <rPr>
        <sz val="11"/>
        <color theme="1"/>
        <rFont val="Segoe UI Symbol"/>
        <family val="2"/>
      </rPr>
      <t>◾</t>
    </r>
    <r>
      <rPr>
        <sz val="11"/>
        <color theme="1"/>
        <rFont val="等线"/>
        <family val="3"/>
        <charset val="134"/>
      </rPr>
      <t>如果工作表边缘上的行和</t>
    </r>
    <r>
      <rPr>
        <sz val="11"/>
        <color theme="1"/>
        <rFont val="Calibri"/>
        <family val="2"/>
      </rPr>
      <t xml:space="preserve"> cols </t>
    </r>
    <r>
      <rPr>
        <sz val="11"/>
        <color theme="1"/>
        <rFont val="等线"/>
        <family val="3"/>
        <charset val="134"/>
      </rPr>
      <t>偏移引用，</t>
    </r>
    <r>
      <rPr>
        <sz val="11"/>
        <color theme="1"/>
        <rFont val="Calibri"/>
        <family val="2"/>
      </rPr>
      <t xml:space="preserve">OFFSET </t>
    </r>
    <r>
      <rPr>
        <sz val="11"/>
        <color theme="1"/>
        <rFont val="等线"/>
        <family val="3"/>
        <charset val="134"/>
      </rPr>
      <t>返回</t>
    </r>
    <r>
      <rPr>
        <sz val="11"/>
        <color theme="1"/>
        <rFont val="Calibri"/>
        <family val="2"/>
      </rPr>
      <t>#REF</t>
    </r>
    <r>
      <rPr>
        <sz val="11"/>
        <color theme="1"/>
        <rFont val="等线"/>
        <family val="3"/>
        <charset val="134"/>
      </rPr>
      <t>！</t>
    </r>
    <r>
      <rPr>
        <sz val="11"/>
        <color theme="1"/>
        <rFont val="Calibri"/>
        <family val="2"/>
      </rPr>
      <t xml:space="preserve"> </t>
    </r>
    <r>
      <rPr>
        <sz val="11"/>
        <color theme="1"/>
        <rFont val="等线"/>
        <family val="3"/>
        <charset val="134"/>
      </rPr>
      <t>错误值。</t>
    </r>
  </si>
  <si>
    <r>
      <rPr>
        <sz val="11"/>
        <color theme="1"/>
        <rFont val="Segoe UI Symbol"/>
        <family val="2"/>
      </rPr>
      <t>◾</t>
    </r>
    <r>
      <rPr>
        <sz val="11"/>
        <color theme="1"/>
        <rFont val="等线"/>
        <family val="3"/>
        <charset val="134"/>
      </rPr>
      <t>如果省略</t>
    </r>
    <r>
      <rPr>
        <sz val="11"/>
        <color theme="1"/>
        <rFont val="Calibri"/>
        <family val="2"/>
      </rPr>
      <t xml:space="preserve"> height </t>
    </r>
    <r>
      <rPr>
        <sz val="11"/>
        <color theme="1"/>
        <rFont val="等线"/>
        <family val="3"/>
        <charset val="134"/>
      </rPr>
      <t>或</t>
    </r>
    <r>
      <rPr>
        <sz val="11"/>
        <color theme="1"/>
        <rFont val="Calibri"/>
        <family val="2"/>
      </rPr>
      <t xml:space="preserve"> width</t>
    </r>
    <r>
      <rPr>
        <sz val="11"/>
        <color theme="1"/>
        <rFont val="等线"/>
        <family val="3"/>
        <charset val="134"/>
      </rPr>
      <t>，则假设其高度或宽度与</t>
    </r>
    <r>
      <rPr>
        <sz val="11"/>
        <color theme="1"/>
        <rFont val="Calibri"/>
        <family val="2"/>
      </rPr>
      <t xml:space="preserve"> reference </t>
    </r>
    <r>
      <rPr>
        <sz val="11"/>
        <color theme="1"/>
        <rFont val="等线"/>
        <family val="3"/>
        <charset val="134"/>
      </rPr>
      <t>相同。</t>
    </r>
  </si>
  <si>
    <r>
      <rPr>
        <sz val="11"/>
        <color theme="1"/>
        <rFont val="Segoe UI Symbol"/>
        <family val="2"/>
      </rPr>
      <t>◾</t>
    </r>
    <r>
      <rPr>
        <sz val="11"/>
        <color theme="1"/>
        <rFont val="Calibri"/>
        <family val="2"/>
      </rPr>
      <t xml:space="preserve">OFFSET </t>
    </r>
    <r>
      <rPr>
        <sz val="11"/>
        <color theme="1"/>
        <rFont val="等线"/>
        <family val="3"/>
        <charset val="134"/>
      </rPr>
      <t>实际上并不移动任何单元格或更改选定区域；它只是返回一个引用。</t>
    </r>
    <r>
      <rPr>
        <sz val="11"/>
        <color theme="1"/>
        <rFont val="Calibri"/>
        <family val="2"/>
      </rPr>
      <t xml:space="preserve"> OFFSET </t>
    </r>
    <r>
      <rPr>
        <sz val="11"/>
        <color theme="1"/>
        <rFont val="等线"/>
        <family val="3"/>
        <charset val="134"/>
      </rPr>
      <t>可以与任何期待引用参数的函数一起使用。</t>
    </r>
  </si>
  <si>
    <t>一个代表开始日期的日期。</t>
  </si>
  <si>
    <t>一个代表终止日期的日期。</t>
  </si>
  <si>
    <t>[holidays]</t>
  </si>
  <si>
    <t>不在工作日历中的一个或多个日期所构成的可选区域，</t>
  </si>
  <si>
    <r>
      <rPr>
        <sz val="11"/>
        <color theme="1"/>
        <rFont val="Segoe UI Symbol"/>
        <family val="2"/>
      </rPr>
      <t>◾</t>
    </r>
    <r>
      <rPr>
        <sz val="11"/>
        <color theme="1"/>
        <rFont val="等线"/>
        <family val="3"/>
        <charset val="134"/>
      </rPr>
      <t>如果任一参数不是有效日期，则</t>
    </r>
    <r>
      <rPr>
        <sz val="11"/>
        <color theme="1"/>
        <rFont val="Calibri"/>
        <family val="2"/>
      </rPr>
      <t xml:space="preserve"> NETWORKDAYS </t>
    </r>
    <r>
      <rPr>
        <sz val="11"/>
        <color theme="1"/>
        <rFont val="等线"/>
        <family val="3"/>
        <charset val="134"/>
      </rPr>
      <t>返回</t>
    </r>
    <r>
      <rPr>
        <sz val="11"/>
        <color theme="1"/>
        <rFont val="Calibri"/>
        <family val="2"/>
      </rPr>
      <t>#VALUE</t>
    </r>
    <r>
      <rPr>
        <sz val="11"/>
        <color theme="1"/>
        <rFont val="等线"/>
        <family val="3"/>
        <charset val="134"/>
      </rPr>
      <t>！</t>
    </r>
    <r>
      <rPr>
        <sz val="11"/>
        <color theme="1"/>
        <rFont val="Calibri"/>
        <family val="2"/>
      </rPr>
      <t xml:space="preserve"> </t>
    </r>
    <r>
      <rPr>
        <sz val="11"/>
        <color theme="1"/>
        <rFont val="等线"/>
        <family val="3"/>
        <charset val="134"/>
      </rPr>
      <t>错误值。</t>
    </r>
  </si>
  <si>
    <t>年</t>
  </si>
  <si>
    <t>月</t>
  </si>
  <si>
    <t>日</t>
  </si>
  <si>
    <t>year</t>
  </si>
  <si>
    <t xml:space="preserve"> year 参数 的值可以包含 1 到 4 个数字。 Excel 根据 计算机使用 的日期系统解释 year 参数。 默认情况下，Microsoft Excel for Windows 使用 1900 日期系统，这意味着第一个日期是 1900 年 1 月 1 日。</t>
  </si>
  <si>
    <t>month</t>
  </si>
  <si>
    <t xml:space="preserve"> 一个正整数或负整数，表示一年中从 1 月至 12 月（一月到十二月）的各个月。</t>
  </si>
  <si>
    <t>day</t>
  </si>
  <si>
    <t>一个正整数或负整数，表示一月中从 1 日到 31 日的各天。</t>
  </si>
  <si>
    <r>
      <rPr>
        <sz val="11"/>
        <color theme="1"/>
        <rFont val="Segoe UI Symbol"/>
        <family val="2"/>
      </rPr>
      <t>◾</t>
    </r>
    <r>
      <rPr>
        <sz val="11"/>
        <color theme="1"/>
        <rFont val="等线"/>
        <family val="3"/>
        <charset val="134"/>
      </rPr>
      <t>如果</t>
    </r>
    <r>
      <rPr>
        <sz val="11"/>
        <color theme="1"/>
        <rFont val="Calibri"/>
        <family val="2"/>
      </rPr>
      <t xml:space="preserve"> year </t>
    </r>
    <r>
      <rPr>
        <sz val="11"/>
        <color theme="1"/>
        <rFont val="等线"/>
        <family val="3"/>
        <charset val="134"/>
      </rPr>
      <t>小于</t>
    </r>
    <r>
      <rPr>
        <sz val="11"/>
        <color theme="1"/>
        <rFont val="Calibri"/>
        <family val="2"/>
      </rPr>
      <t xml:space="preserve"> 0 </t>
    </r>
    <r>
      <rPr>
        <sz val="11"/>
        <color theme="1"/>
        <rFont val="等线"/>
        <family val="3"/>
        <charset val="134"/>
      </rPr>
      <t>或大于</t>
    </r>
    <r>
      <rPr>
        <sz val="11"/>
        <color theme="1"/>
        <rFont val="Calibri"/>
        <family val="2"/>
      </rPr>
      <t xml:space="preserve"> 10000</t>
    </r>
    <r>
      <rPr>
        <sz val="11"/>
        <color theme="1"/>
        <rFont val="等线"/>
        <family val="3"/>
        <charset val="134"/>
      </rPr>
      <t>，</t>
    </r>
    <r>
      <rPr>
        <sz val="11"/>
        <color theme="1"/>
        <rFont val="Calibri"/>
        <family val="2"/>
      </rPr>
      <t xml:space="preserve">Excel </t>
    </r>
    <r>
      <rPr>
        <sz val="11"/>
        <color theme="1"/>
        <rFont val="等线"/>
        <family val="3"/>
        <charset val="134"/>
      </rPr>
      <t>将返回</t>
    </r>
    <r>
      <rPr>
        <sz val="11"/>
        <color theme="1"/>
        <rFont val="Calibri"/>
        <family val="2"/>
      </rPr>
      <t>#NUM</t>
    </r>
    <r>
      <rPr>
        <sz val="11"/>
        <color theme="1"/>
        <rFont val="等线"/>
        <family val="3"/>
        <charset val="134"/>
      </rPr>
      <t>！</t>
    </r>
    <r>
      <rPr>
        <sz val="11"/>
        <color theme="1"/>
        <rFont val="Calibri"/>
        <family val="2"/>
      </rPr>
      <t xml:space="preserve"> </t>
    </r>
    <r>
      <rPr>
        <sz val="11"/>
        <color theme="1"/>
        <rFont val="等线"/>
        <family val="3"/>
        <charset val="134"/>
      </rPr>
      <t>错误值。</t>
    </r>
  </si>
  <si>
    <r>
      <rPr>
        <sz val="11"/>
        <color theme="1"/>
        <rFont val="Segoe UI Symbol"/>
        <family val="2"/>
      </rPr>
      <t>◾</t>
    </r>
    <r>
      <rPr>
        <sz val="11"/>
        <color theme="1"/>
        <rFont val="等线"/>
        <family val="3"/>
        <charset val="134"/>
      </rPr>
      <t>注意: Excel 可将日期存储为连续序列号，以便能在计算中使用它们。</t>
    </r>
  </si>
  <si>
    <t>返回当前日期的序列号。 序列号是 Excel 用于日期和时间计算的日期-时间代码。 如果在输入该函数之前单元格格式为“常规”，Excel会将单元格格式更改为“日期”。 若要显示序列号，您必须将单元格格式更改为“常规”或“数字”。</t>
  </si>
  <si>
    <t>返回当前日期和时间的序列号。 如果在输入该函数前，单元格格式为“常规”，Excel 会更改单元格格式，使其与区域设置的日期和时间格式匹配。 可以在功能区“开始”选项卡上的“数字”组中使用命令来更改日期和时间格式。</t>
  </si>
  <si>
    <t>serial_number</t>
  </si>
  <si>
    <t>要查找的年份的日期。 应使用 DATE 函数输入日期，或者将日期作为其他公式或函数的结果输入。</t>
  </si>
  <si>
    <t>要查找的月份日期。 应使用 DATE 函数输入日期，或者将日期作为其他公式或函数的结果输入。</t>
  </si>
  <si>
    <t>要查找的日期。 应使用 DATE 函数输入日期，或者将日期作为其他公式或函数的结果输入。</t>
  </si>
  <si>
    <t>时间值，其中包含要查找的小时数。 时间值有多种输入方式：带引号的文本字符串（例如 "6:45 PM"）、十进制数（例如 0.78125 表示 6:45 PM）或其他公式或函数的结果（例如 TIMEVALUE("6:45 PM")）。</t>
  </si>
  <si>
    <r>
      <rPr>
        <sz val="11"/>
        <color theme="1"/>
        <rFont val="Segoe UI Symbol"/>
        <family val="2"/>
      </rPr>
      <t>◾</t>
    </r>
    <r>
      <rPr>
        <sz val="11"/>
        <color theme="1"/>
        <rFont val="等线"/>
        <family val="3"/>
        <charset val="134"/>
      </rPr>
      <t>时间值为日期值的一部分，并用十进制数表示（例如 12:00 PM 可表示为 0.5，因为此时是一天的一半）。</t>
    </r>
  </si>
  <si>
    <t>一个时间值，其中包含要查找的分钟。 时间值有多种输入方式：带引号的文本字符串（例如 "6:45 PM"）、十进制数（例如 0.78125 表示 6:45 PM）或其他公式或函数的结果（例如 TIMEVALUE("6:45 PM")）。</t>
  </si>
  <si>
    <t>一个时间值，其中包含要查找的秒数。 时间值有多种输入方式：带引号的文本字符串（例如 "6:45 PM"）、十进制数（例如 0.78125 表示 6:45 PM）或其他公式或函数的结果（例如 TIMEVALUE("6:45 PM")）。</t>
  </si>
  <si>
    <t>/=ROW([reference])</t>
  </si>
  <si>
    <t>[reference]</t>
  </si>
  <si>
    <t>需要得到其行号的单元格或单元格区域。</t>
  </si>
  <si>
    <r>
      <rPr>
        <sz val="11"/>
        <color theme="1"/>
        <rFont val="Segoe UI Symbol"/>
        <family val="2"/>
      </rPr>
      <t>◾</t>
    </r>
    <r>
      <rPr>
        <sz val="11"/>
        <color theme="1"/>
        <rFont val="等线"/>
        <family val="3"/>
        <charset val="134"/>
      </rPr>
      <t>如果省略</t>
    </r>
    <r>
      <rPr>
        <sz val="11"/>
        <color theme="1"/>
        <rFont val="Calibri"/>
        <family val="2"/>
      </rPr>
      <t xml:space="preserve"> reference</t>
    </r>
    <r>
      <rPr>
        <sz val="11"/>
        <color theme="1"/>
        <rFont val="等线"/>
        <family val="3"/>
        <charset val="134"/>
      </rPr>
      <t>，则假定是对函数</t>
    </r>
    <r>
      <rPr>
        <sz val="11"/>
        <color theme="1"/>
        <rFont val="Calibri"/>
        <family val="2"/>
      </rPr>
      <t xml:space="preserve"> ROW </t>
    </r>
    <r>
      <rPr>
        <sz val="11"/>
        <color theme="1"/>
        <rFont val="等线"/>
        <family val="3"/>
        <charset val="134"/>
      </rPr>
      <t>所在单元格的引用。</t>
    </r>
  </si>
  <si>
    <r>
      <rPr>
        <sz val="11"/>
        <color theme="1"/>
        <rFont val="Segoe UI Symbol"/>
        <family val="2"/>
      </rPr>
      <t>◾</t>
    </r>
    <r>
      <rPr>
        <sz val="11"/>
        <color theme="1"/>
        <rFont val="等线"/>
        <family val="3"/>
        <charset val="134"/>
      </rPr>
      <t>如果</t>
    </r>
    <r>
      <rPr>
        <sz val="11"/>
        <color theme="1"/>
        <rFont val="Calibri"/>
        <family val="2"/>
      </rPr>
      <t xml:space="preserve"> reference </t>
    </r>
    <r>
      <rPr>
        <sz val="11"/>
        <color theme="1"/>
        <rFont val="等线"/>
        <family val="3"/>
        <charset val="134"/>
      </rPr>
      <t>为一个单元格区域，并且</t>
    </r>
    <r>
      <rPr>
        <sz val="11"/>
        <color theme="1"/>
        <rFont val="Calibri"/>
        <family val="2"/>
      </rPr>
      <t xml:space="preserve"> ROW </t>
    </r>
    <r>
      <rPr>
        <sz val="11"/>
        <color theme="1"/>
        <rFont val="等线"/>
        <family val="3"/>
        <charset val="134"/>
      </rPr>
      <t>作为垂直数组输入，则</t>
    </r>
    <r>
      <rPr>
        <sz val="11"/>
        <color theme="1"/>
        <rFont val="Calibri"/>
        <family val="2"/>
      </rPr>
      <t xml:space="preserve"> ROW </t>
    </r>
    <r>
      <rPr>
        <sz val="11"/>
        <color theme="1"/>
        <rFont val="等线"/>
        <family val="3"/>
        <charset val="134"/>
      </rPr>
      <t>将以垂直数组的形式返回</t>
    </r>
    <r>
      <rPr>
        <sz val="11"/>
        <color theme="1"/>
        <rFont val="Calibri"/>
        <family val="2"/>
      </rPr>
      <t xml:space="preserve"> reference </t>
    </r>
    <r>
      <rPr>
        <sz val="11"/>
        <color theme="1"/>
        <rFont val="等线"/>
        <family val="3"/>
        <charset val="134"/>
      </rPr>
      <t>的行号。</t>
    </r>
  </si>
  <si>
    <r>
      <rPr>
        <sz val="11"/>
        <color theme="1"/>
        <rFont val="Segoe UI Symbol"/>
        <family val="2"/>
      </rPr>
      <t>◾</t>
    </r>
    <r>
      <rPr>
        <sz val="11"/>
        <color theme="1"/>
        <rFont val="Calibri"/>
        <family val="2"/>
      </rPr>
      <t xml:space="preserve">Reference </t>
    </r>
    <r>
      <rPr>
        <sz val="11"/>
        <color theme="1"/>
        <rFont val="等线"/>
        <family val="3"/>
        <charset val="134"/>
      </rPr>
      <t>不能引用多个区域。</t>
    </r>
  </si>
  <si>
    <t>/=COLUMN([reference])</t>
  </si>
  <si>
    <t>要返回其列号的单元格或单元格范围。</t>
  </si>
  <si>
    <r>
      <rPr>
        <sz val="11"/>
        <color theme="1"/>
        <rFont val="Segoe UI Symbol"/>
        <family val="2"/>
      </rPr>
      <t>◾</t>
    </r>
    <r>
      <rPr>
        <sz val="11"/>
        <color theme="1"/>
        <rFont val="等线"/>
        <family val="3"/>
        <charset val="134"/>
      </rPr>
      <t>如果省略参数</t>
    </r>
    <r>
      <rPr>
        <sz val="11"/>
        <color theme="1"/>
        <rFont val="Calibri"/>
        <family val="2"/>
      </rPr>
      <t xml:space="preserve"> reference </t>
    </r>
    <r>
      <rPr>
        <sz val="11"/>
        <color theme="1"/>
        <rFont val="等线"/>
        <family val="3"/>
        <charset val="134"/>
      </rPr>
      <t>或该参数为一个单元格区域，并且</t>
    </r>
    <r>
      <rPr>
        <sz val="11"/>
        <color theme="1"/>
        <rFont val="Calibri"/>
        <family val="2"/>
      </rPr>
      <t xml:space="preserve"> COLUMN </t>
    </r>
    <r>
      <rPr>
        <sz val="11"/>
        <color theme="1"/>
        <rFont val="等线"/>
        <family val="3"/>
        <charset val="134"/>
      </rPr>
      <t>函数是以水平数组公式的形式输入的，则</t>
    </r>
    <r>
      <rPr>
        <sz val="11"/>
        <color theme="1"/>
        <rFont val="Calibri"/>
        <family val="2"/>
      </rPr>
      <t xml:space="preserve"> COLUMN </t>
    </r>
    <r>
      <rPr>
        <sz val="11"/>
        <color theme="1"/>
        <rFont val="等线"/>
        <family val="3"/>
        <charset val="134"/>
      </rPr>
      <t>函数将以水平数组的形式返回参数</t>
    </r>
    <r>
      <rPr>
        <sz val="11"/>
        <color theme="1"/>
        <rFont val="Calibri"/>
        <family val="2"/>
      </rPr>
      <t xml:space="preserve"> reference </t>
    </r>
    <r>
      <rPr>
        <sz val="11"/>
        <color theme="1"/>
        <rFont val="等线"/>
        <family val="3"/>
        <charset val="134"/>
      </rPr>
      <t>的列号。</t>
    </r>
  </si>
  <si>
    <r>
      <rPr>
        <sz val="11"/>
        <color theme="1"/>
        <rFont val="Segoe UI Symbol"/>
        <family val="2"/>
      </rPr>
      <t>◾</t>
    </r>
    <r>
      <rPr>
        <sz val="11"/>
        <color theme="1"/>
        <rFont val="等线"/>
        <family val="3"/>
        <charset val="134"/>
      </rPr>
      <t>如果参数</t>
    </r>
    <r>
      <rPr>
        <sz val="11"/>
        <color theme="1"/>
        <rFont val="Calibri"/>
        <family val="2"/>
      </rPr>
      <t xml:space="preserve"> reference </t>
    </r>
    <r>
      <rPr>
        <sz val="11"/>
        <color theme="1"/>
        <rFont val="等线"/>
        <family val="3"/>
        <charset val="134"/>
      </rPr>
      <t>为一个单元格区域，并且</t>
    </r>
    <r>
      <rPr>
        <sz val="11"/>
        <color theme="1"/>
        <rFont val="Calibri"/>
        <family val="2"/>
      </rPr>
      <t xml:space="preserve"> COLUMN </t>
    </r>
    <r>
      <rPr>
        <sz val="11"/>
        <color theme="1"/>
        <rFont val="等线"/>
        <family val="3"/>
        <charset val="134"/>
      </rPr>
      <t>函数不是以水平数组公式的形式输入的，则</t>
    </r>
    <r>
      <rPr>
        <sz val="11"/>
        <color theme="1"/>
        <rFont val="Calibri"/>
        <family val="2"/>
      </rPr>
      <t xml:space="preserve"> COLUMN </t>
    </r>
    <r>
      <rPr>
        <sz val="11"/>
        <color theme="1"/>
        <rFont val="等线"/>
        <family val="3"/>
        <charset val="134"/>
      </rPr>
      <t>函数将返回最左侧列的列号。</t>
    </r>
  </si>
  <si>
    <r>
      <rPr>
        <sz val="11"/>
        <color theme="1"/>
        <rFont val="Segoe UI Symbol"/>
        <family val="2"/>
      </rPr>
      <t>◾</t>
    </r>
    <r>
      <rPr>
        <sz val="11"/>
        <color theme="1"/>
        <rFont val="等线"/>
        <family val="3"/>
        <charset val="134"/>
      </rPr>
      <t>如果省略参数</t>
    </r>
    <r>
      <rPr>
        <sz val="11"/>
        <color theme="1"/>
        <rFont val="Calibri"/>
        <family val="2"/>
      </rPr>
      <t xml:space="preserve"> reference</t>
    </r>
    <r>
      <rPr>
        <sz val="11"/>
        <color theme="1"/>
        <rFont val="等线"/>
        <family val="3"/>
        <charset val="134"/>
      </rPr>
      <t>，则假定该参数为对</t>
    </r>
    <r>
      <rPr>
        <sz val="11"/>
        <color theme="1"/>
        <rFont val="Calibri"/>
        <family val="2"/>
      </rPr>
      <t xml:space="preserve"> COLUMN </t>
    </r>
    <r>
      <rPr>
        <sz val="11"/>
        <color theme="1"/>
        <rFont val="等线"/>
        <family val="3"/>
        <charset val="134"/>
      </rPr>
      <t>函数所在单元格的引用。</t>
    </r>
  </si>
  <si>
    <r>
      <rPr>
        <sz val="11"/>
        <color theme="1"/>
        <rFont val="Segoe UI Symbol"/>
        <family val="2"/>
      </rPr>
      <t>◾</t>
    </r>
    <r>
      <rPr>
        <sz val="11"/>
        <color theme="1"/>
        <rFont val="等线"/>
        <family val="3"/>
        <charset val="134"/>
      </rPr>
      <t>参数</t>
    </r>
    <r>
      <rPr>
        <sz val="11"/>
        <color theme="1"/>
        <rFont val="Calibri"/>
        <family val="2"/>
      </rPr>
      <t xml:space="preserve"> reference </t>
    </r>
    <r>
      <rPr>
        <sz val="11"/>
        <color theme="1"/>
        <rFont val="等线"/>
        <family val="3"/>
        <charset val="134"/>
      </rPr>
      <t>不能引用多个区域。</t>
    </r>
  </si>
  <si>
    <t>返回一组值中的最大值</t>
  </si>
  <si>
    <t>最大</t>
  </si>
  <si>
    <t>最小</t>
  </si>
  <si>
    <t>Number1 是必需的。</t>
  </si>
  <si>
    <t>后续数字是可选的。 要从中查找最大值的 1 到 255 个数字。</t>
  </si>
  <si>
    <t>返回一组值中的最小值</t>
  </si>
  <si>
    <t>要查找其长度的文本。 空格将作为字符进行计数。</t>
  </si>
  <si>
    <t>LEN 返回文本字符串中的字符个数。</t>
  </si>
  <si>
    <t>LENB 返回文本字符串中用于代表字符的字节数。</t>
  </si>
  <si>
    <t xml:space="preserve">重要: </t>
  </si>
  <si>
    <r>
      <rPr>
        <sz val="11"/>
        <color theme="1"/>
        <rFont val="Segoe UI Symbol"/>
        <family val="2"/>
      </rPr>
      <t>◾</t>
    </r>
    <r>
      <rPr>
        <sz val="11"/>
        <color theme="1"/>
        <rFont val="等线"/>
        <family val="3"/>
        <charset val="134"/>
      </rPr>
      <t>这些函数可能并不适用于所有语言。</t>
    </r>
  </si>
  <si>
    <r>
      <rPr>
        <sz val="11"/>
        <color theme="1"/>
        <rFont val="Segoe UI Symbol"/>
        <family val="2"/>
      </rPr>
      <t>◾</t>
    </r>
    <r>
      <rPr>
        <sz val="11"/>
        <color theme="1"/>
        <rFont val="等线"/>
        <family val="3"/>
        <charset val="134"/>
      </rPr>
      <t>只有在将</t>
    </r>
    <r>
      <rPr>
        <sz val="11"/>
        <color theme="1"/>
        <rFont val="Calibri"/>
        <family val="2"/>
      </rPr>
      <t xml:space="preserve"> DBCS </t>
    </r>
    <r>
      <rPr>
        <sz val="11"/>
        <color theme="1"/>
        <rFont val="等线"/>
        <family val="3"/>
        <charset val="134"/>
      </rPr>
      <t>语言设置为默认语言时，函数</t>
    </r>
    <r>
      <rPr>
        <sz val="11"/>
        <color theme="1"/>
        <rFont val="Calibri"/>
        <family val="2"/>
      </rPr>
      <t xml:space="preserve"> LENB </t>
    </r>
    <r>
      <rPr>
        <sz val="11"/>
        <color theme="1"/>
        <rFont val="等线"/>
        <family val="3"/>
        <charset val="134"/>
      </rPr>
      <t>才会将每个字符按</t>
    </r>
    <r>
      <rPr>
        <sz val="11"/>
        <color theme="1"/>
        <rFont val="Calibri"/>
        <family val="2"/>
      </rPr>
      <t xml:space="preserve"> 2 </t>
    </r>
    <r>
      <rPr>
        <sz val="11"/>
        <color theme="1"/>
        <rFont val="等线"/>
        <family val="3"/>
        <charset val="134"/>
      </rPr>
      <t>个字节计数。</t>
    </r>
    <r>
      <rPr>
        <sz val="11"/>
        <color theme="1"/>
        <rFont val="Calibri"/>
        <family val="2"/>
      </rPr>
      <t xml:space="preserve"> </t>
    </r>
    <r>
      <rPr>
        <sz val="11"/>
        <color theme="1"/>
        <rFont val="等线"/>
        <family val="3"/>
        <charset val="134"/>
      </rPr>
      <t>否则，函数</t>
    </r>
    <r>
      <rPr>
        <sz val="11"/>
        <color theme="1"/>
        <rFont val="Calibri"/>
        <family val="2"/>
      </rPr>
      <t xml:space="preserve"> LENB </t>
    </r>
    <r>
      <rPr>
        <sz val="11"/>
        <color theme="1"/>
        <rFont val="等线"/>
        <family val="3"/>
        <charset val="134"/>
      </rPr>
      <t>的行为与</t>
    </r>
    <r>
      <rPr>
        <sz val="11"/>
        <color theme="1"/>
        <rFont val="Calibri"/>
        <family val="2"/>
      </rPr>
      <t xml:space="preserve"> LEN </t>
    </r>
    <r>
      <rPr>
        <sz val="11"/>
        <color theme="1"/>
        <rFont val="等线"/>
        <family val="3"/>
        <charset val="134"/>
      </rPr>
      <t>相同，即将每个字符按</t>
    </r>
    <r>
      <rPr>
        <sz val="11"/>
        <color theme="1"/>
        <rFont val="Calibri"/>
        <family val="2"/>
      </rPr>
      <t xml:space="preserve"> 1 </t>
    </r>
    <r>
      <rPr>
        <sz val="11"/>
        <color theme="1"/>
        <rFont val="等线"/>
        <family val="3"/>
        <charset val="134"/>
      </rPr>
      <t>个字节计数。</t>
    </r>
  </si>
  <si>
    <r>
      <rPr>
        <sz val="11"/>
        <color theme="1"/>
        <rFont val="Segoe UI Symbol"/>
        <family val="2"/>
      </rPr>
      <t>◾</t>
    </r>
    <r>
      <rPr>
        <sz val="11"/>
        <color theme="1"/>
        <rFont val="等线"/>
        <family val="3"/>
        <charset val="134"/>
      </rPr>
      <t xml:space="preserve">支持 DBCS 的语言包括日语、中文（简体）、中文（繁体）以及朝鲜语。 </t>
    </r>
  </si>
  <si>
    <t>zhrmghgws</t>
  </si>
  <si>
    <t>左取5个</t>
  </si>
  <si>
    <t>包含要提取的字符的文本字符串。</t>
  </si>
  <si>
    <t>右取5个</t>
  </si>
  <si>
    <t>第二个开始取5个</t>
  </si>
  <si>
    <t>[num_chars]</t>
  </si>
  <si>
    <t xml:space="preserve"> 指定要由 LEFT 提取的字符的数量。</t>
  </si>
  <si>
    <r>
      <rPr>
        <sz val="11"/>
        <color theme="1"/>
        <rFont val="Segoe UI Symbol"/>
        <family val="2"/>
      </rPr>
      <t>◾</t>
    </r>
    <r>
      <rPr>
        <sz val="11"/>
        <color theme="1"/>
        <rFont val="Calibri"/>
        <family val="2"/>
      </rPr>
      <t xml:space="preserve">Num_chars </t>
    </r>
    <r>
      <rPr>
        <sz val="11"/>
        <color theme="1"/>
        <rFont val="等线"/>
        <family val="3"/>
        <charset val="134"/>
      </rPr>
      <t>必须大于或等于零。</t>
    </r>
  </si>
  <si>
    <r>
      <rPr>
        <sz val="11"/>
        <color theme="1"/>
        <rFont val="Segoe UI Symbol"/>
        <family val="2"/>
      </rPr>
      <t>◾</t>
    </r>
    <r>
      <rPr>
        <sz val="11"/>
        <color theme="1"/>
        <rFont val="等线"/>
        <family val="3"/>
        <charset val="134"/>
      </rPr>
      <t>如果</t>
    </r>
    <r>
      <rPr>
        <sz val="11"/>
        <color theme="1"/>
        <rFont val="Calibri"/>
        <family val="2"/>
      </rPr>
      <t xml:space="preserve"> num_chars </t>
    </r>
    <r>
      <rPr>
        <sz val="11"/>
        <color theme="1"/>
        <rFont val="等线"/>
        <family val="3"/>
        <charset val="134"/>
      </rPr>
      <t>大于文本长度，则</t>
    </r>
    <r>
      <rPr>
        <sz val="11"/>
        <color theme="1"/>
        <rFont val="Calibri"/>
        <family val="2"/>
      </rPr>
      <t xml:space="preserve"> LEFT </t>
    </r>
    <r>
      <rPr>
        <sz val="11"/>
        <color theme="1"/>
        <rFont val="等线"/>
        <family val="3"/>
        <charset val="134"/>
      </rPr>
      <t>返回全部文本。</t>
    </r>
  </si>
  <si>
    <r>
      <rPr>
        <sz val="11"/>
        <color theme="1"/>
        <rFont val="Segoe UI Symbol"/>
        <family val="2"/>
      </rPr>
      <t>◾</t>
    </r>
    <r>
      <rPr>
        <sz val="11"/>
        <color theme="1"/>
        <rFont val="等线"/>
        <family val="3"/>
        <charset val="134"/>
      </rPr>
      <t>如果省略</t>
    </r>
    <r>
      <rPr>
        <sz val="11"/>
        <color theme="1"/>
        <rFont val="Calibri"/>
        <family val="2"/>
      </rPr>
      <t xml:space="preserve"> num_chars</t>
    </r>
    <r>
      <rPr>
        <sz val="11"/>
        <color theme="1"/>
        <rFont val="等线"/>
        <family val="3"/>
        <charset val="134"/>
      </rPr>
      <t>，则假定其值为</t>
    </r>
    <r>
      <rPr>
        <sz val="11"/>
        <color theme="1"/>
        <rFont val="Calibri"/>
        <family val="2"/>
      </rPr>
      <t xml:space="preserve"> 1</t>
    </r>
    <r>
      <rPr>
        <sz val="11"/>
        <color theme="1"/>
        <rFont val="等线"/>
        <family val="3"/>
        <charset val="134"/>
      </rPr>
      <t>。</t>
    </r>
  </si>
  <si>
    <t>包含要提取字符的文本字符串。</t>
  </si>
  <si>
    <t>start_num</t>
  </si>
  <si>
    <t>文本中要提取的第一个字符的位置。 文本中第一个字符的 start_num 为 1，以此类推。</t>
  </si>
  <si>
    <t>num_chars</t>
  </si>
  <si>
    <t>指定希望 MID 从文本中返回字符的个数。</t>
  </si>
  <si>
    <r>
      <rPr>
        <sz val="11"/>
        <color theme="1"/>
        <rFont val="Segoe UI Symbol"/>
        <family val="2"/>
      </rPr>
      <t>◾</t>
    </r>
    <r>
      <rPr>
        <sz val="11"/>
        <color theme="1"/>
        <rFont val="等线"/>
        <family val="3"/>
        <charset val="134"/>
      </rPr>
      <t>如果</t>
    </r>
    <r>
      <rPr>
        <sz val="11"/>
        <color theme="1"/>
        <rFont val="Calibri"/>
        <family val="2"/>
      </rPr>
      <t>start_num</t>
    </r>
    <r>
      <rPr>
        <sz val="11"/>
        <color theme="1"/>
        <rFont val="等线"/>
        <family val="3"/>
        <charset val="134"/>
      </rPr>
      <t>大于文本长度，则</t>
    </r>
    <r>
      <rPr>
        <sz val="11"/>
        <color theme="1"/>
        <rFont val="Calibri"/>
        <family val="2"/>
      </rPr>
      <t xml:space="preserve"> MID/MIDB </t>
    </r>
    <r>
      <rPr>
        <sz val="11"/>
        <color theme="1"/>
        <rFont val="等线"/>
        <family val="3"/>
        <charset val="134"/>
      </rPr>
      <t>返回空文本</t>
    </r>
    <r>
      <rPr>
        <sz val="11"/>
        <color theme="1"/>
        <rFont val="Calibri"/>
        <family val="2"/>
      </rPr>
      <t xml:space="preserve"> (") </t>
    </r>
    <r>
      <rPr>
        <sz val="11"/>
        <color theme="1"/>
        <rFont val="等线"/>
        <family val="3"/>
        <charset val="134"/>
      </rPr>
      <t>。</t>
    </r>
  </si>
  <si>
    <r>
      <rPr>
        <sz val="11"/>
        <color theme="1"/>
        <rFont val="Segoe UI Symbol"/>
        <family val="2"/>
      </rPr>
      <t>◾</t>
    </r>
    <r>
      <rPr>
        <sz val="11"/>
        <color theme="1"/>
        <rFont val="等线"/>
        <family val="3"/>
        <charset val="134"/>
      </rPr>
      <t>如果</t>
    </r>
    <r>
      <rPr>
        <sz val="11"/>
        <color theme="1"/>
        <rFont val="Calibri"/>
        <family val="2"/>
      </rPr>
      <t>start_num</t>
    </r>
    <r>
      <rPr>
        <sz val="11"/>
        <color theme="1"/>
        <rFont val="等线"/>
        <family val="3"/>
        <charset val="134"/>
      </rPr>
      <t>小于文本长度，但</t>
    </r>
    <r>
      <rPr>
        <sz val="11"/>
        <color theme="1"/>
        <rFont val="Calibri"/>
        <family val="2"/>
      </rPr>
      <t xml:space="preserve"> start_num </t>
    </r>
    <r>
      <rPr>
        <sz val="11"/>
        <color theme="1"/>
        <rFont val="等线"/>
        <family val="3"/>
        <charset val="134"/>
      </rPr>
      <t>加</t>
    </r>
    <r>
      <rPr>
        <sz val="11"/>
        <color theme="1"/>
        <rFont val="Calibri"/>
        <family val="2"/>
      </rPr>
      <t xml:space="preserve"> num_chars </t>
    </r>
    <r>
      <rPr>
        <sz val="11"/>
        <color theme="1"/>
        <rFont val="等线"/>
        <family val="3"/>
        <charset val="134"/>
      </rPr>
      <t>超过文本长度，则</t>
    </r>
    <r>
      <rPr>
        <sz val="11"/>
        <color theme="1"/>
        <rFont val="Calibri"/>
        <family val="2"/>
      </rPr>
      <t xml:space="preserve"> MID/MIDB </t>
    </r>
    <r>
      <rPr>
        <sz val="11"/>
        <color theme="1"/>
        <rFont val="等线"/>
        <family val="3"/>
        <charset val="134"/>
      </rPr>
      <t>将返回直到文本末尾的字符。</t>
    </r>
  </si>
  <si>
    <r>
      <rPr>
        <sz val="11"/>
        <color theme="1"/>
        <rFont val="Segoe UI Symbol"/>
        <family val="2"/>
      </rPr>
      <t>◾</t>
    </r>
    <r>
      <rPr>
        <sz val="11"/>
        <color theme="1"/>
        <rFont val="等线"/>
        <family val="3"/>
        <charset val="134"/>
      </rPr>
      <t>如果</t>
    </r>
    <r>
      <rPr>
        <sz val="11"/>
        <color theme="1"/>
        <rFont val="Calibri"/>
        <family val="2"/>
      </rPr>
      <t>start_num</t>
    </r>
    <r>
      <rPr>
        <sz val="11"/>
        <color theme="1"/>
        <rFont val="等线"/>
        <family val="3"/>
        <charset val="134"/>
      </rPr>
      <t>小于</t>
    </r>
    <r>
      <rPr>
        <sz val="11"/>
        <color theme="1"/>
        <rFont val="Calibri"/>
        <family val="2"/>
      </rPr>
      <t xml:space="preserve"> 1</t>
    </r>
    <r>
      <rPr>
        <sz val="11"/>
        <color theme="1"/>
        <rFont val="等线"/>
        <family val="3"/>
        <charset val="134"/>
      </rPr>
      <t>，则</t>
    </r>
    <r>
      <rPr>
        <sz val="11"/>
        <color theme="1"/>
        <rFont val="Calibri"/>
        <family val="2"/>
      </rPr>
      <t xml:space="preserve"> MID/MIDB </t>
    </r>
    <r>
      <rPr>
        <sz val="11"/>
        <color theme="1"/>
        <rFont val="等线"/>
        <family val="3"/>
        <charset val="134"/>
      </rPr>
      <t>返回</t>
    </r>
    <r>
      <rPr>
        <sz val="11"/>
        <color theme="1"/>
        <rFont val="Calibri"/>
        <family val="2"/>
      </rPr>
      <t>#VALUE</t>
    </r>
    <r>
      <rPr>
        <sz val="11"/>
        <color theme="1"/>
        <rFont val="等线"/>
        <family val="3"/>
        <charset val="134"/>
      </rPr>
      <t>！</t>
    </r>
    <r>
      <rPr>
        <sz val="11"/>
        <color theme="1"/>
        <rFont val="Calibri"/>
        <family val="2"/>
      </rPr>
      <t xml:space="preserve"> </t>
    </r>
    <r>
      <rPr>
        <sz val="11"/>
        <color theme="1"/>
        <rFont val="等线"/>
        <family val="3"/>
        <charset val="134"/>
      </rPr>
      <t>错误值。</t>
    </r>
  </si>
  <si>
    <r>
      <rPr>
        <sz val="11"/>
        <color theme="1"/>
        <rFont val="Segoe UI Symbol"/>
        <family val="2"/>
      </rPr>
      <t>◾</t>
    </r>
    <r>
      <rPr>
        <sz val="11"/>
        <color theme="1"/>
        <rFont val="等线"/>
        <family val="3"/>
        <charset val="134"/>
      </rPr>
      <t>如果</t>
    </r>
    <r>
      <rPr>
        <sz val="11"/>
        <color theme="1"/>
        <rFont val="Calibri"/>
        <family val="2"/>
      </rPr>
      <t>num_chars</t>
    </r>
    <r>
      <rPr>
        <sz val="11"/>
        <color theme="1"/>
        <rFont val="等线"/>
        <family val="3"/>
        <charset val="134"/>
      </rPr>
      <t>为负数，则</t>
    </r>
    <r>
      <rPr>
        <sz val="11"/>
        <color theme="1"/>
        <rFont val="Calibri"/>
        <family val="2"/>
      </rPr>
      <t xml:space="preserve"> MID </t>
    </r>
    <r>
      <rPr>
        <sz val="11"/>
        <color theme="1"/>
        <rFont val="等线"/>
        <family val="3"/>
        <charset val="134"/>
      </rPr>
      <t>返回</t>
    </r>
    <r>
      <rPr>
        <sz val="11"/>
        <color theme="1"/>
        <rFont val="Calibri"/>
        <family val="2"/>
      </rPr>
      <t>#VALUE</t>
    </r>
    <r>
      <rPr>
        <sz val="11"/>
        <color theme="1"/>
        <rFont val="等线"/>
        <family val="3"/>
        <charset val="134"/>
      </rPr>
      <t>！</t>
    </r>
    <r>
      <rPr>
        <sz val="11"/>
        <color theme="1"/>
        <rFont val="Calibri"/>
        <family val="2"/>
      </rPr>
      <t xml:space="preserve"> </t>
    </r>
    <r>
      <rPr>
        <sz val="11"/>
        <color theme="1"/>
        <rFont val="等线"/>
        <family val="3"/>
        <charset val="134"/>
      </rPr>
      <t>错误值。</t>
    </r>
  </si>
  <si>
    <r>
      <rPr>
        <sz val="11"/>
        <color theme="1"/>
        <rFont val="Segoe UI Symbol"/>
        <family val="2"/>
      </rPr>
      <t>◾</t>
    </r>
    <r>
      <rPr>
        <sz val="11"/>
        <color theme="1"/>
        <rFont val="等线"/>
        <family val="3"/>
        <charset val="134"/>
      </rPr>
      <t>如果</t>
    </r>
    <r>
      <rPr>
        <sz val="11"/>
        <color theme="1"/>
        <rFont val="Calibri"/>
        <family val="2"/>
      </rPr>
      <t>num_bytes</t>
    </r>
    <r>
      <rPr>
        <sz val="11"/>
        <color theme="1"/>
        <rFont val="等线"/>
        <family val="3"/>
        <charset val="134"/>
      </rPr>
      <t>为负数，则</t>
    </r>
    <r>
      <rPr>
        <sz val="11"/>
        <color theme="1"/>
        <rFont val="Calibri"/>
        <family val="2"/>
      </rPr>
      <t xml:space="preserve"> MIDB </t>
    </r>
    <r>
      <rPr>
        <sz val="11"/>
        <color theme="1"/>
        <rFont val="等线"/>
        <family val="3"/>
        <charset val="134"/>
      </rPr>
      <t>返回</t>
    </r>
    <r>
      <rPr>
        <sz val="11"/>
        <color theme="1"/>
        <rFont val="Calibri"/>
        <family val="2"/>
      </rPr>
      <t>#VALUE</t>
    </r>
    <r>
      <rPr>
        <sz val="11"/>
        <color theme="1"/>
        <rFont val="等线"/>
        <family val="3"/>
        <charset val="134"/>
      </rPr>
      <t>！</t>
    </r>
    <r>
      <rPr>
        <sz val="11"/>
        <color theme="1"/>
        <rFont val="Calibri"/>
        <family val="2"/>
      </rPr>
      <t xml:space="preserve"> </t>
    </r>
    <r>
      <rPr>
        <sz val="11"/>
        <color theme="1"/>
        <rFont val="等线"/>
        <family val="3"/>
        <charset val="134"/>
      </rPr>
      <t>错误值。</t>
    </r>
  </si>
  <si>
    <t>第3小</t>
  </si>
  <si>
    <t>第3大</t>
  </si>
  <si>
    <t>需要找到第 k 个最小值的数组或数值数据区域。</t>
  </si>
  <si>
    <t>k</t>
  </si>
  <si>
    <t>要返回的数据在数组或数据区域里的位置（从小到大）。</t>
  </si>
  <si>
    <r>
      <rPr>
        <sz val="11"/>
        <color theme="1"/>
        <rFont val="Segoe UI Symbol"/>
        <family val="2"/>
      </rPr>
      <t>◾</t>
    </r>
    <r>
      <rPr>
        <sz val="11"/>
        <color theme="1"/>
        <rFont val="等线"/>
        <family val="3"/>
        <charset val="134"/>
      </rPr>
      <t>如果数组为空，则</t>
    </r>
    <r>
      <rPr>
        <sz val="11"/>
        <color theme="1"/>
        <rFont val="Calibri"/>
        <family val="2"/>
      </rPr>
      <t xml:space="preserve"> SMALL </t>
    </r>
    <r>
      <rPr>
        <sz val="11"/>
        <color theme="1"/>
        <rFont val="等线"/>
        <family val="3"/>
        <charset val="134"/>
      </rPr>
      <t>返回</t>
    </r>
    <r>
      <rPr>
        <sz val="11"/>
        <color theme="1"/>
        <rFont val="Calibri"/>
        <family val="2"/>
      </rPr>
      <t>#NUM</t>
    </r>
    <r>
      <rPr>
        <sz val="11"/>
        <color theme="1"/>
        <rFont val="等线"/>
        <family val="3"/>
        <charset val="134"/>
      </rPr>
      <t>！</t>
    </r>
    <r>
      <rPr>
        <sz val="11"/>
        <color theme="1"/>
        <rFont val="Calibri"/>
        <family val="2"/>
      </rPr>
      <t xml:space="preserve"> </t>
    </r>
    <r>
      <rPr>
        <sz val="11"/>
        <color theme="1"/>
        <rFont val="等线"/>
        <family val="3"/>
        <charset val="134"/>
      </rPr>
      <t>错误值。</t>
    </r>
  </si>
  <si>
    <r>
      <rPr>
        <sz val="11"/>
        <color theme="1"/>
        <rFont val="Segoe UI Symbol"/>
        <family val="2"/>
      </rPr>
      <t>◾</t>
    </r>
    <r>
      <rPr>
        <sz val="11"/>
        <color theme="1"/>
        <rFont val="等线"/>
        <family val="3"/>
        <charset val="134"/>
      </rPr>
      <t>如果 k ≤ 0 或 k 超过数据点数，则 SMALL 返回#NUM！ 错误值。</t>
    </r>
  </si>
  <si>
    <r>
      <rPr>
        <sz val="11"/>
        <color theme="1"/>
        <rFont val="Segoe UI Symbol"/>
        <family val="2"/>
      </rPr>
      <t>◾</t>
    </r>
    <r>
      <rPr>
        <sz val="11"/>
        <color theme="1"/>
        <rFont val="等线"/>
        <family val="3"/>
        <charset val="134"/>
      </rPr>
      <t>如果</t>
    </r>
    <r>
      <rPr>
        <sz val="11"/>
        <color theme="1"/>
        <rFont val="Calibri"/>
        <family val="2"/>
      </rPr>
      <t xml:space="preserve"> n </t>
    </r>
    <r>
      <rPr>
        <sz val="11"/>
        <color theme="1"/>
        <rFont val="等线"/>
        <family val="3"/>
        <charset val="134"/>
      </rPr>
      <t>为数组中的数据点个数，则</t>
    </r>
    <r>
      <rPr>
        <sz val="11"/>
        <color theme="1"/>
        <rFont val="Calibri"/>
        <family val="2"/>
      </rPr>
      <t xml:space="preserve"> SMALL(array,1) </t>
    </r>
    <r>
      <rPr>
        <sz val="11"/>
        <color theme="1"/>
        <rFont val="等线"/>
        <family val="3"/>
        <charset val="134"/>
      </rPr>
      <t>等于最小值，</t>
    </r>
    <r>
      <rPr>
        <sz val="11"/>
        <color theme="1"/>
        <rFont val="Calibri"/>
        <family val="2"/>
      </rPr>
      <t xml:space="preserve">SMALL(array,n) </t>
    </r>
    <r>
      <rPr>
        <sz val="11"/>
        <color theme="1"/>
        <rFont val="等线"/>
        <family val="3"/>
        <charset val="134"/>
      </rPr>
      <t>等于最大值。</t>
    </r>
  </si>
  <si>
    <r>
      <rPr>
        <sz val="11"/>
        <color theme="1"/>
        <rFont val="Segoe UI Symbol"/>
        <family val="2"/>
      </rPr>
      <t>◾</t>
    </r>
    <r>
      <rPr>
        <sz val="11"/>
        <color theme="1"/>
        <rFont val="等线"/>
        <family val="3"/>
        <charset val="134"/>
      </rPr>
      <t>LARGE同理</t>
    </r>
  </si>
  <si>
    <t>/=HYPERLINK(linl_location,[friendly_name])</t>
  </si>
  <si>
    <t>linl_location</t>
  </si>
  <si>
    <t>要打开的文档的路径和文件名。 Link_location 可以指向文档中的某个更为具体的位置 ，如 Excel 工作表或工作簿中特定的单元格或命名区域，或是指向 Microsoft Word 文档中的书签。 路径可以是存储在硬盘驱动器上的文件。 路径还可以是 Microsoft Excel 中服务器 (上的通用命名约定 (UNC) Windows) 路径，或者是 Internet 或 Intranet 上的统一资源定位符 (URL) 路径。</t>
  </si>
  <si>
    <t>[friendly_name]</t>
  </si>
  <si>
    <t>单元格中显示的跳转文本或数字值。 Friendly_name 显示为蓝色并带有下划线。 如果省略 Friendly_name，单元格会将 link_location 显示为跳转文本。</t>
  </si>
  <si>
    <t>请注意   Excel 网页版 HYPERLINK 函数仅对 web 地址 (URL) 有效。 Link_location可以是用引号括起来的文本字符串，或者是对包含链接为文本字符串的单元格的引用。</t>
  </si>
  <si>
    <t>如果在单元格中指定的跳转link_location不存在或无法导航，则单击单元格时会出现错误。</t>
  </si>
  <si>
    <t>Friendly_name 可以为数值、文本字符串、名称或包含跳转文本或数值的单元格。</t>
  </si>
  <si>
    <t>如果 Friendly_name 返回错误值（例如，#VALUE!），单元格将显示错误值以替代跳转文本。</t>
  </si>
  <si>
    <t>在 Excel 桌面应用程序中，若要选择一个包含超链接的单元格，但不跳转到超链接目标，请单击单元格并按住鼠标按钮直到指针变成十字 Excel 选择光标 ，然后释放鼠标按钮。 在 Excel 网页版 中，当指针为箭头时，通过单击它来选择单元格;当指针是指针指针时，通过单击跳转到超链接目标。</t>
  </si>
  <si>
    <t>ref_text</t>
  </si>
  <si>
    <t>对包含 A1 样式引用、R1C1 样式引用、定义为引用的名称或作为文本字符串对单元格的引用的单元格的引用。 如果ref_text不是有效的单元格引用，则 INDIRECT 返回#REF！ 错误值。</t>
  </si>
  <si>
    <t>[a1]</t>
  </si>
  <si>
    <t>一个逻辑值，用于指定包含在单元格 ref_text 中的引用的类型。</t>
  </si>
  <si>
    <r>
      <rPr>
        <sz val="11"/>
        <color theme="1"/>
        <rFont val="Segoe UI Symbol"/>
        <family val="2"/>
      </rPr>
      <t>◾</t>
    </r>
    <r>
      <rPr>
        <sz val="11"/>
        <color theme="1"/>
        <rFont val="等线"/>
        <family val="3"/>
        <charset val="134"/>
      </rPr>
      <t>如果</t>
    </r>
    <r>
      <rPr>
        <sz val="11"/>
        <color theme="1"/>
        <rFont val="Calibri"/>
        <family val="2"/>
      </rPr>
      <t xml:space="preserve"> a1 </t>
    </r>
    <r>
      <rPr>
        <sz val="11"/>
        <color theme="1"/>
        <rFont val="等线"/>
        <family val="3"/>
        <charset val="134"/>
      </rPr>
      <t>为</t>
    </r>
    <r>
      <rPr>
        <sz val="11"/>
        <color theme="1"/>
        <rFont val="Calibri"/>
        <family val="2"/>
      </rPr>
      <t xml:space="preserve"> TRUE </t>
    </r>
    <r>
      <rPr>
        <sz val="11"/>
        <color theme="1"/>
        <rFont val="等线"/>
        <family val="3"/>
        <charset val="134"/>
      </rPr>
      <t>或省略，</t>
    </r>
    <r>
      <rPr>
        <sz val="11"/>
        <color theme="1"/>
        <rFont val="Calibri"/>
        <family val="2"/>
      </rPr>
      <t xml:space="preserve">ref_text </t>
    </r>
    <r>
      <rPr>
        <sz val="11"/>
        <color theme="1"/>
        <rFont val="等线"/>
        <family val="3"/>
        <charset val="134"/>
      </rPr>
      <t>被解释为</t>
    </r>
    <r>
      <rPr>
        <sz val="11"/>
        <color theme="1"/>
        <rFont val="Calibri"/>
        <family val="2"/>
      </rPr>
      <t xml:space="preserve"> A1-</t>
    </r>
    <r>
      <rPr>
        <sz val="11"/>
        <color theme="1"/>
        <rFont val="等线"/>
        <family val="3"/>
        <charset val="134"/>
      </rPr>
      <t>样式的引用。</t>
    </r>
  </si>
  <si>
    <r>
      <rPr>
        <sz val="11"/>
        <color theme="1"/>
        <rFont val="Segoe UI Symbol"/>
        <family val="2"/>
      </rPr>
      <t>◾</t>
    </r>
    <r>
      <rPr>
        <sz val="11"/>
        <color theme="1"/>
        <rFont val="等线"/>
        <family val="3"/>
        <charset val="134"/>
      </rPr>
      <t>如果</t>
    </r>
    <r>
      <rPr>
        <sz val="11"/>
        <color theme="1"/>
        <rFont val="Calibri"/>
        <family val="2"/>
      </rPr>
      <t xml:space="preserve"> a1 </t>
    </r>
    <r>
      <rPr>
        <sz val="11"/>
        <color theme="1"/>
        <rFont val="等线"/>
        <family val="3"/>
        <charset val="134"/>
      </rPr>
      <t>为</t>
    </r>
    <r>
      <rPr>
        <sz val="11"/>
        <color theme="1"/>
        <rFont val="Calibri"/>
        <family val="2"/>
      </rPr>
      <t xml:space="preserve"> FALSE</t>
    </r>
    <r>
      <rPr>
        <sz val="11"/>
        <color theme="1"/>
        <rFont val="等线"/>
        <family val="3"/>
        <charset val="134"/>
      </rPr>
      <t>，则将</t>
    </r>
    <r>
      <rPr>
        <sz val="11"/>
        <color theme="1"/>
        <rFont val="Calibri"/>
        <family val="2"/>
      </rPr>
      <t xml:space="preserve"> ref_text </t>
    </r>
    <r>
      <rPr>
        <sz val="11"/>
        <color theme="1"/>
        <rFont val="等线"/>
        <family val="3"/>
        <charset val="134"/>
      </rPr>
      <t>解释为</t>
    </r>
    <r>
      <rPr>
        <sz val="11"/>
        <color theme="1"/>
        <rFont val="Calibri"/>
        <family val="2"/>
      </rPr>
      <t xml:space="preserve"> R1C1 </t>
    </r>
    <r>
      <rPr>
        <sz val="11"/>
        <color theme="1"/>
        <rFont val="等线"/>
        <family val="3"/>
        <charset val="134"/>
      </rPr>
      <t>样式的引用。</t>
    </r>
  </si>
  <si>
    <r>
      <rPr>
        <sz val="11"/>
        <color theme="1"/>
        <rFont val="Segoe UI Symbol"/>
        <family val="2"/>
      </rPr>
      <t>◾</t>
    </r>
    <r>
      <rPr>
        <sz val="11"/>
        <color theme="1"/>
        <rFont val="等线"/>
        <family val="3"/>
        <charset val="134"/>
      </rPr>
      <t>如果</t>
    </r>
    <r>
      <rPr>
        <sz val="11"/>
        <color theme="1"/>
        <rFont val="Calibri"/>
        <family val="2"/>
      </rPr>
      <t>ref_text</t>
    </r>
    <r>
      <rPr>
        <sz val="11"/>
        <color theme="1"/>
        <rFont val="等线"/>
        <family val="3"/>
        <charset val="134"/>
      </rPr>
      <t>引用外部引用</t>
    </r>
    <r>
      <rPr>
        <sz val="11"/>
        <color theme="1"/>
        <rFont val="Calibri"/>
        <family val="2"/>
      </rPr>
      <t xml:space="preserve"> (</t>
    </r>
    <r>
      <rPr>
        <sz val="11"/>
        <color theme="1"/>
        <rFont val="等线"/>
        <family val="3"/>
        <charset val="134"/>
      </rPr>
      <t>工作簿</t>
    </r>
    <r>
      <rPr>
        <sz val="11"/>
        <color theme="1"/>
        <rFont val="Calibri"/>
        <family val="2"/>
      </rPr>
      <t xml:space="preserve">) </t>
    </r>
    <r>
      <rPr>
        <sz val="11"/>
        <color theme="1"/>
        <rFont val="等线"/>
        <family val="3"/>
        <charset val="134"/>
      </rPr>
      <t>，则必须打开另一个工作簿。</t>
    </r>
    <r>
      <rPr>
        <sz val="11"/>
        <color theme="1"/>
        <rFont val="Calibri"/>
        <family val="2"/>
      </rPr>
      <t xml:space="preserve"> </t>
    </r>
    <r>
      <rPr>
        <sz val="11"/>
        <color theme="1"/>
        <rFont val="等线"/>
        <family val="3"/>
        <charset val="134"/>
      </rPr>
      <t>如果源工作簿未打开，</t>
    </r>
    <r>
      <rPr>
        <sz val="11"/>
        <color theme="1"/>
        <rFont val="Calibri"/>
        <family val="2"/>
      </rPr>
      <t xml:space="preserve">INDIRECT </t>
    </r>
    <r>
      <rPr>
        <sz val="11"/>
        <color theme="1"/>
        <rFont val="等线"/>
        <family val="3"/>
        <charset val="134"/>
      </rPr>
      <t>返回</t>
    </r>
    <r>
      <rPr>
        <sz val="11"/>
        <color theme="1"/>
        <rFont val="Calibri"/>
        <family val="2"/>
      </rPr>
      <t>#REF</t>
    </r>
    <r>
      <rPr>
        <sz val="11"/>
        <color theme="1"/>
        <rFont val="等线"/>
        <family val="3"/>
        <charset val="134"/>
      </rPr>
      <t>！</t>
    </r>
    <r>
      <rPr>
        <sz val="11"/>
        <color theme="1"/>
        <rFont val="Calibri"/>
        <family val="2"/>
      </rPr>
      <t xml:space="preserve"> </t>
    </r>
    <r>
      <rPr>
        <sz val="11"/>
        <color theme="1"/>
        <rFont val="等线"/>
        <family val="3"/>
        <charset val="134"/>
      </rPr>
      <t>错误值。</t>
    </r>
  </si>
  <si>
    <t>注意   Web 应用中不支持Excel引用。</t>
  </si>
  <si>
    <t>by_col参数是一个逻辑值，指示如何进行比较。TRUE 将比较列彼此并返回唯一列，FALSE (或省略) 将行彼此比较并返回唯一行。</t>
  </si>
  <si>
    <t>exactly_once参数是一个逻辑值，它将返回在区域或数组中恰好出现一次的行或列。 这是唯一的数据库概念。TRUE 将返回范围或数组中恰好发生一次的所有非重复行或列。FALSE (或省略) 将返回区域或数组中所有不同的行或列。</t>
  </si>
  <si>
    <r>
      <rPr>
        <sz val="11"/>
        <color theme="1"/>
        <rFont val="Segoe UI Symbol"/>
        <family val="2"/>
      </rPr>
      <t>◾</t>
    </r>
    <r>
      <rPr>
        <sz val="11"/>
        <color theme="1"/>
        <rFont val="等线"/>
        <family val="3"/>
        <charset val="134"/>
      </rPr>
      <t>可以将数组视为值的行或列，或值行和列的组合。</t>
    </r>
  </si>
  <si>
    <r>
      <rPr>
        <sz val="11"/>
        <color theme="1"/>
        <rFont val="Segoe UI Symbol"/>
        <family val="2"/>
      </rPr>
      <t>◾</t>
    </r>
    <r>
      <rPr>
        <sz val="11"/>
        <color theme="1"/>
        <rFont val="Calibri"/>
        <family val="2"/>
      </rPr>
      <t xml:space="preserve">UNIQUE </t>
    </r>
    <r>
      <rPr>
        <sz val="11"/>
        <color theme="1"/>
        <rFont val="等线"/>
        <family val="3"/>
        <charset val="134"/>
      </rPr>
      <t>函数将返回一个数组，如果该数组是公式的最终结果，则将溢出。</t>
    </r>
    <r>
      <rPr>
        <sz val="11"/>
        <color theme="1"/>
        <rFont val="Calibri"/>
        <family val="2"/>
      </rPr>
      <t xml:space="preserve"> </t>
    </r>
    <r>
      <rPr>
        <sz val="11"/>
        <color theme="1"/>
        <rFont val="等线"/>
        <family val="3"/>
        <charset val="134"/>
      </rPr>
      <t>这意味着，当按“</t>
    </r>
    <r>
      <rPr>
        <sz val="11"/>
        <color theme="1"/>
        <rFont val="Calibri"/>
        <family val="2"/>
      </rPr>
      <t>Enter”</t>
    </r>
    <r>
      <rPr>
        <sz val="11"/>
        <color theme="1"/>
        <rFont val="等线"/>
        <family val="3"/>
        <charset val="134"/>
      </rPr>
      <t>时，</t>
    </r>
    <r>
      <rPr>
        <sz val="11"/>
        <color theme="1"/>
        <rFont val="Calibri"/>
        <family val="2"/>
      </rPr>
      <t xml:space="preserve">Excel </t>
    </r>
    <r>
      <rPr>
        <sz val="11"/>
        <color theme="1"/>
        <rFont val="等线"/>
        <family val="3"/>
        <charset val="134"/>
      </rPr>
      <t>将动态创建相应大小的数组范围。</t>
    </r>
    <r>
      <rPr>
        <sz val="11"/>
        <color theme="1"/>
        <rFont val="Calibri"/>
        <family val="2"/>
      </rPr>
      <t xml:space="preserve"> </t>
    </r>
    <r>
      <rPr>
        <sz val="11"/>
        <color theme="1"/>
        <rFont val="等线"/>
        <family val="3"/>
        <charset val="134"/>
      </rPr>
      <t>如果支持数据位于</t>
    </r>
    <r>
      <rPr>
        <sz val="11"/>
        <color theme="1"/>
        <rFont val="Calibri"/>
        <family val="2"/>
      </rPr>
      <t xml:space="preserve"> Excel </t>
    </r>
    <r>
      <rPr>
        <sz val="11"/>
        <color theme="1"/>
        <rFont val="等线"/>
        <family val="3"/>
        <charset val="134"/>
      </rPr>
      <t>表格中，若使用结构化引用，则从数组范围中添加或删除数据时，数组将自动重设大小。</t>
    </r>
  </si>
  <si>
    <r>
      <rPr>
        <sz val="11"/>
        <color theme="1"/>
        <rFont val="Segoe UI Symbol"/>
        <family val="2"/>
      </rPr>
      <t>◾</t>
    </r>
    <r>
      <rPr>
        <sz val="11"/>
        <color theme="1"/>
        <rFont val="Calibri"/>
        <family val="2"/>
      </rPr>
      <t xml:space="preserve">Excel </t>
    </r>
    <r>
      <rPr>
        <sz val="11"/>
        <color theme="1"/>
        <rFont val="等线"/>
        <family val="3"/>
        <charset val="134"/>
      </rPr>
      <t>对工作簿之间的动态数据提供有限支持，并且仅当这两个工作簿时都处于打开状态时才支持此方案。</t>
    </r>
    <r>
      <rPr>
        <sz val="11"/>
        <color theme="1"/>
        <rFont val="Calibri"/>
        <family val="2"/>
      </rPr>
      <t xml:space="preserve"> </t>
    </r>
    <r>
      <rPr>
        <sz val="11"/>
        <color theme="1"/>
        <rFont val="等线"/>
        <family val="3"/>
        <charset val="134"/>
      </rPr>
      <t>如果关闭源工作簿，刷新时，任何链接的动态数组公式都将返回</t>
    </r>
    <r>
      <rPr>
        <sz val="11"/>
        <color theme="1"/>
        <rFont val="Calibri"/>
        <family val="2"/>
      </rPr>
      <t xml:space="preserve"> #REF! </t>
    </r>
    <r>
      <rPr>
        <sz val="11"/>
        <color theme="1"/>
        <rFont val="等线"/>
        <family val="3"/>
        <charset val="134"/>
      </rPr>
      <t>错误</t>
    </r>
    <r>
      <rPr>
        <sz val="11"/>
        <color theme="1"/>
        <rFont val="Calibri"/>
        <family val="2"/>
      </rPr>
      <t xml:space="preserve"> </t>
    </r>
    <r>
      <rPr>
        <sz val="11"/>
        <color theme="1"/>
        <rFont val="等线"/>
        <family val="3"/>
        <charset val="134"/>
      </rPr>
      <t>。</t>
    </r>
  </si>
  <si>
    <t>/=FILTER(array,include,[if_empty])</t>
  </si>
  <si>
    <t>FILTER 函数基于布尔值 (True/False) 数组筛选数组。</t>
  </si>
  <si>
    <t>要筛选的数组或区域</t>
  </si>
  <si>
    <t>include</t>
  </si>
  <si>
    <t>布尔值数组，其高度或宽度与数组相同</t>
  </si>
  <si>
    <t>[if_empty]</t>
  </si>
  <si>
    <t>所含数组中的所有值都为空（筛选器不返回任何内容）时返回的值</t>
  </si>
  <si>
    <t>/=SORTBY(array,by_array1,[sort_order1],[by_array2],[sort_order2],...）</t>
  </si>
  <si>
    <t>要用于排序的顺序。 1 表示升序，-1 表示降序。 默认值为升序。</t>
  </si>
  <si>
    <t>columns</t>
  </si>
  <si>
    <t>要返回的列数</t>
  </si>
  <si>
    <t>[star_num]</t>
  </si>
  <si>
    <t>序列中第一个数字</t>
  </si>
  <si>
    <t>[增量]</t>
  </si>
  <si>
    <t>数组中每个连续值递增的值</t>
  </si>
  <si>
    <r>
      <rPr>
        <sz val="11"/>
        <color theme="1"/>
        <rFont val="Segoe UI Symbol"/>
        <family val="2"/>
      </rPr>
      <t>◾</t>
    </r>
    <r>
      <rPr>
        <sz val="11"/>
        <color theme="1"/>
        <rFont val="等线"/>
        <family val="3"/>
        <charset val="134"/>
      </rPr>
      <t>任何缺少的可选参数都将默认为</t>
    </r>
    <r>
      <rPr>
        <sz val="11"/>
        <color theme="1"/>
        <rFont val="Calibri"/>
        <family val="2"/>
      </rPr>
      <t>1</t>
    </r>
    <r>
      <rPr>
        <sz val="11"/>
        <color theme="1"/>
        <rFont val="等线"/>
        <family val="3"/>
        <charset val="134"/>
      </rPr>
      <t>。</t>
    </r>
  </si>
  <si>
    <r>
      <rPr>
        <sz val="11"/>
        <color theme="1"/>
        <rFont val="Segoe UI Symbol"/>
        <family val="2"/>
      </rPr>
      <t>◾</t>
    </r>
    <r>
      <rPr>
        <sz val="11"/>
        <color theme="1"/>
        <rFont val="等线"/>
        <family val="3"/>
        <charset val="134"/>
      </rPr>
      <t>可将数组视为一行值、一列值或几行值和几列值的组合。</t>
    </r>
  </si>
  <si>
    <r>
      <rPr>
        <sz val="11"/>
        <color theme="1"/>
        <rFont val="Segoe UI Symbol"/>
        <family val="2"/>
      </rPr>
      <t>◾</t>
    </r>
    <r>
      <rPr>
        <sz val="11"/>
        <color theme="1"/>
        <rFont val="Calibri"/>
        <family val="2"/>
      </rPr>
      <t xml:space="preserve">SEQUENCE </t>
    </r>
    <r>
      <rPr>
        <sz val="11"/>
        <color theme="1"/>
        <rFont val="等线"/>
        <family val="3"/>
        <charset val="134"/>
      </rPr>
      <t>函数将返回一个数组，如果该数组是公式的最终结果，则将溢出。</t>
    </r>
    <r>
      <rPr>
        <sz val="11"/>
        <color theme="1"/>
        <rFont val="Calibri"/>
        <family val="2"/>
      </rPr>
      <t xml:space="preserve"> </t>
    </r>
    <r>
      <rPr>
        <sz val="11"/>
        <color theme="1"/>
        <rFont val="等线"/>
        <family val="3"/>
        <charset val="134"/>
      </rPr>
      <t>这意味着，当按“</t>
    </r>
    <r>
      <rPr>
        <sz val="11"/>
        <color theme="1"/>
        <rFont val="Calibri"/>
        <family val="2"/>
      </rPr>
      <t>Enter”</t>
    </r>
    <r>
      <rPr>
        <sz val="11"/>
        <color theme="1"/>
        <rFont val="等线"/>
        <family val="3"/>
        <charset val="134"/>
      </rPr>
      <t>时，</t>
    </r>
    <r>
      <rPr>
        <sz val="11"/>
        <color theme="1"/>
        <rFont val="Calibri"/>
        <family val="2"/>
      </rPr>
      <t xml:space="preserve">Excel </t>
    </r>
    <r>
      <rPr>
        <sz val="11"/>
        <color theme="1"/>
        <rFont val="等线"/>
        <family val="3"/>
        <charset val="134"/>
      </rPr>
      <t>将动态创建相应大小的数组范围。</t>
    </r>
    <r>
      <rPr>
        <sz val="11"/>
        <color theme="1"/>
        <rFont val="Calibri"/>
        <family val="2"/>
      </rPr>
      <t xml:space="preserve"> </t>
    </r>
  </si>
  <si>
    <t>需要替换其中字符的文本，或对含有文本（需要替换其中字符）的单元格的引用。</t>
  </si>
  <si>
    <t>old_text</t>
  </si>
  <si>
    <t>需要替换的文本。</t>
  </si>
  <si>
    <t>new_text</t>
  </si>
  <si>
    <t>用于替换 old_text 的文本。</t>
  </si>
  <si>
    <t>[instance_num]</t>
  </si>
  <si>
    <t>指定要将第几个 old_text 替换为 new_text。 如果指定了 instance_num，则只有满足要求的 old_text 被替换。 否则，文本中出现的所有 old_text 都会更改为 new_text。</t>
  </si>
  <si>
    <t>根据指定的字符数，REPLACE 将部分文本字符串替换为不同的文本字符串。</t>
  </si>
  <si>
    <t>要替换其部分字符的文本。</t>
  </si>
  <si>
    <t xml:space="preserve"> start_num</t>
  </si>
  <si>
    <t>old_text 中要替换为 new_text 的字符位置。</t>
  </si>
  <si>
    <t xml:space="preserve"> old_text 中希望 REPLACE 使用 new_text 来进行替换的字符数。</t>
  </si>
  <si>
    <t>将替换 old_text 中字符的文本。</t>
  </si>
  <si>
    <r>
      <rPr>
        <sz val="11"/>
        <color theme="1"/>
        <rFont val="等线"/>
        <family val="3"/>
        <charset val="134"/>
      </rPr>
      <t>如果需要在</t>
    </r>
    <r>
      <rPr>
        <sz val="11"/>
        <color rgb="FFFF0000"/>
        <rFont val="等线"/>
        <family val="3"/>
        <charset val="134"/>
      </rPr>
      <t>某一文本字符串中</t>
    </r>
    <r>
      <rPr>
        <sz val="11"/>
        <color theme="1"/>
        <rFont val="等线"/>
        <family val="3"/>
        <charset val="134"/>
      </rPr>
      <t>替换</t>
    </r>
    <r>
      <rPr>
        <b/>
        <sz val="11"/>
        <color rgb="FF0070C0"/>
        <rFont val="等线"/>
        <family val="3"/>
        <charset val="134"/>
      </rPr>
      <t>指定</t>
    </r>
    <r>
      <rPr>
        <sz val="11"/>
        <color theme="1"/>
        <rFont val="等线"/>
        <family val="3"/>
        <charset val="134"/>
      </rPr>
      <t>的文本，请使用函数 SUBSTITUTE；如果需要在</t>
    </r>
    <r>
      <rPr>
        <sz val="11"/>
        <color rgb="FFFF0000"/>
        <rFont val="等线"/>
        <family val="3"/>
        <charset val="134"/>
      </rPr>
      <t>某一文本字符串中替换</t>
    </r>
    <r>
      <rPr>
        <b/>
        <sz val="11"/>
        <color rgb="FF0070C0"/>
        <rFont val="等线"/>
        <family val="3"/>
        <charset val="134"/>
      </rPr>
      <t>特定位置处的任意</t>
    </r>
    <r>
      <rPr>
        <sz val="11"/>
        <color rgb="FFFF0000"/>
        <rFont val="等线"/>
        <family val="3"/>
        <charset val="134"/>
      </rPr>
      <t>文本</t>
    </r>
    <r>
      <rPr>
        <sz val="11"/>
        <color theme="1"/>
        <rFont val="等线"/>
        <family val="3"/>
        <charset val="134"/>
      </rPr>
      <t>，请使用函数 REPLACE。</t>
    </r>
  </si>
  <si>
    <t>文本字符串，或者为空，或用双引号引起来的一个或多个字符，或对有效文本字符串的引用。 如果提供一个数字，则将被视为文本。</t>
  </si>
  <si>
    <t>[text2,…]</t>
  </si>
  <si>
    <t>要联接的其他文本项。 文本项最多可以包含 252 个文本参数 text1。 每个参数可以是一个文本字符串或字符串数组，如单元格区域。</t>
  </si>
  <si>
    <t>辅助列</t>
  </si>
  <si>
    <t>物品名称</t>
  </si>
  <si>
    <t>铅笔</t>
  </si>
  <si>
    <t>钢笔</t>
  </si>
  <si>
    <t>一对多查询</t>
  </si>
  <si>
    <t>毛笔</t>
  </si>
  <si>
    <t>笔芯</t>
  </si>
  <si>
    <t>index+smaLL</t>
  </si>
  <si>
    <t>橡皮</t>
  </si>
  <si>
    <t>文具盒</t>
  </si>
  <si>
    <t>一对多构建辅助列</t>
  </si>
  <si>
    <t>vLookup+match</t>
  </si>
  <si>
    <t>将日期为1900/1/1转化为空</t>
  </si>
  <si>
    <t>yyyy/m/d;;</t>
  </si>
  <si>
    <t>将0转化为空</t>
  </si>
  <si>
    <r>
      <rPr>
        <sz val="11"/>
        <color theme="1"/>
        <rFont val="等线"/>
        <family val="3"/>
        <charset val="134"/>
      </rPr>
      <t>在公式结尾加</t>
    </r>
    <r>
      <rPr>
        <b/>
        <sz val="11"/>
        <color rgb="FFFF0000"/>
        <rFont val="等线"/>
        <family val="3"/>
        <charset val="134"/>
      </rPr>
      <t>&amp;""</t>
    </r>
  </si>
  <si>
    <t>index+match</t>
  </si>
  <si>
    <t>/22120764</t>
  </si>
  <si>
    <t>GS1-22020208</t>
  </si>
  <si>
    <t>Protein vpBTN2</t>
  </si>
  <si>
    <t>/22120771</t>
  </si>
  <si>
    <t>/22120765</t>
  </si>
  <si>
    <t>GS1-22020209</t>
  </si>
  <si>
    <t>HotPETase-pET32a</t>
  </si>
  <si>
    <t>/22120770</t>
  </si>
  <si>
    <t>HotPETase-pET46Ek/LIC</t>
  </si>
  <si>
    <t>GS1-22020202</t>
  </si>
  <si>
    <t>GenBank: U05248.1</t>
  </si>
  <si>
    <t>/22120768</t>
  </si>
  <si>
    <t>GS1-22020203</t>
  </si>
  <si>
    <t>TDG</t>
  </si>
  <si>
    <t>/22120773</t>
  </si>
  <si>
    <t>GS1-22020204</t>
  </si>
  <si>
    <t>WG-05531D LRTM1</t>
  </si>
  <si>
    <t>GS1-22020207</t>
  </si>
  <si>
    <t>Pcyt1a NM_078622.2</t>
  </si>
  <si>
    <t>内PG1-22020008</t>
  </si>
  <si>
    <t>PRKCD-WT</t>
  </si>
  <si>
    <t>/22120772</t>
  </si>
  <si>
    <t>PRKCD-MT</t>
  </si>
  <si>
    <t>JAG1-WT1</t>
  </si>
  <si>
    <t>P3</t>
  </si>
  <si>
    <t>G18=LOOKUP(E18,{2,3,4},{"A","B","C"})</t>
  </si>
  <si>
    <t>P2</t>
  </si>
  <si>
    <t>P1</t>
  </si>
  <si>
    <t>疫苗时间</t>
  </si>
  <si>
    <t>第一次疫苗时间</t>
  </si>
  <si>
    <t>第二次疫苗时间</t>
  </si>
  <si>
    <t>第三次疫苗时间</t>
  </si>
  <si>
    <t>手工计算总数</t>
  </si>
  <si>
    <t>6221冰泉喷雾 (2),多重智能抗菌除臭袜 (中码）(2),纪念币 (1)</t>
  </si>
  <si>
    <t>6221冰泉喷雾 (4),多重智能抗菌除臭袜 (中码）(6),纪念币 (7)</t>
  </si>
  <si>
    <t>6221冰泉喷雾 (2),多重智能抗菌除臭袜 (大码）(2),纪念币 (9)</t>
  </si>
  <si>
    <t>SUMPRODUCT+REPT+ROW+TEXT+MID</t>
  </si>
  <si>
    <t>职级</t>
  </si>
  <si>
    <t>1档</t>
  </si>
  <si>
    <t>2档</t>
  </si>
  <si>
    <t>3档</t>
  </si>
  <si>
    <t>4档</t>
  </si>
  <si>
    <t>5档</t>
  </si>
  <si>
    <t>6档</t>
  </si>
  <si>
    <t>7档</t>
  </si>
  <si>
    <t>8档</t>
  </si>
  <si>
    <t>9档</t>
  </si>
  <si>
    <t>10档</t>
  </si>
  <si>
    <t>P9</t>
  </si>
  <si>
    <t>P8</t>
  </si>
  <si>
    <t>P7</t>
  </si>
  <si>
    <t>P6</t>
  </si>
  <si>
    <t>P5</t>
  </si>
  <si>
    <t>P4</t>
  </si>
  <si>
    <r>
      <rPr>
        <sz val="11"/>
        <color theme="1"/>
        <rFont val="等线"/>
        <family val="3"/>
        <charset val="134"/>
      </rPr>
      <t xml:space="preserve">红色区域为薪酬点数，简称薪点。每个档的薪点是该档位的最大值。
例如：P1职级的1档范围是1-7，P2职级2档范围是9-17，P3职级的3档范围是21-31，以此类推
</t>
    </r>
    <r>
      <rPr>
        <b/>
        <sz val="14"/>
        <color rgb="FFFF0000"/>
        <rFont val="等线"/>
        <family val="3"/>
        <charset val="134"/>
      </rPr>
      <t>若已知张3的职级是P3，且薪点为42，请问如何通过函数计算出 张3属于4档？
因该类反推的情形较多，每个员工职级不同，故须通过函数实现反推。</t>
    </r>
  </si>
  <si>
    <t>薪点</t>
  </si>
  <si>
    <t>薪档</t>
  </si>
  <si>
    <t>张3</t>
  </si>
  <si>
    <t>应为4档</t>
  </si>
  <si>
    <t>张4</t>
  </si>
  <si>
    <t>应为6档</t>
  </si>
  <si>
    <t>张5</t>
  </si>
  <si>
    <t>应为5档</t>
  </si>
  <si>
    <t>代码</t>
  </si>
  <si>
    <t>状态</t>
  </si>
  <si>
    <t>SSB-15-0202</t>
  </si>
  <si>
    <t>正常</t>
  </si>
  <si>
    <t>前提条件：A列需要保留唯一值</t>
  </si>
  <si>
    <t>JKL-44-0401</t>
  </si>
  <si>
    <t>历史</t>
  </si>
  <si>
    <t>1、代码+金额=0 的，在状态（正常或历史或空）第一个显示FALSE，其它重复的显示 TRUE</t>
  </si>
  <si>
    <t>2、代码+状态（正常）+金额&gt;0 的，显示FALSE，其它重复的显示 TRUE</t>
  </si>
  <si>
    <t>KAN-02-0601</t>
  </si>
  <si>
    <t>例子</t>
  </si>
  <si>
    <t>项目</t>
  </si>
  <si>
    <t>摘要</t>
  </si>
  <si>
    <t>西瓜</t>
  </si>
  <si>
    <r>
      <rPr>
        <sz val="11"/>
        <color theme="1"/>
        <rFont val="等线"/>
        <family val="3"/>
        <charset val="134"/>
      </rPr>
      <t>补贴</t>
    </r>
    <r>
      <rPr>
        <sz val="11"/>
        <color rgb="FFFF0000"/>
        <rFont val="等线"/>
        <family val="3"/>
        <charset val="134"/>
      </rPr>
      <t>1.1</t>
    </r>
  </si>
  <si>
    <t>补贴1.1</t>
  </si>
  <si>
    <t>菠萝</t>
  </si>
  <si>
    <t>香蕉</t>
  </si>
  <si>
    <t>工资1.1</t>
  </si>
  <si>
    <t>福利1.1</t>
  </si>
  <si>
    <t>五险一金1.4</t>
  </si>
  <si>
    <t>要求：根据项目和摘要求和。如1.1的就取1.1的项目和摘要汇总求和</t>
  </si>
  <si>
    <t>社保1.1</t>
  </si>
  <si>
    <t>f134=SUMPRODUCT(N(INT(B$134:B$144%)=E134))</t>
  </si>
  <si>
    <t>f135=COUNTIFS(B$134:B$144,"&gt;="&amp;E135&amp;"01",B$134:B$144,"&lt;="&amp;E135&amp;"31")</t>
  </si>
  <si>
    <t>实例</t>
  </si>
  <si>
    <t>id</t>
  </si>
  <si>
    <t>00006239f76a6d08c299f37245a3dd25110000</t>
  </si>
  <si>
    <t>开局路202号</t>
  </si>
  <si>
    <t>开局路202号;开局路222号;开局路225号</t>
  </si>
  <si>
    <t>000081c6f7ea7608bdbf6ae083e8642b110000</t>
  </si>
  <si>
    <t>开局路203号</t>
  </si>
  <si>
    <t>开局路203号;开局路223号;开局路226号</t>
  </si>
  <si>
    <t>00015f64aaf0db9aaa20434f4b33da39110000</t>
  </si>
  <si>
    <t>开局路204号</t>
  </si>
  <si>
    <t>开局路204号;开局路224号;开局路227号</t>
  </si>
  <si>
    <t>000171cc9c216ed9841c76727925c9f5110000</t>
  </si>
  <si>
    <t>开局路205号</t>
  </si>
  <si>
    <t>0001ca3453a7630c7a3c601cc4024caf110000</t>
  </si>
  <si>
    <t>开局路206号</t>
  </si>
  <si>
    <t>开局路206号;开局路219号</t>
  </si>
  <si>
    <t>0001f5d98a09e99c0e21f90ef7e6aad7110000</t>
  </si>
  <si>
    <t>开局路207号</t>
  </si>
  <si>
    <t>000255a73e8cd4973df1880222d0cf81110000</t>
  </si>
  <si>
    <t>开局路208号</t>
  </si>
  <si>
    <t>00028c36d13d013e020be96224e4b482110000</t>
  </si>
  <si>
    <t>开局路209号</t>
  </si>
  <si>
    <t>0006383984043e7f02b9e06a700abc04110000</t>
  </si>
  <si>
    <t>开局路210号</t>
  </si>
  <si>
    <t>0006cc274d9ec4b3694c26a609481760110000</t>
  </si>
  <si>
    <t>开局路211号</t>
  </si>
  <si>
    <t>0006de5b999f5565b7de5eadd8ce8ec7110000</t>
  </si>
  <si>
    <t>开局路212号</t>
  </si>
  <si>
    <t>0007419eb9eb12caa3936a21a1453ffa110000</t>
  </si>
  <si>
    <t>开局路213号</t>
  </si>
  <si>
    <t>开局路213号;开局路221号</t>
  </si>
  <si>
    <t>00078b7c9791eb2cfe8ff6e2ddc741a3110000</t>
  </si>
  <si>
    <t>开局路214号</t>
  </si>
  <si>
    <t>0007b8444fcf5785f5b9de8d09a4f199110000</t>
  </si>
  <si>
    <t>开局路215号</t>
  </si>
  <si>
    <t>开局路215号;开局路220号</t>
  </si>
  <si>
    <t>00082af9a8601b27623c53de423d433e110000</t>
  </si>
  <si>
    <t>开局路216号</t>
  </si>
  <si>
    <t>0008afcad09dbeaa1fd9dc5ebabd80be110000</t>
  </si>
  <si>
    <t>开局路217号</t>
  </si>
  <si>
    <t>00097dfcbcbd168a8acf7fe66703aafb110000</t>
  </si>
  <si>
    <t>开局路218号</t>
  </si>
  <si>
    <t>开局路219号</t>
  </si>
  <si>
    <t>开局路220号</t>
  </si>
  <si>
    <t>开局路221号</t>
  </si>
  <si>
    <t>开局路222号</t>
  </si>
  <si>
    <t>开局路223号</t>
  </si>
  <si>
    <t>开局路224号</t>
  </si>
  <si>
    <t>开局路225号</t>
  </si>
  <si>
    <t>开局路226号</t>
  </si>
  <si>
    <t>开局路227号</t>
  </si>
  <si>
    <t>商品条码</t>
  </si>
  <si>
    <t>商品编码</t>
  </si>
  <si>
    <t>170479890404368</t>
  </si>
  <si>
    <t>8809278713566</t>
  </si>
  <si>
    <t>283664266274965</t>
  </si>
  <si>
    <t>6922608611317</t>
  </si>
  <si>
    <t>343339553300783</t>
  </si>
  <si>
    <t>6935157915096</t>
  </si>
  <si>
    <t>289461594513065</t>
  </si>
  <si>
    <t>P220104865377972</t>
  </si>
  <si>
    <t>6972507567529</t>
  </si>
  <si>
    <t>343743288507834</t>
  </si>
  <si>
    <t>P210818147236761</t>
  </si>
  <si>
    <t>398163105748659</t>
  </si>
  <si>
    <t>5028197619428</t>
  </si>
  <si>
    <t>441464044735603</t>
  </si>
  <si>
    <t>8859425600126</t>
  </si>
  <si>
    <t>455815633286976</t>
  </si>
  <si>
    <t>8858994475616</t>
  </si>
  <si>
    <t>461973647088721</t>
  </si>
  <si>
    <t>8809643044363</t>
  </si>
  <si>
    <t>P210818337714762</t>
  </si>
  <si>
    <t>468111101954274</t>
  </si>
  <si>
    <t>8809685833475</t>
  </si>
  <si>
    <t>461957241929837</t>
  </si>
  <si>
    <t>3401345935571</t>
  </si>
  <si>
    <t>520630608741706</t>
  </si>
  <si>
    <t>6902395487425</t>
  </si>
  <si>
    <t>522715083697099</t>
  </si>
  <si>
    <t>6903966441860</t>
  </si>
  <si>
    <t>9322316001108</t>
  </si>
  <si>
    <t>9421023847068</t>
  </si>
  <si>
    <t>521498702182464</t>
  </si>
  <si>
    <t>8809378320695</t>
  </si>
  <si>
    <t>527760364774501</t>
  </si>
  <si>
    <t>10122020001</t>
  </si>
  <si>
    <t>8809685783824</t>
  </si>
  <si>
    <t>请假记录表（有数字1表示请假）</t>
  </si>
  <si>
    <t>序号</t>
  </si>
  <si>
    <t>请假人列表</t>
  </si>
  <si>
    <t>若雨</t>
  </si>
  <si>
    <t>静香</t>
  </si>
  <si>
    <t>梦洁</t>
  </si>
  <si>
    <t>凌薇</t>
  </si>
  <si>
    <t>美莲</t>
  </si>
  <si>
    <t>雅静</t>
  </si>
  <si>
    <t>雪丽</t>
  </si>
  <si>
    <t>依娜</t>
  </si>
  <si>
    <t>雅芙</t>
  </si>
  <si>
    <t>雨婷</t>
  </si>
  <si>
    <t>/=OFFSET(rows,coLumn,行格数,列格数)</t>
  </si>
  <si>
    <t>学生成绩</t>
  </si>
  <si>
    <t>成绩统计</t>
  </si>
  <si>
    <t>语文</t>
  </si>
  <si>
    <t>数学</t>
  </si>
  <si>
    <t>英语</t>
  </si>
  <si>
    <t>马颖馨</t>
  </si>
  <si>
    <t>各科参考人数</t>
  </si>
  <si>
    <t>王芳聲</t>
  </si>
  <si>
    <t>A人数</t>
  </si>
  <si>
    <t>王诗萍</t>
  </si>
  <si>
    <t>B以上人数</t>
  </si>
  <si>
    <t>王淘</t>
  </si>
  <si>
    <t>D</t>
  </si>
  <si>
    <t>C以上人数</t>
  </si>
  <si>
    <t>王满</t>
  </si>
  <si>
    <t>E</t>
  </si>
  <si>
    <t>D以上人数</t>
  </si>
  <si>
    <t>卢子逸</t>
  </si>
  <si>
    <t>三科D以上人数</t>
  </si>
  <si>
    <t>卢贞至</t>
  </si>
  <si>
    <t>E以下人数</t>
  </si>
  <si>
    <t>卢思彤</t>
  </si>
  <si>
    <t>G人数</t>
  </si>
  <si>
    <t>冯成茂</t>
  </si>
  <si>
    <t>三科G人数</t>
  </si>
  <si>
    <t>冯钲豪</t>
  </si>
  <si>
    <t>向述言</t>
  </si>
  <si>
    <t>庄梦菲</t>
  </si>
  <si>
    <t>刘铭慧</t>
  </si>
  <si>
    <t>羊浩宇</t>
  </si>
  <si>
    <t>F</t>
  </si>
  <si>
    <t>苏方栋</t>
  </si>
  <si>
    <t>H</t>
  </si>
  <si>
    <t>苏孟钰</t>
  </si>
  <si>
    <t>G</t>
  </si>
  <si>
    <t>李欣悦</t>
  </si>
  <si>
    <t>李建辰</t>
  </si>
  <si>
    <t>李梓菡</t>
  </si>
  <si>
    <t>杨芸萱</t>
  </si>
  <si>
    <t>杨辰骏</t>
  </si>
  <si>
    <t>吴贻佳</t>
  </si>
  <si>
    <t>吴淑示</t>
  </si>
  <si>
    <t>邱徳龙</t>
  </si>
  <si>
    <t>张佳齐</t>
  </si>
  <si>
    <t>张欣语</t>
  </si>
  <si>
    <t>张慧娜</t>
  </si>
  <si>
    <t>张瑾萱</t>
  </si>
  <si>
    <t>陈兴宇</t>
  </si>
  <si>
    <t>陈雨琪</t>
  </si>
  <si>
    <t>陈明志</t>
  </si>
  <si>
    <t>陈俊熙</t>
  </si>
  <si>
    <t>陈琳馨</t>
  </si>
  <si>
    <t>邵子卓</t>
  </si>
  <si>
    <t>林芳成</t>
  </si>
  <si>
    <t>林萱</t>
  </si>
  <si>
    <t>罗之驿</t>
  </si>
  <si>
    <t>郑凯夫</t>
  </si>
  <si>
    <t>胡诗扬</t>
  </si>
  <si>
    <t>钟浩</t>
  </si>
  <si>
    <t>姜祖宇</t>
  </si>
  <si>
    <t>徐德铭</t>
  </si>
  <si>
    <t>郭钰萱</t>
  </si>
  <si>
    <t>黄子隽</t>
  </si>
  <si>
    <t>黄诒钰</t>
  </si>
  <si>
    <t>黄梓琪</t>
  </si>
  <si>
    <t>符子昊</t>
  </si>
  <si>
    <t>梁玉珏</t>
  </si>
  <si>
    <t>梁家乐</t>
  </si>
  <si>
    <t>程心怡</t>
  </si>
  <si>
    <t>傅后廷</t>
  </si>
  <si>
    <t>谢骏洋</t>
  </si>
  <si>
    <t>管彤</t>
  </si>
  <si>
    <t>潘若灵</t>
  </si>
  <si>
    <t>戴文彦</t>
  </si>
  <si>
    <t>学年</t>
  </si>
  <si>
    <t>教师</t>
  </si>
  <si>
    <t>班级</t>
  </si>
  <si>
    <t>所上班级</t>
  </si>
  <si>
    <t>c1801</t>
  </si>
  <si>
    <t>c1802</t>
  </si>
  <si>
    <t>c1803</t>
  </si>
  <si>
    <t>c1804</t>
  </si>
  <si>
    <t>麻子</t>
  </si>
  <si>
    <t>c1805</t>
  </si>
  <si>
    <t>李白</t>
  </si>
  <si>
    <t>杜甫</t>
  </si>
  <si>
    <t>成吉思汗</t>
  </si>
  <si>
    <t>外语</t>
  </si>
  <si>
    <t>王小二</t>
  </si>
  <si>
    <t>陆总</t>
  </si>
  <si>
    <t>柳宗元</t>
  </si>
  <si>
    <t>归雁</t>
  </si>
  <si>
    <t>雍雍</t>
  </si>
  <si>
    <t>政治</t>
  </si>
  <si>
    <t>琪琪</t>
  </si>
  <si>
    <t>小刚</t>
  </si>
  <si>
    <t>小明</t>
  </si>
  <si>
    <t>地理</t>
  </si>
  <si>
    <t>小华</t>
  </si>
  <si>
    <t>生物</t>
  </si>
  <si>
    <t>小陈</t>
  </si>
  <si>
    <t>index+smaLL+if</t>
  </si>
  <si>
    <t>j2=INDEX($D:$D,SMALL(IF(($H2=$B$2:$B100)*($I2=$C$2:$C100),ROW($2:100),4^8),COLUMN(A1)))&amp;""</t>
  </si>
  <si>
    <t>j2=INDEX($D$2:$D$36,SMALL(IF(($B$2:$B$36=$H2)*($C$2:$C$36=$I2),ROW($2:$36),4^8),COLUMN(A1)))</t>
  </si>
  <si>
    <t>j2=INDEX($D:$D,SMALL(IF(($B$2:$B$36=$H2)*($C$2:$C$36=$I2),ROW($2:$36),4^8),COLUMN(A1)))&amp;""</t>
  </si>
  <si>
    <t>注意：</t>
  </si>
  <si>
    <t>1.返回的值范围要比if中大值要大，要将大的值包含在内</t>
  </si>
  <si>
    <r>
      <rPr>
        <sz val="11"/>
        <color theme="1"/>
        <rFont val="等线"/>
        <family val="3"/>
        <charset val="134"/>
      </rPr>
      <t>2.最后公式是0的话，可以在后面加一个</t>
    </r>
    <r>
      <rPr>
        <b/>
        <sz val="11"/>
        <color rgb="FFFF0000"/>
        <rFont val="等线"/>
        <family val="3"/>
        <charset val="134"/>
      </rPr>
      <t>&amp;""</t>
    </r>
    <r>
      <rPr>
        <sz val="11"/>
        <color theme="1"/>
        <rFont val="等线"/>
        <family val="3"/>
        <charset val="134"/>
      </rPr>
      <t xml:space="preserve">,也可以修改格式 </t>
    </r>
    <r>
      <rPr>
        <b/>
        <sz val="11"/>
        <color rgb="FFFF0000"/>
        <rFont val="等线"/>
        <family val="3"/>
        <charset val="134"/>
      </rPr>
      <t>0-0,;;</t>
    </r>
  </si>
  <si>
    <t>3.COLUMN()是表示引用的行数，row()表示的是引用列数</t>
  </si>
  <si>
    <t>已下乡天数</t>
  </si>
  <si>
    <t>user</t>
  </si>
  <si>
    <t>county</t>
  </si>
  <si>
    <t>家和</t>
  </si>
  <si>
    <t>彭秋慧</t>
  </si>
  <si>
    <t>冬公</t>
  </si>
  <si>
    <t>d317=SUMPRODUCT(($I$317:$I$322=$F$315)*($J$317:$J$322=D$316)*($K$317:$K$322=$B317)*$L$317:$L$322)</t>
  </si>
  <si>
    <t>单位名称（A2:A6872)(6871个）</t>
  </si>
  <si>
    <t>村委会(C2:C56)(55个）</t>
  </si>
  <si>
    <t>中和营镇马者哨村马者哨三组</t>
  </si>
  <si>
    <t>阿德邑村</t>
  </si>
  <si>
    <t>开远2016低保</t>
  </si>
  <si>
    <t>八家村</t>
  </si>
  <si>
    <t>解化社区</t>
  </si>
  <si>
    <t>碑格村</t>
  </si>
  <si>
    <t>临江社区</t>
  </si>
  <si>
    <t>崩打村</t>
  </si>
  <si>
    <t>小龙潭居委会</t>
  </si>
  <si>
    <t>城干村</t>
  </si>
  <si>
    <t>2016学校参保</t>
  </si>
  <si>
    <t>冲门村</t>
  </si>
  <si>
    <t>大庄乡大庄村大庄七组</t>
  </si>
  <si>
    <t>冲子村</t>
  </si>
  <si>
    <t>开远市灵泉街道办事处云龙社区五区</t>
  </si>
  <si>
    <t>大平寨村</t>
  </si>
  <si>
    <t>乐白道办事处仁者村发兴</t>
  </si>
  <si>
    <t>大庄村</t>
  </si>
  <si>
    <t>灵泉办事处三台铺村邓耳四组</t>
  </si>
  <si>
    <t>格勒冲村</t>
  </si>
  <si>
    <t>乐白道办事处乐白道村禄丰一组（新）</t>
  </si>
  <si>
    <t>古城村</t>
  </si>
  <si>
    <t>中和营镇大平寨村大平寨三组</t>
  </si>
  <si>
    <t>黑泥地村</t>
  </si>
  <si>
    <t>红石岩村</t>
  </si>
  <si>
    <t>乐白道办事处阿德邑村清塘子</t>
  </si>
  <si>
    <t>红土村</t>
  </si>
  <si>
    <t>云南通信服务有限公司（退休人员）</t>
  </si>
  <si>
    <t>葫芦塘村</t>
  </si>
  <si>
    <t>羊街乡马桑箐村马桑箐</t>
  </si>
  <si>
    <t>架吉村</t>
  </si>
  <si>
    <t>乐白道办事处田心村椅子凹</t>
  </si>
  <si>
    <t>酒房村</t>
  </si>
  <si>
    <t>中国人民解放军联勤保障部队第九二六医院</t>
  </si>
  <si>
    <t>旧寨社区</t>
  </si>
  <si>
    <t>开远市灵泉街道办事处云龙社区六区</t>
  </si>
  <si>
    <t>楷甸村</t>
  </si>
  <si>
    <t>开远市商业公司（退休人员）</t>
  </si>
  <si>
    <t>老寨村</t>
  </si>
  <si>
    <t>开远市殡仪馆</t>
  </si>
  <si>
    <t>乐白道村</t>
  </si>
  <si>
    <t>开远市人民政府大数据研究中心</t>
  </si>
  <si>
    <t>灵云村</t>
  </si>
  <si>
    <t>灵泉办事处三台铺村邓耳一组</t>
  </si>
  <si>
    <t>龙潭村</t>
  </si>
  <si>
    <t>羊街乡红土村红果哨二组</t>
  </si>
  <si>
    <t>开远市食品有限责任公司</t>
  </si>
  <si>
    <t>鲁姑母村</t>
  </si>
  <si>
    <t>乐白道社区</t>
  </si>
  <si>
    <t>落坡洞村</t>
  </si>
  <si>
    <t>绿差冲村</t>
  </si>
  <si>
    <t>景山社区</t>
  </si>
  <si>
    <t>马桑箐村</t>
  </si>
  <si>
    <t>国能开远发电有限公司（退休）</t>
  </si>
  <si>
    <t>马者哨村</t>
  </si>
  <si>
    <t>云南省小龙潭监狱</t>
  </si>
  <si>
    <t>毛家寨村</t>
  </si>
  <si>
    <t>云南云天化红磷化工有限公司（退休人员）</t>
  </si>
  <si>
    <t>米朵村</t>
  </si>
  <si>
    <t>乐白道办事处乐白道村三组（新）</t>
  </si>
  <si>
    <t>南路村</t>
  </si>
  <si>
    <t>乐白道办事处田心村上田</t>
  </si>
  <si>
    <t>期不底村</t>
  </si>
  <si>
    <t>云南解化清洁能源开发有限公司解化化工分公司（退休人</t>
  </si>
  <si>
    <t>仁者村</t>
  </si>
  <si>
    <t>开远市合正劳动事务代理有限责任公司（代管退休人员）</t>
  </si>
  <si>
    <t>三家村</t>
  </si>
  <si>
    <t>2015银行代扣</t>
  </si>
  <si>
    <t>三台铺村</t>
  </si>
  <si>
    <t>开远市小龙潭镇则旧村红坡头小组</t>
  </si>
  <si>
    <t>桃树村</t>
  </si>
  <si>
    <t>云南省小龙潭矿务局有限责任公司(退休工人)</t>
  </si>
  <si>
    <t>田心村</t>
  </si>
  <si>
    <t>中和营镇八家村阿泽老寨一组</t>
  </si>
  <si>
    <t>卧龙谷村</t>
  </si>
  <si>
    <t>红河啤酒有限公司（退休人员）</t>
  </si>
  <si>
    <t>西路村</t>
  </si>
  <si>
    <t>乐白道办事处楷甸村新江</t>
  </si>
  <si>
    <t>下米者村</t>
  </si>
  <si>
    <t>响水村</t>
  </si>
  <si>
    <t>开远市小龙潭镇小寨街村小寨街二社</t>
  </si>
  <si>
    <t>小寨村</t>
  </si>
  <si>
    <t>开远市小龙潭镇则旧村则旧</t>
  </si>
  <si>
    <t>小寨街村</t>
  </si>
  <si>
    <t>开远市小龙潭镇小龙潭村灯笼山</t>
  </si>
  <si>
    <t>新寨村</t>
  </si>
  <si>
    <t>乐白道办事处乐白道村东山庄（新）</t>
  </si>
  <si>
    <t>羊街村</t>
  </si>
  <si>
    <t>杨柳村</t>
  </si>
  <si>
    <t>开远市糖业烟酒有限责任公司财政补助</t>
  </si>
  <si>
    <t>怡里村</t>
  </si>
  <si>
    <t>灵泉办事处城干村燕子窝</t>
  </si>
  <si>
    <t>宜民社区</t>
  </si>
  <si>
    <t>中和营镇八家村六家寨</t>
  </si>
  <si>
    <t>跃进社区</t>
  </si>
  <si>
    <t>开远公路分局</t>
  </si>
  <si>
    <t>则旧村</t>
  </si>
  <si>
    <t>乐白道办事处田心村木花果一组</t>
  </si>
  <si>
    <t>乍黑甸村</t>
  </si>
  <si>
    <t>开远市灵泉街道办事处</t>
  </si>
  <si>
    <t>中和营村</t>
  </si>
  <si>
    <t>灵活就业退休人员</t>
  </si>
  <si>
    <t>中寨村</t>
  </si>
  <si>
    <t>乐白道办事处田心村下南</t>
  </si>
  <si>
    <t>宗舍村</t>
  </si>
  <si>
    <t>需求结果</t>
  </si>
  <si>
    <t>ok</t>
  </si>
  <si>
    <t>取值范围</t>
  </si>
  <si>
    <t>语文取值范围0-100</t>
  </si>
  <si>
    <t>数学取值范围101-150</t>
  </si>
  <si>
    <t>体育</t>
  </si>
  <si>
    <t>no</t>
  </si>
  <si>
    <t>英语取值范围151-200</t>
  </si>
  <si>
    <t>体育取值范围201-249</t>
  </si>
  <si>
    <t>d2=IFERROR(IF(A2=LOOKUP(B2,{0,101,151,201,250},{"语文","数学","英语","体育"}),"ok","no"),"no")</t>
  </si>
  <si>
    <t>d2=IF((A2="语文")*(B2&lt;=100),"ok",IF((A2="数学")*(B2&lt;=150)*(B2&gt;=101),"ok",IF((A2="英语")*(B2&lt;=200)*(B2&gt;=151),"ok",IF((A2="体育")*(B2&lt;=249)*(B2&gt;=201),"ok","no"))))</t>
  </si>
  <si>
    <t>data</t>
  </si>
  <si>
    <t>条件(手动输入)</t>
  </si>
  <si>
    <t>分段和</t>
  </si>
  <si>
    <t>分段平均</t>
  </si>
  <si>
    <t>c412=SUM(B$412:B412)-SUMIF(C$411:C411,"&lt;&gt;",D$411:D411)</t>
  </si>
  <si>
    <t>end</t>
  </si>
  <si>
    <t>目的地</t>
  </si>
  <si>
    <t>所属乡镇</t>
  </si>
  <si>
    <t>甘垛镇乡</t>
  </si>
  <si>
    <t>三垛镇万庄村</t>
  </si>
  <si>
    <t>卸甲镇五里村</t>
  </si>
  <si>
    <t>金坛市送桥镇花王村</t>
  </si>
  <si>
    <t>INDEX($C:$C,SMALL(IF(($E$2:$E$26=LEFT(J$1))*($B$2:$B$26=$I2),ROW($2:$26),999),COUNTIF($I$2:$I2,$I2)))</t>
  </si>
  <si>
    <t>交易时间</t>
  </si>
  <si>
    <t>发生额</t>
  </si>
  <si>
    <t>余额</t>
  </si>
  <si>
    <t>借贷标志</t>
  </si>
  <si>
    <t>贷方</t>
  </si>
  <si>
    <t>借方</t>
  </si>
  <si>
    <t>2021-09-13 17:48:18</t>
  </si>
  <si>
    <t>贷</t>
  </si>
  <si>
    <t>2021-09-13 17:49:04</t>
  </si>
  <si>
    <t>2021-09-13 17:49:35</t>
  </si>
  <si>
    <t>2021-09-13 17:50:01</t>
  </si>
  <si>
    <t>2021-09-14 16:52:20</t>
  </si>
  <si>
    <t>2021-09-14 16:52:54</t>
  </si>
  <si>
    <t>2021-09-14 16:53:30</t>
  </si>
  <si>
    <t>2021-09-14 16:54:13</t>
  </si>
  <si>
    <t>2021-09-14 16:54:44</t>
  </si>
  <si>
    <t>2021-09-14 16:55:19</t>
  </si>
  <si>
    <t>2021-09-14 16:55:56</t>
  </si>
  <si>
    <t>2021-09-14 18:05:55</t>
  </si>
  <si>
    <t>借</t>
  </si>
  <si>
    <t>2021-09-22 00:00:00</t>
  </si>
  <si>
    <t>2021-09-29 17:20:53</t>
  </si>
  <si>
    <t>2021-09-29 17:21:54</t>
  </si>
  <si>
    <t>2021-10-11 14:43:11</t>
  </si>
  <si>
    <t>2021-10-11 14:53:17</t>
  </si>
  <si>
    <t>2021-10-19 16:43:33</t>
  </si>
  <si>
    <t>2021-10-28 17:14:42</t>
  </si>
  <si>
    <t>2021-10-29 14:39:45</t>
  </si>
  <si>
    <t>2021-11-08 11:35:16</t>
  </si>
  <si>
    <t>2021-11-08 11:35:25</t>
  </si>
  <si>
    <t>j469=INDEX($C:$C,SMALL(IF(($E$469:$E$493=LEFT(J$468,1))*($B$469:$B$493=$I469),ROW($469:$493),4^8),COUNTIF($I$469:$I493,$I469)))</t>
  </si>
  <si>
    <t>L469=SUM($J$469:J469)-SUM($K$469:K469)</t>
  </si>
  <si>
    <t>a503=LOOKUP(10,MID(A1,ROW($1:$6),1)/1)</t>
  </si>
  <si>
    <t>a504=-LOOKUP(0,-MID(A2,ROW($1:$6),1))</t>
  </si>
  <si>
    <t>提取末尾数值</t>
  </si>
  <si>
    <t>p3</t>
  </si>
  <si>
    <t>LOOKUP(C9,{2,3,4},{"a","b","c"})</t>
  </si>
  <si>
    <t>p2</t>
  </si>
  <si>
    <t>p1</t>
  </si>
  <si>
    <t>数据一定要升序排列，如果不能升序排列，那么就按照LOOKUP的精确查找套路去设计公式。</t>
  </si>
  <si>
    <t>【a】1</t>
  </si>
  <si>
    <t>【b】5</t>
  </si>
  <si>
    <t>【c】</t>
  </si>
  <si>
    <t>【d】7</t>
  </si>
  <si>
    <t>【e】3</t>
  </si>
  <si>
    <t>【f】</t>
  </si>
  <si>
    <t>【g】2</t>
  </si>
  <si>
    <t>【h】</t>
  </si>
  <si>
    <t>c521={IFERROR(INDEX($B$520:$B$530,SMALL(IF(LEN($B$521:$B$530)=3,ROW($B$2:$B$11),""),ROW(B1))),"")}</t>
  </si>
  <si>
    <t>【i】</t>
  </si>
  <si>
    <t>【j】</t>
  </si>
  <si>
    <t>薪级\薪档</t>
  </si>
  <si>
    <t>如何用公式根据薪级薪档从岗位技能工作表、月绩效工作表和年绩效工作表提取对应的工资（E列横杠前表示薪级，横杠后表示薪档）。</t>
  </si>
  <si>
    <t xml:space="preserve">        例如：1级1档岗位技能、月绩效和年绩效分别对应185、222和889；</t>
  </si>
  <si>
    <t xml:space="preserve">                     2级10档岗位技能、月绩效和年绩效分别对应642、308和1233；</t>
  </si>
  <si>
    <t>薪级
薪档</t>
  </si>
  <si>
    <t>基本
工资</t>
  </si>
  <si>
    <r>
      <rPr>
        <b/>
        <sz val="12"/>
        <rFont val="等线"/>
        <family val="3"/>
        <charset val="134"/>
      </rPr>
      <t>岗位
技能</t>
    </r>
  </si>
  <si>
    <t>1-1</t>
  </si>
  <si>
    <t>1000</t>
  </si>
  <si>
    <t>2-10</t>
  </si>
  <si>
    <t>13-4</t>
  </si>
  <si>
    <r>
      <rPr>
        <sz val="11"/>
        <color theme="1"/>
        <rFont val="等线"/>
        <family val="3"/>
        <charset val="134"/>
      </rPr>
      <t>需要将</t>
    </r>
    <r>
      <rPr>
        <sz val="11"/>
        <color rgb="FFFF0000"/>
        <rFont val="等线"/>
        <family val="3"/>
        <charset val="134"/>
      </rPr>
      <t>文本型</t>
    </r>
    <r>
      <rPr>
        <sz val="11"/>
        <color theme="1"/>
        <rFont val="等线"/>
        <family val="3"/>
        <charset val="134"/>
      </rPr>
      <t>数字转化为</t>
    </r>
    <r>
      <rPr>
        <sz val="11"/>
        <color rgb="FFFF0000"/>
        <rFont val="等线"/>
        <family val="3"/>
        <charset val="134"/>
      </rPr>
      <t>数值型</t>
    </r>
    <r>
      <rPr>
        <sz val="11"/>
        <color theme="1"/>
        <rFont val="等线"/>
        <family val="3"/>
        <charset val="134"/>
      </rPr>
      <t>数字</t>
    </r>
  </si>
  <si>
    <t>薪级</t>
  </si>
  <si>
    <t>/=VALUE(LEFT(E23,FIND("-",E23)-1))</t>
  </si>
  <si>
    <t>/=VALUE(RIGHT(E23,LEN(E23)-FIND("-",E23)))</t>
  </si>
  <si>
    <t>e564=LOOKUP(0,0/IF($C$535:$O$535=VALUE(RIGHT(C564,LEN(C564)-FIND("-",C564))),1,0),OFFSET($C$535:$O$535,MATCH(VALUE(LEFT(C564,FIND("-",C564)-1)),$B$536:$B$556),))</t>
  </si>
  <si>
    <t>e565=VLOOKUP(VALUE(LEFT(C565,FIND("-",C565)-1)),$B$535:$O$556,MATCH(VALUE(RIGHT(C565,LEN(C565)-FIND("-",C565))),$B$535:$O$535,0),0)</t>
  </si>
  <si>
    <t>项目A</t>
  </si>
  <si>
    <t>项目B</t>
  </si>
  <si>
    <t>项目C</t>
  </si>
  <si>
    <t>刘三</t>
  </si>
  <si>
    <t>陈虹</t>
  </si>
  <si>
    <t>王朋</t>
  </si>
  <si>
    <t>软件开发</t>
  </si>
  <si>
    <t>如何通过公式实现，取得右边的数据</t>
  </si>
  <si>
    <t>判断条件</t>
  </si>
  <si>
    <t>全年营业额</t>
  </si>
  <si>
    <t>店长</t>
  </si>
  <si>
    <t>店助</t>
  </si>
  <si>
    <t>高级导购</t>
  </si>
  <si>
    <t>导购</t>
  </si>
  <si>
    <t>年销售额
(万元)</t>
  </si>
  <si>
    <t>人数</t>
  </si>
  <si>
    <t>-</t>
  </si>
  <si>
    <t>时间</t>
  </si>
  <si>
    <t>品名</t>
  </si>
  <si>
    <t>同类最近的5笔订单</t>
  </si>
  <si>
    <t>苹果</t>
  </si>
  <si>
    <t>总量</t>
  </si>
  <si>
    <t>车厘子</t>
  </si>
  <si>
    <t>山竹</t>
  </si>
  <si>
    <t>性质</t>
  </si>
  <si>
    <t>评分</t>
  </si>
  <si>
    <t>性别</t>
  </si>
  <si>
    <t>需一个公式，根据B/C/D列，在H列依次列出评分为优秀，性别为女的B列名单</t>
  </si>
  <si>
    <t>结果应如下</t>
  </si>
  <si>
    <t>优秀</t>
  </si>
  <si>
    <t>男</t>
  </si>
  <si>
    <t>差</t>
  </si>
  <si>
    <t>女</t>
  </si>
  <si>
    <t>J</t>
  </si>
  <si>
    <t>中等</t>
  </si>
  <si>
    <t>M</t>
  </si>
  <si>
    <t>I</t>
  </si>
  <si>
    <t>K</t>
  </si>
  <si>
    <t>L</t>
  </si>
  <si>
    <t>i628=IFERROR(INDEX($B$624:$B$638,SMALL(IF(($C$626:$C$638="优秀")*($D$626:$D$638="女"),ROW($3:$15),""),ROW(A1))),"")</t>
  </si>
  <si>
    <t>柜型</t>
  </si>
  <si>
    <t>20gp</t>
  </si>
  <si>
    <t>40gp</t>
  </si>
  <si>
    <t>40hq</t>
  </si>
  <si>
    <t>1x20gp</t>
  </si>
  <si>
    <t>5x20gp+6x40gp+7x40hq</t>
  </si>
  <si>
    <t>LcL</t>
  </si>
  <si>
    <t>老人姓名</t>
  </si>
  <si>
    <t>身份证</t>
  </si>
  <si>
    <t>刷脸月份</t>
  </si>
  <si>
    <t>发钱花名册</t>
  </si>
  <si>
    <t>张家忠</t>
  </si>
  <si>
    <t>2022年03月</t>
  </si>
  <si>
    <t>发放金额</t>
  </si>
  <si>
    <t>最近一次刷脸月份</t>
  </si>
  <si>
    <t>蒙绪梅</t>
  </si>
  <si>
    <r>
      <rPr>
        <b/>
        <sz val="12"/>
        <rFont val="等线"/>
        <family val="3"/>
        <charset val="134"/>
      </rPr>
      <t>根据表1的数据</t>
    </r>
    <r>
      <rPr>
        <b/>
        <sz val="12"/>
        <color rgb="FFFF0000"/>
        <rFont val="等线"/>
        <family val="3"/>
        <charset val="134"/>
      </rPr>
      <t xml:space="preserve">
同名不同身份证，找出最近一次的刷脸月份。
同名相同身份证，找出最近一次的刷脸月份。</t>
    </r>
  </si>
  <si>
    <t>陈德孔</t>
  </si>
  <si>
    <t>冯玉文</t>
  </si>
  <si>
    <t>2022年02月</t>
  </si>
  <si>
    <t>孙梅</t>
  </si>
  <si>
    <t>黎永梅</t>
  </si>
  <si>
    <t>陈家梅</t>
  </si>
  <si>
    <t>覃学书</t>
  </si>
  <si>
    <t>卢鸿仕</t>
  </si>
  <si>
    <t>何泽红</t>
  </si>
  <si>
    <t>李惠芳</t>
  </si>
  <si>
    <t>王绍宛</t>
  </si>
  <si>
    <t>刘淑兰</t>
  </si>
  <si>
    <t>2022年01月</t>
  </si>
  <si>
    <t>j652=INDEX($D$649:$D$670,LARGE(IF(($B$650:$B$670=G652)*($C$650:$C$670=H652),ROW($E$2:$E$22),0),1))</t>
  </si>
  <si>
    <t>L652=TEXT(MAX(--IF($C$650:$C$670=H652,D$650:D$670)),"e年mm月")</t>
  </si>
  <si>
    <t>宿舍楼号</t>
  </si>
  <si>
    <t>宿舍号</t>
  </si>
  <si>
    <t>D5住宿信息（2021.9.10）</t>
  </si>
  <si>
    <t>陈珂</t>
  </si>
  <si>
    <t>D5</t>
  </si>
  <si>
    <t>楼号</t>
  </si>
  <si>
    <t>房号</t>
  </si>
  <si>
    <t>床位数</t>
  </si>
  <si>
    <t>名单</t>
  </si>
  <si>
    <t>冯宇翔</t>
  </si>
  <si>
    <t>1号床</t>
  </si>
  <si>
    <t>2号床</t>
  </si>
  <si>
    <t>3号床</t>
  </si>
  <si>
    <t>4号床</t>
  </si>
  <si>
    <t>何阳迪</t>
  </si>
  <si>
    <t>李慕阳</t>
  </si>
  <si>
    <t>付茗精</t>
  </si>
  <si>
    <t>庞嘉伟</t>
  </si>
  <si>
    <t>张柏磊</t>
  </si>
  <si>
    <t>罗彭</t>
  </si>
  <si>
    <t>滕袁烨</t>
  </si>
  <si>
    <t>王鑫隆</t>
  </si>
  <si>
    <t>王湛淇</t>
  </si>
  <si>
    <t>吴浩</t>
  </si>
  <si>
    <t>梁相亮</t>
  </si>
  <si>
    <t>/=IF((C676:C697=G678)*(D676:D697=H678),1,0)</t>
  </si>
  <si>
    <t>杨锦渝</t>
  </si>
  <si>
    <t>IF({1;1;1;1;0;0;0;0;0;0;0;0;0;0;0;0;0;0;0;0;0;0},1)</t>
  </si>
  <si>
    <t>于钦标</t>
  </si>
  <si>
    <t>(C676:C697=G678)*(D676:D697=H678)</t>
  </si>
  <si>
    <t>张淼</t>
  </si>
  <si>
    <t>{1;1;1;1;0;0;0;0;0;0;0;0;0;0;0;0;0;0;0;0;0;0}</t>
  </si>
  <si>
    <t>周子琛</t>
  </si>
  <si>
    <t>朱峪晨</t>
  </si>
  <si>
    <t>/=IF(AND((C676:C697=G678),(D676:D697=H678)),1,0)</t>
  </si>
  <si>
    <t>李汶霜</t>
  </si>
  <si>
    <t>/=IF(FALSE,1,0)</t>
  </si>
  <si>
    <t>吴民权</t>
  </si>
  <si>
    <t>AND((C676:C697=G678),(D676:D697=H678))</t>
  </si>
  <si>
    <t>徐杭</t>
  </si>
  <si>
    <t>杨越</t>
  </si>
  <si>
    <t>注：(C676:C697=G678)*(D676:D697=H678)表示的是满足条件的数组；AND((C676:C697=G678),(D676:D697=H678))表示两个条件都满足，但只能出现一个逻辑值，TURE或者FALSE。</t>
  </si>
  <si>
    <t>输入格</t>
  </si>
  <si>
    <t>O</t>
  </si>
  <si>
    <t>可以使用正常方法，一个个把指定条件颜色放进去</t>
  </si>
  <si>
    <r>
      <rPr>
        <sz val="10"/>
        <color theme="1"/>
        <rFont val="等线"/>
        <family val="3"/>
        <charset val="134"/>
      </rPr>
      <t>如何在F4单元格中输入相应的字母后，F4单元格的格式变成右边阵列中相应的相同字母的格式？</t>
    </r>
  </si>
  <si>
    <r>
      <rPr>
        <sz val="10"/>
        <color theme="1"/>
        <rFont val="等线"/>
        <family val="3"/>
        <charset val="134"/>
      </rPr>
      <t>如：现F4已输入A，此时回车后，F4单元格应该变成朱红色，字母颜色变为白色。如何实现？</t>
    </r>
  </si>
  <si>
    <t>重复值，左右相同则全部为黑底白字，比较简单</t>
  </si>
  <si>
    <t>名称</t>
  </si>
  <si>
    <t>等级</t>
  </si>
  <si>
    <t>合同</t>
  </si>
  <si>
    <t>张三1</t>
  </si>
  <si>
    <t>S</t>
  </si>
  <si>
    <t>是</t>
  </si>
  <si>
    <t>张三2</t>
  </si>
  <si>
    <t>否</t>
  </si>
  <si>
    <t>注意合并后居中的单元格</t>
  </si>
  <si>
    <t>张三3</t>
  </si>
  <si>
    <t>张三4</t>
  </si>
  <si>
    <t>张三5</t>
  </si>
  <si>
    <t>张三6</t>
  </si>
  <si>
    <t>满足条件将内容填充至J至N列：</t>
  </si>
  <si>
    <t>张三7</t>
  </si>
  <si>
    <t>1、满足C列等于“是”</t>
  </si>
  <si>
    <t>张三8</t>
  </si>
  <si>
    <t>2、满足B列对应J至N行对应客户等级</t>
  </si>
  <si>
    <t>合同2月名单</t>
  </si>
  <si>
    <t>合同3月名单</t>
  </si>
  <si>
    <t>工作服号</t>
  </si>
  <si>
    <t>鞋号</t>
  </si>
  <si>
    <t>用工形式</t>
  </si>
  <si>
    <t>工种</t>
  </si>
  <si>
    <t>班组</t>
  </si>
  <si>
    <t>春秋工作服</t>
  </si>
  <si>
    <t>防寒服</t>
  </si>
  <si>
    <t>雨衣</t>
  </si>
  <si>
    <t>安全帽</t>
  </si>
  <si>
    <t>棉安全帽</t>
  </si>
  <si>
    <t>防砸单皮鞋</t>
  </si>
  <si>
    <t>棉皮鞋</t>
  </si>
  <si>
    <t>发放时间</t>
  </si>
  <si>
    <t>是否到期</t>
  </si>
  <si>
    <t>72#</t>
  </si>
  <si>
    <t>37#</t>
  </si>
  <si>
    <t>满自楠</t>
  </si>
  <si>
    <t>岗薪</t>
  </si>
  <si>
    <t>工业保洁工</t>
  </si>
  <si>
    <t>喷煤</t>
  </si>
  <si>
    <t>2021.4</t>
  </si>
  <si>
    <t>已到期</t>
  </si>
  <si>
    <t>2017.11</t>
  </si>
  <si>
    <t>未到期</t>
  </si>
  <si>
    <t>2018.4</t>
  </si>
  <si>
    <t>2020.8</t>
  </si>
  <si>
    <t>2018.3</t>
  </si>
  <si>
    <t>76#</t>
  </si>
  <si>
    <t>41#</t>
  </si>
  <si>
    <t>阿迪力.克力木</t>
  </si>
  <si>
    <t>2020.3</t>
  </si>
  <si>
    <t>2016.11</t>
  </si>
  <si>
    <t>塘奴尔.巴拉提</t>
  </si>
  <si>
    <t>板带组</t>
  </si>
  <si>
    <t>工伤假</t>
  </si>
  <si>
    <t>80#</t>
  </si>
  <si>
    <t>43#</t>
  </si>
  <si>
    <t>曹勇</t>
  </si>
  <si>
    <t>现场专工</t>
  </si>
  <si>
    <t>办公室</t>
  </si>
  <si>
    <t>2020.10</t>
  </si>
  <si>
    <t>2016.9</t>
  </si>
  <si>
    <t>2017.6</t>
  </si>
  <si>
    <t>2018.12</t>
  </si>
  <si>
    <t>74#</t>
  </si>
  <si>
    <t>陈刚</t>
  </si>
  <si>
    <t>2021.7</t>
  </si>
  <si>
    <t>2013.12</t>
  </si>
  <si>
    <t>2019.10</t>
  </si>
  <si>
    <t>2019.12</t>
  </si>
  <si>
    <t>2021.3</t>
  </si>
  <si>
    <t>2020.12</t>
  </si>
  <si>
    <t>78#</t>
  </si>
  <si>
    <t>李君亭</t>
  </si>
  <si>
    <t>2020.11</t>
  </si>
  <si>
    <t>2015.2</t>
  </si>
  <si>
    <t>2018.5</t>
  </si>
  <si>
    <t>2020.6</t>
  </si>
  <si>
    <t>2019.11</t>
  </si>
  <si>
    <t>40#</t>
  </si>
  <si>
    <t>米尔再克木.沙拉依丁</t>
  </si>
  <si>
    <t>2021.8</t>
  </si>
  <si>
    <t>2018.1</t>
  </si>
  <si>
    <t>2017.5</t>
  </si>
  <si>
    <t>也尔肯.阿合买提</t>
  </si>
  <si>
    <t>公路二</t>
  </si>
  <si>
    <t>2021.2</t>
  </si>
  <si>
    <t>2020.1</t>
  </si>
  <si>
    <t>2021.5</t>
  </si>
  <si>
    <t>2021.1</t>
  </si>
  <si>
    <t>38#</t>
  </si>
  <si>
    <t>阿瓦汗.阿不来提</t>
  </si>
  <si>
    <t>制氧组</t>
  </si>
  <si>
    <t>2016.8</t>
  </si>
  <si>
    <t>2020.5</t>
  </si>
  <si>
    <t>2023.1</t>
  </si>
  <si>
    <t>35#</t>
  </si>
  <si>
    <t>吴淑珍</t>
  </si>
  <si>
    <t>能源泵房</t>
  </si>
  <si>
    <t>2018.10</t>
  </si>
  <si>
    <t>2017.12</t>
  </si>
  <si>
    <t>2020.4</t>
  </si>
  <si>
    <t>2018.11</t>
  </si>
  <si>
    <t>阿斯亚.亚生</t>
  </si>
  <si>
    <t>热电组</t>
  </si>
  <si>
    <t>2020.9</t>
  </si>
  <si>
    <t>李建华</t>
  </si>
  <si>
    <t>环卫考核</t>
  </si>
  <si>
    <t>2014.12</t>
  </si>
  <si>
    <t>39#</t>
  </si>
  <si>
    <t>米吉提艾则孜2011.3</t>
  </si>
  <si>
    <t>水路维护工</t>
  </si>
  <si>
    <t>维修组</t>
  </si>
  <si>
    <t>2021.9</t>
  </si>
  <si>
    <t>2019.7</t>
  </si>
  <si>
    <t>2018.6</t>
  </si>
  <si>
    <t>2020.2</t>
  </si>
  <si>
    <t>冶峰</t>
  </si>
  <si>
    <t>2021.6</t>
  </si>
  <si>
    <t>2021.12</t>
  </si>
  <si>
    <t>苏新江</t>
  </si>
  <si>
    <t>新区泵房</t>
  </si>
  <si>
    <t>孙世忠2016年6月调入</t>
  </si>
  <si>
    <t>2016.12</t>
  </si>
  <si>
    <t>2108.6</t>
  </si>
  <si>
    <t>2021.11</t>
  </si>
  <si>
    <t>帕尔哈提.艾则江</t>
  </si>
  <si>
    <t>剪草工</t>
  </si>
  <si>
    <t>2019.8</t>
  </si>
  <si>
    <t>2022.2</t>
  </si>
  <si>
    <t>热依汗古丽.麦特热依木</t>
  </si>
  <si>
    <t>2016.4</t>
  </si>
  <si>
    <t>2019.5</t>
  </si>
  <si>
    <t>劳保已到期人员名单</t>
  </si>
  <si>
    <t xml:space="preserve">    品名
   姓名   序号</t>
  </si>
  <si>
    <t>注：要是if真值出现错误值#VALUE!，在smaLL函数会报错，一定要将错误的值替换成0或者空</t>
  </si>
  <si>
    <t>c769=INDEX($E$747:$E$766444,SMALL(IF(IFERROR(OFFSET($B$747:$B$764,,MATCH(C$768,$B$745:$U$745,0)),"")="已到期",ROW($1:$18),4^8),ROW(A1)))&amp;""</t>
  </si>
  <si>
    <t>A1025</t>
  </si>
  <si>
    <t>赵钱孙李</t>
  </si>
  <si>
    <t>match</t>
  </si>
  <si>
    <t>A1028</t>
  </si>
  <si>
    <t>A1026</t>
  </si>
  <si>
    <t>小红</t>
  </si>
  <si>
    <t>周吴郑王</t>
  </si>
  <si>
    <t>A1027</t>
  </si>
  <si>
    <t>小黄</t>
  </si>
  <si>
    <t>冯陈褚卫</t>
  </si>
  <si>
    <t>index</t>
  </si>
  <si>
    <t>小黑</t>
  </si>
  <si>
    <t>云苏潘葛</t>
  </si>
  <si>
    <t>A1029</t>
  </si>
  <si>
    <t>小白</t>
  </si>
  <si>
    <t>奚范彭郎</t>
  </si>
  <si>
    <t>vLookup</t>
  </si>
  <si>
    <t>A1030</t>
  </si>
  <si>
    <t>小零</t>
  </si>
  <si>
    <t>鲁韦昌马</t>
  </si>
  <si>
    <t>A1031</t>
  </si>
  <si>
    <t>小号</t>
  </si>
  <si>
    <t>苗凤花方</t>
  </si>
  <si>
    <t>choose</t>
  </si>
  <si>
    <t>A1032</t>
  </si>
  <si>
    <t>小开</t>
  </si>
  <si>
    <t>俞任袁柳</t>
  </si>
  <si>
    <t>A1033</t>
  </si>
  <si>
    <t>小艾</t>
  </si>
  <si>
    <t>沈韩杨朱</t>
  </si>
  <si>
    <t>if</t>
  </si>
  <si>
    <t>A1034</t>
  </si>
  <si>
    <t>小笑</t>
  </si>
  <si>
    <t>酆鲍史唐</t>
  </si>
  <si>
    <t>rank.eq</t>
  </si>
  <si>
    <t>offset</t>
  </si>
  <si>
    <t>RANDBETWEEN</t>
  </si>
  <si>
    <t>/=RANDBETWEEN(1,100)</t>
  </si>
  <si>
    <t>int</t>
  </si>
  <si>
    <t>weekday</t>
  </si>
  <si>
    <t>/=WEEKDAY(J806,1)</t>
  </si>
  <si>
    <t>counta</t>
  </si>
  <si>
    <t>表示今天的日期等于某天的日期，输出真值</t>
  </si>
  <si>
    <t>/=TODAY()=DATE(2022,3,28)</t>
  </si>
  <si>
    <t>CONVERT</t>
  </si>
  <si>
    <t>date</t>
  </si>
  <si>
    <t>today</t>
  </si>
  <si>
    <t>/=YEAR(J804)</t>
  </si>
  <si>
    <t>/=MONTH(J804)</t>
  </si>
  <si>
    <t>/=DAY(J804)</t>
  </si>
  <si>
    <t>hour</t>
  </si>
  <si>
    <t>time</t>
  </si>
  <si>
    <t>now</t>
  </si>
  <si>
    <t>/=HOUR(J806)</t>
  </si>
  <si>
    <t>/=MINUTE(J806)</t>
  </si>
  <si>
    <t>/=SECOND(J806)</t>
  </si>
  <si>
    <t>workday</t>
  </si>
  <si>
    <t>箱号ID</t>
  </si>
  <si>
    <t>子单号</t>
  </si>
  <si>
    <t>开始时间</t>
  </si>
  <si>
    <t>结束时间</t>
  </si>
  <si>
    <t>消耗情况</t>
  </si>
  <si>
    <t>3816320471</t>
  </si>
  <si>
    <t>BL1344816628091</t>
  </si>
  <si>
    <t>2022-02-25 11:15:54</t>
  </si>
  <si>
    <t>2022-02-25 20:15:30</t>
  </si>
  <si>
    <t>无余</t>
  </si>
  <si>
    <t xml:space="preserve">  不管 子单号 是否相同，只要箱号Id相同，其消耗情况全为“无余”的情况下，在辅助列中显示“此ID系列用尽”</t>
  </si>
  <si>
    <t>3816320484</t>
  </si>
  <si>
    <t>BL1344826628494</t>
  </si>
  <si>
    <t>2022-02-25 11:15:56</t>
  </si>
  <si>
    <t>剩余800发</t>
  </si>
  <si>
    <t>3816320525</t>
  </si>
  <si>
    <t>BL1360530825863</t>
  </si>
  <si>
    <t>2022-02-25 15:14:16</t>
  </si>
  <si>
    <t>g815=IF(COUNTIFS(B:B,B815,F:F,"剩余*")&gt;0,"","此ID系列用尽")</t>
  </si>
  <si>
    <t>3816320528</t>
  </si>
  <si>
    <t>BL1360532318649</t>
  </si>
  <si>
    <t>2022-02-25 15:36:48</t>
  </si>
  <si>
    <t>3816320530</t>
  </si>
  <si>
    <t>BL1344538627747</t>
  </si>
  <si>
    <t>2022-02-25 17:15:21</t>
  </si>
  <si>
    <t>3816320516</t>
  </si>
  <si>
    <t>BL1350548671769</t>
  </si>
  <si>
    <t>2022-02-25 17:41:17</t>
  </si>
  <si>
    <t>剩余100发</t>
  </si>
  <si>
    <t>3816320522</t>
  </si>
  <si>
    <t>BL1350548671918</t>
  </si>
  <si>
    <t>剩余60发</t>
  </si>
  <si>
    <t>3816320524</t>
  </si>
  <si>
    <t>BL1360539947250</t>
  </si>
  <si>
    <t>剩余300发</t>
  </si>
  <si>
    <t>BL1344258829561</t>
  </si>
  <si>
    <t>剩余1000发</t>
  </si>
  <si>
    <t>BL1344208829765</t>
  </si>
  <si>
    <t>BL1360539947887</t>
  </si>
  <si>
    <t>2022-02-25 17:41:20</t>
  </si>
  <si>
    <t>BL1360539948032</t>
  </si>
  <si>
    <t>BL1350548672806</t>
  </si>
  <si>
    <t>BL1360539948342</t>
  </si>
  <si>
    <t>剩余26发</t>
  </si>
  <si>
    <t>BL1344148828803</t>
  </si>
  <si>
    <t>2022-02-25 17:44:00</t>
  </si>
  <si>
    <t>2022-02-28 20:28:29</t>
  </si>
  <si>
    <t>g829=IF(COUNTIFS(B:B,B829)=COUNTIFS(B:B,B829,F:F,"无余"),"此ID系列用尽","")</t>
  </si>
  <si>
    <t>BL1360540452155</t>
  </si>
  <si>
    <t>2022-02-25 17:54:40</t>
  </si>
  <si>
    <t>BL1344458421192</t>
  </si>
  <si>
    <t>BL1360540452482</t>
  </si>
  <si>
    <t>2022-02-25 20:15:20</t>
  </si>
  <si>
    <t>BL1344391410762</t>
  </si>
  <si>
    <t>2022-02-26 12:16:04</t>
  </si>
  <si>
    <t>2022-02-26 19:36:01</t>
  </si>
  <si>
    <t>BL1344301410664</t>
  </si>
  <si>
    <t>BL1344321410869</t>
  </si>
  <si>
    <t>2022-02-26 12:16:06</t>
  </si>
  <si>
    <t>BL1344911410264</t>
  </si>
  <si>
    <t>2022-02-26 12:16:07</t>
  </si>
  <si>
    <t>剩余368发</t>
  </si>
  <si>
    <t>BL1360556182969</t>
  </si>
  <si>
    <t>BL1350570508890</t>
  </si>
  <si>
    <t>2022-02-26 12:16:08</t>
  </si>
  <si>
    <t>剩余8发</t>
  </si>
  <si>
    <t>BL1344641413800</t>
  </si>
  <si>
    <t>2022-02-26 12:17:32</t>
  </si>
  <si>
    <t>2022-02-26 19:35:51</t>
  </si>
  <si>
    <t>BL1350576625120</t>
  </si>
  <si>
    <t>2022-02-26 14:12:31</t>
  </si>
  <si>
    <t>2022-02-26 19:35:52</t>
  </si>
  <si>
    <t>2022-02-26 14:12:32</t>
  </si>
  <si>
    <t>2022-02-26 19:35:53</t>
  </si>
  <si>
    <t>2022-02-26 14:12:33</t>
  </si>
  <si>
    <t>2022-02-26 19:35:54</t>
  </si>
  <si>
    <t>剩余860发</t>
  </si>
  <si>
    <t>2022-02-26 14:12:34</t>
  </si>
  <si>
    <t>2022-02-26 19:35:55</t>
  </si>
  <si>
    <t>2022-02-26 14:12:35</t>
  </si>
  <si>
    <t>2022-02-26 19:35:56</t>
  </si>
  <si>
    <t>2022-02-26 14:12:36</t>
  </si>
  <si>
    <t>2022-02-26 19:35:57</t>
  </si>
  <si>
    <t>2022-02-26 14:12:37</t>
  </si>
  <si>
    <t>2022-02-26 19:35:58</t>
  </si>
  <si>
    <t>2022-02-26 14:12:38</t>
  </si>
  <si>
    <t>2022-02-26 19:35:59</t>
  </si>
  <si>
    <t>2022-02-26 14:12:39</t>
  </si>
  <si>
    <t>2022-02-26 19:35:60</t>
  </si>
  <si>
    <t>2022-02-26 14:12:40</t>
  </si>
  <si>
    <t>2022-02-26 19:35:61</t>
  </si>
  <si>
    <t>2022-02-26 14:12:41</t>
  </si>
  <si>
    <t>2022-02-26 19:35:62</t>
  </si>
  <si>
    <t>求，各位大神解答，表2的净重用公式关联到表1的净重栏，注，每个货号的尺码净重都是不一样的。</t>
  </si>
  <si>
    <t>尺码</t>
  </si>
  <si>
    <t>表2的数据必要时也可以更改为横向。表1的格式不能动</t>
  </si>
  <si>
    <t>货号</t>
  </si>
  <si>
    <t>XS</t>
  </si>
  <si>
    <t>XL</t>
  </si>
  <si>
    <t>净重</t>
  </si>
  <si>
    <t>1H212Q</t>
  </si>
  <si>
    <t>b2-a</t>
  </si>
  <si>
    <t>1H213W</t>
  </si>
  <si>
    <t>1H213Y</t>
  </si>
  <si>
    <t>/=(LOOKUP(1,0/(($J$860:$J$874=B857)*(LOOKUP(1,0/(C857:G857),$C$856:$G$856)=$K$860:$K$874)),$L$860:$L$874))*SUM(C857:G857)</t>
  </si>
  <si>
    <t>填写</t>
  </si>
  <si>
    <t>档次</t>
  </si>
  <si>
    <t>X</t>
  </si>
  <si>
    <t>截止目前预算</t>
  </si>
  <si>
    <t>星期</t>
  </si>
  <si>
    <t>X预算</t>
  </si>
  <si>
    <t>2022/3/1</t>
  </si>
  <si>
    <t>星期二</t>
  </si>
  <si>
    <t>2022/3/2</t>
  </si>
  <si>
    <t>星期三</t>
  </si>
  <si>
    <t>2022/3/3</t>
  </si>
  <si>
    <t>星期四</t>
  </si>
  <si>
    <t>2022/3/4</t>
  </si>
  <si>
    <t>星期五</t>
  </si>
  <si>
    <t>2022/3/5</t>
  </si>
  <si>
    <t>星期六</t>
  </si>
  <si>
    <t>2022/3/6</t>
  </si>
  <si>
    <t>星期日</t>
  </si>
  <si>
    <t>2022/3/7</t>
  </si>
  <si>
    <t>星期一</t>
  </si>
  <si>
    <t>2022/3/8</t>
  </si>
  <si>
    <t>2022/3/9</t>
  </si>
  <si>
    <t>2022/3/10</t>
  </si>
  <si>
    <t>2022/3/11</t>
  </si>
  <si>
    <t>2022/3/12</t>
  </si>
  <si>
    <t>2022/3/13</t>
  </si>
  <si>
    <t>2022/3/14</t>
  </si>
  <si>
    <t>2022/3/15</t>
  </si>
  <si>
    <t>2022/3/16</t>
  </si>
  <si>
    <t>2022/3/17</t>
  </si>
  <si>
    <t>2022/3/18</t>
  </si>
  <si>
    <t>2022/3/19</t>
  </si>
  <si>
    <t>2022/3/20</t>
  </si>
  <si>
    <t>2022/3/21</t>
  </si>
  <si>
    <t>2022/3/22</t>
  </si>
  <si>
    <t>2022/3/23</t>
  </si>
  <si>
    <t>2022/3/24</t>
  </si>
  <si>
    <t>2022/3/25</t>
  </si>
  <si>
    <t>2022/3/26</t>
  </si>
  <si>
    <t>2022/3/27</t>
  </si>
  <si>
    <t>2022/3/28</t>
  </si>
  <si>
    <t>2022/3/29</t>
  </si>
  <si>
    <t>2022/3/30</t>
  </si>
  <si>
    <t>2022/3/31</t>
  </si>
  <si>
    <t>里程</t>
  </si>
  <si>
    <t>平距</t>
  </si>
  <si>
    <t>高程</t>
  </si>
  <si>
    <t>桩号</t>
  </si>
  <si>
    <t>平距1</t>
  </si>
  <si>
    <t>高程1</t>
  </si>
  <si>
    <t>平距2</t>
  </si>
  <si>
    <t>高程2</t>
  </si>
  <si>
    <t>平距3</t>
  </si>
  <si>
    <t>高程3</t>
  </si>
  <si>
    <t>平距4</t>
  </si>
  <si>
    <t>高程4</t>
  </si>
  <si>
    <t>平距5</t>
  </si>
  <si>
    <t>高程5</t>
  </si>
  <si>
    <t>平距6</t>
  </si>
  <si>
    <t>高程6</t>
  </si>
  <si>
    <t>平距7</t>
  </si>
  <si>
    <t>高程7</t>
  </si>
  <si>
    <t>平距8</t>
  </si>
  <si>
    <t>高程8</t>
  </si>
  <si>
    <t>平距9</t>
  </si>
  <si>
    <t>高程9</t>
  </si>
  <si>
    <t>平距10</t>
  </si>
  <si>
    <t>高程10</t>
  </si>
  <si>
    <t>/=IFERROR(INDEX(SORT(FILTER($B$2:$C$35,$A$2:$A$35=$A41),1),INT(COLUMN()/2),MOD(COLUMN(),2)+1),"")</t>
  </si>
  <si>
    <t>号</t>
  </si>
  <si>
    <r>
      <rPr>
        <sz val="11"/>
        <color indexed="8"/>
        <rFont val="等线"/>
        <family val="3"/>
        <charset val="134"/>
      </rPr>
      <t>如何实现：当今天是16号时，在</t>
    </r>
    <r>
      <rPr>
        <b/>
        <sz val="11"/>
        <color indexed="8"/>
        <rFont val="等线"/>
        <family val="3"/>
        <charset val="134"/>
      </rPr>
      <t>sheet2</t>
    </r>
    <r>
      <rPr>
        <sz val="11"/>
        <color theme="1"/>
        <rFont val="等线"/>
        <family val="3"/>
        <charset val="134"/>
      </rPr>
      <t>中对1-16号数据累计求和。如果明天是17号，自动对1-17号数据累计求和</t>
    </r>
  </si>
  <si>
    <t>累计</t>
  </si>
  <si>
    <t>中标金额（元人民币）</t>
  </si>
  <si>
    <t>工程招标</t>
  </si>
  <si>
    <t>100万以下</t>
  </si>
  <si>
    <t>1.26万/单</t>
  </si>
  <si>
    <t>100万-500万以下</t>
  </si>
  <si>
    <t>辅助表</t>
  </si>
  <si>
    <t>500万-1000万以下</t>
  </si>
  <si>
    <t>举例：某工程招标代理业务中标金额为6000万元，计算招标代理服务收费额如下：</t>
  </si>
  <si>
    <t>1000万-5000万以下</t>
  </si>
  <si>
    <t xml:space="preserve">    1单（100万元以下）×1.26=1.26万元</t>
  </si>
  <si>
    <t>5000万-1亿以下</t>
  </si>
  <si>
    <t xml:space="preserve">    （500-100）万元×0.588%=2.352万元</t>
  </si>
  <si>
    <t>1亿-5亿以下</t>
  </si>
  <si>
    <t xml:space="preserve">    （1000-500）×0.462%=2.31万元</t>
  </si>
  <si>
    <t xml:space="preserve">    （5000-1000）×0.245%=9.8万元</t>
  </si>
  <si>
    <t xml:space="preserve">    （6000-5000）×0.14%=1.4万元</t>
  </si>
  <si>
    <t xml:space="preserve">    合计收费=1.26+2.352+2.31+9.8+1.4=14.812万元</t>
  </si>
  <si>
    <t>中标金额：</t>
  </si>
  <si>
    <t>元</t>
  </si>
  <si>
    <t>含税费用=14.812×1.06=15.70072万元</t>
  </si>
  <si>
    <t>招标代理金额：</t>
  </si>
  <si>
    <t>合计收费=1.26+2.352+2.31+9.8+1.4=17.122万元</t>
  </si>
  <si>
    <t>含税费用=17.122×1.06=18.14932万元</t>
  </si>
  <si>
    <t>问题：</t>
  </si>
  <si>
    <t>求高手列一个公式，使得可以自动算出招标代理费用</t>
  </si>
  <si>
    <t>怎样计取，见右边方式。谢谢高手了。</t>
  </si>
  <si>
    <t>d1022=IF(LOOKUP(C12,F5:F10,E5:E10)=1,12600,IF(LOOKUP(C12,F5:F10,E5:E10)=2,12600+(C12-F6)*G6,IF(LOOKUP(C12,F5:F10,E5:E10)=3,SUM(H5:H6)+(C12-F7)*G7,IF(LOOKUP(C12,F5:F10,E5:E10)=4,SUM(H5:H7)+(C12-F8)*G8,IF(LOOKUP(C12,F5:F10,E5:E10)=5,SUM(H5:H8)+(C12-F9)*G9,IF(LOOKUP(C12,F5:F10,E5:E10)=6,SUM(H5:H9)+(C12-F10)*G10,""))))))*1.06</t>
  </si>
  <si>
    <t>f1026=(SUMIF(E5:E10,"&lt;"&amp;LOOKUP(C12,F5:F10,E5:E10),H5:H10)+VLOOKUP(LOOKUP(C12,F5:F10,E5:E10),E5:I10,5,0))*1.06</t>
  </si>
  <si>
    <t>需求列</t>
  </si>
  <si>
    <t>H列的核算是根据F和G列的数据来生成的，因为F&amp;G列的合并单元格数量是不一定的，如何设置工时使H列可以直接拉下就自己更新对应的数据</t>
  </si>
  <si>
    <r>
      <rPr>
        <sz val="11"/>
        <color theme="1"/>
        <rFont val="等线"/>
        <family val="3"/>
        <charset val="134"/>
      </rPr>
      <t>h1039=IF(F2="",H1/G1*G2,F2*G2/SUM(OFFSET(G2,,,IFERROR(MATCH("</t>
    </r>
    <r>
      <rPr>
        <b/>
        <sz val="11"/>
        <color rgb="FFFF0000"/>
        <rFont val="等线"/>
        <family val="3"/>
        <charset val="134"/>
      </rPr>
      <t>?*</t>
    </r>
    <r>
      <rPr>
        <sz val="11"/>
        <color theme="1"/>
        <rFont val="等线"/>
        <family val="3"/>
        <charset val="134"/>
      </rPr>
      <t>",F3:F33</t>
    </r>
    <r>
      <rPr>
        <b/>
        <sz val="11"/>
        <color rgb="FFFF0000"/>
        <rFont val="等线"/>
        <family val="3"/>
        <charset val="134"/>
      </rPr>
      <t>&amp;""</t>
    </r>
    <r>
      <rPr>
        <sz val="11"/>
        <color theme="1"/>
        <rFont val="等线"/>
        <family val="3"/>
        <charset val="134"/>
      </rPr>
      <t>,),33))))</t>
    </r>
  </si>
  <si>
    <t>h2=LOOKUP(9^9,$F$2:F2)*G2/SUMPRODUCT((LOOKUP(ROW($2:$21),ROW($2:$21)/($F$2:$F$21&lt;&gt;""),$F$2:$F$21)=LOOKUP(9^9,$F$2:F2))*$G$2:$G$21)</t>
  </si>
  <si>
    <t>1.问号？</t>
  </si>
  <si>
    <r>
      <rPr>
        <sz val="10"/>
        <color theme="1"/>
        <rFont val="等线"/>
        <family val="3"/>
        <charset val="134"/>
      </rPr>
      <t>“?”可以代表任意</t>
    </r>
    <r>
      <rPr>
        <b/>
        <sz val="10"/>
        <color rgb="FFFF0000"/>
        <rFont val="等线"/>
        <family val="3"/>
        <charset val="134"/>
      </rPr>
      <t>单个字符</t>
    </r>
    <r>
      <rPr>
        <sz val="10"/>
        <color theme="1"/>
        <rFont val="等线"/>
        <family val="3"/>
        <charset val="134"/>
      </rPr>
      <t>，可用于进行模糊匹配。比如我们搜索“国产???”，所有“国产”后面带3个字符的单元格内容都会被搜索出来，不管这3个字符是数字、字母还是汉字，比如“国产007”、“国产电冰箱”、“国产VCD”。</t>
    </r>
  </si>
  <si>
    <t>2.星号*</t>
  </si>
  <si>
    <r>
      <rPr>
        <sz val="11"/>
        <color theme="1"/>
        <rFont val="等线"/>
        <family val="3"/>
        <charset val="134"/>
      </rPr>
      <t>“*”可以代表任意数量的</t>
    </r>
    <r>
      <rPr>
        <b/>
        <sz val="11"/>
        <color rgb="FFFF0000"/>
        <rFont val="等线"/>
        <family val="3"/>
        <charset val="134"/>
      </rPr>
      <t>任意字符</t>
    </r>
    <r>
      <rPr>
        <sz val="11"/>
        <color theme="1"/>
        <rFont val="等线"/>
        <family val="3"/>
        <charset val="134"/>
      </rPr>
      <t>，可用于模糊匹配。比如查找“国产*”，所有“国产”后面带有字符（不限个数）的单元格内容都会被搜索出来，比如“国产007”、“国产芯片”、“国产office”。</t>
    </r>
  </si>
  <si>
    <t>3.波形符~</t>
  </si>
  <si>
    <t>“~”用于和“?”和“*”进行搭配使用，当我们要搜索的结果中包含“?”或“*”本身时，需要在查找内容中的“?”或“*”前加上“~”。比如搜索结果为“国产？”，查找时要输入“国产~?”；搜索结果为“国产*”，查找时要输入“国产~*”。</t>
  </si>
  <si>
    <r>
      <rPr>
        <sz val="11"/>
        <color rgb="FFFF0000"/>
        <rFont val="等线"/>
        <family val="3"/>
        <charset val="134"/>
      </rPr>
      <t>match</t>
    </r>
    <r>
      <rPr>
        <sz val="11"/>
        <color theme="1"/>
        <rFont val="等线"/>
        <family val="3"/>
        <charset val="134"/>
      </rPr>
      <t>查找的“?*”时文本，在匹配时需要匹配文本，在匹配后加&amp;""可将空值</t>
    </r>
    <r>
      <rPr>
        <sz val="11"/>
        <color rgb="FFFF0000"/>
        <rFont val="等线"/>
        <family val="3"/>
        <charset val="134"/>
      </rPr>
      <t>0</t>
    </r>
    <r>
      <rPr>
        <sz val="11"/>
        <color theme="1"/>
        <rFont val="等线"/>
        <family val="3"/>
        <charset val="134"/>
      </rPr>
      <t>转化为文本</t>
    </r>
    <r>
      <rPr>
        <b/>
        <sz val="11"/>
        <color rgb="FFFF0000"/>
        <rFont val="等线"/>
        <family val="3"/>
        <charset val="134"/>
      </rPr>
      <t>“ ”</t>
    </r>
    <r>
      <rPr>
        <sz val="11"/>
        <color theme="1"/>
        <rFont val="等线"/>
        <family val="3"/>
        <charset val="134"/>
      </rPr>
      <t>。</t>
    </r>
  </si>
  <si>
    <t>时间1</t>
  </si>
  <si>
    <t>时间2</t>
  </si>
  <si>
    <t>效果</t>
  </si>
  <si>
    <t>2022-03-25 10:05:31</t>
  </si>
  <si>
    <t>2022-03-25 10:45:45</t>
  </si>
  <si>
    <t xml:space="preserve">需求：在工作时间段内的时间历时
工作时间：
9：00-12：00  
13：00-18：00
</t>
  </si>
  <si>
    <t>2022-03-16 09:06:49</t>
  </si>
  <si>
    <t>2022-03-16 17:01:55</t>
  </si>
  <si>
    <t>2022-03-24 11:58:38</t>
  </si>
  <si>
    <t>2022-03-25 12:52:48</t>
  </si>
  <si>
    <t>2022-03-08 09:13:46</t>
  </si>
  <si>
    <t>2022-03-10 17:00:24</t>
  </si>
  <si>
    <t>2022-03-21 15:58:21</t>
  </si>
  <si>
    <t>2022-03-21 17:18:02</t>
  </si>
  <si>
    <t>2022-03-03 15:05:56</t>
  </si>
  <si>
    <t>2022-03-05 13:33:59</t>
  </si>
  <si>
    <t>2022-03-22 12:11:35</t>
  </si>
  <si>
    <t>2022-03-24 11:34:35</t>
  </si>
  <si>
    <t>2022-03-20 12:47:13</t>
  </si>
  <si>
    <t>2022-03-20 13:18:22</t>
  </si>
  <si>
    <t>2022-03-15 10:31:58</t>
  </si>
  <si>
    <t>2022-03-17 17:07:35</t>
  </si>
  <si>
    <t>2022-03-25 09:18:51</t>
  </si>
  <si>
    <t>2022-03-25 09:34:45</t>
  </si>
  <si>
    <t>2022-03-10 17:40:04</t>
  </si>
  <si>
    <t>2022-03-10 18:17:12</t>
  </si>
  <si>
    <t>2022-03-22 10:40:45</t>
  </si>
  <si>
    <t>2022-03-22 17:20:46</t>
  </si>
  <si>
    <t>2022-03-05 18:07:17</t>
  </si>
  <si>
    <t>2022-03-06 13:48:56</t>
  </si>
  <si>
    <t>2022-03-21 14:16:49</t>
  </si>
  <si>
    <t>2022-03-24 14:06:22</t>
  </si>
  <si>
    <t>想要的结果</t>
  </si>
  <si>
    <t>数据源一</t>
  </si>
  <si>
    <t>数据源二</t>
  </si>
  <si>
    <t>左列年度</t>
  </si>
  <si>
    <t>中间年度</t>
  </si>
  <si>
    <t>右列年度</t>
  </si>
  <si>
    <t>左列金额</t>
  </si>
  <si>
    <t>中间金额</t>
  </si>
  <si>
    <t>右列金额</t>
  </si>
  <si>
    <t>中国</t>
  </si>
  <si>
    <t>WAC</t>
  </si>
  <si>
    <t>5*1500*9000</t>
  </si>
  <si>
    <t>SUBSTITUTE(C1102,"*",REPT(" ",99))</t>
  </si>
  <si>
    <t>用99个空格替代“*”替代后的结果如下：</t>
  </si>
  <si>
    <t>重复文本</t>
  </si>
  <si>
    <t>/=REPT()</t>
  </si>
  <si>
    <t>"5                                                                                                   1500                                                                                                   9000"</t>
  </si>
  <si>
    <t>A1*B1*C1相乘</t>
  </si>
  <si>
    <t>{1,2,3}*99-98</t>
  </si>
  <si>
    <t>/=ROUND(PRODUCT(--MID(SUBSTITUTE(C1102,"*",REPT(" ",99)),{1,2,3}*99-98,99),B1102),3)*D1102</t>
  </si>
  <si>
    <t>替代函数</t>
  </si>
  <si>
    <t>{1,100,199}</t>
  </si>
  <si>
    <t>/=PRODUCT()</t>
  </si>
  <si>
    <t>计算参数乘积</t>
  </si>
  <si>
    <t>MID(SUBSTITUTE(C1102,"*",REPT(" ",99)),{1,2,3}*99-98,99)</t>
  </si>
  <si>
    <t>{"5                                                                                                  "," 1500                                                                                              ","     9000"}</t>
  </si>
  <si>
    <t>/=ROUND()</t>
  </si>
  <si>
    <t>四舍五入计算</t>
  </si>
  <si>
    <t>/--MID(SUBSTITUTE(C1102,"*",REPT(" ",99)),{1,2,3}*99-98,99)</t>
  </si>
  <si>
    <t>第一个“-”将文本转化为数值，去掉空格文本</t>
  </si>
  <si>
    <t>{5,1500,9000}</t>
  </si>
  <si>
    <t>第二个“-”是将负数值转化为正数值</t>
  </si>
  <si>
    <t>位置1</t>
  </si>
  <si>
    <t>位置2</t>
  </si>
  <si>
    <t>AASX-2115/2+2</t>
  </si>
  <si>
    <t>00A9</t>
  </si>
  <si>
    <t>0b21</t>
  </si>
  <si>
    <t>dw</t>
  </si>
  <si>
    <t>k1121=INDEX(C:C,SMALL(IF(ISNUMBER(SEARCH($J$1121,$B$1121:$B$1128)),ROW($B$1121:$B$1128),1129),ROW(1:1)))&amp;""</t>
  </si>
  <si>
    <t>FWSE-DA1522DDAW</t>
  </si>
  <si>
    <t>00A10</t>
  </si>
  <si>
    <t>0b22</t>
  </si>
  <si>
    <t>L1121=INDEX(D:D,SMALL(IF(ISNUMBER(SEARCH($J$1121,$B$1121:$B$1128)),ROW($B$1121:$B$1128),1129),ROW(1:1)))&amp;""</t>
  </si>
  <si>
    <t>DADWD/ADW-DA DW1 521</t>
  </si>
  <si>
    <t>00A11</t>
  </si>
  <si>
    <t>0b23</t>
  </si>
  <si>
    <t>用两个传统公式</t>
  </si>
  <si>
    <t>ASA ADW5465 61AWD</t>
  </si>
  <si>
    <t>00A12</t>
  </si>
  <si>
    <t>0b24</t>
  </si>
  <si>
    <t>00A13</t>
  </si>
  <si>
    <t>0b25</t>
  </si>
  <si>
    <t>ASA AD6465 6144WD</t>
  </si>
  <si>
    <t>00A14</t>
  </si>
  <si>
    <t>0b26</t>
  </si>
  <si>
    <t>00A15</t>
  </si>
  <si>
    <t>0b27</t>
  </si>
  <si>
    <t>00A16</t>
  </si>
  <si>
    <t>0b28</t>
  </si>
  <si>
    <t>G1121=FILTER(C1121:C1128,1-ISERR(SEARCH(F1121,B1121:B1128)))</t>
  </si>
  <si>
    <t>H1121=FILTER(D1121:D1128,1-ISERR(SEARCH(F1121,B1121:B1128)))</t>
  </si>
  <si>
    <t>用两个公式</t>
  </si>
  <si>
    <t>w</t>
  </si>
  <si>
    <t>g1133=IFERROR(FILTER(C1121:D1128,1-ISERR(SEARCH(F1133,B1121:B1128))),"")</t>
  </si>
  <si>
    <t>用一个公式</t>
  </si>
  <si>
    <t>2022-01-01</t>
  </si>
  <si>
    <t>2022-02-01</t>
  </si>
  <si>
    <t>2022-03-01</t>
  </si>
  <si>
    <t>2022-04-01</t>
  </si>
  <si>
    <t>正确</t>
  </si>
  <si>
    <t>错误</t>
  </si>
  <si>
    <t>2022-05-01</t>
  </si>
  <si>
    <t>b1144:b1148为文本型日期</t>
  </si>
  <si>
    <t>1.标准日期格式的本质就是数值，你的举例源数据B列为文本型日期格式（文本型数字），非数值；</t>
  </si>
  <si>
    <t>现在需要&gt;=e1145数值的合计结果</t>
  </si>
  <si>
    <t>2.但COUNTIF、SUMIF条件使用“&gt;&lt;=”运算符与“数字”计算时（包括数值、文本型数字）都会当作数值；</t>
  </si>
  <si>
    <t>e1145为文本型日期</t>
  </si>
  <si>
    <t>3.TEXT函数“e-m-d”、“e-m”、"m-d"等情况时均为标准日期格式，而标准日期格式即会被误别成数值</t>
  </si>
  <si>
    <t>e1146为数值型数字</t>
  </si>
  <si>
    <t>4.而“e-m-”结果不是标准日期格式，与大于小于等于符号一起时不会被认为是数值，相当于文本比较</t>
  </si>
  <si>
    <r>
      <rPr>
        <sz val="11"/>
        <color theme="1"/>
        <rFont val="等线"/>
        <family val="3"/>
        <charset val="134"/>
      </rPr>
      <t>/=SUMIF(B1144:B1148,"</t>
    </r>
    <r>
      <rPr>
        <b/>
        <sz val="11"/>
        <color rgb="FFFF0000"/>
        <rFont val="等线"/>
        <family val="3"/>
        <charset val="134"/>
      </rPr>
      <t>&gt;=</t>
    </r>
    <r>
      <rPr>
        <sz val="11"/>
        <color theme="1"/>
        <rFont val="等线"/>
        <family val="3"/>
        <charset val="134"/>
      </rPr>
      <t>"&amp;TEXT(E1145</t>
    </r>
    <r>
      <rPr>
        <sz val="11"/>
        <color rgb="FFFF0000"/>
        <rFont val="等线"/>
        <family val="3"/>
        <charset val="134"/>
      </rPr>
      <t>-1,</t>
    </r>
    <r>
      <rPr>
        <sz val="11"/>
        <color theme="1"/>
        <rFont val="等线"/>
        <family val="3"/>
        <charset val="134"/>
      </rPr>
      <t>"yyyy-mm-dd-"),C1144:C1148)</t>
    </r>
  </si>
  <si>
    <t>在文本比较里，&gt;=或者&lt;=都是只能表示大于或者小于，并不能表示大于等于，或者小于等于。</t>
  </si>
  <si>
    <t>&amp;"&gt;e-mm'"   &amp;"&gt;'e-mm"等技巧都可以</t>
  </si>
  <si>
    <r>
      <rPr>
        <sz val="11"/>
        <color theme="1"/>
        <rFont val="等线"/>
        <family val="3"/>
        <charset val="134"/>
      </rPr>
      <t>即：在文本比较中，有用的符号仅有</t>
    </r>
    <r>
      <rPr>
        <b/>
        <sz val="11"/>
        <color rgb="FFFF0000"/>
        <rFont val="等线"/>
        <family val="3"/>
        <charset val="134"/>
      </rPr>
      <t>大于</t>
    </r>
    <r>
      <rPr>
        <sz val="11"/>
        <color theme="1"/>
        <rFont val="等线"/>
        <family val="3"/>
        <charset val="134"/>
      </rPr>
      <t>，</t>
    </r>
    <r>
      <rPr>
        <b/>
        <sz val="11"/>
        <color rgb="FFFF0000"/>
        <rFont val="等线"/>
        <family val="3"/>
        <charset val="134"/>
      </rPr>
      <t>小于</t>
    </r>
    <r>
      <rPr>
        <sz val="11"/>
        <color theme="1"/>
        <rFont val="等线"/>
        <family val="3"/>
        <charset val="134"/>
      </rPr>
      <t>和</t>
    </r>
    <r>
      <rPr>
        <b/>
        <sz val="11"/>
        <color rgb="FFFF0000"/>
        <rFont val="等线"/>
        <family val="3"/>
        <charset val="134"/>
      </rPr>
      <t>等于</t>
    </r>
    <r>
      <rPr>
        <sz val="11"/>
        <color theme="1"/>
        <rFont val="等线"/>
        <family val="3"/>
        <charset val="134"/>
      </rPr>
      <t>。</t>
    </r>
  </si>
  <si>
    <r>
      <rPr>
        <sz val="11"/>
        <rFont val="等线"/>
        <family val="3"/>
        <charset val="134"/>
      </rPr>
      <t>既然是</t>
    </r>
    <r>
      <rPr>
        <sz val="11"/>
        <color rgb="FFFF0000"/>
        <rFont val="等线"/>
        <family val="3"/>
        <charset val="134"/>
      </rPr>
      <t>文本</t>
    </r>
    <r>
      <rPr>
        <sz val="11"/>
        <rFont val="等线"/>
        <family val="3"/>
        <charset val="134"/>
      </rPr>
      <t>了，可以理解成在文本里的比较符只有</t>
    </r>
    <r>
      <rPr>
        <sz val="11"/>
        <color rgb="FFFF0000"/>
        <rFont val="等线"/>
        <family val="3"/>
        <charset val="134"/>
      </rPr>
      <t>大于、小于、等于</t>
    </r>
    <r>
      <rPr>
        <sz val="11"/>
        <rFont val="等线"/>
        <family val="3"/>
        <charset val="134"/>
      </rPr>
      <t>，没有大于等于，小于等于一说</t>
    </r>
  </si>
  <si>
    <t xml:space="preserve"> -1是因为本公式本身不包含e1145单元格的数，要-1才能包含。</t>
  </si>
  <si>
    <t>根据C列的数据，实现如左边单元格的效果</t>
  </si>
  <si>
    <t>o</t>
  </si>
  <si>
    <t>R</t>
  </si>
  <si>
    <t>类目</t>
  </si>
  <si>
    <t>店铺</t>
  </si>
  <si>
    <t>交易金额</t>
  </si>
  <si>
    <t>抽纸</t>
  </si>
  <si>
    <t>tempo得宝官方旗舰店</t>
  </si>
  <si>
    <t>植护旗舰店</t>
  </si>
  <si>
    <t>华商创辉旗舰店</t>
  </si>
  <si>
    <t>洁柔旗舰店</t>
  </si>
  <si>
    <t>漫花旗舰店</t>
  </si>
  <si>
    <t>维达官方旗舰店</t>
  </si>
  <si>
    <t>清风官方旗舰店</t>
  </si>
  <si>
    <t>数据有效性</t>
  </si>
  <si>
    <t>缘点家居旗舰店</t>
  </si>
  <si>
    <t>类目选择：</t>
  </si>
  <si>
    <t>台优光家居专营店</t>
  </si>
  <si>
    <t>中顺洁柔旗舰店</t>
  </si>
  <si>
    <t>起始时间：</t>
  </si>
  <si>
    <t>结束时间：</t>
  </si>
  <si>
    <t>友友家居专营店</t>
  </si>
  <si>
    <t>选定某个类目和时间区间内</t>
  </si>
  <si>
    <t>店铺top2排名销售额：</t>
  </si>
  <si>
    <t>店铺top5排名销售额：</t>
  </si>
  <si>
    <t>/=SUMPRODUCT(LARGE(SUMIFS(E1184:E1203,D1184:D1203,UNIQUE(D1184:D1203),B1184:B1203,J1191,C1184:C1203,"&gt;="&amp;J1194,C1184:C1203,"&lt;="&amp;J1197),ROW(1:2)))</t>
  </si>
  <si>
    <t>{0;5344;12049;11118;7808;8605;7903;4787;12932;9199;3498;9693}</t>
  </si>
  <si>
    <r>
      <rPr>
        <sz val="11"/>
        <color rgb="FFFF0000"/>
        <rFont val="等线"/>
        <family val="3"/>
        <charset val="134"/>
      </rPr>
      <t>{0;5344;12049;11118;7808;8605;7903;4787;12932;9199</t>
    </r>
    <r>
      <rPr>
        <sz val="11"/>
        <color theme="1"/>
        <rFont val="等线"/>
        <family val="3"/>
        <charset val="134"/>
      </rPr>
      <t>;12049;5344;11118;7903;12932;</t>
    </r>
    <r>
      <rPr>
        <sz val="11"/>
        <color rgb="FFFF0000"/>
        <rFont val="等线"/>
        <family val="3"/>
        <charset val="134"/>
      </rPr>
      <t>3498;</t>
    </r>
    <r>
      <rPr>
        <sz val="11"/>
        <color theme="1"/>
        <rFont val="等线"/>
        <family val="3"/>
        <charset val="134"/>
      </rPr>
      <t>7808;9199;8605;</t>
    </r>
    <r>
      <rPr>
        <sz val="11"/>
        <color rgb="FFFF0000"/>
        <rFont val="等线"/>
        <family val="3"/>
        <charset val="134"/>
      </rPr>
      <t>9693</t>
    </r>
    <r>
      <rPr>
        <sz val="11"/>
        <color theme="1"/>
        <rFont val="等线"/>
        <family val="3"/>
        <charset val="134"/>
      </rPr>
      <t>}</t>
    </r>
  </si>
  <si>
    <t>注意：有重复的数据一定要注意需不需要去重</t>
  </si>
  <si>
    <t>在不同月份相同店铺计算时，一定要先筛选去掉重复值，挑选唯一值，这样就不会进行多次计算</t>
  </si>
  <si>
    <t>例如在右边的销量，每个店铺合计，只有一次的就加一次，但是如果有两个月的销量就会重复加，得出错误的结果，需要特别注意</t>
  </si>
  <si>
    <t>上班时间</t>
  </si>
  <si>
    <t>下班时间</t>
  </si>
  <si>
    <t>工作时间（h）</t>
  </si>
  <si>
    <t>工作时间：9：00-12：00      13：00-18：00</t>
  </si>
  <si>
    <t>D1232=SUM(TEXT(MOD(B1232:C1232,1)-{9;11.5;13.5;15;21;23}/24,"[&lt;0]!0")*{-1,1}*{1;-1;1;-1;1;-1},(INT(C1232)-INT(B1232))/4)*24</t>
  </si>
  <si>
    <t>工作时间：9：00-11:30     13：30-18：00      21：00-23：00</t>
  </si>
  <si>
    <t>[&lt;0]!0</t>
  </si>
  <si>
    <t>表示如果小于0，强制先显示为0</t>
  </si>
  <si>
    <t>MOD(A,B)=A-INT(A/B)*B</t>
  </si>
  <si>
    <t>/=MOD(-3,2)</t>
  </si>
  <si>
    <t>分类</t>
  </si>
  <si>
    <t>顺序号</t>
  </si>
  <si>
    <t>2021</t>
  </si>
  <si>
    <t>03</t>
  </si>
  <si>
    <t>01</t>
  </si>
  <si>
    <t>手续费</t>
  </si>
  <si>
    <t>02</t>
  </si>
  <si>
    <t>汇错</t>
  </si>
  <si>
    <t>D列有“汇错”的不参与编号</t>
  </si>
  <si>
    <t>付预付款</t>
  </si>
  <si>
    <t>往来款</t>
  </si>
  <si>
    <t>顺序号要求</t>
  </si>
  <si>
    <t>待支付项目</t>
  </si>
  <si>
    <t>月份</t>
  </si>
  <si>
    <t>佰成墨水</t>
  </si>
  <si>
    <t>福盈材料</t>
  </si>
  <si>
    <t>宏达广告</t>
  </si>
  <si>
    <t>慧暄喷绘</t>
  </si>
  <si>
    <t>泉彩彩印</t>
  </si>
  <si>
    <t>砂威数码  0595-22555336</t>
  </si>
  <si>
    <t>万家条幅</t>
  </si>
  <si>
    <t>五金城/张振林</t>
  </si>
  <si>
    <t>星众科技/杨仁水</t>
  </si>
  <si>
    <t>待支付项目：</t>
  </si>
  <si>
    <t>预估</t>
  </si>
  <si>
    <t>备    注</t>
  </si>
  <si>
    <t>2021.5月 40000元 +2022.1月 13670元 +2022.2月 5420元 +2022.3月 6160元</t>
  </si>
  <si>
    <t>2022.1月 78190元+2022.2月46098元+2022.3月51316元</t>
  </si>
  <si>
    <t>2022.3月 8080元</t>
  </si>
  <si>
    <t>2022.2月 7409元</t>
  </si>
  <si>
    <t>2022.3月 490元</t>
  </si>
  <si>
    <t>2022.1月 38549元+2022.2月 25847元+2022.3月 12656元</t>
  </si>
  <si>
    <t>2022.1月 45元</t>
  </si>
  <si>
    <t>2022.6月 18900元</t>
  </si>
  <si>
    <t>2022.6月 900元+2022.6月 3350元</t>
  </si>
  <si>
    <t>原文件</t>
  </si>
  <si>
    <t>1、通风量2、排烟量3、水管量4、风管量5、其它</t>
  </si>
  <si>
    <t>这是手动改的怎么自动</t>
  </si>
  <si>
    <t>1、通风量
2、排烟量
3、水管量
4、风管量
5、其它</t>
  </si>
  <si>
    <t>c1291=SUBSTITUTE(C1287,"量","量"&amp;CHAR(10))</t>
  </si>
  <si>
    <t>查找不同</t>
  </si>
  <si>
    <t>excel函数小练习</t>
  </si>
  <si>
    <t>做前提醒</t>
  </si>
  <si>
    <t xml:space="preserve">    1.所有填写的地方请用公式或函数。</t>
  </si>
  <si>
    <t xml:space="preserve">    2.所有需要填写公式的地方都用紫底填充单元格</t>
  </si>
  <si>
    <r>
      <rPr>
        <b/>
        <sz val="11"/>
        <color theme="1"/>
        <rFont val="等线"/>
        <family val="3"/>
        <charset val="134"/>
      </rPr>
      <t>第一题 ：</t>
    </r>
    <r>
      <rPr>
        <sz val="11"/>
        <color theme="1"/>
        <rFont val="等线"/>
        <family val="3"/>
        <charset val="134"/>
      </rPr>
      <t>小文在那一等？</t>
    </r>
  </si>
  <si>
    <t>优等</t>
  </si>
  <si>
    <t>差等</t>
  </si>
  <si>
    <t>小文</t>
  </si>
  <si>
    <r>
      <rPr>
        <b/>
        <sz val="11"/>
        <color theme="1"/>
        <rFont val="等线"/>
        <family val="3"/>
        <charset val="134"/>
      </rPr>
      <t>第二题 ：</t>
    </r>
    <r>
      <rPr>
        <sz val="11"/>
        <color theme="1"/>
        <rFont val="等线"/>
        <family val="3"/>
        <charset val="134"/>
      </rPr>
      <t>c的代码是多少？</t>
    </r>
  </si>
  <si>
    <t>编码</t>
  </si>
  <si>
    <t>LRTM1</t>
  </si>
  <si>
    <t>622B2</t>
  </si>
  <si>
    <t>CD-WT</t>
  </si>
  <si>
    <t>CD-MT</t>
  </si>
  <si>
    <t>1-WT1</t>
  </si>
  <si>
    <r>
      <rPr>
        <b/>
        <sz val="11"/>
        <color theme="1"/>
        <rFont val="等线"/>
        <family val="3"/>
        <charset val="134"/>
      </rPr>
      <t>第三题：</t>
    </r>
    <r>
      <rPr>
        <sz val="11"/>
        <color theme="1"/>
        <rFont val="等线"/>
        <family val="3"/>
        <charset val="134"/>
      </rPr>
      <t>求a最后做工的月份？</t>
    </r>
  </si>
  <si>
    <t>最后工作月</t>
  </si>
  <si>
    <r>
      <rPr>
        <b/>
        <sz val="11"/>
        <color theme="1"/>
        <rFont val="等线"/>
        <family val="3"/>
        <charset val="134"/>
      </rPr>
      <t>第四题：</t>
    </r>
    <r>
      <rPr>
        <sz val="11"/>
        <color theme="1"/>
        <rFont val="等线"/>
        <family val="3"/>
        <charset val="134"/>
      </rPr>
      <t>计算员工总数？</t>
    </r>
  </si>
  <si>
    <r>
      <rPr>
        <b/>
        <sz val="11"/>
        <color theme="1"/>
        <rFont val="等线"/>
        <family val="3"/>
        <charset val="134"/>
      </rPr>
      <t>第五题：</t>
    </r>
    <r>
      <rPr>
        <sz val="11"/>
        <color theme="1"/>
        <rFont val="等线"/>
        <family val="3"/>
        <charset val="134"/>
      </rPr>
      <t>包含a产品总金额？</t>
    </r>
  </si>
  <si>
    <t>包含a产品总金额</t>
  </si>
  <si>
    <r>
      <rPr>
        <b/>
        <sz val="11"/>
        <color theme="1"/>
        <rFont val="等线"/>
        <family val="3"/>
        <charset val="134"/>
      </rPr>
      <t>第六题：</t>
    </r>
    <r>
      <rPr>
        <sz val="11"/>
        <color theme="1"/>
        <rFont val="等线"/>
        <family val="3"/>
        <charset val="134"/>
      </rPr>
      <t>求产品a在时间2012/1/2的入库单价？</t>
    </r>
  </si>
  <si>
    <r>
      <rPr>
        <b/>
        <sz val="11"/>
        <color theme="1"/>
        <rFont val="等线"/>
        <family val="3"/>
        <charset val="134"/>
      </rPr>
      <t>第六题：</t>
    </r>
    <r>
      <rPr>
        <sz val="11"/>
        <color theme="1"/>
        <rFont val="等线"/>
        <family val="3"/>
        <charset val="134"/>
      </rPr>
      <t>a,b最后的日期？</t>
    </r>
  </si>
  <si>
    <t>最后日期</t>
  </si>
  <si>
    <r>
      <rPr>
        <b/>
        <sz val="11"/>
        <color theme="1"/>
        <rFont val="等线"/>
        <family val="3"/>
        <charset val="134"/>
      </rPr>
      <t>第七题：</t>
    </r>
    <r>
      <rPr>
        <sz val="11"/>
        <color theme="1"/>
        <rFont val="等线"/>
        <family val="3"/>
        <charset val="134"/>
      </rPr>
      <t>三人的等级是什么？</t>
    </r>
  </si>
  <si>
    <t>分数</t>
  </si>
  <si>
    <t>备注</t>
  </si>
  <si>
    <t>0-59</t>
  </si>
  <si>
    <t>小王</t>
  </si>
  <si>
    <t>良</t>
  </si>
  <si>
    <t>60-79</t>
  </si>
  <si>
    <t>优</t>
  </si>
  <si>
    <t>80-100</t>
  </si>
  <si>
    <r>
      <rPr>
        <b/>
        <sz val="11"/>
        <color theme="1"/>
        <rFont val="等线"/>
        <family val="3"/>
        <charset val="134"/>
      </rPr>
      <t>第八题：</t>
    </r>
    <r>
      <rPr>
        <sz val="11"/>
        <color theme="1"/>
        <rFont val="等线"/>
        <family val="3"/>
        <charset val="134"/>
      </rPr>
      <t>填写是否在湖北？</t>
    </r>
  </si>
  <si>
    <r>
      <rPr>
        <b/>
        <sz val="11"/>
        <color theme="1"/>
        <rFont val="等线"/>
        <family val="3"/>
        <charset val="134"/>
      </rPr>
      <t>第九题：</t>
    </r>
    <r>
      <rPr>
        <sz val="11"/>
        <color theme="1"/>
        <rFont val="等线"/>
        <family val="3"/>
        <charset val="134"/>
      </rPr>
      <t>注射疫苗的时间？</t>
    </r>
  </si>
  <si>
    <t>第一次时间</t>
  </si>
  <si>
    <t>第二次时间</t>
  </si>
  <si>
    <t>第三次时间</t>
  </si>
  <si>
    <r>
      <rPr>
        <b/>
        <sz val="11"/>
        <color theme="1"/>
        <rFont val="等线"/>
        <family val="3"/>
        <charset val="134"/>
      </rPr>
      <t>第十题：</t>
    </r>
    <r>
      <rPr>
        <sz val="11"/>
        <color theme="1"/>
        <rFont val="等线"/>
        <family val="3"/>
        <charset val="134"/>
      </rPr>
      <t>根据项目和摘要求和？</t>
    </r>
  </si>
  <si>
    <t>结果汇总</t>
  </si>
  <si>
    <r>
      <rPr>
        <sz val="11"/>
        <color theme="1"/>
        <rFont val="等线"/>
        <family val="3"/>
        <charset val="134"/>
      </rPr>
      <t>补贴</t>
    </r>
    <r>
      <rPr>
        <sz val="11"/>
        <rFont val="等线"/>
        <family val="3"/>
        <charset val="134"/>
      </rPr>
      <t>1.1</t>
    </r>
  </si>
  <si>
    <r>
      <rPr>
        <b/>
        <sz val="11"/>
        <color theme="1"/>
        <rFont val="等线"/>
        <family val="3"/>
        <charset val="134"/>
      </rPr>
      <t>第十一题：</t>
    </r>
    <r>
      <rPr>
        <sz val="11"/>
        <color theme="1"/>
        <rFont val="等线"/>
        <family val="3"/>
        <charset val="134"/>
      </rPr>
      <t>用函数公式在域统计A列中月份的次数</t>
    </r>
  </si>
  <si>
    <t>包含月份次数</t>
  </si>
  <si>
    <r>
      <rPr>
        <b/>
        <sz val="11"/>
        <color theme="1"/>
        <rFont val="等线"/>
        <family val="3"/>
        <charset val="134"/>
      </rPr>
      <t>第十二题：</t>
    </r>
    <r>
      <rPr>
        <sz val="11"/>
        <color theme="1"/>
        <rFont val="等线"/>
        <family val="3"/>
        <charset val="134"/>
      </rPr>
      <t>根据左边的订单号和条码填写右边的数量和金额？（多对多查找）</t>
    </r>
  </si>
  <si>
    <r>
      <rPr>
        <b/>
        <sz val="11"/>
        <color theme="1"/>
        <rFont val="等线"/>
        <family val="3"/>
        <charset val="134"/>
      </rPr>
      <t>第十三题：</t>
    </r>
    <r>
      <rPr>
        <sz val="11"/>
        <color theme="1"/>
        <rFont val="等线"/>
        <family val="3"/>
        <charset val="134"/>
      </rPr>
      <t>补充请假列表？</t>
    </r>
  </si>
  <si>
    <t>1</t>
  </si>
  <si>
    <t>2</t>
  </si>
  <si>
    <t>3</t>
  </si>
  <si>
    <t>4</t>
  </si>
  <si>
    <t>5</t>
  </si>
  <si>
    <t>6</t>
  </si>
  <si>
    <t>7</t>
  </si>
  <si>
    <t>8</t>
  </si>
  <si>
    <t>9</t>
  </si>
  <si>
    <t>10</t>
  </si>
  <si>
    <r>
      <rPr>
        <b/>
        <sz val="11"/>
        <color theme="1"/>
        <rFont val="等线"/>
        <family val="3"/>
        <charset val="134"/>
      </rPr>
      <t>第十四题：</t>
    </r>
    <r>
      <rPr>
        <sz val="11"/>
        <color theme="1"/>
        <rFont val="等线"/>
        <family val="3"/>
        <charset val="134"/>
      </rPr>
      <t>按左表统计右边的成绩？</t>
    </r>
  </si>
  <si>
    <r>
      <rPr>
        <b/>
        <sz val="11"/>
        <color theme="1"/>
        <rFont val="等线"/>
        <family val="3"/>
        <charset val="134"/>
      </rPr>
      <t>第十五题：</t>
    </r>
    <r>
      <rPr>
        <sz val="11"/>
        <color theme="1"/>
        <rFont val="等线"/>
        <family val="3"/>
        <charset val="134"/>
      </rPr>
      <t>需求结果在范围输出ok，否者no。</t>
    </r>
  </si>
  <si>
    <t>分值</t>
  </si>
  <si>
    <r>
      <rPr>
        <b/>
        <sz val="11"/>
        <color theme="1"/>
        <rFont val="等线"/>
        <family val="3"/>
        <charset val="134"/>
      </rPr>
      <t>第十六题：</t>
    </r>
    <r>
      <rPr>
        <sz val="11"/>
        <color theme="1"/>
        <rFont val="等线"/>
        <family val="3"/>
        <charset val="134"/>
      </rPr>
      <t>求最后的数字。</t>
    </r>
  </si>
  <si>
    <r>
      <rPr>
        <b/>
        <sz val="11"/>
        <color theme="1"/>
        <rFont val="等线"/>
        <family val="3"/>
        <charset val="134"/>
      </rPr>
      <t>第十七题：</t>
    </r>
    <r>
      <rPr>
        <sz val="11"/>
        <color theme="1"/>
        <rFont val="等线"/>
        <family val="3"/>
        <charset val="134"/>
      </rPr>
      <t>在结果中不要显示数字，如右图</t>
    </r>
  </si>
  <si>
    <r>
      <rPr>
        <b/>
        <sz val="11"/>
        <color theme="1"/>
        <rFont val="等线"/>
        <family val="3"/>
        <charset val="134"/>
      </rPr>
      <t>第十八题：</t>
    </r>
    <r>
      <rPr>
        <sz val="11"/>
        <color theme="1"/>
        <rFont val="等线"/>
        <family val="3"/>
        <charset val="134"/>
      </rPr>
      <t>根据薪级和薪档计算岗位技能薪资。</t>
    </r>
  </si>
  <si>
    <t>岗位
技能</t>
  </si>
  <si>
    <t>注："-"前表示薪级，后表示薪档</t>
  </si>
  <si>
    <r>
      <rPr>
        <b/>
        <sz val="11"/>
        <color theme="1"/>
        <rFont val="等线"/>
        <family val="3"/>
        <charset val="134"/>
      </rPr>
      <t>第十九题：</t>
    </r>
    <r>
      <rPr>
        <sz val="11"/>
        <color theme="1"/>
        <rFont val="等线"/>
        <family val="3"/>
        <charset val="134"/>
      </rPr>
      <t>根据左图填写右图。</t>
    </r>
  </si>
  <si>
    <r>
      <rPr>
        <b/>
        <sz val="11"/>
        <color theme="1"/>
        <rFont val="等线"/>
        <family val="3"/>
        <charset val="134"/>
      </rPr>
      <t>第二十题：</t>
    </r>
    <r>
      <rPr>
        <sz val="11"/>
        <color theme="1"/>
        <rFont val="等线"/>
        <family val="3"/>
        <charset val="134"/>
      </rPr>
      <t>根据左边的表填写右边的人数。</t>
    </r>
  </si>
  <si>
    <r>
      <rPr>
        <b/>
        <sz val="11"/>
        <color theme="1"/>
        <rFont val="等线"/>
        <family val="3"/>
        <charset val="134"/>
      </rPr>
      <t>第二十一题：</t>
    </r>
    <r>
      <rPr>
        <sz val="11"/>
        <color theme="1"/>
        <rFont val="等线"/>
        <family val="3"/>
        <charset val="134"/>
      </rPr>
      <t>同品类最近的5笔订单列表。</t>
    </r>
  </si>
  <si>
    <t>同品类最近的5笔订单</t>
  </si>
  <si>
    <r>
      <rPr>
        <b/>
        <sz val="11"/>
        <color theme="1"/>
        <rFont val="等线"/>
        <family val="3"/>
        <charset val="134"/>
      </rPr>
      <t>第二十一题：</t>
    </r>
    <r>
      <rPr>
        <sz val="11"/>
        <color theme="1"/>
        <rFont val="等线"/>
        <family val="3"/>
        <charset val="134"/>
      </rPr>
      <t>查找不同，将不同的特殊显示。</t>
    </r>
  </si>
  <si>
    <t>31.IF数组嵌套</t>
    <phoneticPr fontId="95" type="noConversion"/>
  </si>
  <si>
    <t>销售清单</t>
    <phoneticPr fontId="97" type="noConversion"/>
  </si>
  <si>
    <t>问题描述</t>
    <phoneticPr fontId="97" type="noConversion"/>
  </si>
  <si>
    <t>销售日期</t>
    <phoneticPr fontId="97" type="noConversion"/>
  </si>
  <si>
    <t>客户</t>
    <phoneticPr fontId="97" type="noConversion"/>
  </si>
  <si>
    <t>业务员</t>
    <phoneticPr fontId="97" type="noConversion"/>
  </si>
  <si>
    <t>商品名称</t>
    <phoneticPr fontId="97" type="noConversion"/>
  </si>
  <si>
    <t>数量</t>
    <phoneticPr fontId="97" type="noConversion"/>
  </si>
  <si>
    <t>单价</t>
    <phoneticPr fontId="97" type="noConversion"/>
  </si>
  <si>
    <t>金额</t>
    <phoneticPr fontId="97" type="noConversion"/>
  </si>
  <si>
    <t>客户筛选列表</t>
    <phoneticPr fontId="97" type="noConversion"/>
  </si>
  <si>
    <t>1、1对多查询并进行汇总</t>
    <phoneticPr fontId="97" type="noConversion"/>
  </si>
  <si>
    <t>C公司</t>
    <phoneticPr fontId="97" type="noConversion"/>
  </si>
  <si>
    <t>小王</t>
    <phoneticPr fontId="97" type="noConversion"/>
  </si>
  <si>
    <t>C</t>
    <phoneticPr fontId="97" type="noConversion"/>
  </si>
  <si>
    <t>2、通过筛选客户，</t>
    <phoneticPr fontId="97" type="noConversion"/>
  </si>
  <si>
    <t>B公司</t>
    <phoneticPr fontId="97" type="noConversion"/>
  </si>
  <si>
    <t>小罗</t>
    <phoneticPr fontId="97" type="noConversion"/>
  </si>
  <si>
    <t>D</t>
    <phoneticPr fontId="97" type="noConversion"/>
  </si>
  <si>
    <t>3、列示出该客户所有采购商品的名称，采购的数量，金额汇总，并查询是否为单一业务人员</t>
    <phoneticPr fontId="97" type="noConversion"/>
  </si>
  <si>
    <t>D公司</t>
    <phoneticPr fontId="97" type="noConversion"/>
  </si>
  <si>
    <t>小张</t>
    <phoneticPr fontId="97" type="noConversion"/>
  </si>
  <si>
    <t>A</t>
    <phoneticPr fontId="97" type="noConversion"/>
  </si>
  <si>
    <t>A公司</t>
    <phoneticPr fontId="97" type="noConversion"/>
  </si>
  <si>
    <t>小李</t>
    <phoneticPr fontId="97" type="noConversion"/>
  </si>
  <si>
    <t>B</t>
    <phoneticPr fontId="97" type="noConversion"/>
  </si>
  <si>
    <t>E公司</t>
    <phoneticPr fontId="97" type="noConversion"/>
  </si>
  <si>
    <t>B表中所要得到的结果</t>
    <phoneticPr fontId="97" type="noConversion"/>
  </si>
  <si>
    <t>小赵</t>
    <phoneticPr fontId="97" type="noConversion"/>
  </si>
  <si>
    <t>R公司</t>
    <phoneticPr fontId="97" type="noConversion"/>
  </si>
  <si>
    <t>T公司</t>
    <phoneticPr fontId="97" type="noConversion"/>
  </si>
  <si>
    <t>D公司</t>
  </si>
  <si>
    <t>K公司</t>
    <phoneticPr fontId="97" type="noConversion"/>
  </si>
  <si>
    <t>G公司</t>
    <phoneticPr fontId="97" type="noConversion"/>
  </si>
  <si>
    <t>Z公司</t>
    <phoneticPr fontId="97" type="noConversion"/>
  </si>
  <si>
    <t>业务员</t>
  </si>
  <si>
    <t>客户</t>
  </si>
  <si>
    <t>C公司</t>
  </si>
  <si>
    <t>求和项:数量</t>
  </si>
  <si>
    <t>求和项:金额</t>
  </si>
  <si>
    <t>[=0]"";G/通用格式</t>
    <phoneticPr fontId="95" type="noConversion"/>
  </si>
  <si>
    <t>(数值会变成文本，不可计算)</t>
    <phoneticPr fontId="95" type="noConversion"/>
  </si>
  <si>
    <r>
      <t>o1317=IFERROR(INDEX(</t>
    </r>
    <r>
      <rPr>
        <b/>
        <sz val="11"/>
        <color rgb="FFFF0000"/>
        <rFont val="黑体"/>
        <family val="3"/>
        <charset val="134"/>
      </rPr>
      <t>E:E</t>
    </r>
    <r>
      <rPr>
        <sz val="11"/>
        <color theme="1"/>
        <rFont val="宋体"/>
        <family val="3"/>
        <charset val="134"/>
        <scheme val="minor"/>
      </rPr>
      <t>,SMALL(IF($K$1317=$C$1305:$C$1345,ROW($C$1305:$C$1345),40000),</t>
    </r>
    <r>
      <rPr>
        <sz val="11"/>
        <color theme="9" tint="-0.249977111117893"/>
        <rFont val="黑体"/>
        <family val="3"/>
        <charset val="134"/>
      </rPr>
      <t>ROW(A1)</t>
    </r>
    <r>
      <rPr>
        <sz val="11"/>
        <color theme="1"/>
        <rFont val="宋体"/>
        <family val="3"/>
        <charset val="134"/>
        <scheme val="minor"/>
      </rPr>
      <t>)),"")</t>
    </r>
    <phoneticPr fontId="95" type="noConversion"/>
  </si>
  <si>
    <t>0;-0;;</t>
    <phoneticPr fontId="95" type="noConversion"/>
  </si>
  <si>
    <t>将0转化为空</t>
    <phoneticPr fontId="95" type="noConversion"/>
  </si>
  <si>
    <t>班级</t>
    <phoneticPr fontId="95" type="noConversion"/>
  </si>
  <si>
    <t>考号</t>
  </si>
  <si>
    <t>年名</t>
  </si>
  <si>
    <t>问题：可不可以把每个班级的前3个学生设置为黄色</t>
    <phoneticPr fontId="100" type="noConversion"/>
  </si>
  <si>
    <t>0127</t>
  </si>
  <si>
    <t>Z001</t>
    <phoneticPr fontId="100" type="noConversion"/>
  </si>
  <si>
    <t>0129</t>
  </si>
  <si>
    <t>Z002</t>
  </si>
  <si>
    <t>0105</t>
  </si>
  <si>
    <t>Z003</t>
  </si>
  <si>
    <t>0136</t>
  </si>
  <si>
    <t>Z004</t>
  </si>
  <si>
    <t>0130</t>
  </si>
  <si>
    <t>Z005</t>
  </si>
  <si>
    <t>0135</t>
  </si>
  <si>
    <t>Z006</t>
  </si>
  <si>
    <t>0107</t>
  </si>
  <si>
    <t>Z007</t>
  </si>
  <si>
    <t>0145</t>
  </si>
  <si>
    <t>Z039</t>
  </si>
  <si>
    <t>0121</t>
  </si>
  <si>
    <t>Z040</t>
  </si>
  <si>
    <t>0123</t>
  </si>
  <si>
    <t>Z041</t>
  </si>
  <si>
    <t>0122</t>
  </si>
  <si>
    <t>Z042</t>
  </si>
  <si>
    <t>0124</t>
  </si>
  <si>
    <t>Z043</t>
  </si>
  <si>
    <t>0202</t>
  </si>
  <si>
    <t>Z044</t>
  </si>
  <si>
    <t>0205</t>
  </si>
  <si>
    <t>Z045</t>
  </si>
  <si>
    <t>0230</t>
  </si>
  <si>
    <t>Z046</t>
  </si>
  <si>
    <t>0223</t>
  </si>
  <si>
    <t>Z083</t>
  </si>
  <si>
    <t>0221</t>
  </si>
  <si>
    <t>Z084</t>
  </si>
  <si>
    <t>0304</t>
  </si>
  <si>
    <t>Z085</t>
  </si>
  <si>
    <t>0329</t>
  </si>
  <si>
    <t>Z086</t>
  </si>
  <si>
    <t>0326</t>
  </si>
  <si>
    <t>Z087</t>
  </si>
  <si>
    <t>0327</t>
  </si>
  <si>
    <t>Z088</t>
  </si>
  <si>
    <t>0302</t>
  </si>
  <si>
    <t>Z089</t>
  </si>
  <si>
    <t>工作时间计算</t>
    <phoneticPr fontId="95" type="noConversion"/>
  </si>
  <si>
    <r>
      <t>最终的结果列</t>
    </r>
    <r>
      <rPr>
        <b/>
        <sz val="11"/>
        <color rgb="FFFF0000"/>
        <rFont val="黑体"/>
        <family val="3"/>
        <charset val="134"/>
      </rPr>
      <t>E:E</t>
    </r>
    <r>
      <rPr>
        <sz val="11"/>
        <color theme="1"/>
        <rFont val="宋体"/>
        <family val="3"/>
        <charset val="134"/>
        <scheme val="minor"/>
      </rPr>
      <t>应该从第一行开始，根据</t>
    </r>
    <r>
      <rPr>
        <b/>
        <sz val="11"/>
        <color theme="9"/>
        <rFont val="黑体"/>
        <family val="3"/>
        <charset val="134"/>
      </rPr>
      <t>ROW(A1)</t>
    </r>
    <r>
      <rPr>
        <sz val="11"/>
        <color theme="1"/>
        <rFont val="宋体"/>
        <family val="3"/>
        <charset val="134"/>
        <scheme val="minor"/>
      </rPr>
      <t>来决定，而</t>
    </r>
    <r>
      <rPr>
        <b/>
        <sz val="11"/>
        <color theme="9"/>
        <rFont val="宋体"/>
        <family val="3"/>
        <charset val="134"/>
        <scheme val="minor"/>
      </rPr>
      <t>ROW(A1)</t>
    </r>
    <r>
      <rPr>
        <sz val="11"/>
        <color theme="1"/>
        <rFont val="宋体"/>
        <family val="3"/>
        <charset val="134"/>
        <scheme val="minor"/>
      </rPr>
      <t>是从1开始，所以结果列也是从1开始算</t>
    </r>
    <phoneticPr fontId="95" type="noConversion"/>
  </si>
  <si>
    <t>输出数据所在相对行数</t>
    <phoneticPr fontId="95" type="noConversion"/>
  </si>
  <si>
    <t>日期计算</t>
    <phoneticPr fontId="95" type="noConversion"/>
  </si>
  <si>
    <t>e1350:e1371=$E1350&lt;=SMALL(IF(B1350=$B$1350:$B$1371,$E$1350:$E$1371),3)</t>
    <phoneticPr fontId="95" type="noConversion"/>
  </si>
  <si>
    <t>1.选中e1350</t>
    <phoneticPr fontId="95" type="noConversion"/>
  </si>
  <si>
    <t>2.打开条件格式</t>
    <phoneticPr fontId="95" type="noConversion"/>
  </si>
  <si>
    <t>3.新建规则</t>
    <phoneticPr fontId="95" type="noConversion"/>
  </si>
  <si>
    <t>4.选择使用公式确定单元格</t>
    <phoneticPr fontId="95" type="noConversion"/>
  </si>
  <si>
    <t>5.写入公式</t>
    <phoneticPr fontId="95" type="noConversion"/>
  </si>
  <si>
    <t>6.将应用范围调整为e1350:e1371</t>
    <phoneticPr fontId="95" type="noConversion"/>
  </si>
  <si>
    <t>填充合并单元格</t>
    <phoneticPr fontId="95" type="noConversion"/>
  </si>
  <si>
    <t>a</t>
    <phoneticPr fontId="95" type="noConversion"/>
  </si>
  <si>
    <t>b</t>
    <phoneticPr fontId="95" type="noConversion"/>
  </si>
  <si>
    <t>m108=LOOKUP("做",L$108:L108)</t>
    <phoneticPr fontId="95" type="noConversion"/>
  </si>
  <si>
    <t>说明：0/(条件)可以把不符合条件的变成错误值，而lookup可以忽略错误值(vlookup多条件查找)</t>
    <phoneticPr fontId="95" type="noConversion"/>
  </si>
  <si>
    <r>
      <t>B86=LOOKUP(1,0/((表1[入库时间]=B84)</t>
    </r>
    <r>
      <rPr>
        <b/>
        <sz val="11"/>
        <color rgb="FFFF0000"/>
        <rFont val="等线"/>
        <family val="3"/>
        <charset val="134"/>
      </rPr>
      <t>*</t>
    </r>
    <r>
      <rPr>
        <b/>
        <sz val="11"/>
        <color rgb="FF0070C0"/>
        <rFont val="等线"/>
        <family val="3"/>
        <charset val="134"/>
      </rPr>
      <t>(表1[产品名称]=B85)),(表1[入库单价]))</t>
    </r>
    <phoneticPr fontId="95" type="noConversion"/>
  </si>
  <si>
    <r>
      <t>此为模糊查找，数据一定要</t>
    </r>
    <r>
      <rPr>
        <sz val="11"/>
        <color rgb="FFFF0000"/>
        <rFont val="等线"/>
        <family val="3"/>
        <charset val="134"/>
      </rPr>
      <t>升序</t>
    </r>
    <r>
      <rPr>
        <sz val="11"/>
        <color theme="1"/>
        <rFont val="等线"/>
        <family val="3"/>
        <charset val="134"/>
      </rPr>
      <t>排列，如果不能升序排列，那么就按照LOOKUP的精确查找套路去设计公式。</t>
    </r>
    <phoneticPr fontId="95" type="noConversion"/>
  </si>
  <si>
    <t>1.选中c196:198</t>
    <phoneticPr fontId="95" type="noConversion"/>
  </si>
  <si>
    <t>2.点数据，打开数据验证</t>
    <phoneticPr fontId="95" type="noConversion"/>
  </si>
  <si>
    <t>3.点击序列，来源选择b188:d188</t>
    <phoneticPr fontId="95" type="noConversion"/>
  </si>
  <si>
    <t>4.点击公式，点击名称管理器，新建3个区域，分别为b189:b192;c189:c191;d189:d190</t>
    <phoneticPr fontId="95" type="noConversion"/>
  </si>
  <si>
    <t>5.选中d196:d198，点击数据，点击数据验证</t>
    <phoneticPr fontId="95" type="noConversion"/>
  </si>
  <si>
    <t>6.点击序列，来源输入d196=INDIRECT(C196)</t>
    <phoneticPr fontId="95" type="noConversion"/>
  </si>
  <si>
    <t>查找出起始定位(区分大小写)</t>
    <phoneticPr fontId="95" type="noConversion"/>
  </si>
  <si>
    <t>薪级-薪档</t>
    <phoneticPr fontId="95" type="noConversion"/>
  </si>
  <si>
    <t>岗位技能</t>
    <phoneticPr fontId="95" type="noConversion"/>
  </si>
  <si>
    <t>采购部</t>
    <phoneticPr fontId="95" type="noConversion"/>
  </si>
  <si>
    <t>主管</t>
    <phoneticPr fontId="95" type="noConversion"/>
  </si>
  <si>
    <t>费用</t>
  </si>
  <si>
    <t>非取数项</t>
  </si>
  <si>
    <t>取整金额人民币</t>
    <phoneticPr fontId="95" type="noConversion"/>
  </si>
  <si>
    <t>当部门为</t>
  </si>
  <si>
    <t>显示前八大费用项目及金额</t>
  </si>
  <si>
    <t>人力部</t>
  </si>
  <si>
    <t>招待费</t>
  </si>
  <si>
    <t>房租费</t>
  </si>
  <si>
    <t>差旅费</t>
  </si>
  <si>
    <t>物业费</t>
  </si>
  <si>
    <t>保养与维修费</t>
  </si>
  <si>
    <t>网络费</t>
  </si>
  <si>
    <t>汽油费</t>
  </si>
  <si>
    <t>电费</t>
  </si>
  <si>
    <t>停洗车费</t>
  </si>
  <si>
    <t>绿植费</t>
  </si>
  <si>
    <t>市内交通费</t>
  </si>
  <si>
    <t>汽车饰费</t>
  </si>
  <si>
    <t>印花税</t>
  </si>
  <si>
    <t>固定电话费</t>
  </si>
  <si>
    <t>银行手续费</t>
  </si>
  <si>
    <t>银行询证函及快递费</t>
  </si>
  <si>
    <t>数字认证服务费</t>
  </si>
  <si>
    <t>供应链管理部</t>
  </si>
  <si>
    <t>运费</t>
  </si>
  <si>
    <t>差旅</t>
  </si>
  <si>
    <t>市场部</t>
  </si>
  <si>
    <t>广告</t>
  </si>
  <si>
    <t>推广费</t>
  </si>
  <si>
    <t>研发部</t>
  </si>
  <si>
    <t>销售费</t>
  </si>
  <si>
    <t>财经部</t>
  </si>
  <si>
    <t>差旅费预算</t>
  </si>
  <si>
    <t>招待费用</t>
  </si>
  <si>
    <t>培训费</t>
  </si>
  <si>
    <t>行政部领用酒水</t>
  </si>
  <si>
    <t>会议费</t>
  </si>
  <si>
    <t>通讯补贴</t>
  </si>
  <si>
    <t>检测费</t>
  </si>
  <si>
    <t>笔记本电脑</t>
  </si>
  <si>
    <t>市内交通费用及加班交通费补助</t>
  </si>
  <si>
    <t>邮寄费</t>
  </si>
  <si>
    <t>h1378=IF(ROW(A1)&gt;8,"",INDEX(C:C,RIGHT(LARGE(IF($B$1376:$B$1407=$I$1375,INT($D$1376:$D$1407),)*100000+ROW($1376:$1407),ROW(A1)),4)))</t>
    <phoneticPr fontId="95" type="noConversion"/>
  </si>
  <si>
    <t>ROW(A1)&gt;8表示只取最大的八位</t>
    <phoneticPr fontId="95" type="noConversion"/>
  </si>
  <si>
    <t>*100000+ROW($1376:$1407) 表示要确定位置进行排序</t>
    <phoneticPr fontId="95" type="noConversion"/>
  </si>
  <si>
    <t>因为要排序嘛，排序之后它就不在原来的位置了，所以要给他一个标签，知道它原来的位置在哪里，就把这一列数值同时扩大10000倍，这并不会影响他的排名，再加上行号，再排序，排序完了，用求余函数MOD，或者right取最后两位，就是它原来的位置</t>
    <phoneticPr fontId="95" type="noConversion"/>
  </si>
  <si>
    <t>在一份涉及多个部门的费用数据里，我想要从底稿里直接返回某个部门符合条件的从大到小排序的费用金额对应的费用项目名称及金额，这个公式应该怎么设置嵌套？</t>
  </si>
  <si>
    <t>INT($D$1376:$D$1407) 取整</t>
    <phoneticPr fontId="95" type="noConversion"/>
  </si>
  <si>
    <t>/=ROUNDUP()</t>
    <phoneticPr fontId="95" type="noConversion"/>
  </si>
  <si>
    <t>/roundup(number,num_digits)</t>
    <phoneticPr fontId="95" type="noConversion"/>
  </si>
  <si>
    <t>number</t>
    <phoneticPr fontId="95" type="noConversion"/>
  </si>
  <si>
    <t>必需。</t>
    <phoneticPr fontId="95" type="noConversion"/>
  </si>
  <si>
    <t>需要取处理的数字。</t>
    <phoneticPr fontId="95" type="noConversion"/>
  </si>
  <si>
    <t>保留的小数位数。默认为0。</t>
    <phoneticPr fontId="95" type="noConversion"/>
  </si>
  <si>
    <t>向上舍入数字。向绝对值大的方向舍入。</t>
    <phoneticPr fontId="95" type="noConversion"/>
  </si>
  <si>
    <t>四舍五入</t>
    <phoneticPr fontId="95" type="noConversion"/>
  </si>
  <si>
    <t>四舍五入（向绝对值大的方向舍入）</t>
    <phoneticPr fontId="95" type="noConversion"/>
  </si>
  <si>
    <t>将数值向下取，最接近的整数</t>
    <phoneticPr fontId="95" type="noConversion"/>
  </si>
  <si>
    <t>/=ROUND()</t>
    <phoneticPr fontId="95" type="noConversion"/>
  </si>
  <si>
    <t>/=INT()</t>
    <phoneticPr fontId="95" type="noConversion"/>
  </si>
  <si>
    <t>/=ABS()</t>
    <phoneticPr fontId="95" type="noConversion"/>
  </si>
  <si>
    <t>/=IF()</t>
    <phoneticPr fontId="95" type="noConversion"/>
  </si>
  <si>
    <t>/=SUMIF()</t>
    <phoneticPr fontId="95" type="noConversion"/>
  </si>
  <si>
    <t>/=COUNTIF()</t>
    <phoneticPr fontId="95" type="noConversion"/>
  </si>
  <si>
    <t>/=VLOOKUP()</t>
    <phoneticPr fontId="95" type="noConversion"/>
  </si>
  <si>
    <t>/=MATCH()</t>
    <phoneticPr fontId="95" type="noConversion"/>
  </si>
  <si>
    <t>/=INDEX()</t>
    <phoneticPr fontId="95" type="noConversion"/>
  </si>
  <si>
    <t>/=LEN()</t>
    <phoneticPr fontId="95" type="noConversion"/>
  </si>
  <si>
    <t>/=ABS(number)</t>
    <phoneticPr fontId="95" type="noConversion"/>
  </si>
  <si>
    <t>/=INT(number)</t>
    <phoneticPr fontId="95" type="noConversion"/>
  </si>
  <si>
    <t>/=ROUNDUP(number,num_digits)</t>
    <phoneticPr fontId="95" type="noConversion"/>
  </si>
  <si>
    <t>/=IF(logical_test,[value_if_ture],[value_if_false])</t>
    <phoneticPr fontId="95" type="noConversion"/>
  </si>
  <si>
    <t>/=SUMIF(range,criteria,[sum_range])</t>
    <phoneticPr fontId="95" type="noConversion"/>
  </si>
  <si>
    <t>/=COUNTIF(range,criteria)</t>
    <phoneticPr fontId="95" type="noConversion"/>
  </si>
  <si>
    <t>/=VLOOKUP(lookup_value,table_array,col_index_num,[range_lookup])</t>
    <phoneticPr fontId="95" type="noConversion"/>
  </si>
  <si>
    <t>/=MATCH(lookup_value,lookup_array,[match_type])</t>
    <phoneticPr fontId="95" type="noConversion"/>
  </si>
  <si>
    <t>/=INDEX(array,row_num,[column_num])</t>
    <phoneticPr fontId="95" type="noConversion"/>
  </si>
  <si>
    <t>第二十一题：查找不同，将不同的特殊显示。</t>
    <phoneticPr fontId="95" type="noConversion"/>
  </si>
  <si>
    <t>金额</t>
    <phoneticPr fontId="95" type="noConversion"/>
  </si>
  <si>
    <t>显示前八大费用金额</t>
    <phoneticPr fontId="95" type="noConversion"/>
  </si>
  <si>
    <t>财经部</t>
    <phoneticPr fontId="95" type="noConversion"/>
  </si>
  <si>
    <t>人力部</t>
    <phoneticPr fontId="95" type="noConversion"/>
  </si>
  <si>
    <t>求和项:非取数项</t>
  </si>
  <si>
    <t>客户编码</t>
  </si>
  <si>
    <t>单据号</t>
  </si>
  <si>
    <t>布编</t>
  </si>
  <si>
    <t>实收数量</t>
  </si>
  <si>
    <t>实收金额</t>
  </si>
  <si>
    <t>总额</t>
    <phoneticPr fontId="106" type="noConversion"/>
  </si>
  <si>
    <t>JY-000010</t>
  </si>
  <si>
    <t>CJ220602-073</t>
  </si>
  <si>
    <t>8002-1</t>
  </si>
  <si>
    <t>8008-1-170</t>
  </si>
  <si>
    <t>8006-2</t>
  </si>
  <si>
    <t>CJ220618-062</t>
  </si>
  <si>
    <t>8002-1-175</t>
  </si>
  <si>
    <t>JY-000108</t>
  </si>
  <si>
    <t>CJ220601-056</t>
  </si>
  <si>
    <t>8006-5</t>
  </si>
  <si>
    <t>CJ220604-058</t>
  </si>
  <si>
    <t>CJ220627-065</t>
  </si>
  <si>
    <t>JY8001-2</t>
  </si>
  <si>
    <t>CJ220604-065</t>
  </si>
  <si>
    <t>JY22915-1E</t>
  </si>
  <si>
    <t>CJ220610-076</t>
  </si>
  <si>
    <t>X22608-3E</t>
  </si>
  <si>
    <t>CJ220619-048</t>
  </si>
  <si>
    <t>8002-5</t>
  </si>
  <si>
    <t>CJ220615-079</t>
  </si>
  <si>
    <t>JY-000015</t>
  </si>
  <si>
    <t>CK220922-001</t>
  </si>
  <si>
    <t>JY8502-1</t>
  </si>
  <si>
    <t>CK220907-023</t>
  </si>
  <si>
    <t>JY-000954</t>
  </si>
  <si>
    <t>收布款</t>
  </si>
  <si>
    <t>退货</t>
  </si>
  <si>
    <t>请问根据不同的客户编号对 H 列实收金额在 I 列进行累加</t>
    <phoneticPr fontId="95" type="noConversion"/>
  </si>
  <si>
    <t>原数据</t>
  </si>
  <si>
    <t>盘点月份</t>
  </si>
  <si>
    <t>店号</t>
  </si>
  <si>
    <t>盘点人</t>
  </si>
  <si>
    <t>开始日期</t>
  </si>
  <si>
    <t>截止日期</t>
  </si>
  <si>
    <t>调整日期</t>
  </si>
  <si>
    <t>ss</t>
  </si>
  <si>
    <t>2019/04</t>
  </si>
  <si>
    <t>2018/9/4</t>
  </si>
  <si>
    <t>2019/4/15</t>
  </si>
  <si>
    <t>2019/12</t>
  </si>
  <si>
    <t>2019/4/16</t>
  </si>
  <si>
    <t>2019/12/3</t>
  </si>
  <si>
    <t>2020/06</t>
  </si>
  <si>
    <t>2019/12/4</t>
  </si>
  <si>
    <t>2020/5/28</t>
  </si>
  <si>
    <t>2022/5/20</t>
  </si>
  <si>
    <t>2020/12</t>
  </si>
  <si>
    <t>2020/12/2</t>
  </si>
  <si>
    <t>2022/1/20</t>
  </si>
  <si>
    <t>2021/06</t>
  </si>
  <si>
    <t>2020/12/3</t>
  </si>
  <si>
    <t>2021/6/7</t>
  </si>
  <si>
    <t>2021/11</t>
  </si>
  <si>
    <t>2021/6/8</t>
  </si>
  <si>
    <t>2021/10/28</t>
  </si>
  <si>
    <t>2022/06</t>
  </si>
  <si>
    <t>2021/10/29</t>
  </si>
  <si>
    <t>2022/6/20</t>
  </si>
  <si>
    <t>2019/9/11</t>
  </si>
  <si>
    <t>2020/6/1</t>
  </si>
  <si>
    <t>2020/11</t>
  </si>
  <si>
    <t>2020/6/2</t>
  </si>
  <si>
    <t>2020/11/4</t>
  </si>
  <si>
    <t>2021/05</t>
  </si>
  <si>
    <t>2020/11/5</t>
  </si>
  <si>
    <t>2021/5/17</t>
  </si>
  <si>
    <t>2021/09</t>
  </si>
  <si>
    <t>2021/5/18</t>
  </si>
  <si>
    <t>2021/9/1</t>
  </si>
  <si>
    <t>2022/02</t>
  </si>
  <si>
    <t>2021/9/2</t>
  </si>
  <si>
    <t>2022/2/10</t>
  </si>
  <si>
    <t>2022/07</t>
  </si>
  <si>
    <t>2022/2/11</t>
  </si>
  <si>
    <t>2022/7/11</t>
  </si>
  <si>
    <t>o1448=IFERROR(LOOKUP(1,0/($D$1448:$D$1462=J1448)/($E$1448:$E$1462=K1448)/(L1448&gt;=VALUE($F$1448:$F$1462))/(L1448&lt;=VALUE($G$1448:$G$1462)),$C$1448:$C$1462),"")</t>
    <phoneticPr fontId="95" type="noConversion"/>
  </si>
  <si>
    <t>条件日期</t>
  </si>
  <si>
    <t>往前最近日期</t>
  </si>
  <si>
    <t>如何设计公式，求往前最近的对应日期？</t>
  </si>
  <si>
    <t>错误，只能在升序序列使用</t>
    <phoneticPr fontId="95" type="noConversion"/>
  </si>
  <si>
    <t>正确</t>
    <phoneticPr fontId="95" type="noConversion"/>
  </si>
  <si>
    <t>i1468=LOOKUP(,0/FREQUENCY(-9^9,-IF($B$1468:$B$1484&lt;D1468,$B$1468:$B$1484)),$B$1468:$B$1484)</t>
    <phoneticPr fontId="95" type="noConversion"/>
  </si>
  <si>
    <t>j1468=MODE(D1468-ROW($1:30),$B$1468:$B$1484)</t>
    <phoneticPr fontId="95" type="noConversion"/>
  </si>
  <si>
    <t>/=IFS()</t>
    <phoneticPr fontId="95" type="noConversion"/>
  </si>
  <si>
    <t>/=IFS(logical_test1, value_if_true1, [logical_test2, value_if_true2],…)</t>
  </si>
  <si>
    <t>/=IFS(logical_test1, value_if_true1, [logical_test2, value_if_true2],…)</t>
    <phoneticPr fontId="95" type="noConversion"/>
  </si>
  <si>
    <t>是否满足一个或多个条件，符合则返回TRUE对应值。</t>
    <phoneticPr fontId="95" type="noConversion"/>
  </si>
  <si>
    <t>IFS 函数检查是否满足一个或多个条件，且返回符合第一个 TRUE 条件的值。</t>
  </si>
  <si>
    <t>logical_test1</t>
  </si>
  <si>
    <t>value_if_true1</t>
    <phoneticPr fontId="95" type="noConversion"/>
  </si>
  <si>
    <t>logical_test2…logical_test127</t>
    <phoneticPr fontId="95" type="noConversion"/>
  </si>
  <si>
    <t>value_if_true2…value_if_true127</t>
    <phoneticPr fontId="95" type="noConversion"/>
  </si>
  <si>
    <t>计算结果为 TRUE 或 FALSE 的条件。</t>
    <phoneticPr fontId="95" type="noConversion"/>
  </si>
  <si>
    <t>当 logical_test1 的计算结果为 TRUE 时要返回结果。 可以为空。</t>
    <phoneticPr fontId="95" type="noConversion"/>
  </si>
  <si>
    <t>当 logical_testN 的计算结果为 TRUE 时要返回结果。 每个 value_if_trueN 对应于一个条件 logical_testN。 可以为空。</t>
    <phoneticPr fontId="95" type="noConversion"/>
  </si>
  <si>
    <t>可选</t>
    <phoneticPr fontId="95" type="noConversion"/>
  </si>
  <si>
    <t>总分</t>
  </si>
  <si>
    <t>均分</t>
  </si>
  <si>
    <t>张好1</t>
  </si>
  <si>
    <t>张好2</t>
  </si>
  <si>
    <t>张好3</t>
  </si>
  <si>
    <t>张好4</t>
  </si>
  <si>
    <t>张好5</t>
  </si>
  <si>
    <t>g1491=IFERROR(CHOOSE(MATCH(E1491,LARGE(FILTER($E$1491:$E$1495,$E$1491:$E$1495&gt;=70),ROW($A$1:$A$3)),0),200,150,100),"不奖")</t>
    <phoneticPr fontId="95" type="noConversion"/>
  </si>
  <si>
    <t>h1491=IF(E1491&gt;=70,IF(E1491=LARGE(IF($E$1491:$E$1495&gt;=70,$E$1491:$E$1495,0),1),200,IF(E1491=SMALL(IF($E$1491:$E$1495&gt;=70,$E$1491:$E$1495,1000),1),100,150)),"")</t>
    <phoneticPr fontId="95" type="noConversion"/>
  </si>
  <si>
    <t>在F2写公式，平均分达70分以上含70分的奖，没达到70分的不奖，第一名奖200元，最后一名为三等奖100元，其余为二等奖150元。</t>
    <phoneticPr fontId="95" type="noConversion"/>
  </si>
  <si>
    <r>
      <t>n1448=IFERROR(LOOKUP(1,0/($D$1448:$D$1462=J1448)</t>
    </r>
    <r>
      <rPr>
        <b/>
        <sz val="11"/>
        <color rgb="FFFF0000"/>
        <rFont val="等线"/>
        <family val="3"/>
        <charset val="134"/>
      </rPr>
      <t>/</t>
    </r>
    <r>
      <rPr>
        <sz val="11"/>
        <color theme="1"/>
        <rFont val="等线"/>
        <family val="3"/>
        <charset val="134"/>
      </rPr>
      <t>($E$1448:$E$1462=K1448)</t>
    </r>
    <r>
      <rPr>
        <b/>
        <sz val="11"/>
        <color rgb="FFFF0000"/>
        <rFont val="等线"/>
        <family val="3"/>
        <charset val="134"/>
      </rPr>
      <t>/</t>
    </r>
    <r>
      <rPr>
        <sz val="11"/>
        <color theme="1"/>
        <rFont val="等线"/>
        <family val="3"/>
        <charset val="134"/>
      </rPr>
      <t>(L1448&gt;=$F$1448:$F$1462*1)</t>
    </r>
    <r>
      <rPr>
        <b/>
        <sz val="11"/>
        <color rgb="FFFF0000"/>
        <rFont val="等线"/>
        <family val="3"/>
        <charset val="134"/>
      </rPr>
      <t>/</t>
    </r>
    <r>
      <rPr>
        <sz val="11"/>
        <color theme="1"/>
        <rFont val="等线"/>
        <family val="3"/>
        <charset val="134"/>
      </rPr>
      <t>(L1448&lt;=$G$1448:$G$1462*1),$C$1448:$C$1462),"")</t>
    </r>
    <phoneticPr fontId="95" type="noConversion"/>
  </si>
  <si>
    <r>
      <t>m1448=IFERROR(LOOKUP(1,0/</t>
    </r>
    <r>
      <rPr>
        <b/>
        <sz val="11"/>
        <color rgb="FFFF0000"/>
        <rFont val="等线"/>
        <family val="3"/>
        <charset val="134"/>
      </rPr>
      <t>(</t>
    </r>
    <r>
      <rPr>
        <sz val="11"/>
        <color theme="1"/>
        <rFont val="等线"/>
        <family val="3"/>
        <charset val="134"/>
      </rPr>
      <t>($D$1448:$D$1462=J1448)</t>
    </r>
    <r>
      <rPr>
        <b/>
        <sz val="11"/>
        <color rgb="FFFF0000"/>
        <rFont val="等线"/>
        <family val="3"/>
        <charset val="134"/>
      </rPr>
      <t>*</t>
    </r>
    <r>
      <rPr>
        <sz val="11"/>
        <color theme="1"/>
        <rFont val="等线"/>
        <family val="3"/>
        <charset val="134"/>
      </rPr>
      <t>($E$1448:$E$1462=K1448)</t>
    </r>
    <r>
      <rPr>
        <b/>
        <sz val="11"/>
        <color rgb="FFFF0000"/>
        <rFont val="等线"/>
        <family val="3"/>
        <charset val="134"/>
      </rPr>
      <t>*</t>
    </r>
    <r>
      <rPr>
        <sz val="11"/>
        <color theme="1"/>
        <rFont val="等线"/>
        <family val="3"/>
        <charset val="134"/>
      </rPr>
      <t>(L1448&gt;=$F$1448:$F$1462*1)</t>
    </r>
    <r>
      <rPr>
        <b/>
        <sz val="11"/>
        <color rgb="FFFF0000"/>
        <rFont val="等线"/>
        <family val="3"/>
        <charset val="134"/>
      </rPr>
      <t>*</t>
    </r>
    <r>
      <rPr>
        <sz val="11"/>
        <color theme="1"/>
        <rFont val="等线"/>
        <family val="3"/>
        <charset val="134"/>
      </rPr>
      <t>(L1448&lt;=$G$1448:$G$1462*1)</t>
    </r>
    <r>
      <rPr>
        <b/>
        <sz val="11"/>
        <color rgb="FFFF0000"/>
        <rFont val="等线"/>
        <family val="3"/>
        <charset val="134"/>
      </rPr>
      <t>)</t>
    </r>
    <r>
      <rPr>
        <sz val="11"/>
        <color theme="1"/>
        <rFont val="等线"/>
        <family val="3"/>
        <charset val="134"/>
      </rPr>
      <t>,$C$1448:$C$1462),"")</t>
    </r>
    <phoneticPr fontId="95" type="noConversion"/>
  </si>
  <si>
    <r>
      <t xml:space="preserve">注意：1. </t>
    </r>
    <r>
      <rPr>
        <b/>
        <sz val="11"/>
        <color rgb="FFFF0000"/>
        <rFont val="等线"/>
        <family val="3"/>
        <charset val="134"/>
      </rPr>
      <t>0/</t>
    </r>
    <r>
      <rPr>
        <sz val="11"/>
        <color theme="1"/>
        <rFont val="等线"/>
        <family val="3"/>
        <charset val="134"/>
      </rPr>
      <t xml:space="preserve"> 后面的因该是一个整体，表示都要满足，用 </t>
    </r>
    <r>
      <rPr>
        <b/>
        <sz val="11"/>
        <color rgb="FFFF0000"/>
        <rFont val="等线"/>
        <family val="3"/>
        <charset val="134"/>
      </rPr>
      <t>*</t>
    </r>
    <r>
      <rPr>
        <sz val="11"/>
        <color theme="1"/>
        <rFont val="等线"/>
        <family val="3"/>
        <charset val="134"/>
      </rPr>
      <t xml:space="preserve"> 相连的话，需要将所有的条件括起来，用 </t>
    </r>
    <r>
      <rPr>
        <b/>
        <sz val="11"/>
        <color rgb="FFFF0000"/>
        <rFont val="等线"/>
        <family val="3"/>
        <charset val="134"/>
      </rPr>
      <t>/</t>
    </r>
    <r>
      <rPr>
        <sz val="11"/>
        <color theme="1"/>
        <rFont val="等线"/>
        <family val="3"/>
        <charset val="134"/>
      </rPr>
      <t xml:space="preserve"> 相连的话可以直接就除，不用括起来。</t>
    </r>
    <phoneticPr fontId="95" type="noConversion"/>
  </si>
  <si>
    <r>
      <t xml:space="preserve">2. 将日期比较大小时，应当将日期转换成数值，可以在后面 </t>
    </r>
    <r>
      <rPr>
        <b/>
        <sz val="11"/>
        <color rgb="FFFF0000"/>
        <rFont val="等线"/>
        <family val="3"/>
        <charset val="134"/>
      </rPr>
      <t>*1</t>
    </r>
    <r>
      <rPr>
        <sz val="11"/>
        <color theme="1"/>
        <rFont val="等线"/>
        <family val="3"/>
        <charset val="134"/>
      </rPr>
      <t xml:space="preserve"> 或用</t>
    </r>
    <r>
      <rPr>
        <b/>
        <sz val="11"/>
        <color rgb="FFFF0000"/>
        <rFont val="等线"/>
        <family val="3"/>
        <charset val="134"/>
      </rPr>
      <t>value（）</t>
    </r>
    <r>
      <rPr>
        <sz val="11"/>
        <color theme="1"/>
        <rFont val="等线"/>
        <family val="3"/>
        <charset val="134"/>
      </rPr>
      <t>来将其他的格式转换为数值格式。</t>
    </r>
    <phoneticPr fontId="95" type="noConversion"/>
  </si>
  <si>
    <t>g317=IF(ROW(B1)&lt;=COUNTIF($A$316:$A$347,$F$315),INDEX(C:C,RIGHT(LARGE(IF($A$316:$A$347=$F$315,INT($C$316:$C$347),)*1000+ROW($316:$347),ROW(B1)),3)),"")</t>
    <phoneticPr fontId="95" type="noConversion"/>
  </si>
  <si>
    <t>100*14*19.2</t>
    <phoneticPr fontId="95" type="noConversion"/>
  </si>
  <si>
    <t>长</t>
    <phoneticPr fontId="95" type="noConversion"/>
  </si>
  <si>
    <t>宽</t>
    <phoneticPr fontId="95" type="noConversion"/>
  </si>
  <si>
    <t>高</t>
    <phoneticPr fontId="95" type="noConversion"/>
  </si>
  <si>
    <t>问题说明：</t>
    <phoneticPr fontId="95" type="noConversion"/>
  </si>
  <si>
    <t xml:space="preserve">以下表格示例，是个年度支出表，做了最简单的月平均值；
但想通过函数公式实现实时查某段月份的平均值，
比如在铺表填1-3月，只体现1-3月支出费项的平均值，选填6-9月，即使有整年的数据，也只体现6-9月之间的平均值 </t>
    <phoneticPr fontId="95" type="noConversion"/>
  </si>
  <si>
    <t>年汇总</t>
    <phoneticPr fontId="95" type="noConversion"/>
  </si>
  <si>
    <t>月平均</t>
    <phoneticPr fontId="95" type="noConversion"/>
  </si>
  <si>
    <t>1月</t>
    <phoneticPr fontId="95" type="noConversion"/>
  </si>
  <si>
    <t>餐饮</t>
    <phoneticPr fontId="95" type="noConversion"/>
  </si>
  <si>
    <t>交通</t>
    <phoneticPr fontId="95" type="noConversion"/>
  </si>
  <si>
    <t>总支出</t>
    <phoneticPr fontId="95" type="noConversion"/>
  </si>
  <si>
    <t>假如：</t>
    <phoneticPr fontId="95" type="noConversion"/>
  </si>
  <si>
    <t xml:space="preserve">手动输月份范围值 </t>
    <phoneticPr fontId="95" type="noConversion"/>
  </si>
  <si>
    <t>起始月</t>
    <phoneticPr fontId="95" type="noConversion"/>
  </si>
  <si>
    <t>截止月</t>
    <phoneticPr fontId="95" type="noConversion"/>
  </si>
  <si>
    <t>呈现范围月份的平均值</t>
    <phoneticPr fontId="95" type="noConversion"/>
  </si>
  <si>
    <t>黄色两例是不固定数值，要按需调改月份的</t>
    <phoneticPr fontId="95" type="noConversion"/>
  </si>
  <si>
    <t>绿框这里如何实现呢？应该用什么组合的公式套算</t>
    <phoneticPr fontId="95" type="noConversion"/>
  </si>
  <si>
    <t>求大神解惑。</t>
    <phoneticPr fontId="95" type="noConversion"/>
  </si>
  <si>
    <t>f1526=AVERAGE(OFFSET($D$1519,MATCH(C1526,$B$1519:$B$1521,0)-1,D1526,,E1526-D1526+1))</t>
    <phoneticPr fontId="95" type="noConversion"/>
  </si>
  <si>
    <t>将非数值转化为数值</t>
    <phoneticPr fontId="95" type="noConversion"/>
  </si>
  <si>
    <t>主要用与日期转化为序列，true转化为1，false转化为0</t>
    <phoneticPr fontId="95" type="noConversion"/>
  </si>
  <si>
    <t>阿森纳</t>
  </si>
  <si>
    <t>4-3</t>
  </si>
  <si>
    <t>莱切城</t>
  </si>
  <si>
    <t>沃特福德</t>
  </si>
  <si>
    <t>3-3</t>
  </si>
  <si>
    <t>利物浦</t>
  </si>
  <si>
    <t>切尔西</t>
  </si>
  <si>
    <t>2-3</t>
  </si>
  <si>
    <t>伯恩利</t>
  </si>
  <si>
    <t>水晶宫</t>
  </si>
  <si>
    <t>0-3</t>
  </si>
  <si>
    <t>哈德斯</t>
  </si>
  <si>
    <t>胜</t>
    <phoneticPr fontId="95" type="noConversion"/>
  </si>
  <si>
    <t>平</t>
    <phoneticPr fontId="95" type="noConversion"/>
  </si>
  <si>
    <t>负</t>
    <phoneticPr fontId="95" type="noConversion"/>
  </si>
  <si>
    <t>进球</t>
    <phoneticPr fontId="95" type="noConversion"/>
  </si>
  <si>
    <t>失球</t>
    <phoneticPr fontId="95" type="noConversion"/>
  </si>
  <si>
    <t>积分</t>
    <phoneticPr fontId="95" type="noConversion"/>
  </si>
  <si>
    <t>埃弗顿</t>
  </si>
  <si>
    <t>1-0</t>
  </si>
  <si>
    <t>斯托克城</t>
  </si>
  <si>
    <t>曼城</t>
  </si>
  <si>
    <t>南安普敦</t>
  </si>
  <si>
    <t>0-0</t>
  </si>
  <si>
    <t>斯旺西</t>
  </si>
  <si>
    <t>曼联</t>
  </si>
  <si>
    <t>西布朗</t>
  </si>
  <si>
    <t>伯恩茅斯</t>
  </si>
  <si>
    <t>热刺</t>
  </si>
  <si>
    <t>布莱顿</t>
  </si>
  <si>
    <t>0-2</t>
  </si>
  <si>
    <t>纽卡斯尔</t>
  </si>
  <si>
    <t>4-0</t>
  </si>
  <si>
    <t>西汉姆</t>
  </si>
  <si>
    <t>0-4</t>
  </si>
  <si>
    <t>0-1</t>
  </si>
  <si>
    <t>2-0</t>
  </si>
  <si>
    <t>3-2</t>
  </si>
  <si>
    <t>1-2</t>
  </si>
  <si>
    <t>3-0</t>
  </si>
  <si>
    <t>j1539=SUM(N(IF(MMULT(N($C$1535:$E$1564=$I1539),{1;1;1}),SIGN(IMREAL(IMDIV($D$1535:$D$1564&amp;"i","1+i"))*MMULT(N($C$1535:$E$1564=$I1539),{1;0;-1})))=(2-COLUMN(A1))))</t>
    <phoneticPr fontId="95" type="noConversion"/>
  </si>
  <si>
    <t>m1539=SUM(--TEXT(IMREAL(IMDIV($D$1535:$D$1564&amp;"i","1+i"))*COUNTIF($I1539,$C$1535:$E$1564)*{2,0,-2},IF(M$1538=$M$1538,"0;!0;0","!0;0;0")))</t>
    <phoneticPr fontId="95" type="noConversion"/>
  </si>
  <si>
    <t>01539=SUM(J1539:K1539*{3,1})</t>
    <phoneticPr fontId="95" type="noConversion"/>
  </si>
  <si>
    <t>根据CDE用公式列求下面表格内的数值（胜拿3分 平拿1分 负拿0分）</t>
    <phoneticPr fontId="95" type="noConversion"/>
  </si>
  <si>
    <t>单位</t>
    <phoneticPr fontId="100" type="noConversion"/>
  </si>
  <si>
    <t>姓名</t>
    <phoneticPr fontId="100" type="noConversion"/>
  </si>
  <si>
    <t>成绩1</t>
  </si>
  <si>
    <t>成绩2</t>
  </si>
  <si>
    <t>成绩3</t>
  </si>
  <si>
    <t>单位1</t>
  </si>
  <si>
    <t>张三</t>
    <phoneticPr fontId="100" type="noConversion"/>
  </si>
  <si>
    <t>李四</t>
    <phoneticPr fontId="100" type="noConversion"/>
  </si>
  <si>
    <t>单位2</t>
  </si>
  <si>
    <t>王五</t>
    <phoneticPr fontId="100" type="noConversion"/>
  </si>
  <si>
    <t>赵六</t>
    <phoneticPr fontId="100" type="noConversion"/>
  </si>
  <si>
    <t>田七</t>
    <phoneticPr fontId="100" type="noConversion"/>
  </si>
  <si>
    <t xml:space="preserve">求两个单位成绩是0的个数 </t>
    <phoneticPr fontId="100" type="noConversion"/>
  </si>
  <si>
    <t>单位1</t>
    <phoneticPr fontId="100" type="noConversion"/>
  </si>
  <si>
    <t>c1578=COUNT(0/($D$1571:$F$1575&amp;$B$1571:$B$1575=0&amp;B1578))</t>
    <phoneticPr fontId="95" type="noConversion"/>
  </si>
  <si>
    <t>1-10</t>
  </si>
  <si>
    <t>非常低－ 非常高</t>
  </si>
  <si>
    <t>没有可觉察到的影响</t>
  </si>
  <si>
    <t>非常高－非常低</t>
  </si>
  <si>
    <t>非常低</t>
  </si>
  <si>
    <t>非常高</t>
  </si>
  <si>
    <t>2-4</t>
  </si>
  <si>
    <t>高</t>
  </si>
  <si>
    <t>5-6</t>
  </si>
  <si>
    <t>中</t>
  </si>
  <si>
    <t>7-10</t>
  </si>
  <si>
    <t>低－非常低</t>
  </si>
  <si>
    <t>低</t>
  </si>
  <si>
    <t>4-5</t>
  </si>
  <si>
    <t>6-7</t>
  </si>
  <si>
    <t>8-10</t>
  </si>
  <si>
    <t>对产品或工厂的影响度低</t>
  </si>
  <si>
    <t>4-6</t>
  </si>
  <si>
    <t>对产品或工厂的影响度中等</t>
  </si>
  <si>
    <t>7-8</t>
  </si>
  <si>
    <t>对产品或工厂的影响度高</t>
  </si>
  <si>
    <t>措施优先级（AP）</t>
  </si>
  <si>
    <t>根据SOD 三个数值，查找数据源表单中符合满足3个条件的G列，将G列结果输出</t>
    <phoneticPr fontId="95" type="noConversion"/>
  </si>
  <si>
    <t>9-10</t>
  </si>
  <si>
    <t>对产品或工厂的影响度非常高</t>
  </si>
  <si>
    <t>措施优先级(AP)</t>
  </si>
  <si>
    <t>探测能力</t>
  </si>
  <si>
    <t>对失效起因发生的预测</t>
  </si>
  <si>
    <t>影响</t>
  </si>
  <si>
    <t>数据源表单</t>
    <phoneticPr fontId="95" type="noConversion"/>
  </si>
  <si>
    <t>厂家</t>
  </si>
  <si>
    <t>AAA</t>
  </si>
  <si>
    <t>高夫</t>
  </si>
  <si>
    <t>←变量</t>
  </si>
  <si>
    <t>要求：随着变量G3和G4的变化，利用函数公式得到满足这两个条件</t>
  </si>
  <si>
    <t>CCC</t>
  </si>
  <si>
    <t>肌研</t>
  </si>
  <si>
    <t xml:space="preserve">     不重复品牌在F7单元格开始往下自动显示。</t>
  </si>
  <si>
    <t>乐而雅</t>
  </si>
  <si>
    <t>品牌</t>
  </si>
  <si>
    <t>护舒宝</t>
  </si>
  <si>
    <t>BBB</t>
  </si>
  <si>
    <t>歌妮</t>
  </si>
  <si>
    <t>孩儿面</t>
  </si>
  <si>
    <t>飘柔</t>
  </si>
  <si>
    <t>伊欧诗</t>
  </si>
  <si>
    <t>欧莱雅</t>
  </si>
  <si>
    <t>强生婴儿</t>
  </si>
  <si>
    <t>不二家</t>
  </si>
  <si>
    <t>美宝莲</t>
  </si>
  <si>
    <t>炫迈</t>
  </si>
  <si>
    <t>梅太郎</t>
  </si>
  <si>
    <t xml:space="preserve"> </t>
    <phoneticPr fontId="95" type="noConversion"/>
  </si>
  <si>
    <t>力士</t>
  </si>
  <si>
    <t>施华蔻</t>
  </si>
  <si>
    <t>姬芮</t>
  </si>
  <si>
    <t>绿箭</t>
  </si>
  <si>
    <t>阿迪达斯</t>
  </si>
  <si>
    <t>g1591=LOOKUP(,0/FREQUENCY(1,(MONTH($C$1586:$C$1634)=$H$1587)*($B$1586:$B$1634=$H$1588)*(COUNTIF($G$1590:G1590,$D$1586:$D$1634)=0)),$D$1586:$D$1634)&amp;""</t>
    <phoneticPr fontId="95" type="noConversion"/>
  </si>
  <si>
    <t>h1591=SUMIFS($E$1586:$E$1634,$B$1586:$B$1634,$H$1588,$F$1586:$F$1634,$H$1587,$D$1586:$D$1634,G1591)</t>
    <phoneticPr fontId="95" type="noConversion"/>
  </si>
  <si>
    <t xml:space="preserve">/=FREQUENCY(data_array, bins_array) </t>
  </si>
  <si>
    <t xml:space="preserve">/=FREQUENCY(data_array, bins_array) </t>
    <phoneticPr fontId="95" type="noConversion"/>
  </si>
  <si>
    <t>data_array    必需。 要对其频率进行计数的一组数值或对这组数值的引用。 如果 data_array 中不包含任何数值，则 FREQUENCY 返回一个零数组。</t>
  </si>
  <si>
    <t>bins_array    必需。 要将 data_array 中的值插入到的间隔数组或对间隔的引用。 如果 bins_array 中不包含任何数值，则 FREQUENCY 返回 data_array 中的元素个数。</t>
  </si>
  <si>
    <t>FREQUENCY 函数计算值在值范围内出现的频率，然后返回垂直数字数组。 例如，使用函数 FREQUENCY 可以在分数区域内计算测验分数的个数。 由于 FREQUENCY 返回一个数组，所以它必须以数组公式的形式输入。</t>
    <phoneticPr fontId="95" type="noConversion"/>
  </si>
  <si>
    <t xml:space="preserve">/=FREQUENCY() </t>
  </si>
  <si>
    <t xml:space="preserve">/=FREQUENCY() </t>
    <phoneticPr fontId="95" type="noConversion"/>
  </si>
  <si>
    <t>data_array</t>
    <phoneticPr fontId="95" type="noConversion"/>
  </si>
  <si>
    <t>要对其频率进行计数的一组数值或对这组数值的引用。如果data_array中不包含任何数值，则FREQUENCY返回一个零数组。</t>
  </si>
  <si>
    <t>bins_array </t>
    <phoneticPr fontId="95" type="noConversion"/>
  </si>
  <si>
    <t>要将data_array中的值插入到的间隔数组或对间隔的引用。如果bins_array中不包含任何数值，则FREQUENCY返回data_array中的元素个数。</t>
  </si>
  <si>
    <t>计算值在值范围内出现频率，然后返回垂直数字数组。</t>
    <phoneticPr fontId="95" type="noConversion"/>
  </si>
  <si>
    <t>例_FREQUENCY</t>
    <phoneticPr fontId="95" type="noConversion"/>
  </si>
  <si>
    <t>/=SEARCH()</t>
    <phoneticPr fontId="95" type="noConversion"/>
  </si>
  <si>
    <t>/=FIND()</t>
    <phoneticPr fontId="95" type="noConversion"/>
  </si>
  <si>
    <t>去区分英文大小写</t>
    <phoneticPr fontId="95" type="noConversion"/>
  </si>
  <si>
    <t>区分英文大小写</t>
    <phoneticPr fontId="95" type="noConversion"/>
  </si>
  <si>
    <t>D1216=(INT(B2)-INT(A2))*8-SUM(TEXT(MOD(A2:B2,1)-{9;12;13;18}/24,"[&lt;0]!0")*{-1,1}*{-1;1;-1;1})*24</t>
    <phoneticPr fontId="95" type="noConversion"/>
  </si>
  <si>
    <t>示例</t>
    <phoneticPr fontId="95" type="noConversion"/>
  </si>
  <si>
    <t>将这两个区域合起来一共得出以下4种形态 ,11  22  12  21，将这4种形态分别用  0    1    3    4来显示</t>
    <phoneticPr fontId="95" type="noConversion"/>
  </si>
  <si>
    <t>求G列  公式：B1643:D1643 的任意差的绝对值（B-C,C-D,B-D） 得出的这3个值如果有1就暂记为1，否则为 2 &amp; D1643:F1643 的任意差的绝对值(D-E,E-F,F-D), 得出的这3个值如果有1就暂记为1，否则为 2。</t>
    <phoneticPr fontId="100" type="noConversion"/>
  </si>
  <si>
    <t>k1643=LOOKUP((2-OR(ABS(IF({1,0},B1643-C1643:D1643,D1643-C1643))=1)&amp;2-OR(ABS(IF({1,0},D1643-E1643:F1643,E1643-F1643))=1))/1,{11,12,21,22},{0,3,4,1})</t>
    <phoneticPr fontId="95" type="noConversion"/>
  </si>
  <si>
    <t>l1643=VLOOKUP(VALUE(IF(OR(ABS(B1643-C1643)=1,ABS(C1643-D1643)=1,ABS(B1643-D1643)=1),1,2)&amp;IF(OR(ABS(D1643-E1643)=1,ABS(E1643-F1643)=1,ABS(D1643-F1643)=1),1,2)),$R$1643:$S$1646,2,0)</t>
    <phoneticPr fontId="95" type="noConversion"/>
  </si>
  <si>
    <t xml:space="preserve">XLOOKUP(lookup_value, lookup_array, return_array, [if_not_found], [match_mode], [search_mode]) </t>
    <phoneticPr fontId="95" type="noConversion"/>
  </si>
  <si>
    <t>/=XLOOKUP()</t>
    <phoneticPr fontId="95" type="noConversion"/>
  </si>
  <si>
    <t xml:space="preserve">lookup_value </t>
    <phoneticPr fontId="95" type="noConversion"/>
  </si>
  <si>
    <t>必需</t>
    <phoneticPr fontId="95" type="noConversion"/>
  </si>
  <si>
    <t>必需*</t>
    <phoneticPr fontId="95" type="noConversion"/>
  </si>
  <si>
    <t xml:space="preserve">值 *如果省略，XLOOKUP 将返回在lookup_array中找到 的空白单元格。   </t>
    <phoneticPr fontId="95" type="noConversion"/>
  </si>
  <si>
    <t>lookup_array</t>
    <phoneticPr fontId="95" type="noConversion"/>
  </si>
  <si>
    <t>要搜索的数组或区域</t>
    <phoneticPr fontId="95" type="noConversion"/>
  </si>
  <si>
    <t>return_array</t>
    <phoneticPr fontId="95" type="noConversion"/>
  </si>
  <si>
    <t>要返回的数组或区域</t>
    <phoneticPr fontId="95" type="noConversion"/>
  </si>
  <si>
    <t>如果找不到有效的匹配项，请返回你提供的 [if_not_found] 文本。</t>
    <phoneticPr fontId="95" type="noConversion"/>
  </si>
  <si>
    <t xml:space="preserve">[if_not_found] </t>
    <phoneticPr fontId="95" type="noConversion"/>
  </si>
  <si>
    <t xml:space="preserve">[match_mode] </t>
    <phoneticPr fontId="95" type="noConversion"/>
  </si>
  <si>
    <t>[search_mode]</t>
    <phoneticPr fontId="95" type="noConversion"/>
  </si>
  <si>
    <t>指定匹配类型</t>
    <phoneticPr fontId="95" type="noConversion"/>
  </si>
  <si>
    <t>指定要使用的搜索模式</t>
    <phoneticPr fontId="95" type="noConversion"/>
  </si>
  <si>
    <t xml:space="preserve">/=XLOOKUP(lookup_value, lookup_array, return_array, [if_not_found], [match_mode], [search_mode]) </t>
    <phoneticPr fontId="95" type="noConversion"/>
  </si>
  <si>
    <t>使用 XLOOKUP 函数按行查找表或区域中的东西。</t>
    <phoneticPr fontId="95" type="noConversion"/>
  </si>
  <si>
    <t>按行查找表或区域中的东西。</t>
    <phoneticPr fontId="95" type="noConversion"/>
  </si>
  <si>
    <t>/=COUNTIFS(criteria_range1,criteria1,[criteria_range2,criteria2],...)</t>
    <phoneticPr fontId="95" type="noConversion"/>
  </si>
  <si>
    <t>/=TEXTJOIN(delimiter,ignore_empty,text1,[text2,…])</t>
    <phoneticPr fontId="95" type="noConversion"/>
  </si>
  <si>
    <t>M9=INDEX(G:G,MIN(69,SUM(17*(J9&lt;{9;7;4;2}))+SUM(4*(K9&lt;{8;6;4;2}))+SUM(N(L9&lt;{7;5;2}))+3))</t>
    <phoneticPr fontId="95" type="noConversion"/>
  </si>
  <si>
    <t>B2=183400789234&amp;60700000+ROUNDUP(ROW(A2)/4,0)</t>
    <phoneticPr fontId="95" type="noConversion"/>
  </si>
  <si>
    <t>183400789234&amp;60700000</t>
  </si>
  <si>
    <t>excel超过15位数的数值，会变为科学计数法。这种情况一般用连字符串起来
比如B2=183400789234&amp;60700000+ROUNDUP(ROW(A2)/4,0)</t>
    <phoneticPr fontId="95" type="noConversion"/>
  </si>
  <si>
    <t>数据列</t>
    <phoneticPr fontId="125" type="noConversion"/>
  </si>
  <si>
    <t>中间为空格间开</t>
    <phoneticPr fontId="125" type="noConversion"/>
  </si>
  <si>
    <t>2411*402 2498*502 2500*441</t>
    <phoneticPr fontId="125" type="noConversion"/>
  </si>
  <si>
    <t>660*437 805*435</t>
    <phoneticPr fontId="125" type="noConversion"/>
  </si>
  <si>
    <t>325*797 685*447 2283*50 685*471 697*417</t>
    <phoneticPr fontId="125" type="noConversion"/>
  </si>
  <si>
    <t>711*298 997*283 2413*610 724*610 718*397 571*448</t>
    <phoneticPr fontId="125" type="noConversion"/>
  </si>
  <si>
    <t>637*378</t>
    <phoneticPr fontId="125" type="noConversion"/>
  </si>
  <si>
    <t>1277*597 635*397</t>
  </si>
  <si>
    <t>875*398 793*453</t>
  </si>
  <si>
    <t>919*397</t>
  </si>
  <si>
    <t>2310*50 130*579</t>
  </si>
  <si>
    <t>717*350</t>
  </si>
  <si>
    <t>2267*488</t>
  </si>
  <si>
    <t>654*98</t>
  </si>
  <si>
    <t>750*547</t>
  </si>
  <si>
    <t>325*517</t>
  </si>
  <si>
    <t>978*373 860*370</t>
  </si>
  <si>
    <t>2050*300</t>
  </si>
  <si>
    <t>558*452</t>
  </si>
  <si>
    <t>457*50</t>
  </si>
  <si>
    <t>2710*453</t>
  </si>
  <si>
    <t>2327*447 278*80</t>
  </si>
  <si>
    <t>810*580  670*418 670*327 670*277</t>
  </si>
  <si>
    <t>c1674=SUM(10^MMULT(IFERROR(LOG(--TEXT({1,-1}%,SUBSTITUTE(TRIM(MID(SUBSTITUTE(B1674," ",REPT(" ",99)),ROW($1:$9)*99-98,99)),"*",";"))),-666),{1;1}))</t>
    <phoneticPr fontId="95" type="noConversion"/>
  </si>
  <si>
    <t>e1674=数学计算_evaluate</t>
    <phoneticPr fontId="95" type="noConversion"/>
  </si>
  <si>
    <t>后面计算运用了定义公式的方法</t>
    <phoneticPr fontId="9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</si>
</sst>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176" formatCode="0.0"/>
    <numFmt numFmtId="177" formatCode="0_ "/>
    <numFmt numFmtId="178" formatCode="yyyy/m/d;;"/>
    <numFmt numFmtId="179" formatCode="0\-0,;;"/>
    <numFmt numFmtId="180" formatCode="0.000_ "/>
    <numFmt numFmtId="181" formatCode="_ * #,##0_ ;_ * \-#,##0_ ;_ * &quot;-&quot;??_ ;_ @_ "/>
    <numFmt numFmtId="182" formatCode="[=0]&quot;&quot;;General"/>
    <numFmt numFmtId="183" formatCode="@&quot;月&quot;"/>
    <numFmt numFmtId="184" formatCode="0;;"/>
    <numFmt numFmtId="185" formatCode="yyyy&quot;年&quot;m&quot;月&quot;d&quot;日&quot;;@"/>
    <numFmt numFmtId="186" formatCode="0.00_);[Red]\(0.00\)"/>
    <numFmt numFmtId="187" formatCode="[$-F800]dddd\,\ mmmm\ dd\,\ yyyy"/>
    <numFmt numFmtId="188" formatCode="[$-804]aaaa;@"/>
    <numFmt numFmtId="189" formatCode="yyyy\-mm\-dd\ aaaa"/>
    <numFmt numFmtId="190" formatCode="0.0_ "/>
    <numFmt numFmtId="191" formatCode="0.000%"/>
    <numFmt numFmtId="192" formatCode="yyyy&quot;年&quot;m&quot;月&quot;;@"/>
    <numFmt numFmtId="193" formatCode="0;\-0;;"/>
    <numFmt numFmtId="194" formatCode="0000"/>
    <numFmt numFmtId="195" formatCode="#,##0_ "/>
    <numFmt numFmtId="196" formatCode="yyyy/m/d;@"/>
    <numFmt numFmtId="197" formatCode="0&quot;月&quot;"/>
    <numFmt numFmtId="198" formatCode="0.00_ "/>
  </numFmts>
  <fonts count="127">
    <font>
      <sz val="11"/>
      <color theme="1"/>
      <name val="宋体"/>
      <charset val="134"/>
      <scheme val="minor"/>
    </font>
    <font>
      <sz val="11"/>
      <color theme="1"/>
      <name val="等线"/>
      <family val="3"/>
      <charset val="134"/>
    </font>
    <font>
      <b/>
      <sz val="20"/>
      <color theme="1"/>
      <name val="等线"/>
      <family val="3"/>
      <charset val="134"/>
    </font>
    <font>
      <b/>
      <sz val="11"/>
      <color theme="1"/>
      <name val="等线"/>
      <family val="3"/>
      <charset val="134"/>
    </font>
    <font>
      <b/>
      <sz val="11"/>
      <color theme="0"/>
      <name val="等线"/>
      <family val="3"/>
      <charset val="134"/>
    </font>
    <font>
      <sz val="10"/>
      <color theme="1"/>
      <name val="等线"/>
      <family val="3"/>
      <charset val="134"/>
    </font>
    <font>
      <b/>
      <sz val="10"/>
      <color theme="0"/>
      <name val="等线"/>
      <family val="3"/>
      <charset val="134"/>
    </font>
    <font>
      <sz val="11"/>
      <color rgb="FF444444"/>
      <name val="等线"/>
      <family val="3"/>
      <charset val="134"/>
    </font>
    <font>
      <b/>
      <sz val="10"/>
      <color theme="1"/>
      <name val="等线"/>
      <family val="3"/>
      <charset val="134"/>
    </font>
    <font>
      <b/>
      <sz val="10"/>
      <name val="等线"/>
      <family val="3"/>
      <charset val="134"/>
    </font>
    <font>
      <sz val="10"/>
      <name val="等线"/>
      <family val="3"/>
      <charset val="134"/>
    </font>
    <font>
      <b/>
      <sz val="16"/>
      <name val="等线"/>
      <family val="3"/>
      <charset val="134"/>
    </font>
    <font>
      <b/>
      <sz val="12"/>
      <name val="等线"/>
      <family val="3"/>
      <charset val="134"/>
    </font>
    <font>
      <b/>
      <sz val="11"/>
      <color rgb="FFFF0000"/>
      <name val="等线"/>
      <family val="3"/>
      <charset val="134"/>
    </font>
    <font>
      <sz val="12"/>
      <color theme="1"/>
      <name val="等线"/>
      <family val="3"/>
      <charset val="134"/>
    </font>
    <font>
      <sz val="12"/>
      <name val="等线"/>
      <family val="3"/>
      <charset val="134"/>
    </font>
    <font>
      <sz val="12"/>
      <color rgb="FFFF0000"/>
      <name val="等线"/>
      <family val="3"/>
      <charset val="134"/>
    </font>
    <font>
      <sz val="12"/>
      <color rgb="FF00B050"/>
      <name val="等线"/>
      <family val="3"/>
      <charset val="134"/>
    </font>
    <font>
      <sz val="11"/>
      <color rgb="FF00B050"/>
      <name val="等线"/>
      <family val="3"/>
      <charset val="134"/>
    </font>
    <font>
      <sz val="10.5"/>
      <color rgb="FF444444"/>
      <name val="等线"/>
      <family val="3"/>
      <charset val="134"/>
    </font>
    <font>
      <b/>
      <sz val="13"/>
      <name val="等线"/>
      <family val="3"/>
      <charset val="134"/>
    </font>
    <font>
      <b/>
      <sz val="11"/>
      <color indexed="8"/>
      <name val="等线"/>
      <family val="3"/>
      <charset val="134"/>
    </font>
    <font>
      <sz val="11"/>
      <color rgb="FFFF0000"/>
      <name val="等线"/>
      <family val="3"/>
      <charset val="134"/>
    </font>
    <font>
      <sz val="11"/>
      <name val="等线"/>
      <family val="3"/>
      <charset val="134"/>
    </font>
    <font>
      <b/>
      <sz val="9"/>
      <name val="等线"/>
      <family val="3"/>
      <charset val="134"/>
    </font>
    <font>
      <b/>
      <sz val="9"/>
      <color rgb="FFFF0000"/>
      <name val="等线"/>
      <family val="3"/>
      <charset val="134"/>
    </font>
    <font>
      <b/>
      <sz val="10"/>
      <color theme="3" tint="0.39994506668294322"/>
      <name val="等线"/>
      <family val="3"/>
      <charset val="134"/>
    </font>
    <font>
      <sz val="9"/>
      <color theme="1"/>
      <name val="等线"/>
      <family val="3"/>
      <charset val="134"/>
    </font>
    <font>
      <sz val="11"/>
      <color rgb="FF00B0F0"/>
      <name val="等线"/>
      <family val="3"/>
      <charset val="134"/>
    </font>
    <font>
      <b/>
      <sz val="16"/>
      <color rgb="FFFF0000"/>
      <name val="等线"/>
      <family val="3"/>
      <charset val="134"/>
    </font>
    <font>
      <b/>
      <sz val="11"/>
      <name val="等线"/>
      <family val="3"/>
      <charset val="134"/>
    </font>
    <font>
      <b/>
      <sz val="9"/>
      <color rgb="FF000000"/>
      <name val="等线"/>
      <family val="3"/>
      <charset val="134"/>
    </font>
    <font>
      <sz val="9"/>
      <color rgb="FF000000"/>
      <name val="等线"/>
      <family val="3"/>
      <charset val="134"/>
    </font>
    <font>
      <u/>
      <sz val="11"/>
      <color theme="10"/>
      <name val="等线"/>
      <family val="3"/>
      <charset val="134"/>
    </font>
    <font>
      <b/>
      <sz val="12"/>
      <color theme="0"/>
      <name val="等线"/>
      <family val="3"/>
      <charset val="134"/>
    </font>
    <font>
      <b/>
      <sz val="22"/>
      <name val="等线"/>
      <family val="3"/>
      <charset val="134"/>
    </font>
    <font>
      <b/>
      <sz val="10"/>
      <color rgb="FFFFFFFF"/>
      <name val="等线"/>
      <family val="3"/>
      <charset val="134"/>
    </font>
    <font>
      <sz val="16"/>
      <name val="等线"/>
      <family val="3"/>
      <charset val="134"/>
    </font>
    <font>
      <sz val="11"/>
      <color theme="5"/>
      <name val="等线"/>
      <family val="3"/>
      <charset val="134"/>
    </font>
    <font>
      <sz val="10"/>
      <color theme="0"/>
      <name val="等线"/>
      <family val="3"/>
      <charset val="134"/>
    </font>
    <font>
      <b/>
      <sz val="12"/>
      <color rgb="FFFF0000"/>
      <name val="等线"/>
      <family val="3"/>
      <charset val="134"/>
    </font>
    <font>
      <b/>
      <sz val="14"/>
      <color theme="1"/>
      <name val="等线"/>
      <family val="3"/>
      <charset val="134"/>
    </font>
    <font>
      <sz val="6"/>
      <color theme="1"/>
      <name val="等线"/>
      <family val="3"/>
      <charset val="134"/>
    </font>
    <font>
      <b/>
      <sz val="8"/>
      <name val="等线"/>
      <family val="3"/>
      <charset val="134"/>
    </font>
    <font>
      <sz val="11"/>
      <color indexed="8"/>
      <name val="等线"/>
      <family val="3"/>
      <charset val="134"/>
    </font>
    <font>
      <b/>
      <sz val="10.5"/>
      <color rgb="FF000000"/>
      <name val="等线"/>
      <family val="3"/>
      <charset val="134"/>
    </font>
    <font>
      <sz val="10.5"/>
      <color rgb="FF000000"/>
      <name val="等线"/>
      <family val="3"/>
      <charset val="134"/>
    </font>
    <font>
      <sz val="14"/>
      <color theme="1"/>
      <name val="等线"/>
      <family val="3"/>
      <charset val="134"/>
    </font>
    <font>
      <sz val="9"/>
      <color theme="0"/>
      <name val="等线"/>
      <family val="3"/>
      <charset val="134"/>
    </font>
    <font>
      <sz val="11"/>
      <color rgb="FF000000"/>
      <name val="等线"/>
      <family val="3"/>
      <charset val="134"/>
    </font>
    <font>
      <b/>
      <sz val="12"/>
      <color theme="1"/>
      <name val="等线"/>
      <family val="3"/>
      <charset val="134"/>
    </font>
    <font>
      <sz val="11"/>
      <color theme="9" tint="-0.249977111117893"/>
      <name val="等线"/>
      <family val="3"/>
      <charset val="134"/>
    </font>
    <font>
      <sz val="11"/>
      <color rgb="FFFFC000"/>
      <name val="等线"/>
      <family val="3"/>
      <charset val="134"/>
    </font>
    <font>
      <sz val="11"/>
      <color rgb="FF0070C0"/>
      <name val="等线"/>
      <family val="3"/>
      <charset val="134"/>
    </font>
    <font>
      <sz val="11"/>
      <color theme="7" tint="-0.249977111117893"/>
      <name val="等线"/>
      <family val="3"/>
      <charset val="134"/>
    </font>
    <font>
      <sz val="11"/>
      <color rgb="FF363636"/>
      <name val="Segoe UI"/>
      <family val="2"/>
    </font>
    <font>
      <b/>
      <sz val="11"/>
      <color theme="8" tint="-0.249977111117893"/>
      <name val="等线"/>
      <family val="3"/>
      <charset val="134"/>
    </font>
    <font>
      <sz val="11"/>
      <color theme="8" tint="-0.249977111117893"/>
      <name val="等线"/>
      <family val="3"/>
      <charset val="134"/>
    </font>
    <font>
      <sz val="14"/>
      <color theme="10"/>
      <name val="黑体"/>
      <family val="3"/>
      <charset val="134"/>
    </font>
    <font>
      <sz val="11"/>
      <color theme="1"/>
      <name val="宋体"/>
      <family val="3"/>
      <charset val="134"/>
      <scheme val="minor"/>
    </font>
    <font>
      <sz val="11"/>
      <color theme="1"/>
      <name val="Microsoft YaHei Light"/>
      <family val="2"/>
      <charset val="134"/>
    </font>
    <font>
      <b/>
      <sz val="11"/>
      <color rgb="FF0070C0"/>
      <name val="等线"/>
      <family val="3"/>
      <charset val="134"/>
    </font>
    <font>
      <sz val="10"/>
      <color theme="9" tint="-0.249977111117893"/>
      <name val="等线"/>
      <family val="3"/>
      <charset val="134"/>
    </font>
    <font>
      <b/>
      <sz val="12"/>
      <color theme="0"/>
      <name val="宋体"/>
      <family val="3"/>
      <charset val="134"/>
      <scheme val="minor"/>
    </font>
    <font>
      <sz val="12"/>
      <name val="宋体"/>
      <family val="3"/>
      <charset val="134"/>
      <scheme val="minor"/>
    </font>
    <font>
      <b/>
      <sz val="12"/>
      <name val="Malgun Gothic Semilight"/>
      <family val="2"/>
      <charset val="134"/>
    </font>
    <font>
      <sz val="12"/>
      <name val="微软雅黑"/>
      <family val="2"/>
      <charset val="134"/>
    </font>
    <font>
      <sz val="12"/>
      <color theme="1"/>
      <name val="Malgun Gothic Semilight"/>
      <family val="2"/>
      <charset val="134"/>
    </font>
    <font>
      <b/>
      <sz val="12"/>
      <name val="微软雅黑"/>
      <family val="2"/>
      <charset val="134"/>
    </font>
    <font>
      <sz val="12"/>
      <color rgb="FF1E1E1E"/>
      <name val="Segoe UI"/>
      <family val="2"/>
    </font>
    <font>
      <b/>
      <u/>
      <sz val="12"/>
      <name val="等线"/>
      <family val="3"/>
      <charset val="134"/>
    </font>
    <font>
      <sz val="11"/>
      <color rgb="FF7030A0"/>
      <name val="等线"/>
      <family val="3"/>
      <charset val="134"/>
    </font>
    <font>
      <sz val="12"/>
      <color rgb="FFFF0000"/>
      <name val="宋体"/>
      <family val="3"/>
      <charset val="134"/>
      <scheme val="minor"/>
    </font>
    <font>
      <sz val="12"/>
      <color theme="1"/>
      <name val="宋体"/>
      <family val="3"/>
      <charset val="134"/>
      <scheme val="minor"/>
    </font>
    <font>
      <b/>
      <u/>
      <sz val="12"/>
      <color theme="10"/>
      <name val="等线"/>
      <family val="3"/>
      <charset val="134"/>
    </font>
    <font>
      <sz val="11"/>
      <color rgb="FF1E1E1E"/>
      <name val="Segoe UI"/>
      <family val="2"/>
    </font>
    <font>
      <sz val="11"/>
      <color rgb="FFFFFF00"/>
      <name val="等线"/>
      <family val="3"/>
      <charset val="134"/>
    </font>
    <font>
      <sz val="11"/>
      <name val="宋体"/>
      <family val="3"/>
      <charset val="134"/>
      <scheme val="minor"/>
    </font>
    <font>
      <sz val="10"/>
      <name val="宋体"/>
      <family val="3"/>
      <charset val="134"/>
      <scheme val="minor"/>
    </font>
    <font>
      <u/>
      <sz val="11"/>
      <color theme="10"/>
      <name val="宋体"/>
      <family val="3"/>
      <charset val="134"/>
      <scheme val="minor"/>
    </font>
    <font>
      <sz val="11"/>
      <color theme="1"/>
      <name val="宋体"/>
      <family val="3"/>
      <charset val="134"/>
      <scheme val="minor"/>
    </font>
    <font>
      <sz val="11"/>
      <color theme="1"/>
      <name val="宋体"/>
      <family val="3"/>
      <charset val="134"/>
    </font>
    <font>
      <b/>
      <sz val="14"/>
      <color rgb="FFFF0000"/>
      <name val="等线"/>
      <family val="3"/>
      <charset val="134"/>
    </font>
    <font>
      <b/>
      <sz val="10"/>
      <color rgb="FFFF0000"/>
      <name val="等线"/>
      <family val="3"/>
      <charset val="134"/>
    </font>
    <font>
      <sz val="11"/>
      <color theme="1"/>
      <name val="Segoe UI Symbol"/>
      <family val="2"/>
    </font>
    <font>
      <sz val="11"/>
      <color theme="1"/>
      <name val="Calibri"/>
      <family val="2"/>
    </font>
    <font>
      <sz val="11"/>
      <color theme="4"/>
      <name val="等线"/>
      <family val="3"/>
      <charset val="134"/>
    </font>
    <font>
      <b/>
      <sz val="12"/>
      <color rgb="FF1E1E1E"/>
      <name val="Segoe UI"/>
      <family val="2"/>
    </font>
    <font>
      <b/>
      <sz val="11"/>
      <color rgb="FF1E1E1E"/>
      <name val="Segoe UI"/>
      <family val="2"/>
    </font>
    <font>
      <sz val="11"/>
      <color rgb="FFFF0000"/>
      <name val="微软雅黑"/>
      <family val="2"/>
      <charset val="134"/>
    </font>
    <font>
      <sz val="11"/>
      <color rgb="FFFF0000"/>
      <name val="Segoe UI"/>
      <family val="2"/>
    </font>
    <font>
      <sz val="11"/>
      <color rgb="FF0070C0"/>
      <name val="Segoe UI"/>
      <family val="2"/>
    </font>
    <font>
      <sz val="11"/>
      <color rgb="FFFFC000"/>
      <name val="Segoe UI"/>
      <family val="2"/>
    </font>
    <font>
      <sz val="11"/>
      <color rgb="FFFFFF00"/>
      <name val="Segoe UI"/>
      <family val="2"/>
    </font>
    <font>
      <sz val="11"/>
      <color rgb="FF00B050"/>
      <name val="Segoe UI"/>
      <family val="2"/>
    </font>
    <font>
      <sz val="9"/>
      <name val="宋体"/>
      <family val="3"/>
      <charset val="134"/>
      <scheme val="minor"/>
    </font>
    <font>
      <b/>
      <sz val="14"/>
      <color theme="1"/>
      <name val="等线"/>
      <family val="3"/>
      <charset val="134"/>
    </font>
    <font>
      <sz val="9"/>
      <name val="宋体"/>
      <family val="3"/>
      <charset val="134"/>
      <scheme val="minor"/>
    </font>
    <font>
      <b/>
      <sz val="11"/>
      <color rgb="FFFF0000"/>
      <name val="黑体"/>
      <family val="3"/>
      <charset val="134"/>
    </font>
    <font>
      <sz val="11"/>
      <color theme="9" tint="-0.249977111117893"/>
      <name val="黑体"/>
      <family val="3"/>
      <charset val="134"/>
    </font>
    <font>
      <sz val="9"/>
      <name val="宋体"/>
      <family val="2"/>
      <charset val="134"/>
      <scheme val="minor"/>
    </font>
    <font>
      <sz val="11"/>
      <color theme="8"/>
      <name val="等线"/>
      <family val="3"/>
      <charset val="134"/>
    </font>
    <font>
      <b/>
      <sz val="11"/>
      <color theme="9"/>
      <name val="宋体"/>
      <family val="3"/>
      <charset val="134"/>
      <scheme val="minor"/>
    </font>
    <font>
      <b/>
      <sz val="11"/>
      <color theme="9"/>
      <name val="黑体"/>
      <family val="3"/>
      <charset val="134"/>
    </font>
    <font>
      <sz val="11"/>
      <color indexed="8"/>
      <name val="宋体"/>
      <family val="3"/>
      <charset val="134"/>
      <scheme val="minor"/>
    </font>
    <font>
      <b/>
      <sz val="9"/>
      <name val="微软雅黑"/>
      <family val="2"/>
      <charset val="134"/>
    </font>
    <font>
      <sz val="9"/>
      <name val="宋体"/>
      <family val="3"/>
      <charset val="134"/>
      <scheme val="minor"/>
    </font>
    <font>
      <sz val="9"/>
      <color indexed="10"/>
      <name val="微软雅黑"/>
      <family val="2"/>
      <charset val="134"/>
    </font>
    <font>
      <sz val="9"/>
      <color indexed="8"/>
      <name val="微软雅黑"/>
      <family val="2"/>
      <charset val="134"/>
    </font>
    <font>
      <sz val="11"/>
      <color rgb="FF006100"/>
      <name val="等线"/>
      <family val="2"/>
      <charset val="134"/>
    </font>
    <font>
      <sz val="11"/>
      <color rgb="FF9C0006"/>
      <name val="等线"/>
      <family val="2"/>
      <charset val="134"/>
    </font>
    <font>
      <b/>
      <sz val="11"/>
      <color rgb="FFFA7D00"/>
      <name val="等线"/>
      <family val="2"/>
      <charset val="134"/>
    </font>
    <font>
      <sz val="18"/>
      <name val="宋体"/>
      <family val="2"/>
    </font>
    <font>
      <sz val="18"/>
      <name val="Arial"/>
      <family val="2"/>
    </font>
    <font>
      <sz val="11"/>
      <name val="黑体"/>
      <family val="2"/>
    </font>
    <font>
      <b/>
      <sz val="11"/>
      <color rgb="FFFF0000"/>
      <name val="黑体"/>
      <family val="2"/>
    </font>
    <font>
      <sz val="11"/>
      <name val="黑体"/>
      <family val="3"/>
      <charset val="134"/>
    </font>
    <font>
      <b/>
      <sz val="11"/>
      <color rgb="FFFA7D00"/>
      <name val="等线"/>
      <family val="3"/>
      <charset val="134"/>
    </font>
    <font>
      <b/>
      <sz val="11"/>
      <color rgb="FFFF0000"/>
      <name val="宋体"/>
      <family val="3"/>
      <charset val="134"/>
      <scheme val="minor"/>
    </font>
    <font>
      <sz val="11"/>
      <color rgb="FFFA7D00"/>
      <name val="等线"/>
      <family val="2"/>
      <charset val="134"/>
    </font>
    <font>
      <sz val="10"/>
      <name val="宋体"/>
      <family val="3"/>
      <charset val="134"/>
    </font>
    <font>
      <sz val="11"/>
      <color rgb="FFFF0000"/>
      <name val="宋体"/>
      <family val="3"/>
      <charset val="134"/>
      <scheme val="minor"/>
    </font>
    <font>
      <sz val="9"/>
      <name val="宋体"/>
      <family val="3"/>
      <charset val="134"/>
    </font>
    <font>
      <sz val="9"/>
      <color indexed="81"/>
      <name val="宋体"/>
      <family val="3"/>
      <charset val="134"/>
    </font>
    <font>
      <b/>
      <sz val="9"/>
      <color indexed="81"/>
      <name val="宋体"/>
      <family val="3"/>
      <charset val="134"/>
    </font>
    <font>
      <sz val="9"/>
      <name val="微软雅黑"/>
      <family val="2"/>
      <charset val="134"/>
    </font>
    <font>
      <i/>
      <sz val="11"/>
      <color rgb="FF7F7F7F"/>
      <name val="等线"/>
      <family val="2"/>
      <charset val="134"/>
    </font>
  </fonts>
  <fills count="60">
    <fill>
      <patternFill patternType="none"/>
    </fill>
    <fill>
      <patternFill patternType="gray125"/>
    </fill>
    <fill>
      <patternFill patternType="solid">
        <fgColor theme="5"/>
        <bgColor theme="5"/>
      </patternFill>
    </fill>
    <fill>
      <patternFill patternType="solid">
        <fgColor theme="6" tint="0.59999389629810485"/>
        <bgColor indexed="64"/>
      </patternFill>
    </fill>
    <fill>
      <patternFill patternType="solid">
        <fgColor theme="7" tint="0.59999389629810485"/>
        <bgColor indexed="64"/>
      </patternFill>
    </fill>
    <fill>
      <patternFill patternType="solid">
        <fgColor theme="6"/>
        <bgColor theme="6"/>
      </patternFill>
    </fill>
    <fill>
      <patternFill patternType="solid">
        <fgColor theme="0" tint="-0.14990691854609822"/>
        <bgColor theme="0" tint="-0.14990691854609822"/>
      </patternFill>
    </fill>
    <fill>
      <patternFill patternType="solid">
        <fgColor theme="7" tint="0.59999389629810485"/>
        <bgColor theme="0" tint="-0.14990691854609822"/>
      </patternFill>
    </fill>
    <fill>
      <patternFill patternType="solid">
        <fgColor theme="6" tint="0.79992065187536243"/>
        <bgColor theme="6" tint="0.79992065187536243"/>
      </patternFill>
    </fill>
    <fill>
      <patternFill patternType="solid">
        <fgColor theme="7" tint="0.59999389629810485"/>
        <bgColor theme="6" tint="0.79992065187536243"/>
      </patternFill>
    </fill>
    <fill>
      <patternFill patternType="solid">
        <fgColor theme="7"/>
        <bgColor theme="7"/>
      </patternFill>
    </fill>
    <fill>
      <patternFill patternType="solid">
        <fgColor theme="6" tint="0.59999389629810485"/>
        <bgColor theme="6" tint="0.59999389629810485"/>
      </patternFill>
    </fill>
    <fill>
      <patternFill patternType="solid">
        <fgColor theme="7" tint="0.59999389629810485"/>
        <bgColor theme="6" tint="0.59999389629810485"/>
      </patternFill>
    </fill>
    <fill>
      <patternFill patternType="solid">
        <fgColor theme="6" tint="0.79989013336588644"/>
        <bgColor theme="6" tint="0.79989013336588644"/>
      </patternFill>
    </fill>
    <fill>
      <patternFill patternType="solid">
        <fgColor theme="0" tint="-0.14993743705557422"/>
        <bgColor theme="0" tint="-0.14993743705557422"/>
      </patternFill>
    </fill>
    <fill>
      <patternFill patternType="solid">
        <fgColor rgb="FF92D050"/>
        <bgColor indexed="64"/>
      </patternFill>
    </fill>
    <fill>
      <patternFill patternType="solid">
        <fgColor theme="6" tint="0.79995117038483843"/>
        <bgColor theme="6" tint="0.79995117038483843"/>
      </patternFill>
    </fill>
    <fill>
      <patternFill patternType="solid">
        <fgColor theme="3" tint="0.79992065187536243"/>
        <bgColor indexed="64"/>
      </patternFill>
    </fill>
    <fill>
      <patternFill patternType="solid">
        <fgColor theme="0"/>
        <bgColor indexed="64"/>
      </patternFill>
    </fill>
    <fill>
      <patternFill patternType="solid">
        <fgColor theme="7" tint="0.59999389629810485"/>
        <bgColor theme="6" tint="0.79995117038483843"/>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6"/>
        <bgColor indexed="64"/>
      </patternFill>
    </fill>
    <fill>
      <patternFill patternType="solid">
        <fgColor rgb="FFFFFF00"/>
        <bgColor indexed="64"/>
      </patternFill>
    </fill>
    <fill>
      <patternFill patternType="solid">
        <fgColor theme="9" tint="0.79992065187536243"/>
        <bgColor indexed="64"/>
      </patternFill>
    </fill>
    <fill>
      <patternFill patternType="solid">
        <fgColor rgb="FFFF0000"/>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8" tint="0.79995117038483843"/>
        <bgColor indexed="64"/>
      </patternFill>
    </fill>
    <fill>
      <patternFill patternType="solid">
        <fgColor theme="4"/>
        <bgColor theme="4"/>
      </patternFill>
    </fill>
    <fill>
      <patternFill patternType="solid">
        <fgColor theme="4" tint="0.79995117038483843"/>
        <bgColor theme="4" tint="0.79995117038483843"/>
      </patternFill>
    </fill>
    <fill>
      <patternFill patternType="solid">
        <fgColor theme="4" tint="0.79995117038483843"/>
        <bgColor indexed="64"/>
      </patternFill>
    </fill>
    <fill>
      <patternFill patternType="solid">
        <fgColor theme="4" tint="0.79989013336588644"/>
        <bgColor indexed="64"/>
      </patternFill>
    </fill>
    <fill>
      <patternFill patternType="solid">
        <fgColor theme="7" tint="0.79992065187536243"/>
        <bgColor indexed="64"/>
      </patternFill>
    </fill>
    <fill>
      <patternFill patternType="solid">
        <fgColor theme="4" tint="0.39985351115451523"/>
        <bgColor indexed="64"/>
      </patternFill>
    </fill>
    <fill>
      <patternFill patternType="solid">
        <fgColor theme="6" tint="0.39994506668294322"/>
        <bgColor indexed="64"/>
      </patternFill>
    </fill>
    <fill>
      <patternFill patternType="solid">
        <fgColor theme="4" tint="0.39991454817346722"/>
        <bgColor indexed="64"/>
      </patternFill>
    </fill>
    <fill>
      <patternFill patternType="solid">
        <fgColor rgb="FFC00000"/>
        <bgColor indexed="64"/>
      </patternFill>
    </fill>
    <fill>
      <patternFill patternType="solid">
        <fgColor rgb="FFFF9966"/>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indexed="13"/>
        <bgColor indexed="64"/>
      </patternFill>
    </fill>
    <fill>
      <patternFill patternType="solid">
        <fgColor rgb="FF00B0F0"/>
        <bgColor indexed="64"/>
      </patternFill>
    </fill>
    <fill>
      <patternFill patternType="solid">
        <fgColor theme="0" tint="-0.14996795556505021"/>
        <bgColor indexed="64"/>
      </patternFill>
    </fill>
    <fill>
      <patternFill patternType="solid">
        <fgColor rgb="FFFFC000"/>
        <bgColor indexed="64"/>
      </patternFill>
    </fill>
    <fill>
      <patternFill patternType="solid">
        <fgColor theme="5" tint="0.79995117038483843"/>
        <bgColor indexed="64"/>
      </patternFill>
    </fill>
    <fill>
      <patternFill patternType="solid">
        <fgColor rgb="FFF2F2F2"/>
        <bgColor rgb="FF000000"/>
      </patternFill>
    </fill>
    <fill>
      <patternFill patternType="solid">
        <fgColor rgb="FFFFFF00"/>
        <bgColor rgb="FF000000"/>
      </patternFill>
    </fill>
    <fill>
      <patternFill patternType="solid">
        <fgColor theme="7" tint="0.79995117038483843"/>
        <bgColor theme="7" tint="0.79995117038483843"/>
      </patternFill>
    </fill>
    <fill>
      <patternFill patternType="solid">
        <fgColor theme="8" tint="0.79995117038483843"/>
        <bgColor theme="8" tint="0.79995117038483843"/>
      </patternFill>
    </fill>
    <fill>
      <patternFill patternType="solid">
        <fgColor rgb="FFFFFF00"/>
        <bgColor theme="6" tint="0.79989013336588644"/>
      </patternFill>
    </fill>
    <fill>
      <patternFill patternType="solid">
        <fgColor rgb="FFFFFF00"/>
        <bgColor theme="6" tint="0.59999389629810485"/>
      </patternFill>
    </fill>
    <fill>
      <patternFill patternType="solid">
        <fgColor rgb="FFFFFF00"/>
        <bgColor theme="0" tint="-0.14990691854609822"/>
      </patternFill>
    </fill>
    <fill>
      <patternFill patternType="solid">
        <fgColor theme="7" tint="0.79989013336588644"/>
        <bgColor indexed="64"/>
      </patternFill>
    </fill>
    <fill>
      <patternFill patternType="solid">
        <fgColor theme="9" tint="0.79995117038483843"/>
        <bgColor indexed="64"/>
      </patternFill>
    </fill>
    <fill>
      <patternFill patternType="solid">
        <fgColor rgb="FFC6EFCE"/>
      </patternFill>
    </fill>
    <fill>
      <patternFill patternType="solid">
        <fgColor rgb="FFFFC7CE"/>
      </patternFill>
    </fill>
    <fill>
      <patternFill patternType="solid">
        <fgColor rgb="FFF2F2F2"/>
      </patternFill>
    </fill>
    <fill>
      <patternFill patternType="solid">
        <fgColor theme="2"/>
        <bgColor indexed="64"/>
      </patternFill>
    </fill>
  </fills>
  <borders count="177">
    <border>
      <left/>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style="thin">
        <color theme="5"/>
      </left>
      <right/>
      <top style="thin">
        <color theme="5"/>
      </top>
      <bottom style="thin">
        <color theme="5"/>
      </bottom>
      <diagonal/>
    </border>
    <border>
      <left/>
      <right/>
      <top style="thin">
        <color theme="5"/>
      </top>
      <bottom style="thin">
        <color theme="5"/>
      </bottom>
      <diagonal/>
    </border>
    <border>
      <left/>
      <right style="thin">
        <color theme="5"/>
      </right>
      <top style="thin">
        <color theme="5"/>
      </top>
      <bottom style="thin">
        <color theme="5"/>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theme="1"/>
      </top>
      <bottom style="medium">
        <color theme="1"/>
      </bottom>
      <diagonal/>
    </border>
    <border>
      <left/>
      <right/>
      <top style="medium">
        <color theme="1"/>
      </top>
      <bottom/>
      <diagonal/>
    </border>
    <border>
      <left/>
      <right/>
      <top/>
      <bottom style="medium">
        <color theme="1"/>
      </bottom>
      <diagonal/>
    </border>
    <border>
      <left/>
      <right/>
      <top style="medium">
        <color theme="1"/>
      </top>
      <bottom style="medium">
        <color auto="1"/>
      </bottom>
      <diagonal/>
    </border>
    <border>
      <left style="thin">
        <color theme="6"/>
      </left>
      <right/>
      <top style="thin">
        <color theme="6"/>
      </top>
      <bottom/>
      <diagonal/>
    </border>
    <border>
      <left style="thin">
        <color theme="6"/>
      </left>
      <right style="thin">
        <color theme="6"/>
      </right>
      <top style="thin">
        <color theme="6"/>
      </top>
      <bottom/>
      <diagonal/>
    </border>
    <border>
      <left style="thin">
        <color theme="6"/>
      </left>
      <right/>
      <top style="medium">
        <color theme="6"/>
      </top>
      <bottom/>
      <diagonal/>
    </border>
    <border>
      <left style="thin">
        <color theme="6"/>
      </left>
      <right style="thin">
        <color theme="6"/>
      </right>
      <top style="medium">
        <color theme="6"/>
      </top>
      <bottom/>
      <diagonal/>
    </border>
    <border>
      <left style="thin">
        <color theme="6"/>
      </left>
      <right/>
      <top style="thin">
        <color theme="6"/>
      </top>
      <bottom style="thin">
        <color theme="6"/>
      </bottom>
      <diagonal/>
    </border>
    <border>
      <left style="thin">
        <color theme="6"/>
      </left>
      <right style="thin">
        <color theme="6"/>
      </right>
      <top style="thin">
        <color theme="6"/>
      </top>
      <bottom style="thin">
        <color theme="6"/>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style="thin">
        <color theme="0"/>
      </left>
      <right/>
      <top style="thin">
        <color theme="0"/>
      </top>
      <bottom/>
      <diagonal/>
    </border>
    <border>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bottom style="thick">
        <color theme="0"/>
      </bottom>
      <diagonal/>
    </border>
    <border>
      <left style="thin">
        <color theme="0"/>
      </left>
      <right style="thin">
        <color theme="0"/>
      </right>
      <top style="thin">
        <color theme="0"/>
      </top>
      <bottom style="thin">
        <color theme="0"/>
      </bottom>
      <diagonal/>
    </border>
    <border>
      <left style="thin">
        <color theme="0"/>
      </left>
      <right/>
      <top/>
      <bottom style="thick">
        <color theme="0"/>
      </bottom>
      <diagonal/>
    </border>
    <border>
      <left style="thin">
        <color theme="0"/>
      </left>
      <right/>
      <top style="thin">
        <color theme="0"/>
      </top>
      <bottom style="thin">
        <color theme="0"/>
      </bottom>
      <diagonal/>
    </border>
    <border>
      <left style="thin">
        <color theme="6" tint="0.39991454817346722"/>
      </left>
      <right/>
      <top style="thin">
        <color theme="6" tint="0.39991454817346722"/>
      </top>
      <bottom/>
      <diagonal/>
    </border>
    <border>
      <left/>
      <right/>
      <top style="thin">
        <color theme="6" tint="0.39991454817346722"/>
      </top>
      <bottom/>
      <diagonal/>
    </border>
    <border>
      <left/>
      <right style="thin">
        <color theme="6" tint="0.39991454817346722"/>
      </right>
      <top style="thin">
        <color theme="6" tint="0.39991454817346722"/>
      </top>
      <bottom/>
      <diagonal/>
    </border>
    <border>
      <left style="thin">
        <color theme="6" tint="0.39991454817346722"/>
      </left>
      <right/>
      <top style="thin">
        <color theme="6" tint="0.39991454817346722"/>
      </top>
      <bottom style="thin">
        <color theme="6" tint="0.39991454817346722"/>
      </bottom>
      <diagonal/>
    </border>
    <border>
      <left/>
      <right/>
      <top style="thin">
        <color theme="6" tint="0.39991454817346722"/>
      </top>
      <bottom style="thin">
        <color theme="6" tint="0.39991454817346722"/>
      </bottom>
      <diagonal/>
    </border>
    <border>
      <left/>
      <right style="thin">
        <color theme="6" tint="0.39991454817346722"/>
      </right>
      <top style="thin">
        <color theme="6" tint="0.39991454817346722"/>
      </top>
      <bottom style="thin">
        <color theme="6" tint="0.39991454817346722"/>
      </bottom>
      <diagonal/>
    </border>
    <border>
      <left style="thin">
        <color theme="0"/>
      </left>
      <right/>
      <top/>
      <bottom style="thin">
        <color theme="0"/>
      </bottom>
      <diagonal/>
    </border>
    <border>
      <left style="medium">
        <color auto="1"/>
      </left>
      <right/>
      <top style="medium">
        <color auto="1"/>
      </top>
      <bottom/>
      <diagonal/>
    </border>
    <border>
      <left style="thin">
        <color theme="1"/>
      </left>
      <right style="thin">
        <color theme="1"/>
      </right>
      <top style="medium">
        <color auto="1"/>
      </top>
      <bottom/>
      <diagonal/>
    </border>
    <border>
      <left style="medium">
        <color auto="1"/>
      </left>
      <right/>
      <top style="medium">
        <color theme="1"/>
      </top>
      <bottom/>
      <diagonal/>
    </border>
    <border>
      <left style="thin">
        <color theme="1"/>
      </left>
      <right style="thin">
        <color theme="1"/>
      </right>
      <top style="medium">
        <color theme="1"/>
      </top>
      <bottom/>
      <diagonal/>
    </border>
    <border>
      <left style="medium">
        <color auto="1"/>
      </left>
      <right/>
      <top style="thin">
        <color theme="1"/>
      </top>
      <bottom/>
      <diagonal/>
    </border>
    <border>
      <left style="thin">
        <color theme="1"/>
      </left>
      <right style="thin">
        <color theme="1"/>
      </right>
      <top style="thin">
        <color theme="1"/>
      </top>
      <bottom/>
      <diagonal/>
    </border>
    <border>
      <left style="medium">
        <color auto="1"/>
      </left>
      <right/>
      <top style="thin">
        <color theme="1"/>
      </top>
      <bottom style="medium">
        <color auto="1"/>
      </bottom>
      <diagonal/>
    </border>
    <border>
      <left style="thin">
        <color theme="1"/>
      </left>
      <right style="thin">
        <color theme="1"/>
      </right>
      <top style="thin">
        <color theme="1"/>
      </top>
      <bottom style="medium">
        <color auto="1"/>
      </bottom>
      <diagonal/>
    </border>
    <border>
      <left style="medium">
        <color auto="1"/>
      </left>
      <right/>
      <top style="thin">
        <color theme="6" tint="0.39994506668294322"/>
      </top>
      <bottom/>
      <diagonal/>
    </border>
    <border>
      <left/>
      <right/>
      <top style="thin">
        <color theme="6" tint="0.39994506668294322"/>
      </top>
      <bottom/>
      <diagonal/>
    </border>
    <border>
      <left/>
      <right style="thin">
        <color theme="6" tint="0.39994506668294322"/>
      </right>
      <top style="thin">
        <color theme="6" tint="0.39994506668294322"/>
      </top>
      <bottom/>
      <diagonal/>
    </border>
    <border>
      <left/>
      <right/>
      <top/>
      <bottom style="thin">
        <color auto="1"/>
      </bottom>
      <diagonal/>
    </border>
    <border>
      <left style="medium">
        <color auto="1"/>
      </left>
      <right/>
      <top style="thin">
        <color theme="6" tint="0.39994506668294322"/>
      </top>
      <bottom style="thin">
        <color theme="6" tint="0.39994506668294322"/>
      </bottom>
      <diagonal/>
    </border>
    <border>
      <left/>
      <right/>
      <top style="thin">
        <color theme="6" tint="0.39994506668294322"/>
      </top>
      <bottom style="thin">
        <color theme="6" tint="0.39994506668294322"/>
      </bottom>
      <diagonal/>
    </border>
    <border>
      <left/>
      <right style="thin">
        <color theme="6" tint="0.39994506668294322"/>
      </right>
      <top style="thin">
        <color theme="6" tint="0.39994506668294322"/>
      </top>
      <bottom style="thin">
        <color theme="6" tint="0.39994506668294322"/>
      </bottom>
      <diagonal/>
    </border>
    <border>
      <left/>
      <right style="thin">
        <color theme="6" tint="0.39991454817346722"/>
      </right>
      <top style="thin">
        <color theme="6" tint="0.39994506668294322"/>
      </top>
      <bottom style="thin">
        <color theme="6" tint="0.39994506668294322"/>
      </bottom>
      <diagonal/>
    </border>
    <border>
      <left style="thin">
        <color theme="6" tint="0.39994506668294322"/>
      </left>
      <right/>
      <top style="thin">
        <color theme="6" tint="0.39994506668294322"/>
      </top>
      <bottom/>
      <diagonal/>
    </border>
    <border>
      <left style="thin">
        <color theme="6" tint="0.39994506668294322"/>
      </left>
      <right/>
      <top style="thin">
        <color theme="6" tint="0.39994506668294322"/>
      </top>
      <bottom style="thin">
        <color theme="6" tint="0.39994506668294322"/>
      </bottom>
      <diagonal/>
    </border>
    <border>
      <left style="medium">
        <color auto="1"/>
      </left>
      <right/>
      <top/>
      <bottom style="thin">
        <color auto="1"/>
      </bottom>
      <diagonal/>
    </border>
    <border>
      <left style="medium">
        <color auto="1"/>
      </left>
      <right/>
      <top style="thin">
        <color auto="1"/>
      </top>
      <bottom/>
      <diagonal/>
    </border>
    <border>
      <left style="thin">
        <color auto="1"/>
      </left>
      <right/>
      <top style="thin">
        <color auto="1"/>
      </top>
      <bottom/>
      <diagonal/>
    </border>
    <border>
      <left style="medium">
        <color auto="1"/>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theme="6" tint="0.39994506668294322"/>
      </right>
      <top style="medium">
        <color auto="1"/>
      </top>
      <bottom/>
      <diagonal/>
    </border>
    <border>
      <left style="medium">
        <color auto="1"/>
      </left>
      <right style="thin">
        <color auto="1"/>
      </right>
      <top style="thin">
        <color auto="1"/>
      </top>
      <bottom style="thin">
        <color auto="1"/>
      </bottom>
      <diagonal/>
    </border>
    <border>
      <left style="medium">
        <color auto="1"/>
      </left>
      <right/>
      <top style="medium">
        <color auto="1"/>
      </top>
      <bottom style="thin">
        <color theme="6" tint="0.39994506668294322"/>
      </bottom>
      <diagonal/>
    </border>
    <border>
      <left/>
      <right/>
      <top style="medium">
        <color auto="1"/>
      </top>
      <bottom style="thin">
        <color theme="6" tint="0.39994506668294322"/>
      </bottom>
      <diagonal/>
    </border>
    <border>
      <left/>
      <right/>
      <top style="medium">
        <color auto="1"/>
      </top>
      <bottom/>
      <diagonal/>
    </border>
    <border>
      <left style="medium">
        <color auto="1"/>
      </left>
      <right/>
      <top style="thin">
        <color theme="6" tint="0.39994506668294322"/>
      </top>
      <bottom style="medium">
        <color auto="1"/>
      </bottom>
      <diagonal/>
    </border>
    <border>
      <left/>
      <right/>
      <top style="thin">
        <color theme="6" tint="0.39994506668294322"/>
      </top>
      <bottom style="medium">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hair">
        <color auto="1"/>
      </left>
      <right/>
      <top style="hair">
        <color auto="1"/>
      </top>
      <bottom/>
      <diagonal/>
    </border>
    <border>
      <left style="hair">
        <color auto="1"/>
      </left>
      <right style="hair">
        <color auto="1"/>
      </right>
      <top style="hair">
        <color auto="1"/>
      </top>
      <bottom/>
      <diagonal/>
    </border>
    <border>
      <left/>
      <right style="medium">
        <color auto="1"/>
      </right>
      <top style="thin">
        <color theme="6" tint="0.39994506668294322"/>
      </top>
      <bottom/>
      <diagonal/>
    </border>
    <border>
      <left style="thin">
        <color theme="6" tint="0.39994506668294322"/>
      </left>
      <right/>
      <top style="hair">
        <color auto="1"/>
      </top>
      <bottom/>
      <diagonal/>
    </border>
    <border>
      <left style="hair">
        <color auto="1"/>
      </left>
      <right style="thin">
        <color theme="6" tint="0.39994506668294322"/>
      </right>
      <top style="hair">
        <color auto="1"/>
      </top>
      <bottom/>
      <diagonal/>
    </border>
    <border>
      <left style="hair">
        <color auto="1"/>
      </left>
      <right style="thin">
        <color theme="6" tint="0.39994506668294322"/>
      </right>
      <top style="thin">
        <color theme="6" tint="0.39994506668294322"/>
      </top>
      <bottom/>
      <diagonal/>
    </border>
    <border>
      <left style="hair">
        <color auto="1"/>
      </left>
      <right/>
      <top style="hair">
        <color auto="1"/>
      </top>
      <bottom style="hair">
        <color auto="1"/>
      </bottom>
      <diagonal/>
    </border>
    <border>
      <left style="hair">
        <color auto="1"/>
      </left>
      <right style="thin">
        <color theme="6" tint="0.39994506668294322"/>
      </right>
      <top style="thin">
        <color theme="6" tint="0.39994506668294322"/>
      </top>
      <bottom style="thin">
        <color theme="6" tint="0.39994506668294322"/>
      </bottom>
      <diagonal/>
    </border>
    <border>
      <left/>
      <right style="medium">
        <color auto="1"/>
      </right>
      <top style="thin">
        <color theme="6" tint="0.39994506668294322"/>
      </top>
      <bottom style="medium">
        <color auto="1"/>
      </bottom>
      <diagonal/>
    </border>
    <border>
      <left/>
      <right/>
      <top/>
      <bottom style="medium">
        <color auto="1"/>
      </bottom>
      <diagonal/>
    </border>
    <border>
      <left style="medium">
        <color auto="1"/>
      </left>
      <right/>
      <top style="thin">
        <color theme="5"/>
      </top>
      <bottom/>
      <diagonal/>
    </border>
    <border>
      <left style="medium">
        <color auto="1"/>
      </left>
      <right/>
      <top style="thin">
        <color theme="5"/>
      </top>
      <bottom style="thin">
        <color theme="5"/>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dotted">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thin">
        <color auto="1"/>
      </top>
      <bottom style="thin">
        <color auto="1"/>
      </bottom>
      <diagonal/>
    </border>
    <border>
      <left style="thin">
        <color theme="4" tint="0.39994506668294322"/>
      </left>
      <right/>
      <top style="thin">
        <color theme="4" tint="0.39994506668294322"/>
      </top>
      <bottom/>
      <diagonal/>
    </border>
    <border>
      <left/>
      <right/>
      <top style="thin">
        <color theme="4" tint="0.39994506668294322"/>
      </top>
      <bottom/>
      <diagonal/>
    </border>
    <border>
      <left/>
      <right style="thin">
        <color theme="4" tint="0.39994506668294322"/>
      </right>
      <top style="thin">
        <color theme="4" tint="0.39994506668294322"/>
      </top>
      <bottom/>
      <diagonal/>
    </border>
    <border>
      <left style="medium">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theme="4" tint="0.39994506668294322"/>
      </left>
      <right/>
      <top style="thin">
        <color theme="4" tint="0.39994506668294322"/>
      </top>
      <bottom style="thin">
        <color theme="4" tint="0.39994506668294322"/>
      </bottom>
      <diagonal/>
    </border>
    <border>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
      <left style="medium">
        <color auto="1"/>
      </left>
      <right style="thin">
        <color auto="1"/>
      </right>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theme="1" tint="4.9989318521683403E-2"/>
      </left>
      <right style="thin">
        <color theme="0" tint="-0.34998626667073579"/>
      </right>
      <top style="thin">
        <color theme="0" tint="-0.34998626667073579"/>
      </top>
      <bottom style="thin">
        <color theme="0" tint="-0.34998626667073579"/>
      </bottom>
      <diagonal/>
    </border>
    <border>
      <left style="medium">
        <color auto="1"/>
      </left>
      <right/>
      <top/>
      <bottom style="thin">
        <color theme="0" tint="-0.34998626667073579"/>
      </bottom>
      <diagonal/>
    </border>
    <border>
      <left style="medium">
        <color auto="1"/>
      </left>
      <right style="thin">
        <color theme="0" tint="-0.34998626667073579"/>
      </right>
      <top style="thin">
        <color theme="0" tint="-0.34998626667073579"/>
      </top>
      <bottom/>
      <diagonal/>
    </border>
    <border>
      <left style="medium">
        <color auto="1"/>
      </left>
      <right style="thin">
        <color theme="0" tint="-0.34998626667073579"/>
      </right>
      <top/>
      <bottom/>
      <diagonal/>
    </border>
    <border>
      <left style="medium">
        <color auto="1"/>
      </left>
      <right style="thin">
        <color theme="0" tint="-0.34998626667073579"/>
      </right>
      <top/>
      <bottom style="thin">
        <color theme="0" tint="-0.34998626667073579"/>
      </bottom>
      <diagonal/>
    </border>
    <border>
      <left style="medium">
        <color auto="1"/>
      </left>
      <right/>
      <top style="thin">
        <color theme="0" tint="-0.34998626667073579"/>
      </top>
      <bottom/>
      <diagonal/>
    </border>
    <border>
      <left style="thin">
        <color auto="1"/>
      </left>
      <right style="thin">
        <color auto="1"/>
      </right>
      <top/>
      <bottom/>
      <diagonal/>
    </border>
    <border>
      <left/>
      <right style="thin">
        <color rgb="FF000000"/>
      </right>
      <top style="thin">
        <color auto="1"/>
      </top>
      <bottom style="thin">
        <color auto="1"/>
      </bottom>
      <diagonal/>
    </border>
    <border>
      <left/>
      <right/>
      <top style="thin">
        <color auto="1"/>
      </top>
      <bottom style="thin">
        <color auto="1"/>
      </bottom>
      <diagonal/>
    </border>
    <border>
      <left style="thin">
        <color theme="7"/>
      </left>
      <right/>
      <top style="thin">
        <color theme="7"/>
      </top>
      <bottom/>
      <diagonal/>
    </border>
    <border>
      <left/>
      <right/>
      <top style="thin">
        <color theme="7"/>
      </top>
      <bottom/>
      <diagonal/>
    </border>
    <border>
      <left/>
      <right style="thin">
        <color theme="7"/>
      </right>
      <top style="thin">
        <color theme="7"/>
      </top>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thin">
        <color auto="1"/>
      </left>
      <right style="thin">
        <color auto="1"/>
      </right>
      <top style="thin">
        <color theme="7"/>
      </top>
      <bottom/>
      <diagonal/>
    </border>
    <border>
      <left style="thin">
        <color auto="1"/>
      </left>
      <right style="thin">
        <color auto="1"/>
      </right>
      <top style="thin">
        <color theme="7"/>
      </top>
      <bottom style="thin">
        <color auto="1"/>
      </bottom>
      <diagonal/>
    </border>
    <border>
      <left style="thin">
        <color theme="7"/>
      </left>
      <right style="thin">
        <color theme="7"/>
      </right>
      <top style="thin">
        <color theme="7"/>
      </top>
      <bottom/>
      <diagonal/>
    </border>
    <border>
      <left style="thin">
        <color theme="7"/>
      </left>
      <right style="thin">
        <color theme="7"/>
      </right>
      <top style="thin">
        <color theme="7"/>
      </top>
      <bottom style="thin">
        <color theme="7"/>
      </bottom>
      <diagonal/>
    </border>
    <border>
      <left style="thin">
        <color theme="7" tint="0.39994506668294322"/>
      </left>
      <right/>
      <top style="thin">
        <color theme="7" tint="0.39994506668294322"/>
      </top>
      <bottom/>
      <diagonal/>
    </border>
    <border>
      <left style="thin">
        <color theme="7" tint="0.39994506668294322"/>
      </left>
      <right/>
      <top style="thin">
        <color theme="7" tint="0.39994506668294322"/>
      </top>
      <bottom style="thin">
        <color theme="7" tint="0.39994506668294322"/>
      </bottom>
      <diagonal/>
    </border>
    <border>
      <left style="thin">
        <color theme="4" tint="0.39994506668294322"/>
      </left>
      <right style="thin">
        <color theme="4" tint="0.39994506668294322"/>
      </right>
      <top style="thin">
        <color theme="4" tint="0.39994506668294322"/>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right style="thin">
        <color theme="7" tint="0.39994506668294322"/>
      </right>
      <top style="thin">
        <color theme="7" tint="0.39994506668294322"/>
      </top>
      <bottom/>
      <diagonal/>
    </border>
    <border>
      <left/>
      <right style="thin">
        <color theme="7" tint="0.39994506668294322"/>
      </right>
      <top style="thin">
        <color theme="7" tint="0.39994506668294322"/>
      </top>
      <bottom style="thin">
        <color theme="7" tint="0.39994506668294322"/>
      </bottom>
      <diagonal/>
    </border>
    <border>
      <left/>
      <right/>
      <top style="thin">
        <color theme="8"/>
      </top>
      <bottom/>
      <diagonal/>
    </border>
    <border>
      <left/>
      <right/>
      <top/>
      <bottom style="thin">
        <color theme="8"/>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theme="0"/>
      </left>
      <right style="thin">
        <color theme="0"/>
      </right>
      <top style="thick">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ck">
        <color theme="0"/>
      </top>
      <bottom style="thin">
        <color theme="0"/>
      </bottom>
      <diagonal/>
    </border>
    <border diagonalDown="1">
      <left/>
      <right style="thin">
        <color theme="0"/>
      </right>
      <top/>
      <bottom style="thick">
        <color theme="0"/>
      </bottom>
      <diagonal style="thick">
        <color theme="0" tint="-4.9989318521683403E-2"/>
      </diagonal>
    </border>
    <border>
      <left style="thin">
        <color theme="4"/>
      </left>
      <right style="thin">
        <color theme="4"/>
      </right>
      <top style="thin">
        <color theme="4"/>
      </top>
      <bottom style="thin">
        <color theme="4"/>
      </bottom>
      <diagonal/>
    </border>
    <border>
      <left style="thin">
        <color theme="4" tint="0.39988402966399123"/>
      </left>
      <right style="thin">
        <color theme="4" tint="0.39988402966399123"/>
      </right>
      <top style="thin">
        <color theme="4" tint="0.39988402966399123"/>
      </top>
      <bottom style="thin">
        <color theme="4" tint="0.39988402966399123"/>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style="thin">
        <color rgb="FF7F7F7F"/>
      </bottom>
      <diagonal/>
    </border>
    <border>
      <left style="medium">
        <color indexed="64"/>
      </left>
      <right style="thin">
        <color auto="1"/>
      </right>
      <top/>
      <bottom/>
      <diagonal/>
    </border>
    <border>
      <left/>
      <right/>
      <top/>
      <bottom style="double">
        <color rgb="FFFF8001"/>
      </bottom>
      <diagonal/>
    </border>
  </borders>
  <cellStyleXfs count="13">
    <xf numFmtId="0" fontId="0" fillId="0" borderId="0">
      <alignment vertical="center"/>
    </xf>
    <xf numFmtId="0" fontId="79" fillId="0" borderId="0" applyNumberFormat="0" applyFill="0" applyBorder="0" applyAlignment="0" applyProtection="0">
      <alignment vertical="center"/>
    </xf>
    <xf numFmtId="9" fontId="59" fillId="0" borderId="0" applyFont="0" applyFill="0" applyBorder="0" applyAlignment="0" applyProtection="0">
      <alignment vertical="center"/>
    </xf>
    <xf numFmtId="0" fontId="41" fillId="0" borderId="0">
      <alignment vertical="center"/>
    </xf>
    <xf numFmtId="0" fontId="80" fillId="0" borderId="0"/>
    <xf numFmtId="0" fontId="59" fillId="0" borderId="0"/>
    <xf numFmtId="0" fontId="81" fillId="0" borderId="0">
      <alignment vertical="center"/>
    </xf>
    <xf numFmtId="0" fontId="109" fillId="56" borderId="0" applyNumberFormat="0" applyBorder="0" applyAlignment="0" applyProtection="0">
      <alignment vertical="center"/>
    </xf>
    <xf numFmtId="0" fontId="110" fillId="57" borderId="0" applyNumberFormat="0" applyBorder="0" applyAlignment="0" applyProtection="0">
      <alignment vertical="center"/>
    </xf>
    <xf numFmtId="0" fontId="111" fillId="58" borderId="173" applyNumberFormat="0" applyAlignment="0" applyProtection="0">
      <alignment vertical="center"/>
    </xf>
    <xf numFmtId="0" fontId="59" fillId="0" borderId="0">
      <alignment vertical="center"/>
    </xf>
    <xf numFmtId="0" fontId="119" fillId="0" borderId="176" applyNumberFormat="0" applyFill="0" applyAlignment="0" applyProtection="0">
      <alignment vertical="center"/>
    </xf>
    <xf numFmtId="0" fontId="126" fillId="0" borderId="0" applyNumberFormat="0" applyFill="0" applyBorder="0" applyAlignment="0" applyProtection="0">
      <alignment vertical="center"/>
    </xf>
  </cellStyleXfs>
  <cellXfs count="1217">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lignment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3" borderId="7" xfId="0" applyFont="1" applyFill="1" applyBorder="1">
      <alignment vertical="center"/>
    </xf>
    <xf numFmtId="0" fontId="1" fillId="3" borderId="8" xfId="0" applyFont="1" applyFill="1" applyBorder="1">
      <alignment vertical="center"/>
    </xf>
    <xf numFmtId="0" fontId="1" fillId="4" borderId="9" xfId="0" applyFont="1" applyFill="1" applyBorder="1">
      <alignment vertical="center"/>
    </xf>
    <xf numFmtId="0" fontId="4" fillId="5" borderId="10" xfId="0" applyFont="1" applyFill="1" applyBorder="1" applyAlignment="1">
      <alignment horizontal="center" vertical="center"/>
    </xf>
    <xf numFmtId="0" fontId="1" fillId="6" borderId="11" xfId="0" applyFont="1" applyFill="1" applyBorder="1" applyAlignment="1">
      <alignment horizontal="center" vertical="center"/>
    </xf>
    <xf numFmtId="14" fontId="1" fillId="6" borderId="11" xfId="0" applyNumberFormat="1" applyFont="1" applyFill="1" applyBorder="1" applyAlignment="1">
      <alignment horizontal="center" vertical="center"/>
    </xf>
    <xf numFmtId="0" fontId="1" fillId="0" borderId="0" xfId="0" applyFont="1" applyFill="1" applyBorder="1" applyAlignment="1">
      <alignment horizontal="center" vertical="center"/>
    </xf>
    <xf numFmtId="14" fontId="1" fillId="0" borderId="0" xfId="0" applyNumberFormat="1" applyFont="1" applyFill="1" applyBorder="1" applyAlignment="1">
      <alignment horizontal="center" vertical="center"/>
    </xf>
    <xf numFmtId="0" fontId="1" fillId="6" borderId="0" xfId="0" applyFont="1" applyFill="1" applyBorder="1" applyAlignment="1">
      <alignment horizontal="center" vertical="center"/>
    </xf>
    <xf numFmtId="14" fontId="1" fillId="6" borderId="0" xfId="0" applyNumberFormat="1" applyFont="1" applyFill="1" applyBorder="1" applyAlignment="1">
      <alignment horizontal="center" vertical="center"/>
    </xf>
    <xf numFmtId="0" fontId="1" fillId="6" borderId="12" xfId="0" applyFont="1" applyFill="1" applyBorder="1" applyAlignment="1">
      <alignment horizontal="center" vertical="center"/>
    </xf>
    <xf numFmtId="14" fontId="1" fillId="6" borderId="12" xfId="0" applyNumberFormat="1" applyFont="1" applyFill="1" applyBorder="1" applyAlignment="1">
      <alignment horizontal="center" vertical="center"/>
    </xf>
    <xf numFmtId="0" fontId="1" fillId="6" borderId="13" xfId="0" applyFont="1" applyFill="1" applyBorder="1" applyAlignment="1">
      <alignment horizontal="center" vertical="center"/>
    </xf>
    <xf numFmtId="14" fontId="1" fillId="6" borderId="13" xfId="0" applyNumberFormat="1" applyFont="1" applyFill="1" applyBorder="1" applyAlignment="1">
      <alignment horizontal="center" vertical="center"/>
    </xf>
    <xf numFmtId="0" fontId="1" fillId="7" borderId="13" xfId="0" applyFont="1" applyFill="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1" fillId="8" borderId="16" xfId="0" applyFont="1" applyFill="1" applyBorder="1" applyAlignment="1">
      <alignment horizontal="center" vertical="center"/>
    </xf>
    <xf numFmtId="0" fontId="1" fillId="8" borderId="17" xfId="0" applyFont="1" applyFill="1" applyBorder="1" applyAlignment="1">
      <alignment horizontal="center" vertical="center"/>
    </xf>
    <xf numFmtId="0" fontId="1" fillId="9" borderId="17" xfId="0" applyFont="1" applyFill="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4" borderId="15" xfId="0" applyFont="1" applyFill="1" applyBorder="1" applyAlignment="1">
      <alignment horizontal="center" vertical="center"/>
    </xf>
    <xf numFmtId="0" fontId="1" fillId="8" borderId="14" xfId="0" applyFont="1" applyFill="1" applyBorder="1" applyAlignment="1">
      <alignment horizontal="center" vertical="center"/>
    </xf>
    <xf numFmtId="0" fontId="1" fillId="8" borderId="15" xfId="0" applyFont="1" applyFill="1" applyBorder="1" applyAlignment="1">
      <alignment horizontal="center" vertical="center"/>
    </xf>
    <xf numFmtId="0" fontId="1" fillId="9" borderId="15" xfId="0" applyFont="1" applyFill="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4" borderId="19" xfId="0" applyFont="1" applyFill="1" applyBorder="1" applyAlignment="1">
      <alignment horizontal="center" vertical="center"/>
    </xf>
    <xf numFmtId="0" fontId="4" fillId="10" borderId="20" xfId="0" applyFont="1" applyFill="1" applyBorder="1" applyAlignment="1">
      <alignment horizontal="center" vertical="center"/>
    </xf>
    <xf numFmtId="0" fontId="1" fillId="0" borderId="20" xfId="0" applyFont="1" applyFill="1" applyBorder="1" applyAlignment="1">
      <alignment horizontal="center" vertical="center"/>
    </xf>
    <xf numFmtId="0" fontId="1" fillId="4" borderId="20" xfId="0" applyFont="1" applyFill="1" applyBorder="1">
      <alignment vertical="center"/>
    </xf>
    <xf numFmtId="0" fontId="1" fillId="0" borderId="0" xfId="0" applyFont="1" applyFill="1" applyBorder="1" applyAlignment="1">
      <alignment horizontal="left" vertical="center"/>
    </xf>
    <xf numFmtId="0" fontId="4" fillId="5" borderId="10" xfId="0" applyFont="1" applyFill="1" applyBorder="1">
      <alignment vertical="center"/>
    </xf>
    <xf numFmtId="0" fontId="1" fillId="6" borderId="11" xfId="0" applyFont="1" applyFill="1" applyBorder="1">
      <alignment vertical="center"/>
    </xf>
    <xf numFmtId="0" fontId="1" fillId="0" borderId="0" xfId="0" applyFont="1" applyFill="1" applyBorder="1">
      <alignment vertical="center"/>
    </xf>
    <xf numFmtId="0" fontId="1" fillId="6" borderId="12" xfId="0" applyFont="1" applyFill="1" applyBorder="1">
      <alignment vertical="center"/>
    </xf>
    <xf numFmtId="0" fontId="1" fillId="4" borderId="21" xfId="0" applyFont="1" applyFill="1" applyBorder="1">
      <alignment vertical="center"/>
    </xf>
    <xf numFmtId="0" fontId="4" fillId="5" borderId="0" xfId="0" applyFont="1" applyFill="1" applyBorder="1" applyAlignment="1">
      <alignment horizontal="center"/>
    </xf>
    <xf numFmtId="0" fontId="4" fillId="5" borderId="22" xfId="0" applyFont="1" applyFill="1" applyBorder="1" applyAlignment="1">
      <alignment horizontal="center"/>
    </xf>
    <xf numFmtId="14" fontId="1" fillId="11" borderId="23" xfId="0" applyNumberFormat="1" applyFont="1" applyFill="1" applyBorder="1" applyAlignment="1">
      <alignment horizontal="center"/>
    </xf>
    <xf numFmtId="0" fontId="1" fillId="11" borderId="24" xfId="0" applyFont="1" applyFill="1" applyBorder="1" applyAlignment="1">
      <alignment horizontal="center"/>
    </xf>
    <xf numFmtId="14" fontId="1" fillId="8" borderId="25" xfId="0" applyNumberFormat="1" applyFont="1" applyFill="1" applyBorder="1" applyAlignment="1">
      <alignment horizontal="center"/>
    </xf>
    <xf numFmtId="0" fontId="1" fillId="8" borderId="26" xfId="0" applyFont="1" applyFill="1" applyBorder="1" applyAlignment="1">
      <alignment horizontal="center"/>
    </xf>
    <xf numFmtId="14" fontId="1" fillId="11" borderId="25" xfId="0" applyNumberFormat="1" applyFont="1" applyFill="1" applyBorder="1" applyAlignment="1">
      <alignment horizontal="center"/>
    </xf>
    <xf numFmtId="0" fontId="1" fillId="11" borderId="26" xfId="0" applyFont="1" applyFill="1" applyBorder="1" applyAlignment="1">
      <alignment horizontal="center"/>
    </xf>
    <xf numFmtId="0" fontId="4" fillId="5" borderId="27" xfId="0" applyFont="1" applyFill="1" applyBorder="1" applyAlignment="1">
      <alignment horizontal="center"/>
    </xf>
    <xf numFmtId="14" fontId="1" fillId="11" borderId="28" xfId="0" applyNumberFormat="1" applyFont="1" applyFill="1" applyBorder="1" applyAlignment="1">
      <alignment horizontal="center"/>
    </xf>
    <xf numFmtId="0" fontId="4" fillId="5" borderId="29" xfId="0" applyFont="1" applyFill="1" applyBorder="1" applyAlignment="1">
      <alignment horizontal="center"/>
    </xf>
    <xf numFmtId="0" fontId="1" fillId="11" borderId="30" xfId="0" applyFont="1" applyFill="1" applyBorder="1" applyAlignment="1">
      <alignment horizontal="center"/>
    </xf>
    <xf numFmtId="0" fontId="4" fillId="5" borderId="31" xfId="0" applyFont="1" applyFill="1" applyBorder="1" applyAlignment="1">
      <alignment horizontal="center"/>
    </xf>
    <xf numFmtId="0" fontId="1" fillId="12" borderId="32" xfId="0" applyFont="1" applyFill="1" applyBorder="1" applyAlignment="1">
      <alignment horizontal="center"/>
    </xf>
    <xf numFmtId="0" fontId="4" fillId="5" borderId="33" xfId="0" applyFont="1" applyFill="1" applyBorder="1" applyAlignment="1">
      <alignment horizontal="center" vertical="center"/>
    </xf>
    <xf numFmtId="14" fontId="4" fillId="5" borderId="34" xfId="0" applyNumberFormat="1" applyFont="1" applyFill="1" applyBorder="1" applyAlignment="1">
      <alignment horizontal="center" vertical="center"/>
    </xf>
    <xf numFmtId="14" fontId="4" fillId="5" borderId="35" xfId="0" applyNumberFormat="1" applyFont="1" applyFill="1" applyBorder="1" applyAlignment="1">
      <alignment horizontal="center" vertical="center"/>
    </xf>
    <xf numFmtId="14" fontId="1" fillId="8" borderId="33" xfId="0" applyNumberFormat="1" applyFont="1" applyFill="1" applyBorder="1" applyAlignment="1">
      <alignment horizontal="center" vertical="center"/>
    </xf>
    <xf numFmtId="0" fontId="1" fillId="8" borderId="34" xfId="0" applyFont="1" applyFill="1" applyBorder="1" applyAlignment="1">
      <alignment horizontal="center" vertical="center"/>
    </xf>
    <xf numFmtId="0" fontId="1" fillId="8" borderId="35" xfId="0" applyFont="1" applyFill="1" applyBorder="1" applyAlignment="1">
      <alignment horizontal="center" vertical="center"/>
    </xf>
    <xf numFmtId="14" fontId="1" fillId="0" borderId="33" xfId="0" applyNumberFormat="1"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14" fontId="1" fillId="0" borderId="36" xfId="0" applyNumberFormat="1"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4" fillId="5" borderId="33" xfId="0" applyFont="1" applyFill="1" applyBorder="1">
      <alignment vertical="center"/>
    </xf>
    <xf numFmtId="0" fontId="4" fillId="5" borderId="34" xfId="0" applyFont="1" applyFill="1" applyBorder="1">
      <alignment vertical="center"/>
    </xf>
    <xf numFmtId="0" fontId="1" fillId="0" borderId="20" xfId="0" applyFont="1" applyBorder="1" applyAlignment="1">
      <alignment horizontal="center" vertical="center"/>
    </xf>
    <xf numFmtId="0" fontId="1" fillId="8" borderId="33" xfId="0" applyFont="1" applyFill="1" applyBorder="1">
      <alignment vertical="center"/>
    </xf>
    <xf numFmtId="0" fontId="1" fillId="8" borderId="35" xfId="0" applyFont="1" applyFill="1" applyBorder="1">
      <alignment vertical="center"/>
    </xf>
    <xf numFmtId="0" fontId="1" fillId="12" borderId="39" xfId="0" applyFont="1" applyFill="1" applyBorder="1" applyAlignment="1">
      <alignment horizontal="center"/>
    </xf>
    <xf numFmtId="0" fontId="1" fillId="0" borderId="33" xfId="0" applyFont="1" applyBorder="1">
      <alignment vertical="center"/>
    </xf>
    <xf numFmtId="0" fontId="1" fillId="0" borderId="35" xfId="0" applyFont="1" applyBorder="1">
      <alignment vertical="center"/>
    </xf>
    <xf numFmtId="17" fontId="1" fillId="0" borderId="20" xfId="0" applyNumberFormat="1" applyFont="1" applyBorder="1" applyAlignment="1">
      <alignment horizontal="center" vertical="center"/>
    </xf>
    <xf numFmtId="0" fontId="1" fillId="8" borderId="36" xfId="0" applyFont="1" applyFill="1" applyBorder="1">
      <alignment vertical="center"/>
    </xf>
    <xf numFmtId="0" fontId="1" fillId="8" borderId="38" xfId="0" applyFont="1" applyFill="1" applyBorder="1">
      <alignment vertical="center"/>
    </xf>
    <xf numFmtId="0" fontId="1" fillId="11" borderId="23" xfId="0" applyFont="1" applyFill="1" applyBorder="1" applyAlignment="1">
      <alignment horizontal="center"/>
    </xf>
    <xf numFmtId="0" fontId="1" fillId="13" borderId="25" xfId="0" applyFont="1" applyFill="1" applyBorder="1" applyAlignment="1">
      <alignment horizontal="center"/>
    </xf>
    <xf numFmtId="0" fontId="1" fillId="11" borderId="25" xfId="0" applyFont="1" applyFill="1" applyBorder="1" applyAlignment="1">
      <alignment horizontal="center"/>
    </xf>
    <xf numFmtId="0" fontId="3" fillId="0" borderId="40" xfId="0" applyFont="1" applyBorder="1" applyAlignment="1">
      <alignment horizontal="center" vertical="center"/>
    </xf>
    <xf numFmtId="0" fontId="3" fillId="0" borderId="41" xfId="0" applyFont="1" applyBorder="1" applyAlignment="1">
      <alignment horizontal="center" vertical="center"/>
    </xf>
    <xf numFmtId="0" fontId="1" fillId="0" borderId="20" xfId="0" applyFont="1" applyBorder="1" applyAlignment="1"/>
    <xf numFmtId="0" fontId="5" fillId="0" borderId="20" xfId="0" applyFont="1" applyBorder="1" applyAlignment="1"/>
    <xf numFmtId="0" fontId="1" fillId="14" borderId="42" xfId="0" applyFont="1" applyFill="1" applyBorder="1" applyAlignment="1">
      <alignment horizontal="center" vertical="center"/>
    </xf>
    <xf numFmtId="58" fontId="1" fillId="14" borderId="43" xfId="0" applyNumberFormat="1" applyFont="1" applyFill="1" applyBorder="1" applyAlignment="1">
      <alignment horizontal="center" vertical="center"/>
    </xf>
    <xf numFmtId="14" fontId="1" fillId="4" borderId="20" xfId="0" applyNumberFormat="1" applyFont="1" applyFill="1" applyBorder="1" applyAlignment="1"/>
    <xf numFmtId="0" fontId="1" fillId="0" borderId="44" xfId="0" applyFont="1" applyBorder="1" applyAlignment="1">
      <alignment horizontal="center" vertical="center"/>
    </xf>
    <xf numFmtId="58" fontId="1" fillId="0" borderId="45" xfId="0" applyNumberFormat="1" applyFont="1" applyBorder="1" applyAlignment="1">
      <alignment horizontal="center" vertical="center"/>
    </xf>
    <xf numFmtId="0" fontId="1" fillId="14" borderId="44" xfId="0" applyFont="1" applyFill="1" applyBorder="1" applyAlignment="1">
      <alignment horizontal="center" vertical="center"/>
    </xf>
    <xf numFmtId="58" fontId="1" fillId="14" borderId="45" xfId="0" applyNumberFormat="1" applyFont="1" applyFill="1" applyBorder="1" applyAlignment="1">
      <alignment horizontal="center" vertical="center"/>
    </xf>
    <xf numFmtId="0" fontId="1" fillId="0" borderId="20" xfId="0" applyFont="1" applyBorder="1">
      <alignment vertical="center"/>
    </xf>
    <xf numFmtId="0" fontId="1" fillId="14" borderId="46" xfId="0" applyFont="1" applyFill="1" applyBorder="1" applyAlignment="1">
      <alignment horizontal="center" vertical="center"/>
    </xf>
    <xf numFmtId="58" fontId="1" fillId="14" borderId="47" xfId="0" applyNumberFormat="1" applyFont="1" applyFill="1" applyBorder="1" applyAlignment="1">
      <alignment horizontal="center" vertical="center"/>
    </xf>
    <xf numFmtId="0" fontId="4" fillId="5" borderId="48" xfId="0" applyFont="1" applyFill="1" applyBorder="1" applyAlignment="1"/>
    <xf numFmtId="0" fontId="4" fillId="5" borderId="49" xfId="0" applyFont="1" applyFill="1" applyBorder="1" applyAlignment="1"/>
    <xf numFmtId="0" fontId="4" fillId="5" borderId="50" xfId="0" applyFont="1" applyFill="1" applyBorder="1" applyAlignment="1"/>
    <xf numFmtId="0" fontId="1" fillId="0" borderId="0" xfId="0" applyFont="1" applyBorder="1" applyAlignment="1"/>
    <xf numFmtId="0" fontId="1" fillId="16" borderId="48" xfId="0" applyFont="1" applyFill="1" applyBorder="1" applyAlignment="1"/>
    <xf numFmtId="0" fontId="1" fillId="16" borderId="49" xfId="0" applyFont="1" applyFill="1" applyBorder="1" applyAlignment="1"/>
    <xf numFmtId="0" fontId="1" fillId="16" borderId="50" xfId="0" applyFont="1" applyFill="1" applyBorder="1" applyAlignment="1"/>
    <xf numFmtId="0" fontId="1" fillId="0" borderId="48" xfId="0" applyFont="1" applyBorder="1" applyAlignment="1"/>
    <xf numFmtId="0" fontId="1" fillId="0" borderId="49" xfId="0" applyFont="1" applyBorder="1" applyAlignment="1"/>
    <xf numFmtId="0" fontId="1" fillId="0" borderId="50" xfId="0" applyFont="1" applyBorder="1" applyAlignment="1"/>
    <xf numFmtId="0" fontId="1" fillId="0" borderId="0" xfId="0" applyFont="1" applyBorder="1" applyAlignment="1">
      <alignment horizontal="center" vertical="center"/>
    </xf>
    <xf numFmtId="0" fontId="1" fillId="0" borderId="52" xfId="0" applyFont="1" applyBorder="1" applyAlignment="1"/>
    <xf numFmtId="0" fontId="1" fillId="0" borderId="53" xfId="0" applyFont="1" applyBorder="1" applyAlignment="1"/>
    <xf numFmtId="0" fontId="1" fillId="0" borderId="54" xfId="0" applyFont="1" applyBorder="1" applyAlignment="1"/>
    <xf numFmtId="0" fontId="1" fillId="0" borderId="0" xfId="0" applyFont="1" applyBorder="1">
      <alignment vertical="center"/>
    </xf>
    <xf numFmtId="0" fontId="4" fillId="5" borderId="55" xfId="0" applyFont="1" applyFill="1" applyBorder="1" applyAlignment="1">
      <alignment horizontal="center"/>
    </xf>
    <xf numFmtId="0" fontId="6" fillId="5" borderId="49" xfId="0" applyFont="1" applyFill="1" applyBorder="1" applyAlignment="1"/>
    <xf numFmtId="0" fontId="7" fillId="4" borderId="0" xfId="0" applyFont="1" applyFill="1" applyBorder="1">
      <alignment vertical="center"/>
    </xf>
    <xf numFmtId="0" fontId="4" fillId="5" borderId="48" xfId="0" applyFont="1" applyFill="1" applyBorder="1">
      <alignment vertical="center"/>
    </xf>
    <xf numFmtId="0" fontId="4" fillId="5" borderId="49" xfId="0" applyFont="1" applyFill="1" applyBorder="1">
      <alignment vertical="center"/>
    </xf>
    <xf numFmtId="0" fontId="4" fillId="5" borderId="50" xfId="0" applyFont="1" applyFill="1" applyBorder="1">
      <alignment vertical="center"/>
    </xf>
    <xf numFmtId="0" fontId="4" fillId="5" borderId="56" xfId="0" applyFont="1" applyFill="1" applyBorder="1">
      <alignment vertical="center"/>
    </xf>
    <xf numFmtId="0" fontId="4" fillId="5" borderId="49" xfId="0" applyFont="1" applyFill="1" applyBorder="1" applyAlignment="1">
      <alignment horizontal="left" vertical="center"/>
    </xf>
    <xf numFmtId="0" fontId="1" fillId="16" borderId="48" xfId="0" applyFont="1" applyFill="1" applyBorder="1">
      <alignment vertical="center"/>
    </xf>
    <xf numFmtId="0" fontId="1" fillId="16" borderId="49" xfId="0" applyFont="1" applyFill="1" applyBorder="1">
      <alignment vertical="center"/>
    </xf>
    <xf numFmtId="0" fontId="1" fillId="16" borderId="50" xfId="0" applyFont="1" applyFill="1" applyBorder="1">
      <alignment vertical="center"/>
    </xf>
    <xf numFmtId="0" fontId="1" fillId="16" borderId="56" xfId="0" applyFont="1" applyFill="1" applyBorder="1">
      <alignment vertical="center"/>
    </xf>
    <xf numFmtId="0" fontId="1" fillId="16" borderId="49" xfId="0" applyFont="1" applyFill="1" applyBorder="1" applyAlignment="1">
      <alignment horizontal="left" vertical="center"/>
    </xf>
    <xf numFmtId="0" fontId="1" fillId="0" borderId="48" xfId="0" applyFont="1" applyBorder="1">
      <alignment vertical="center"/>
    </xf>
    <xf numFmtId="0" fontId="1" fillId="0" borderId="49" xfId="0" applyFont="1" applyBorder="1">
      <alignment vertical="center"/>
    </xf>
    <xf numFmtId="0" fontId="1" fillId="0" borderId="50" xfId="0" applyFont="1" applyBorder="1">
      <alignment vertical="center"/>
    </xf>
    <xf numFmtId="0" fontId="1" fillId="0" borderId="56" xfId="0" applyFont="1" applyBorder="1">
      <alignment vertical="center"/>
    </xf>
    <xf numFmtId="0" fontId="1" fillId="0" borderId="49" xfId="0" applyFont="1" applyBorder="1" applyAlignment="1">
      <alignment horizontal="left" vertical="center"/>
    </xf>
    <xf numFmtId="0" fontId="1" fillId="16" borderId="52" xfId="0" applyFont="1" applyFill="1" applyBorder="1">
      <alignment vertical="center"/>
    </xf>
    <xf numFmtId="0" fontId="1" fillId="16" borderId="53" xfId="0" applyFont="1" applyFill="1" applyBorder="1">
      <alignment vertical="center"/>
    </xf>
    <xf numFmtId="0" fontId="1" fillId="16" borderId="54" xfId="0" applyFont="1" applyFill="1" applyBorder="1">
      <alignment vertical="center"/>
    </xf>
    <xf numFmtId="0" fontId="1" fillId="16" borderId="57" xfId="0" applyFont="1" applyFill="1" applyBorder="1">
      <alignment vertical="center"/>
    </xf>
    <xf numFmtId="0" fontId="1" fillId="16" borderId="53" xfId="0" applyFont="1" applyFill="1" applyBorder="1" applyAlignment="1">
      <alignment horizontal="left" vertical="center"/>
    </xf>
    <xf numFmtId="0" fontId="6" fillId="5" borderId="59" xfId="0" applyFont="1" applyFill="1" applyBorder="1" applyAlignment="1">
      <alignment horizontal="center" vertical="center" wrapText="1"/>
    </xf>
    <xf numFmtId="0" fontId="9" fillId="17" borderId="60" xfId="0" applyFont="1" applyFill="1" applyBorder="1" applyAlignment="1">
      <alignment horizontal="center" vertical="center"/>
    </xf>
    <xf numFmtId="0" fontId="6" fillId="17" borderId="60" xfId="0" applyFont="1" applyFill="1" applyBorder="1" applyAlignment="1">
      <alignment horizontal="center" vertical="center"/>
    </xf>
    <xf numFmtId="0" fontId="5" fillId="16" borderId="59" xfId="0" applyFont="1" applyFill="1" applyBorder="1" applyAlignment="1">
      <alignment horizontal="center" vertical="center"/>
    </xf>
    <xf numFmtId="0" fontId="10" fillId="16" borderId="60" xfId="0" applyFont="1" applyFill="1" applyBorder="1" applyAlignment="1">
      <alignment horizontal="center" vertical="center" wrapText="1"/>
    </xf>
    <xf numFmtId="0" fontId="5" fillId="16" borderId="60" xfId="0" applyFont="1" applyFill="1" applyBorder="1" applyAlignment="1">
      <alignment horizontal="center" vertical="center"/>
    </xf>
    <xf numFmtId="0" fontId="5" fillId="0" borderId="59" xfId="0" applyFont="1" applyBorder="1" applyAlignment="1">
      <alignment horizontal="center" vertical="center"/>
    </xf>
    <xf numFmtId="0" fontId="10" fillId="0" borderId="60" xfId="0" applyFont="1" applyBorder="1" applyAlignment="1">
      <alignment horizontal="center" vertical="center"/>
    </xf>
    <xf numFmtId="0" fontId="5" fillId="0" borderId="60" xfId="0" applyFont="1" applyBorder="1" applyAlignment="1">
      <alignment horizontal="center" vertical="center"/>
    </xf>
    <xf numFmtId="0" fontId="10" fillId="16" borderId="60" xfId="0" applyFont="1" applyFill="1" applyBorder="1" applyAlignment="1">
      <alignment horizontal="center" vertical="center"/>
    </xf>
    <xf numFmtId="0" fontId="5" fillId="0" borderId="61" xfId="0" applyFont="1" applyBorder="1" applyAlignment="1">
      <alignment horizontal="center" vertical="center"/>
    </xf>
    <xf numFmtId="0" fontId="10" fillId="0" borderId="62" xfId="0" applyFont="1" applyBorder="1" applyAlignment="1">
      <alignment horizontal="center" vertical="center"/>
    </xf>
    <xf numFmtId="0" fontId="5" fillId="0" borderId="62" xfId="0" applyFont="1" applyBorder="1" applyAlignment="1">
      <alignment horizontal="center" vertical="center"/>
    </xf>
    <xf numFmtId="0" fontId="1" fillId="0" borderId="0" xfId="0" applyFont="1" applyAlignment="1">
      <alignment horizontal="center" vertical="center"/>
    </xf>
    <xf numFmtId="0" fontId="12" fillId="5" borderId="59" xfId="0" applyFont="1" applyFill="1" applyBorder="1" applyAlignment="1">
      <alignment horizontal="center" vertical="center"/>
    </xf>
    <xf numFmtId="0" fontId="12" fillId="5" borderId="60" xfId="0" applyFont="1" applyFill="1" applyBorder="1" applyAlignment="1">
      <alignment horizontal="center" vertical="center"/>
    </xf>
    <xf numFmtId="0" fontId="12" fillId="5" borderId="60" xfId="0" applyFont="1" applyFill="1" applyBorder="1" applyAlignment="1">
      <alignment horizontal="center" vertical="center" wrapText="1"/>
    </xf>
    <xf numFmtId="0" fontId="12" fillId="5" borderId="63" xfId="0" applyFont="1" applyFill="1" applyBorder="1" applyAlignment="1">
      <alignment horizontal="center" vertical="center" wrapText="1"/>
    </xf>
    <xf numFmtId="0" fontId="13" fillId="5" borderId="60" xfId="0" applyFont="1" applyFill="1" applyBorder="1" applyAlignment="1">
      <alignment horizontal="center" vertical="center"/>
    </xf>
    <xf numFmtId="0" fontId="14" fillId="16" borderId="59" xfId="0" applyFont="1" applyFill="1" applyBorder="1" applyAlignment="1">
      <alignment horizontal="center" vertical="center" wrapText="1"/>
    </xf>
    <xf numFmtId="0" fontId="14" fillId="16" borderId="60" xfId="0" applyFont="1" applyFill="1" applyBorder="1" applyAlignment="1">
      <alignment horizontal="center" vertical="center" wrapText="1"/>
    </xf>
    <xf numFmtId="0" fontId="15" fillId="16" borderId="60" xfId="0" applyFont="1" applyFill="1" applyBorder="1" applyAlignment="1">
      <alignment horizontal="center" vertical="center" wrapText="1"/>
    </xf>
    <xf numFmtId="0" fontId="1" fillId="16" borderId="63" xfId="0" applyFont="1" applyFill="1" applyBorder="1" applyAlignment="1">
      <alignment horizontal="center" vertical="center"/>
    </xf>
    <xf numFmtId="0" fontId="15" fillId="16" borderId="60" xfId="0" applyFont="1" applyFill="1" applyBorder="1" applyAlignment="1">
      <alignment horizontal="center" vertical="center" shrinkToFit="1"/>
    </xf>
    <xf numFmtId="0" fontId="14" fillId="0" borderId="59" xfId="0" applyFont="1" applyBorder="1" applyAlignment="1">
      <alignment horizontal="center" vertical="center" wrapText="1"/>
    </xf>
    <xf numFmtId="0" fontId="14" fillId="0" borderId="60" xfId="0" applyFont="1" applyBorder="1" applyAlignment="1">
      <alignment horizontal="center" vertical="center" wrapText="1"/>
    </xf>
    <xf numFmtId="0" fontId="15" fillId="0" borderId="60" xfId="0" applyFont="1" applyBorder="1" applyAlignment="1">
      <alignment horizontal="center" vertical="center" wrapText="1"/>
    </xf>
    <xf numFmtId="0" fontId="1" fillId="0" borderId="63" xfId="0" applyFont="1" applyBorder="1" applyAlignment="1">
      <alignment horizontal="center" vertical="center"/>
    </xf>
    <xf numFmtId="0" fontId="15" fillId="0" borderId="60" xfId="0" applyFont="1" applyBorder="1" applyAlignment="1">
      <alignment horizontal="center" vertical="center" shrinkToFit="1"/>
    </xf>
    <xf numFmtId="0" fontId="1" fillId="16" borderId="59" xfId="0" applyFont="1" applyFill="1" applyBorder="1" applyAlignment="1">
      <alignment horizontal="center" vertical="center" wrapText="1"/>
    </xf>
    <xf numFmtId="0" fontId="1" fillId="16" borderId="60" xfId="0" applyFont="1" applyFill="1" applyBorder="1" applyAlignment="1">
      <alignment horizontal="center" vertical="center" wrapText="1"/>
    </xf>
    <xf numFmtId="0" fontId="1" fillId="0" borderId="59" xfId="0" applyFont="1" applyBorder="1" applyAlignment="1">
      <alignment horizontal="center" vertical="center" wrapText="1"/>
    </xf>
    <xf numFmtId="0" fontId="1" fillId="0" borderId="60" xfId="0" applyFont="1" applyBorder="1" applyAlignment="1">
      <alignment horizontal="center" vertical="center" wrapText="1"/>
    </xf>
    <xf numFmtId="0" fontId="1" fillId="0" borderId="60" xfId="0" applyFont="1" applyBorder="1" applyAlignment="1">
      <alignment horizontal="center" vertical="center"/>
    </xf>
    <xf numFmtId="0" fontId="1" fillId="16" borderId="60" xfId="0" applyFont="1" applyFill="1" applyBorder="1" applyAlignment="1">
      <alignment horizontal="center" vertical="center"/>
    </xf>
    <xf numFmtId="0" fontId="15" fillId="16" borderId="62" xfId="0" applyFont="1" applyFill="1" applyBorder="1" applyAlignment="1">
      <alignment horizontal="center" vertical="center" shrinkToFit="1"/>
    </xf>
    <xf numFmtId="0" fontId="1" fillId="4" borderId="49" xfId="0" applyFont="1" applyFill="1" applyBorder="1">
      <alignment vertical="center"/>
    </xf>
    <xf numFmtId="0" fontId="1" fillId="4" borderId="50" xfId="0" applyFont="1" applyFill="1" applyBorder="1">
      <alignment vertical="center"/>
    </xf>
    <xf numFmtId="0" fontId="1" fillId="4" borderId="53" xfId="0" applyFont="1" applyFill="1" applyBorder="1">
      <alignment vertical="center"/>
    </xf>
    <xf numFmtId="0" fontId="1" fillId="4" borderId="54" xfId="0" applyFont="1" applyFill="1" applyBorder="1">
      <alignment vertical="center"/>
    </xf>
    <xf numFmtId="0" fontId="6" fillId="17" borderId="63" xfId="0" applyFont="1" applyFill="1" applyBorder="1" applyAlignment="1">
      <alignment horizontal="center" vertical="center"/>
    </xf>
    <xf numFmtId="0" fontId="5" fillId="17" borderId="20" xfId="0" applyFont="1" applyFill="1" applyBorder="1" applyAlignment="1">
      <alignment horizontal="center" vertical="center"/>
    </xf>
    <xf numFmtId="0" fontId="5" fillId="18" borderId="20" xfId="0" applyFont="1" applyFill="1" applyBorder="1" applyAlignment="1">
      <alignment horizontal="center" vertical="center"/>
    </xf>
    <xf numFmtId="0" fontId="5" fillId="16" borderId="63" xfId="0" applyFont="1" applyFill="1" applyBorder="1" applyAlignment="1">
      <alignment horizontal="center" vertical="center"/>
    </xf>
    <xf numFmtId="0" fontId="5" fillId="4" borderId="20" xfId="0" applyFont="1" applyFill="1" applyBorder="1" applyAlignment="1">
      <alignment horizontal="center" vertical="center"/>
    </xf>
    <xf numFmtId="0" fontId="5" fillId="0" borderId="63" xfId="0" applyFont="1" applyBorder="1" applyAlignment="1">
      <alignment horizontal="center" vertical="center"/>
    </xf>
    <xf numFmtId="0" fontId="5" fillId="0" borderId="20" xfId="0" applyFont="1" applyBorder="1" applyAlignment="1">
      <alignment horizontal="center" vertical="center"/>
    </xf>
    <xf numFmtId="0" fontId="16" fillId="4" borderId="60" xfId="0" applyFont="1" applyFill="1" applyBorder="1" applyAlignment="1">
      <alignment horizontal="center" vertical="center"/>
    </xf>
    <xf numFmtId="0" fontId="16" fillId="4" borderId="63" xfId="0" applyFont="1" applyFill="1" applyBorder="1" applyAlignment="1">
      <alignment horizontal="center" vertical="center"/>
    </xf>
    <xf numFmtId="0" fontId="16" fillId="4" borderId="20" xfId="0" applyFont="1" applyFill="1" applyBorder="1" applyAlignment="1">
      <alignment horizontal="center" vertical="center"/>
    </xf>
    <xf numFmtId="0" fontId="16" fillId="4" borderId="64" xfId="0" applyFont="1" applyFill="1" applyBorder="1" applyAlignment="1">
      <alignment horizontal="center" vertical="center"/>
    </xf>
    <xf numFmtId="0" fontId="17" fillId="4" borderId="20" xfId="0" applyFont="1" applyFill="1" applyBorder="1" applyAlignment="1">
      <alignment horizontal="center" vertical="center"/>
    </xf>
    <xf numFmtId="0" fontId="18" fillId="4" borderId="20" xfId="0" applyFont="1" applyFill="1" applyBorder="1" applyAlignment="1">
      <alignment horizontal="center" vertical="center"/>
    </xf>
    <xf numFmtId="0" fontId="1" fillId="0" borderId="61" xfId="0" applyFont="1" applyBorder="1" applyAlignment="1">
      <alignment horizontal="center" vertical="center" wrapText="1"/>
    </xf>
    <xf numFmtId="0" fontId="1" fillId="0" borderId="62" xfId="0" applyFont="1" applyBorder="1" applyAlignment="1">
      <alignment horizontal="center" vertical="center" wrapText="1"/>
    </xf>
    <xf numFmtId="0" fontId="15" fillId="0" borderId="62" xfId="0" applyFont="1" applyBorder="1" applyAlignment="1">
      <alignment horizontal="center" vertical="center" wrapText="1"/>
    </xf>
    <xf numFmtId="0" fontId="1" fillId="0" borderId="62" xfId="0" applyFont="1" applyBorder="1" applyAlignment="1">
      <alignment horizontal="center" vertical="center"/>
    </xf>
    <xf numFmtId="0" fontId="4" fillId="5" borderId="48" xfId="0" applyFont="1" applyFill="1" applyBorder="1" applyAlignment="1">
      <alignment horizontal="center" vertical="center"/>
    </xf>
    <xf numFmtId="0" fontId="4" fillId="5" borderId="49" xfId="0" applyFont="1" applyFill="1" applyBorder="1" applyAlignment="1">
      <alignment horizontal="center" vertical="center"/>
    </xf>
    <xf numFmtId="0" fontId="4" fillId="5" borderId="50" xfId="0" applyFont="1" applyFill="1" applyBorder="1" applyAlignment="1">
      <alignment horizontal="center" vertical="center"/>
    </xf>
    <xf numFmtId="0" fontId="1" fillId="16" borderId="48" xfId="0" applyFont="1" applyFill="1" applyBorder="1" applyAlignment="1">
      <alignment horizontal="center" vertical="center"/>
    </xf>
    <xf numFmtId="0" fontId="1" fillId="16" borderId="49" xfId="0" applyFont="1" applyFill="1" applyBorder="1" applyAlignment="1">
      <alignment horizontal="center" vertical="center"/>
    </xf>
    <xf numFmtId="0" fontId="1" fillId="16" borderId="50" xfId="0" applyFont="1" applyFill="1" applyBorder="1" applyAlignment="1">
      <alignment horizontal="center" vertical="center"/>
    </xf>
    <xf numFmtId="0" fontId="19" fillId="0" borderId="0" xfId="0" applyFont="1">
      <alignment vertical="center"/>
    </xf>
    <xf numFmtId="0" fontId="1" fillId="0" borderId="48" xfId="0" applyFont="1" applyBorder="1" applyAlignment="1">
      <alignment horizontal="center" vertical="center"/>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13" fillId="0" borderId="0" xfId="0" applyFont="1">
      <alignment vertical="center"/>
    </xf>
    <xf numFmtId="0" fontId="1" fillId="0" borderId="52" xfId="0" applyFont="1" applyBorder="1" applyAlignment="1">
      <alignment horizontal="center" vertical="center"/>
    </xf>
    <xf numFmtId="0" fontId="1" fillId="0" borderId="53" xfId="0" applyFont="1" applyBorder="1" applyAlignment="1">
      <alignment horizontal="center" vertical="center"/>
    </xf>
    <xf numFmtId="0" fontId="1" fillId="0" borderId="54" xfId="0" applyFont="1" applyBorder="1" applyAlignment="1">
      <alignment horizontal="center" vertical="center"/>
    </xf>
    <xf numFmtId="0" fontId="4" fillId="5" borderId="56" xfId="0" applyFont="1" applyFill="1" applyBorder="1" applyAlignment="1">
      <alignment horizontal="center" vertical="center"/>
    </xf>
    <xf numFmtId="0" fontId="1" fillId="19" borderId="50" xfId="0" applyFont="1" applyFill="1" applyBorder="1" applyAlignment="1">
      <alignment horizontal="center" vertical="center"/>
    </xf>
    <xf numFmtId="0" fontId="1" fillId="4" borderId="54" xfId="0" applyFont="1" applyFill="1" applyBorder="1" applyAlignment="1">
      <alignment horizontal="center" vertical="center"/>
    </xf>
    <xf numFmtId="0" fontId="4" fillId="5" borderId="40" xfId="0" applyFont="1" applyFill="1" applyBorder="1" applyAlignment="1">
      <alignment horizontal="center" vertical="center"/>
    </xf>
    <xf numFmtId="0" fontId="4" fillId="5" borderId="65" xfId="0" applyFont="1" applyFill="1" applyBorder="1" applyAlignment="1">
      <alignment horizontal="center" vertical="center"/>
    </xf>
    <xf numFmtId="0" fontId="1" fillId="4" borderId="50" xfId="0" applyFont="1" applyFill="1" applyBorder="1" applyAlignment="1">
      <alignment horizontal="center" vertical="center"/>
    </xf>
    <xf numFmtId="177" fontId="1" fillId="0" borderId="66" xfId="0" applyNumberFormat="1" applyFont="1" applyBorder="1">
      <alignment vertical="center"/>
    </xf>
    <xf numFmtId="177" fontId="1" fillId="0" borderId="20" xfId="0" applyNumberFormat="1" applyFont="1" applyBorder="1">
      <alignment vertical="center"/>
    </xf>
    <xf numFmtId="0" fontId="13" fillId="0" borderId="0" xfId="0" applyFont="1" applyBorder="1">
      <alignment vertical="center"/>
    </xf>
    <xf numFmtId="0" fontId="13" fillId="0" borderId="0" xfId="0" applyFont="1" applyFill="1" applyBorder="1">
      <alignment vertical="center"/>
    </xf>
    <xf numFmtId="0" fontId="4" fillId="5" borderId="59" xfId="0" applyFont="1" applyFill="1" applyBorder="1" applyAlignment="1">
      <alignment horizontal="center" vertical="center"/>
    </xf>
    <xf numFmtId="49" fontId="12" fillId="5" borderId="60" xfId="0" applyNumberFormat="1" applyFont="1" applyFill="1" applyBorder="1" applyAlignment="1">
      <alignment horizontal="center" vertical="center" wrapText="1"/>
    </xf>
    <xf numFmtId="0" fontId="1" fillId="16" borderId="59" xfId="0" applyFont="1" applyFill="1" applyBorder="1" applyAlignment="1">
      <alignment horizontal="center" vertical="center"/>
    </xf>
    <xf numFmtId="49" fontId="1" fillId="20" borderId="60" xfId="0" applyNumberFormat="1" applyFont="1" applyFill="1" applyBorder="1" applyAlignment="1">
      <alignment horizontal="center" vertical="center"/>
    </xf>
    <xf numFmtId="1" fontId="1" fillId="19" borderId="63" xfId="0" applyNumberFormat="1" applyFont="1" applyFill="1" applyBorder="1" applyAlignment="1">
      <alignment horizontal="center" vertical="center"/>
    </xf>
    <xf numFmtId="0" fontId="1" fillId="0" borderId="59" xfId="0" applyFont="1" applyBorder="1" applyAlignment="1">
      <alignment horizontal="center" vertical="center"/>
    </xf>
    <xf numFmtId="1" fontId="1" fillId="4" borderId="63" xfId="0" applyNumberFormat="1" applyFont="1" applyFill="1" applyBorder="1" applyAlignment="1">
      <alignment horizontal="center" vertical="center"/>
    </xf>
    <xf numFmtId="0" fontId="1" fillId="16" borderId="61" xfId="0" applyFont="1" applyFill="1" applyBorder="1" applyAlignment="1">
      <alignment horizontal="center" vertical="center"/>
    </xf>
    <xf numFmtId="49" fontId="1" fillId="20" borderId="62" xfId="0" applyNumberFormat="1" applyFont="1" applyFill="1" applyBorder="1" applyAlignment="1">
      <alignment horizontal="center" vertical="center"/>
    </xf>
    <xf numFmtId="1" fontId="1" fillId="19" borderId="20" xfId="0" applyNumberFormat="1" applyFont="1" applyFill="1" applyBorder="1" applyAlignment="1">
      <alignment horizontal="center" vertical="center"/>
    </xf>
    <xf numFmtId="0" fontId="5" fillId="15" borderId="66" xfId="0" applyFont="1" applyFill="1" applyBorder="1" applyAlignment="1">
      <alignment horizontal="center" vertical="center" textRotation="255"/>
    </xf>
    <xf numFmtId="49" fontId="5" fillId="15" borderId="20" xfId="0" applyNumberFormat="1" applyFont="1" applyFill="1" applyBorder="1" applyAlignment="1">
      <alignment horizontal="center" vertical="center" textRotation="255"/>
    </xf>
    <xf numFmtId="0" fontId="1" fillId="0" borderId="66" xfId="0" applyFont="1" applyBorder="1" applyAlignment="1">
      <alignment horizontal="center" vertical="center"/>
    </xf>
    <xf numFmtId="0" fontId="21" fillId="18" borderId="69" xfId="0" applyFont="1" applyFill="1" applyBorder="1" applyAlignment="1">
      <alignment horizontal="center" vertical="center"/>
    </xf>
    <xf numFmtId="0" fontId="1" fillId="18" borderId="56" xfId="0" applyFont="1" applyFill="1" applyBorder="1" applyAlignment="1">
      <alignment horizontal="center" vertical="center"/>
    </xf>
    <xf numFmtId="0" fontId="1" fillId="18" borderId="49" xfId="0" applyFont="1" applyFill="1" applyBorder="1" applyAlignment="1">
      <alignment horizontal="center" vertical="center"/>
    </xf>
    <xf numFmtId="0" fontId="22" fillId="18" borderId="49" xfId="0" applyFont="1" applyFill="1" applyBorder="1" applyAlignment="1">
      <alignment horizontal="center" vertical="center"/>
    </xf>
    <xf numFmtId="0" fontId="23" fillId="18" borderId="49" xfId="0" applyFont="1" applyFill="1" applyBorder="1" applyAlignment="1">
      <alignment horizontal="center" vertical="center"/>
    </xf>
    <xf numFmtId="0" fontId="1" fillId="18" borderId="48" xfId="0" applyFont="1" applyFill="1" applyBorder="1" applyAlignment="1">
      <alignment horizontal="center" vertical="center"/>
    </xf>
    <xf numFmtId="0" fontId="1" fillId="18" borderId="70" xfId="0" applyFont="1" applyFill="1" applyBorder="1" applyAlignment="1">
      <alignment horizontal="center" vertical="center"/>
    </xf>
    <xf numFmtId="0" fontId="1" fillId="18" borderId="71" xfId="0" applyFont="1" applyFill="1" applyBorder="1" applyAlignment="1">
      <alignment horizontal="center" vertical="center"/>
    </xf>
    <xf numFmtId="0" fontId="1" fillId="0" borderId="60" xfId="0" applyFont="1" applyBorder="1">
      <alignment vertical="center"/>
    </xf>
    <xf numFmtId="0" fontId="1" fillId="0" borderId="72" xfId="0" applyFont="1" applyBorder="1">
      <alignment vertical="center"/>
    </xf>
    <xf numFmtId="0" fontId="1" fillId="0" borderId="73" xfId="0" applyFont="1" applyBorder="1">
      <alignment vertical="center"/>
    </xf>
    <xf numFmtId="14" fontId="1" fillId="0" borderId="75" xfId="0" applyNumberFormat="1" applyFont="1" applyBorder="1">
      <alignment vertical="center"/>
    </xf>
    <xf numFmtId="0" fontId="1" fillId="0" borderId="76" xfId="0" applyFont="1" applyBorder="1">
      <alignment vertical="center"/>
    </xf>
    <xf numFmtId="0" fontId="1" fillId="0" borderId="75" xfId="0" applyFont="1" applyBorder="1" applyAlignment="1">
      <alignment horizontal="center" vertical="center"/>
    </xf>
    <xf numFmtId="0" fontId="1" fillId="0" borderId="76" xfId="0" applyFont="1" applyBorder="1" applyAlignment="1">
      <alignment horizontal="center" vertical="center"/>
    </xf>
    <xf numFmtId="14" fontId="1" fillId="0" borderId="77" xfId="0" applyNumberFormat="1" applyFont="1" applyBorder="1">
      <alignment vertical="center"/>
    </xf>
    <xf numFmtId="0" fontId="1" fillId="0" borderId="51" xfId="0" applyFont="1" applyBorder="1">
      <alignment vertical="center"/>
    </xf>
    <xf numFmtId="0" fontId="1" fillId="0" borderId="78" xfId="0" applyFont="1" applyBorder="1">
      <alignment vertical="center"/>
    </xf>
    <xf numFmtId="0" fontId="1" fillId="0" borderId="77" xfId="0" applyFont="1" applyBorder="1" applyAlignment="1">
      <alignment horizontal="center" vertical="center"/>
    </xf>
    <xf numFmtId="0" fontId="1" fillId="0" borderId="78" xfId="0" applyFont="1" applyBorder="1" applyAlignment="1">
      <alignment horizontal="center" vertical="center"/>
    </xf>
    <xf numFmtId="0" fontId="1" fillId="0" borderId="79" xfId="0" applyFont="1" applyBorder="1">
      <alignment vertical="center"/>
    </xf>
    <xf numFmtId="0" fontId="0" fillId="0" borderId="40" xfId="0" applyBorder="1">
      <alignment vertical="center"/>
    </xf>
    <xf numFmtId="0" fontId="0" fillId="0" borderId="80" xfId="0" applyBorder="1">
      <alignment vertical="center"/>
    </xf>
    <xf numFmtId="0" fontId="0" fillId="0" borderId="79" xfId="0" applyBorder="1">
      <alignment vertical="center"/>
    </xf>
    <xf numFmtId="0" fontId="0" fillId="0" borderId="81" xfId="0" applyBorder="1">
      <alignment vertical="center"/>
    </xf>
    <xf numFmtId="0" fontId="0" fillId="0" borderId="82" xfId="0" applyBorder="1">
      <alignment vertical="center"/>
    </xf>
    <xf numFmtId="0" fontId="0" fillId="0" borderId="83" xfId="0" applyBorder="1">
      <alignment vertical="center"/>
    </xf>
    <xf numFmtId="0" fontId="4" fillId="5" borderId="60" xfId="0" applyFont="1" applyFill="1" applyBorder="1">
      <alignment vertical="center"/>
    </xf>
    <xf numFmtId="0" fontId="4" fillId="5" borderId="63" xfId="0" applyFont="1" applyFill="1" applyBorder="1">
      <alignment vertical="center"/>
    </xf>
    <xf numFmtId="0" fontId="1" fillId="16" borderId="60" xfId="0" applyFont="1" applyFill="1" applyBorder="1">
      <alignment vertical="center"/>
    </xf>
    <xf numFmtId="0" fontId="1" fillId="19" borderId="60" xfId="0" applyFont="1" applyFill="1" applyBorder="1">
      <alignment vertical="center"/>
    </xf>
    <xf numFmtId="0" fontId="1" fillId="19" borderId="63" xfId="0" applyFont="1" applyFill="1" applyBorder="1">
      <alignment vertical="center"/>
    </xf>
    <xf numFmtId="0" fontId="1" fillId="4" borderId="60" xfId="0" applyFont="1" applyFill="1" applyBorder="1">
      <alignment vertical="center"/>
    </xf>
    <xf numFmtId="0" fontId="1" fillId="4" borderId="63" xfId="0" applyFont="1" applyFill="1" applyBorder="1">
      <alignment vertical="center"/>
    </xf>
    <xf numFmtId="0" fontId="1" fillId="16" borderId="62" xfId="0" applyFont="1" applyFill="1" applyBorder="1">
      <alignment vertical="center"/>
    </xf>
    <xf numFmtId="0" fontId="1" fillId="19" borderId="62" xfId="0" applyFont="1" applyFill="1" applyBorder="1">
      <alignment vertical="center"/>
    </xf>
    <xf numFmtId="0" fontId="1" fillId="19" borderId="20" xfId="0" applyFont="1" applyFill="1" applyBorder="1">
      <alignment vertical="center"/>
    </xf>
    <xf numFmtId="0" fontId="21" fillId="18" borderId="80" xfId="0" applyFont="1" applyFill="1" applyBorder="1" applyAlignment="1">
      <alignment horizontal="center" vertical="center"/>
    </xf>
    <xf numFmtId="0" fontId="24" fillId="5" borderId="84" xfId="0" applyFont="1" applyFill="1" applyBorder="1" applyAlignment="1">
      <alignment horizontal="center" vertical="center" wrapText="1"/>
    </xf>
    <xf numFmtId="0" fontId="25" fillId="5" borderId="85" xfId="0" applyFont="1" applyFill="1" applyBorder="1" applyAlignment="1">
      <alignment horizontal="center" vertical="center" wrapText="1"/>
    </xf>
    <xf numFmtId="0" fontId="23" fillId="18" borderId="86" xfId="0" applyFont="1" applyFill="1" applyBorder="1" applyAlignment="1">
      <alignment horizontal="center" vertical="center"/>
    </xf>
    <xf numFmtId="0" fontId="1" fillId="16" borderId="87" xfId="0" applyFont="1" applyFill="1" applyBorder="1">
      <alignment vertical="center"/>
    </xf>
    <xf numFmtId="9" fontId="26" fillId="16" borderId="84" xfId="0" applyNumberFormat="1" applyFont="1" applyFill="1" applyBorder="1" applyAlignment="1">
      <alignment horizontal="center" vertical="center"/>
    </xf>
    <xf numFmtId="0" fontId="1" fillId="18" borderId="86" xfId="0" applyFont="1" applyFill="1" applyBorder="1" applyAlignment="1">
      <alignment horizontal="center" vertical="center"/>
    </xf>
    <xf numFmtId="9" fontId="5" fillId="0" borderId="84" xfId="0" applyNumberFormat="1" applyFont="1" applyBorder="1" applyAlignment="1">
      <alignment horizontal="center" vertical="center"/>
    </xf>
    <xf numFmtId="9" fontId="5" fillId="16" borderId="90" xfId="0" applyNumberFormat="1" applyFont="1" applyFill="1" applyBorder="1" applyAlignment="1">
      <alignment horizontal="center" vertical="center"/>
    </xf>
    <xf numFmtId="0" fontId="1" fillId="18" borderId="92" xfId="0" applyFont="1" applyFill="1" applyBorder="1" applyAlignment="1">
      <alignment horizontal="center" vertical="center"/>
    </xf>
    <xf numFmtId="0" fontId="1" fillId="21" borderId="40" xfId="0" applyFont="1" applyFill="1" applyBorder="1" applyAlignment="1">
      <alignment horizontal="center"/>
    </xf>
    <xf numFmtId="0" fontId="1" fillId="0" borderId="69" xfId="0" applyFont="1" applyBorder="1" applyAlignment="1"/>
    <xf numFmtId="0" fontId="1" fillId="21" borderId="79" xfId="0" applyFont="1" applyFill="1" applyBorder="1" applyAlignment="1">
      <alignment horizontal="center"/>
    </xf>
    <xf numFmtId="14" fontId="1" fillId="0" borderId="0" xfId="0" applyNumberFormat="1" applyFont="1" applyBorder="1" applyAlignment="1"/>
    <xf numFmtId="0" fontId="1" fillId="0" borderId="79" xfId="0" applyFont="1" applyBorder="1" applyAlignment="1">
      <alignment horizontal="center"/>
    </xf>
    <xf numFmtId="0" fontId="27" fillId="0" borderId="40" xfId="0" applyFont="1" applyBorder="1" applyAlignment="1"/>
    <xf numFmtId="0" fontId="13" fillId="0" borderId="80" xfId="0" applyFont="1" applyBorder="1" applyAlignment="1"/>
    <xf numFmtId="0" fontId="1" fillId="0" borderId="79" xfId="0" applyFont="1" applyBorder="1" applyAlignment="1"/>
    <xf numFmtId="0" fontId="13" fillId="0" borderId="81" xfId="0" applyFont="1" applyBorder="1" applyAlignment="1"/>
    <xf numFmtId="0" fontId="1" fillId="0" borderId="82" xfId="0" applyFont="1" applyBorder="1" applyAlignment="1"/>
    <xf numFmtId="0" fontId="1" fillId="0" borderId="83" xfId="0" applyFont="1" applyBorder="1" applyAlignment="1"/>
    <xf numFmtId="0" fontId="1" fillId="0" borderId="82" xfId="0" applyFont="1" applyBorder="1" applyAlignment="1">
      <alignment horizontal="center"/>
    </xf>
    <xf numFmtId="0" fontId="1" fillId="0" borderId="93" xfId="0" applyFont="1" applyBorder="1" applyAlignment="1"/>
    <xf numFmtId="0" fontId="1" fillId="0" borderId="8" xfId="0" applyFont="1" applyBorder="1" applyAlignment="1">
      <alignment horizontal="center"/>
    </xf>
    <xf numFmtId="0" fontId="1" fillId="0" borderId="8" xfId="0" applyFont="1" applyBorder="1" applyAlignment="1"/>
    <xf numFmtId="0" fontId="1" fillId="0" borderId="40" xfId="0" applyFont="1" applyBorder="1" applyAlignment="1">
      <alignment horizontal="center"/>
    </xf>
    <xf numFmtId="0" fontId="1" fillId="0" borderId="79" xfId="0" applyFont="1" applyBorder="1" applyAlignment="1">
      <alignment horizontal="center" vertical="center"/>
    </xf>
    <xf numFmtId="0" fontId="1" fillId="20" borderId="0" xfId="0" applyFont="1" applyFill="1" applyBorder="1">
      <alignment vertical="center"/>
    </xf>
    <xf numFmtId="0" fontId="1" fillId="22" borderId="0" xfId="0" applyFont="1" applyFill="1" applyBorder="1">
      <alignment vertical="center"/>
    </xf>
    <xf numFmtId="0" fontId="4" fillId="2" borderId="94" xfId="0" applyFont="1" applyFill="1" applyBorder="1" applyAlignment="1">
      <alignment horizontal="center" vertical="center"/>
    </xf>
    <xf numFmtId="0" fontId="1" fillId="0" borderId="95" xfId="0" applyFont="1" applyFill="1" applyBorder="1" applyAlignment="1">
      <alignment horizontal="center" vertical="center"/>
    </xf>
    <xf numFmtId="0" fontId="1" fillId="0" borderId="0" xfId="0" applyFont="1" applyBorder="1" applyAlignment="1">
      <alignment vertical="center"/>
    </xf>
    <xf numFmtId="0" fontId="1" fillId="23" borderId="0" xfId="0" applyFont="1" applyFill="1" applyBorder="1" applyAlignment="1">
      <alignment horizontal="right" vertical="center"/>
    </xf>
    <xf numFmtId="0" fontId="1" fillId="0" borderId="82" xfId="0" applyFont="1" applyBorder="1">
      <alignment vertical="center"/>
    </xf>
    <xf numFmtId="0" fontId="1" fillId="0" borderId="93" xfId="0" applyFont="1" applyBorder="1">
      <alignment vertical="center"/>
    </xf>
    <xf numFmtId="0" fontId="1" fillId="0" borderId="40" xfId="0" applyFont="1" applyBorder="1" applyAlignment="1">
      <alignment horizontal="center" vertical="center"/>
    </xf>
    <xf numFmtId="0" fontId="1" fillId="0" borderId="69" xfId="0" applyFont="1" applyBorder="1" applyAlignment="1">
      <alignment horizontal="center" vertical="center"/>
    </xf>
    <xf numFmtId="58" fontId="1" fillId="0" borderId="0" xfId="0" applyNumberFormat="1" applyFont="1" applyBorder="1" applyAlignment="1">
      <alignment horizontal="center" vertical="center"/>
    </xf>
    <xf numFmtId="14" fontId="1" fillId="23" borderId="0" xfId="0" applyNumberFormat="1" applyFont="1" applyFill="1" applyBorder="1" applyAlignment="1"/>
    <xf numFmtId="0" fontId="1" fillId="0" borderId="82" xfId="0" applyFont="1" applyBorder="1" applyAlignment="1">
      <alignment horizontal="center" vertical="center"/>
    </xf>
    <xf numFmtId="58" fontId="1" fillId="0" borderId="93" xfId="0" applyNumberFormat="1" applyFont="1" applyBorder="1" applyAlignment="1">
      <alignment horizontal="center" vertical="center"/>
    </xf>
    <xf numFmtId="0" fontId="1" fillId="23" borderId="69" xfId="0" applyFont="1" applyFill="1" applyBorder="1" applyAlignment="1"/>
    <xf numFmtId="0" fontId="22" fillId="23" borderId="0" xfId="0" applyFont="1" applyFill="1" applyBorder="1" applyAlignment="1"/>
    <xf numFmtId="14" fontId="28" fillId="23" borderId="0" xfId="0" applyNumberFormat="1" applyFont="1" applyFill="1" applyBorder="1" applyAlignment="1"/>
    <xf numFmtId="0" fontId="1" fillId="23" borderId="0" xfId="0" applyFont="1" applyFill="1" applyBorder="1" applyAlignment="1"/>
    <xf numFmtId="178" fontId="28" fillId="23" borderId="0" xfId="0" applyNumberFormat="1" applyFont="1" applyFill="1" applyBorder="1" applyAlignment="1"/>
    <xf numFmtId="179" fontId="28" fillId="23" borderId="0" xfId="0" applyNumberFormat="1" applyFont="1" applyFill="1" applyBorder="1" applyAlignment="1"/>
    <xf numFmtId="0" fontId="1" fillId="0" borderId="0" xfId="0" applyFont="1" applyBorder="1" applyAlignment="1">
      <alignment horizontal="left"/>
    </xf>
    <xf numFmtId="0" fontId="1" fillId="0" borderId="0" xfId="0" applyFont="1" applyBorder="1" applyAlignment="1">
      <alignment horizontal="left" indent="1"/>
    </xf>
    <xf numFmtId="14" fontId="1" fillId="0" borderId="93" xfId="0" applyNumberFormat="1" applyFont="1" applyBorder="1" applyAlignment="1"/>
    <xf numFmtId="14" fontId="1" fillId="0" borderId="8" xfId="0" applyNumberFormat="1" applyFont="1" applyBorder="1" applyAlignment="1"/>
    <xf numFmtId="14" fontId="1" fillId="0" borderId="69" xfId="0" applyNumberFormat="1" applyFont="1" applyBorder="1" applyAlignment="1"/>
    <xf numFmtId="0" fontId="1" fillId="23" borderId="0" xfId="0" applyFont="1" applyFill="1" applyBorder="1">
      <alignment vertical="center"/>
    </xf>
    <xf numFmtId="0" fontId="1" fillId="0" borderId="69" xfId="0" applyFont="1" applyBorder="1">
      <alignment vertical="center"/>
    </xf>
    <xf numFmtId="0" fontId="1" fillId="0" borderId="80" xfId="0" applyFont="1" applyBorder="1">
      <alignment vertical="center"/>
    </xf>
    <xf numFmtId="0" fontId="1" fillId="0" borderId="81" xfId="0" applyFont="1" applyBorder="1">
      <alignment vertical="center"/>
    </xf>
    <xf numFmtId="0" fontId="1" fillId="0" borderId="83" xfId="0" applyFont="1" applyBorder="1">
      <alignment vertical="center"/>
    </xf>
    <xf numFmtId="0" fontId="28" fillId="23" borderId="0" xfId="0" applyNumberFormat="1" applyFont="1" applyFill="1" applyBorder="1" applyAlignment="1"/>
    <xf numFmtId="0" fontId="1" fillId="0" borderId="0" xfId="0" applyNumberFormat="1" applyFont="1" applyBorder="1" applyAlignment="1"/>
    <xf numFmtId="0" fontId="1" fillId="0" borderId="93" xfId="0" applyNumberFormat="1" applyFont="1" applyBorder="1" applyAlignment="1"/>
    <xf numFmtId="0" fontId="1" fillId="0" borderId="8" xfId="0" applyNumberFormat="1" applyFont="1" applyBorder="1" applyAlignment="1"/>
    <xf numFmtId="0" fontId="1" fillId="0" borderId="8" xfId="0" applyFont="1" applyBorder="1">
      <alignment vertical="center"/>
    </xf>
    <xf numFmtId="0" fontId="1" fillId="0" borderId="40" xfId="0" applyFont="1" applyBorder="1">
      <alignment vertical="center"/>
    </xf>
    <xf numFmtId="0" fontId="1" fillId="0" borderId="96" xfId="0" applyFont="1" applyBorder="1" applyAlignment="1">
      <alignment horizontal="center" vertical="center"/>
    </xf>
    <xf numFmtId="0" fontId="1" fillId="0" borderId="97" xfId="0" applyFont="1" applyBorder="1" applyAlignment="1">
      <alignment horizontal="center" vertical="center"/>
    </xf>
    <xf numFmtId="181" fontId="23" fillId="24" borderId="20" xfId="3" applyNumberFormat="1" applyFont="1" applyFill="1" applyBorder="1" applyAlignment="1">
      <alignment horizontal="center" vertical="center"/>
    </xf>
    <xf numFmtId="0" fontId="1" fillId="0" borderId="66" xfId="0" applyFont="1" applyFill="1" applyBorder="1" applyAlignment="1">
      <alignment horizontal="center" vertical="center"/>
    </xf>
    <xf numFmtId="0" fontId="1" fillId="0" borderId="79" xfId="0" applyFont="1" applyBorder="1" applyAlignment="1">
      <alignment vertical="center" wrapText="1"/>
    </xf>
    <xf numFmtId="0" fontId="1" fillId="0" borderId="0" xfId="0" applyFont="1" applyBorder="1" applyAlignment="1">
      <alignment vertical="center" wrapText="1"/>
    </xf>
    <xf numFmtId="0" fontId="29" fillId="0" borderId="79" xfId="0" applyFont="1" applyBorder="1" applyAlignment="1">
      <alignment vertical="top" wrapText="1"/>
    </xf>
    <xf numFmtId="0" fontId="29" fillId="0" borderId="0" xfId="0" applyFont="1" applyBorder="1" applyAlignment="1">
      <alignment vertical="top" wrapText="1"/>
    </xf>
    <xf numFmtId="0" fontId="30" fillId="0" borderId="0" xfId="0" applyFont="1" applyBorder="1" applyAlignment="1">
      <alignment horizontal="center" vertical="top" wrapText="1"/>
    </xf>
    <xf numFmtId="0" fontId="23" fillId="0" borderId="0" xfId="0" applyFont="1" applyBorder="1" applyAlignment="1">
      <alignment horizontal="center" vertical="center"/>
    </xf>
    <xf numFmtId="0" fontId="23" fillId="23" borderId="0" xfId="0" applyFont="1" applyFill="1" applyBorder="1" applyAlignment="1">
      <alignment horizontal="center" vertical="center"/>
    </xf>
    <xf numFmtId="0" fontId="1" fillId="0" borderId="96" xfId="0" applyFont="1" applyBorder="1">
      <alignment vertical="center"/>
    </xf>
    <xf numFmtId="0" fontId="1" fillId="0" borderId="97" xfId="0" applyFont="1" applyBorder="1">
      <alignment vertical="center"/>
    </xf>
    <xf numFmtId="0" fontId="31" fillId="0" borderId="97" xfId="0" applyFont="1" applyBorder="1" applyAlignment="1">
      <alignment horizontal="center" vertical="center" wrapText="1"/>
    </xf>
    <xf numFmtId="49" fontId="32" fillId="24" borderId="66" xfId="0" applyNumberFormat="1" applyFont="1" applyFill="1" applyBorder="1" applyAlignment="1">
      <alignment horizontal="center" vertical="center" wrapText="1"/>
    </xf>
    <xf numFmtId="49" fontId="32" fillId="24" borderId="20" xfId="0" applyNumberFormat="1" applyFont="1" applyFill="1" applyBorder="1" applyAlignment="1">
      <alignment horizontal="center" vertical="center" wrapText="1"/>
    </xf>
    <xf numFmtId="0" fontId="32" fillId="24" borderId="20" xfId="0" applyFont="1" applyFill="1" applyBorder="1" applyAlignment="1">
      <alignment horizontal="center" vertical="center" wrapText="1"/>
    </xf>
    <xf numFmtId="0" fontId="1" fillId="25" borderId="20" xfId="0" applyFont="1" applyFill="1" applyBorder="1">
      <alignment vertical="center"/>
    </xf>
    <xf numFmtId="0" fontId="7" fillId="23" borderId="0" xfId="0" applyFont="1" applyFill="1" applyBorder="1">
      <alignment vertical="center"/>
    </xf>
    <xf numFmtId="0" fontId="1" fillId="23" borderId="20" xfId="0" applyFont="1" applyFill="1" applyBorder="1">
      <alignment vertical="center"/>
    </xf>
    <xf numFmtId="49" fontId="32" fillId="26" borderId="66" xfId="0" applyNumberFormat="1" applyFont="1" applyFill="1" applyBorder="1" applyAlignment="1">
      <alignment horizontal="center" vertical="center" wrapText="1"/>
    </xf>
    <xf numFmtId="49" fontId="32" fillId="26" borderId="20" xfId="0" applyNumberFormat="1" applyFont="1" applyFill="1" applyBorder="1" applyAlignment="1">
      <alignment horizontal="center" vertical="center" wrapText="1"/>
    </xf>
    <xf numFmtId="0" fontId="32" fillId="26" borderId="20" xfId="0" applyFont="1" applyFill="1" applyBorder="1" applyAlignment="1">
      <alignment horizontal="center" vertical="center" wrapText="1"/>
    </xf>
    <xf numFmtId="49" fontId="32" fillId="27" borderId="66" xfId="0" applyNumberFormat="1" applyFont="1" applyFill="1" applyBorder="1" applyAlignment="1">
      <alignment horizontal="center" vertical="center" wrapText="1"/>
    </xf>
    <xf numFmtId="49" fontId="32" fillId="27" borderId="20" xfId="0" applyNumberFormat="1" applyFont="1" applyFill="1" applyBorder="1" applyAlignment="1">
      <alignment horizontal="center" vertical="center" wrapText="1"/>
    </xf>
    <xf numFmtId="0" fontId="32" fillId="27" borderId="20" xfId="0" applyFont="1" applyFill="1" applyBorder="1" applyAlignment="1">
      <alignment horizontal="center" vertical="center" wrapText="1"/>
    </xf>
    <xf numFmtId="0" fontId="23" fillId="25" borderId="20" xfId="0" applyFont="1" applyFill="1" applyBorder="1">
      <alignment vertical="center"/>
    </xf>
    <xf numFmtId="0" fontId="1" fillId="23" borderId="79" xfId="0" applyFont="1" applyFill="1" applyBorder="1" applyAlignment="1"/>
    <xf numFmtId="0" fontId="1" fillId="15" borderId="0" xfId="0" applyFont="1" applyFill="1" applyBorder="1" applyAlignment="1"/>
    <xf numFmtId="0" fontId="1" fillId="23" borderId="20" xfId="0" applyFont="1" applyFill="1" applyBorder="1" applyAlignment="1">
      <alignment horizontal="center" vertical="center"/>
    </xf>
    <xf numFmtId="0" fontId="29" fillId="23" borderId="0" xfId="0" applyFont="1" applyFill="1" applyBorder="1" applyAlignment="1">
      <alignment vertical="top" wrapText="1"/>
    </xf>
    <xf numFmtId="0" fontId="1" fillId="23" borderId="93" xfId="0" applyFont="1" applyFill="1" applyBorder="1">
      <alignment vertical="center"/>
    </xf>
    <xf numFmtId="0" fontId="1" fillId="0" borderId="69" xfId="0" applyFont="1" applyFill="1" applyBorder="1" applyAlignment="1">
      <alignment vertical="center"/>
    </xf>
    <xf numFmtId="0" fontId="1" fillId="0" borderId="79"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vertical="center"/>
    </xf>
    <xf numFmtId="49" fontId="1" fillId="0" borderId="0" xfId="0" applyNumberFormat="1" applyFont="1" applyFill="1" applyAlignment="1">
      <alignment horizontal="center" vertical="center"/>
    </xf>
    <xf numFmtId="0" fontId="1" fillId="0" borderId="79" xfId="0" applyFont="1" applyFill="1" applyBorder="1" applyAlignment="1">
      <alignment vertical="center"/>
    </xf>
    <xf numFmtId="0" fontId="19" fillId="23" borderId="0" xfId="0" applyFont="1" applyFill="1" applyAlignment="1">
      <alignment vertical="center" wrapText="1"/>
    </xf>
    <xf numFmtId="0" fontId="19" fillId="0" borderId="0" xfId="0" applyFont="1" applyFill="1" applyAlignment="1">
      <alignment vertical="center"/>
    </xf>
    <xf numFmtId="0" fontId="1" fillId="0" borderId="82" xfId="0" applyFont="1" applyFill="1" applyBorder="1" applyAlignment="1">
      <alignment vertical="center"/>
    </xf>
    <xf numFmtId="0" fontId="1" fillId="0" borderId="93" xfId="0" applyFont="1" applyFill="1" applyBorder="1" applyAlignment="1">
      <alignment vertical="center"/>
    </xf>
    <xf numFmtId="0" fontId="19" fillId="28" borderId="0" xfId="0" applyFont="1" applyFill="1" applyAlignment="1">
      <alignment vertical="center" wrapText="1"/>
    </xf>
    <xf numFmtId="0" fontId="1" fillId="0" borderId="0" xfId="0" applyFont="1" applyAlignment="1">
      <alignment horizontal="left" vertical="center"/>
    </xf>
    <xf numFmtId="0" fontId="1" fillId="23" borderId="0" xfId="0" applyFont="1" applyFill="1">
      <alignment vertical="center"/>
    </xf>
    <xf numFmtId="0" fontId="8" fillId="0" borderId="66" xfId="0" applyFont="1" applyFill="1" applyBorder="1" applyAlignment="1">
      <alignment horizontal="center" vertical="center" wrapText="1"/>
    </xf>
    <xf numFmtId="0" fontId="9" fillId="17" borderId="63" xfId="0" applyFont="1" applyFill="1" applyBorder="1" applyAlignment="1">
      <alignment horizontal="center" vertical="center"/>
    </xf>
    <xf numFmtId="0" fontId="8" fillId="17" borderId="98" xfId="0" applyFont="1" applyFill="1" applyBorder="1" applyAlignment="1">
      <alignment horizontal="center" vertical="center"/>
    </xf>
    <xf numFmtId="0" fontId="5" fillId="0" borderId="61" xfId="0" applyFont="1" applyFill="1" applyBorder="1" applyAlignment="1">
      <alignment horizontal="center" vertical="center"/>
    </xf>
    <xf numFmtId="0" fontId="10" fillId="0" borderId="20" xfId="0" applyFont="1" applyFill="1" applyBorder="1" applyAlignment="1">
      <alignment horizontal="center" vertical="center" wrapText="1"/>
    </xf>
    <xf numFmtId="0" fontId="5" fillId="0" borderId="20" xfId="0" applyFont="1" applyFill="1" applyBorder="1" applyAlignment="1">
      <alignment horizontal="center" vertical="center"/>
    </xf>
    <xf numFmtId="0" fontId="10" fillId="0" borderId="20" xfId="0" applyFont="1" applyFill="1" applyBorder="1" applyAlignment="1">
      <alignment horizontal="center" vertical="center"/>
    </xf>
    <xf numFmtId="0" fontId="15" fillId="0" borderId="66" xfId="0" applyFont="1" applyBorder="1" applyAlignment="1">
      <alignment horizontal="center" vertical="center"/>
    </xf>
    <xf numFmtId="0" fontId="15" fillId="0" borderId="20" xfId="0" applyFont="1" applyBorder="1" applyAlignment="1">
      <alignment horizontal="center" vertical="center"/>
    </xf>
    <xf numFmtId="0" fontId="15" fillId="0" borderId="20" xfId="0" applyFont="1" applyBorder="1" applyAlignment="1">
      <alignment horizontal="center" vertical="center" wrapText="1"/>
    </xf>
    <xf numFmtId="0" fontId="14" fillId="0" borderId="66" xfId="0" applyFont="1" applyBorder="1" applyAlignment="1">
      <alignment horizontal="center" vertical="center" wrapText="1"/>
    </xf>
    <xf numFmtId="0" fontId="14" fillId="0" borderId="20" xfId="0" applyFont="1" applyBorder="1" applyAlignment="1">
      <alignment horizontal="center" vertical="center" wrapText="1"/>
    </xf>
    <xf numFmtId="0" fontId="1" fillId="0" borderId="66" xfId="0" applyFont="1" applyBorder="1" applyAlignment="1">
      <alignment horizontal="center" vertical="center" wrapText="1"/>
    </xf>
    <xf numFmtId="0" fontId="1" fillId="0" borderId="20" xfId="0" applyFont="1" applyBorder="1" applyAlignment="1">
      <alignment horizontal="center" vertical="center" wrapText="1"/>
    </xf>
    <xf numFmtId="0" fontId="5" fillId="23" borderId="20" xfId="0" applyFont="1" applyFill="1" applyBorder="1" applyAlignment="1">
      <alignment horizontal="center" vertical="center"/>
    </xf>
    <xf numFmtId="0" fontId="22" fillId="0" borderId="20" xfId="0" applyFont="1" applyBorder="1" applyAlignment="1">
      <alignment horizontal="center" vertical="center" shrinkToFit="1"/>
    </xf>
    <xf numFmtId="0" fontId="16" fillId="0" borderId="20" xfId="0" applyFont="1" applyBorder="1" applyAlignment="1">
      <alignment horizontal="center" vertical="center" wrapText="1"/>
    </xf>
    <xf numFmtId="0" fontId="16" fillId="0" borderId="20" xfId="0" applyFont="1" applyBorder="1" applyAlignment="1">
      <alignment horizontal="center" vertical="center" shrinkToFit="1"/>
    </xf>
    <xf numFmtId="0" fontId="16" fillId="23" borderId="20" xfId="0" applyFont="1" applyFill="1" applyBorder="1" applyAlignment="1">
      <alignment horizontal="center" vertical="center"/>
    </xf>
    <xf numFmtId="0" fontId="17" fillId="0" borderId="20" xfId="0" applyFont="1" applyBorder="1" applyAlignment="1">
      <alignment horizontal="center" vertical="center" shrinkToFit="1"/>
    </xf>
    <xf numFmtId="0" fontId="17" fillId="23" borderId="20" xfId="0" applyFont="1" applyFill="1" applyBorder="1" applyAlignment="1">
      <alignment horizontal="center" vertical="center"/>
    </xf>
    <xf numFmtId="0" fontId="18" fillId="23" borderId="64" xfId="0" applyFont="1" applyFill="1" applyBorder="1" applyAlignment="1">
      <alignment horizontal="center" vertical="center"/>
    </xf>
    <xf numFmtId="0" fontId="1" fillId="0" borderId="0" xfId="0" applyFont="1" applyAlignment="1">
      <alignment horizontal="center" vertical="center" shrinkToFit="1"/>
    </xf>
    <xf numFmtId="0" fontId="33" fillId="0" borderId="0" xfId="1" applyFont="1">
      <alignment vertical="center"/>
    </xf>
    <xf numFmtId="0" fontId="1" fillId="0" borderId="93" xfId="0" applyFont="1" applyBorder="1" applyAlignment="1">
      <alignment horizontal="center" vertical="center"/>
    </xf>
    <xf numFmtId="0" fontId="1" fillId="0" borderId="79" xfId="0" applyFont="1" applyBorder="1" applyAlignment="1">
      <alignment vertical="center" shrinkToFit="1"/>
    </xf>
    <xf numFmtId="0" fontId="1" fillId="0" borderId="0" xfId="0" applyFont="1" applyBorder="1" applyAlignment="1">
      <alignment vertical="center" shrinkToFit="1"/>
    </xf>
    <xf numFmtId="0" fontId="1" fillId="0" borderId="99" xfId="0" applyFont="1" applyBorder="1" applyAlignment="1">
      <alignment horizontal="center" vertical="center" shrinkToFit="1"/>
    </xf>
    <xf numFmtId="0" fontId="1" fillId="0" borderId="100" xfId="0" applyFont="1" applyBorder="1" applyAlignment="1">
      <alignment horizontal="center" vertical="center" shrinkToFit="1"/>
    </xf>
    <xf numFmtId="183" fontId="1" fillId="0" borderId="100" xfId="0" applyNumberFormat="1" applyFont="1" applyBorder="1" applyAlignment="1">
      <alignment horizontal="center" vertical="center" shrinkToFit="1"/>
    </xf>
    <xf numFmtId="0" fontId="15" fillId="0" borderId="66" xfId="0" applyFont="1" applyBorder="1" applyAlignment="1">
      <alignment horizontal="center" vertical="center" shrinkToFit="1"/>
    </xf>
    <xf numFmtId="0" fontId="1" fillId="0" borderId="20" xfId="0" applyFont="1" applyBorder="1" applyAlignment="1">
      <alignment horizontal="center" vertical="center" shrinkToFit="1"/>
    </xf>
    <xf numFmtId="184" fontId="1" fillId="23" borderId="20" xfId="0" applyNumberFormat="1" applyFont="1" applyFill="1" applyBorder="1" applyAlignment="1">
      <alignment horizontal="center" vertical="center" shrinkToFit="1"/>
    </xf>
    <xf numFmtId="0" fontId="1" fillId="0" borderId="66" xfId="0" applyFont="1" applyBorder="1" applyAlignment="1">
      <alignment horizontal="center" vertical="center" shrinkToFit="1"/>
    </xf>
    <xf numFmtId="184" fontId="1" fillId="0" borderId="20" xfId="0" applyNumberFormat="1" applyFont="1" applyBorder="1" applyAlignment="1">
      <alignment horizontal="center" vertical="center" shrinkToFit="1"/>
    </xf>
    <xf numFmtId="184" fontId="1" fillId="0" borderId="101" xfId="0" applyNumberFormat="1" applyFont="1" applyBorder="1" applyAlignment="1">
      <alignment horizontal="center" vertical="center" shrinkToFit="1"/>
    </xf>
    <xf numFmtId="179" fontId="1" fillId="23" borderId="20" xfId="0" applyNumberFormat="1" applyFont="1" applyFill="1" applyBorder="1" applyAlignment="1">
      <alignment horizontal="center" vertical="center"/>
    </xf>
    <xf numFmtId="0" fontId="3" fillId="0" borderId="0" xfId="0" applyFont="1" applyBorder="1" applyAlignment="1">
      <alignment horizontal="left" vertical="center"/>
    </xf>
    <xf numFmtId="0" fontId="1" fillId="0" borderId="0" xfId="0" applyFont="1" applyBorder="1" applyAlignment="1">
      <alignment horizontal="left" vertical="top"/>
    </xf>
    <xf numFmtId="0" fontId="1" fillId="0" borderId="0" xfId="0" applyFont="1" applyBorder="1" applyAlignment="1">
      <alignment horizontal="left" vertical="center"/>
    </xf>
    <xf numFmtId="0" fontId="13" fillId="29" borderId="0" xfId="0" applyFont="1" applyFill="1" applyBorder="1" applyAlignment="1">
      <alignment horizontal="left" vertical="center"/>
    </xf>
    <xf numFmtId="0" fontId="1" fillId="29" borderId="0" xfId="0" applyFont="1" applyFill="1" applyBorder="1" applyAlignment="1">
      <alignment horizontal="left" vertical="center"/>
    </xf>
    <xf numFmtId="0" fontId="1" fillId="29" borderId="0" xfId="0" applyFont="1" applyFill="1" applyBorder="1" applyAlignment="1">
      <alignment horizontal="center" vertical="center"/>
    </xf>
    <xf numFmtId="0" fontId="34" fillId="30" borderId="102" xfId="0" applyFont="1" applyFill="1" applyBorder="1" applyAlignment="1">
      <alignment horizontal="center" vertical="center"/>
    </xf>
    <xf numFmtId="0" fontId="34" fillId="30" borderId="103" xfId="0" applyFont="1" applyFill="1" applyBorder="1" applyAlignment="1">
      <alignment horizontal="center" vertical="center"/>
    </xf>
    <xf numFmtId="0" fontId="34" fillId="30" borderId="104" xfId="0" applyFont="1" applyFill="1" applyBorder="1" applyAlignment="1">
      <alignment horizontal="center" vertical="center"/>
    </xf>
    <xf numFmtId="0" fontId="14" fillId="31" borderId="102" xfId="0" applyFont="1" applyFill="1" applyBorder="1" applyAlignment="1">
      <alignment horizontal="center" vertical="center"/>
    </xf>
    <xf numFmtId="0" fontId="14" fillId="31" borderId="103" xfId="0" applyFont="1" applyFill="1" applyBorder="1" applyAlignment="1">
      <alignment horizontal="center" vertical="center"/>
    </xf>
    <xf numFmtId="0" fontId="14" fillId="31" borderId="104" xfId="0" applyFont="1" applyFill="1" applyBorder="1" applyAlignment="1">
      <alignment horizontal="center" vertical="center"/>
    </xf>
    <xf numFmtId="0" fontId="14" fillId="0" borderId="102" xfId="0" applyFont="1" applyBorder="1" applyAlignment="1">
      <alignment horizontal="center" vertical="center"/>
    </xf>
    <xf numFmtId="0" fontId="14" fillId="0" borderId="103" xfId="0" applyFont="1" applyBorder="1" applyAlignment="1">
      <alignment horizontal="center" vertical="center"/>
    </xf>
    <xf numFmtId="0" fontId="14" fillId="0" borderId="104" xfId="0" applyFont="1" applyBorder="1" applyAlignment="1">
      <alignment horizontal="center" vertical="center"/>
    </xf>
    <xf numFmtId="0" fontId="1" fillId="0" borderId="81" xfId="0" applyFont="1" applyBorder="1" applyAlignment="1">
      <alignment horizontal="center" vertical="center"/>
    </xf>
    <xf numFmtId="0" fontId="1" fillId="0" borderId="83" xfId="0" applyFont="1" applyBorder="1" applyAlignment="1">
      <alignment horizontal="center" vertical="center"/>
    </xf>
    <xf numFmtId="0" fontId="1" fillId="0" borderId="105" xfId="0" applyFont="1" applyBorder="1" applyAlignment="1">
      <alignment horizontal="center" vertical="center" shrinkToFit="1"/>
    </xf>
    <xf numFmtId="0" fontId="1" fillId="0" borderId="106" xfId="0" applyFont="1" applyBorder="1" applyAlignment="1">
      <alignment horizontal="center" vertical="center" shrinkToFit="1"/>
    </xf>
    <xf numFmtId="184" fontId="1" fillId="0" borderId="106" xfId="0" applyNumberFormat="1" applyFont="1" applyBorder="1" applyAlignment="1">
      <alignment horizontal="center" vertical="center" shrinkToFit="1"/>
    </xf>
    <xf numFmtId="184" fontId="1" fillId="0" borderId="107" xfId="0" applyNumberFormat="1" applyFont="1" applyBorder="1" applyAlignment="1">
      <alignment horizontal="center" vertical="center" shrinkToFit="1"/>
    </xf>
    <xf numFmtId="0" fontId="30" fillId="0" borderId="66" xfId="0" applyFont="1" applyBorder="1" applyAlignment="1">
      <alignment horizontal="left" vertical="center" wrapText="1"/>
    </xf>
    <xf numFmtId="0" fontId="30" fillId="0" borderId="20" xfId="0" applyFont="1" applyBorder="1" applyAlignment="1">
      <alignment horizontal="left" vertical="center" wrapText="1"/>
    </xf>
    <xf numFmtId="0" fontId="1" fillId="0" borderId="66" xfId="0" applyFont="1" applyBorder="1" applyAlignment="1">
      <alignment horizontal="left" vertical="center" wrapText="1"/>
    </xf>
    <xf numFmtId="0" fontId="19" fillId="0" borderId="0" xfId="0" applyFont="1" applyBorder="1">
      <alignment vertical="center"/>
    </xf>
    <xf numFmtId="0" fontId="1" fillId="0" borderId="20" xfId="0" applyFont="1" applyBorder="1" applyAlignment="1">
      <alignment horizontal="left" vertical="center" wrapText="1"/>
    </xf>
    <xf numFmtId="0" fontId="14" fillId="0" borderId="108" xfId="0" applyFont="1" applyBorder="1" applyAlignment="1">
      <alignment horizontal="center" vertical="center"/>
    </xf>
    <xf numFmtId="0" fontId="14" fillId="0" borderId="109" xfId="0" applyFont="1" applyBorder="1" applyAlignment="1">
      <alignment horizontal="center" vertical="center"/>
    </xf>
    <xf numFmtId="0" fontId="14" fillId="0" borderId="110" xfId="0" applyFont="1" applyBorder="1" applyAlignment="1">
      <alignment horizontal="center" vertical="center"/>
    </xf>
    <xf numFmtId="0" fontId="19" fillId="23" borderId="0" xfId="0" applyFont="1" applyFill="1" applyBorder="1">
      <alignment vertical="center"/>
    </xf>
    <xf numFmtId="0" fontId="1" fillId="23" borderId="0" xfId="0" applyFont="1" applyFill="1" applyBorder="1" applyAlignment="1">
      <alignment horizontal="center" vertical="center"/>
    </xf>
    <xf numFmtId="0" fontId="1" fillId="32" borderId="0" xfId="0" applyFont="1" applyFill="1" applyBorder="1" applyAlignment="1">
      <alignment horizontal="center" vertical="center"/>
    </xf>
    <xf numFmtId="0" fontId="7" fillId="0" borderId="0" xfId="0" applyFont="1" applyBorder="1">
      <alignment vertical="center"/>
    </xf>
    <xf numFmtId="0" fontId="1" fillId="0" borderId="66" xfId="0" applyFont="1" applyBorder="1" applyProtection="1">
      <alignment vertical="center"/>
      <protection locked="0"/>
    </xf>
    <xf numFmtId="0" fontId="1" fillId="0" borderId="20" xfId="0" applyFont="1" applyBorder="1" applyProtection="1">
      <alignment vertical="center"/>
      <protection locked="0"/>
    </xf>
    <xf numFmtId="0" fontId="19" fillId="23" borderId="20" xfId="0" applyFont="1" applyFill="1" applyBorder="1">
      <alignment vertical="center"/>
    </xf>
    <xf numFmtId="0" fontId="1" fillId="0" borderId="81" xfId="0" applyFont="1" applyBorder="1" applyAlignment="1"/>
    <xf numFmtId="4" fontId="1" fillId="0" borderId="0" xfId="0" applyNumberFormat="1" applyFont="1" applyBorder="1" applyAlignment="1"/>
    <xf numFmtId="0" fontId="1" fillId="23" borderId="0" xfId="0" applyFont="1" applyFill="1" applyAlignment="1"/>
    <xf numFmtId="0" fontId="16" fillId="0" borderId="0" xfId="0" applyFont="1" applyBorder="1">
      <alignment vertical="center"/>
    </xf>
    <xf numFmtId="0" fontId="1" fillId="0" borderId="66" xfId="0" applyFont="1" applyBorder="1">
      <alignment vertical="center"/>
    </xf>
    <xf numFmtId="49" fontId="12" fillId="0" borderId="20" xfId="0" applyNumberFormat="1" applyFont="1" applyBorder="1" applyAlignment="1">
      <alignment horizontal="center" vertical="center" wrapText="1"/>
    </xf>
    <xf numFmtId="177" fontId="20" fillId="0" borderId="20" xfId="0" applyNumberFormat="1" applyFont="1" applyBorder="1" applyAlignment="1">
      <alignment horizontal="center" vertical="center" wrapText="1"/>
    </xf>
    <xf numFmtId="49" fontId="1" fillId="20" borderId="20" xfId="0" applyNumberFormat="1" applyFont="1" applyFill="1" applyBorder="1">
      <alignment vertical="center"/>
    </xf>
    <xf numFmtId="49" fontId="1" fillId="26" borderId="20" xfId="0" applyNumberFormat="1" applyFont="1" applyFill="1" applyBorder="1">
      <alignment vertical="center"/>
    </xf>
    <xf numFmtId="1" fontId="1" fillId="0" borderId="20" xfId="0" applyNumberFormat="1" applyFont="1" applyBorder="1">
      <alignment vertical="center"/>
    </xf>
    <xf numFmtId="177" fontId="1" fillId="0" borderId="79" xfId="0" applyNumberFormat="1" applyFont="1" applyBorder="1">
      <alignment vertical="center"/>
    </xf>
    <xf numFmtId="177" fontId="1" fillId="0" borderId="0" xfId="0" applyNumberFormat="1" applyFont="1" applyBorder="1">
      <alignment vertical="center"/>
    </xf>
    <xf numFmtId="0" fontId="5" fillId="15" borderId="74" xfId="0" applyFont="1" applyFill="1" applyBorder="1" applyAlignment="1">
      <alignment horizontal="center" vertical="center" textRotation="255"/>
    </xf>
    <xf numFmtId="0" fontId="21" fillId="33" borderId="69" xfId="0" applyFont="1" applyFill="1" applyBorder="1" applyAlignment="1">
      <alignment horizontal="center" vertical="center"/>
    </xf>
    <xf numFmtId="0" fontId="22" fillId="33" borderId="79" xfId="0" applyFont="1" applyFill="1" applyBorder="1" applyAlignment="1">
      <alignment horizontal="center" vertical="center"/>
    </xf>
    <xf numFmtId="0" fontId="22" fillId="33" borderId="0" xfId="0" applyFont="1" applyFill="1" applyBorder="1" applyAlignment="1">
      <alignment horizontal="center" vertical="center"/>
    </xf>
    <xf numFmtId="0" fontId="1" fillId="33" borderId="79" xfId="0" applyFont="1" applyFill="1" applyBorder="1" applyAlignment="1">
      <alignment horizontal="center" vertical="center"/>
    </xf>
    <xf numFmtId="0" fontId="1" fillId="33" borderId="0" xfId="0" applyFont="1" applyFill="1" applyBorder="1" applyAlignment="1">
      <alignment horizontal="center" vertical="center"/>
    </xf>
    <xf numFmtId="0" fontId="1" fillId="33" borderId="82" xfId="0" applyFont="1" applyFill="1" applyBorder="1" applyAlignment="1">
      <alignment horizontal="center" vertical="center"/>
    </xf>
    <xf numFmtId="0" fontId="1" fillId="33" borderId="93" xfId="0" applyFont="1" applyFill="1" applyBorder="1" applyAlignment="1">
      <alignment horizontal="center" vertical="center"/>
    </xf>
    <xf numFmtId="0" fontId="1" fillId="0" borderId="59" xfId="0" applyFont="1" applyBorder="1">
      <alignment vertical="center"/>
    </xf>
    <xf numFmtId="58" fontId="1" fillId="0" borderId="79" xfId="0" applyNumberFormat="1" applyFont="1" applyBorder="1">
      <alignment vertical="center"/>
    </xf>
    <xf numFmtId="58" fontId="1" fillId="0" borderId="58" xfId="0" applyNumberFormat="1" applyFont="1" applyBorder="1">
      <alignment vertical="center"/>
    </xf>
    <xf numFmtId="0" fontId="1" fillId="4" borderId="79" xfId="0" applyFont="1" applyFill="1" applyBorder="1">
      <alignment vertical="center"/>
    </xf>
    <xf numFmtId="0" fontId="1" fillId="4" borderId="0" xfId="0" applyFont="1" applyFill="1" applyBorder="1">
      <alignment vertical="center"/>
    </xf>
    <xf numFmtId="0" fontId="22" fillId="24" borderId="0" xfId="0" applyFont="1" applyFill="1" applyBorder="1">
      <alignment vertical="center"/>
    </xf>
    <xf numFmtId="0" fontId="22" fillId="0" borderId="0" xfId="0" applyFont="1" applyBorder="1">
      <alignment vertical="center"/>
    </xf>
    <xf numFmtId="0" fontId="5" fillId="0" borderId="0" xfId="0" applyFont="1" applyBorder="1">
      <alignment vertical="center"/>
    </xf>
    <xf numFmtId="0" fontId="1" fillId="16" borderId="63" xfId="0" applyFont="1" applyFill="1" applyBorder="1">
      <alignment vertical="center"/>
    </xf>
    <xf numFmtId="0" fontId="1" fillId="0" borderId="63" xfId="0" applyFont="1" applyBorder="1">
      <alignment vertical="center"/>
    </xf>
    <xf numFmtId="0" fontId="1" fillId="16" borderId="20" xfId="0" applyFont="1" applyFill="1" applyBorder="1">
      <alignment vertical="center"/>
    </xf>
    <xf numFmtId="0" fontId="21" fillId="33" borderId="80" xfId="0" applyFont="1" applyFill="1" applyBorder="1" applyAlignment="1">
      <alignment horizontal="center" vertical="center"/>
    </xf>
    <xf numFmtId="0" fontId="22" fillId="33" borderId="81" xfId="0" applyFont="1" applyFill="1" applyBorder="1" applyAlignment="1">
      <alignment horizontal="center" vertical="center"/>
    </xf>
    <xf numFmtId="0" fontId="19" fillId="16" borderId="88" xfId="0" applyFont="1" applyFill="1" applyBorder="1">
      <alignment vertical="center"/>
    </xf>
    <xf numFmtId="0" fontId="1" fillId="33" borderId="81" xfId="0" applyFont="1" applyFill="1" applyBorder="1" applyAlignment="1">
      <alignment horizontal="center" vertical="center"/>
    </xf>
    <xf numFmtId="0" fontId="19" fillId="0" borderId="89" xfId="0" applyFont="1" applyBorder="1">
      <alignment vertical="center"/>
    </xf>
    <xf numFmtId="0" fontId="19" fillId="16" borderId="91" xfId="0" applyFont="1" applyFill="1" applyBorder="1">
      <alignment vertical="center"/>
    </xf>
    <xf numFmtId="0" fontId="1" fillId="33" borderId="83" xfId="0" applyFont="1" applyFill="1" applyBorder="1" applyAlignment="1">
      <alignment horizontal="center" vertical="center"/>
    </xf>
    <xf numFmtId="0" fontId="19" fillId="0" borderId="81" xfId="0" applyFont="1" applyBorder="1">
      <alignment vertical="center"/>
    </xf>
    <xf numFmtId="0" fontId="3" fillId="0" borderId="66" xfId="0" applyFont="1" applyBorder="1" applyAlignment="1">
      <alignment horizontal="center" vertical="center"/>
    </xf>
    <xf numFmtId="0" fontId="3" fillId="0" borderId="20" xfId="0" applyFont="1" applyBorder="1" applyAlignment="1">
      <alignment horizontal="center" vertical="center"/>
    </xf>
    <xf numFmtId="0" fontId="3" fillId="0" borderId="0" xfId="0" applyFont="1" applyBorder="1" applyAlignment="1">
      <alignment horizontal="center" vertical="center"/>
    </xf>
    <xf numFmtId="0" fontId="35" fillId="0" borderId="0" xfId="0" applyFont="1" applyBorder="1" applyAlignment="1">
      <alignment horizontal="center" vertical="center"/>
    </xf>
    <xf numFmtId="0" fontId="5" fillId="0" borderId="66" xfId="0" applyFont="1" applyBorder="1" applyAlignment="1">
      <alignment horizontal="center" vertical="center"/>
    </xf>
    <xf numFmtId="0" fontId="30" fillId="0" borderId="20" xfId="0" applyFont="1" applyBorder="1" applyAlignment="1">
      <alignment horizontal="center" vertical="center" wrapText="1"/>
    </xf>
    <xf numFmtId="49" fontId="30" fillId="0" borderId="20" xfId="0" applyNumberFormat="1" applyFont="1" applyBorder="1" applyAlignment="1">
      <alignment horizontal="center" vertical="center" wrapText="1"/>
    </xf>
    <xf numFmtId="0" fontId="5" fillId="0" borderId="0" xfId="0" applyFont="1" applyBorder="1" applyAlignment="1">
      <alignment horizontal="center" vertical="center"/>
    </xf>
    <xf numFmtId="0" fontId="15" fillId="0" borderId="0" xfId="0" applyFont="1" applyBorder="1" applyAlignment="1">
      <alignment horizontal="center" vertical="center"/>
    </xf>
    <xf numFmtId="0" fontId="15" fillId="0" borderId="0" xfId="0" applyFont="1" applyBorder="1" applyAlignment="1">
      <alignment horizontal="left" vertical="center"/>
    </xf>
    <xf numFmtId="0" fontId="36" fillId="35" borderId="111" xfId="0" applyFont="1" applyFill="1" applyBorder="1" applyAlignment="1">
      <alignment horizontal="center" vertical="center"/>
    </xf>
    <xf numFmtId="0" fontId="6" fillId="35" borderId="64" xfId="0" applyFont="1" applyFill="1" applyBorder="1" applyAlignment="1">
      <alignment horizontal="center" vertical="center"/>
    </xf>
    <xf numFmtId="0" fontId="38" fillId="18" borderId="20" xfId="0" applyFont="1" applyFill="1" applyBorder="1" applyAlignment="1">
      <alignment horizontal="center" vertical="center"/>
    </xf>
    <xf numFmtId="0" fontId="1" fillId="36" borderId="0" xfId="0" applyFont="1" applyFill="1" applyBorder="1">
      <alignment vertical="center"/>
    </xf>
    <xf numFmtId="0" fontId="1" fillId="3" borderId="0" xfId="0" applyFont="1" applyFill="1" applyBorder="1">
      <alignment vertical="center"/>
    </xf>
    <xf numFmtId="0" fontId="13" fillId="0" borderId="82" xfId="0" applyFont="1" applyBorder="1">
      <alignment vertical="center"/>
    </xf>
    <xf numFmtId="0" fontId="5" fillId="0" borderId="79" xfId="0" applyFont="1" applyBorder="1">
      <alignment vertical="center"/>
    </xf>
    <xf numFmtId="0" fontId="1" fillId="25" borderId="0" xfId="0" applyFont="1" applyFill="1" applyBorder="1" applyAlignment="1">
      <alignment horizontal="center" vertical="center"/>
    </xf>
    <xf numFmtId="0" fontId="1" fillId="37" borderId="0" xfId="0" applyFont="1" applyFill="1" applyBorder="1" applyAlignment="1">
      <alignment horizontal="center" vertical="center"/>
    </xf>
    <xf numFmtId="0" fontId="39" fillId="38" borderId="0" xfId="0" applyFont="1" applyFill="1" applyBorder="1" applyAlignment="1">
      <alignment horizontal="center" vertical="center"/>
    </xf>
    <xf numFmtId="0" fontId="1" fillId="24" borderId="0" xfId="0" applyFont="1" applyFill="1" applyBorder="1" applyAlignment="1">
      <alignment horizontal="center" vertical="center"/>
    </xf>
    <xf numFmtId="0" fontId="1" fillId="39" borderId="0" xfId="0" applyFont="1" applyFill="1" applyBorder="1" applyAlignment="1">
      <alignment horizontal="center" vertical="center"/>
    </xf>
    <xf numFmtId="0" fontId="15" fillId="0" borderId="81" xfId="0" applyFont="1" applyBorder="1" applyAlignment="1">
      <alignment horizontal="center" vertical="center"/>
    </xf>
    <xf numFmtId="0" fontId="30" fillId="0" borderId="0" xfId="0" applyFont="1" applyBorder="1" applyAlignment="1">
      <alignment horizontal="center" vertical="center"/>
    </xf>
    <xf numFmtId="0" fontId="9" fillId="0" borderId="0" xfId="0" applyFont="1" applyBorder="1" applyAlignment="1">
      <alignment horizontal="center" vertical="center"/>
    </xf>
    <xf numFmtId="0" fontId="9" fillId="0" borderId="81" xfId="0" applyFont="1" applyBorder="1" applyAlignment="1">
      <alignment horizontal="center" vertical="center"/>
    </xf>
    <xf numFmtId="0" fontId="23" fillId="0" borderId="20" xfId="0" applyFont="1" applyBorder="1" applyAlignment="1">
      <alignment horizontal="center" vertical="center" wrapText="1"/>
    </xf>
    <xf numFmtId="0" fontId="24" fillId="0" borderId="20" xfId="0" applyFont="1" applyBorder="1" applyAlignment="1">
      <alignment horizontal="center" vertical="center"/>
    </xf>
    <xf numFmtId="0" fontId="10" fillId="0" borderId="0" xfId="0" applyFont="1" applyBorder="1" applyAlignment="1">
      <alignment horizontal="center" vertical="center"/>
    </xf>
    <xf numFmtId="0" fontId="1" fillId="22" borderId="0" xfId="0" applyFont="1" applyFill="1" applyBorder="1" applyAlignment="1">
      <alignment horizontal="center" vertical="center"/>
    </xf>
    <xf numFmtId="0" fontId="1" fillId="15" borderId="0" xfId="0" applyFont="1" applyFill="1" applyBorder="1" applyAlignment="1">
      <alignment horizontal="center" vertical="center"/>
    </xf>
    <xf numFmtId="0" fontId="1" fillId="23" borderId="72" xfId="0" applyFont="1" applyFill="1" applyBorder="1">
      <alignment vertical="center"/>
    </xf>
    <xf numFmtId="14" fontId="1" fillId="0" borderId="76" xfId="0" applyNumberFormat="1" applyFont="1" applyBorder="1">
      <alignment vertical="center"/>
    </xf>
    <xf numFmtId="0" fontId="1" fillId="0" borderId="58" xfId="0" applyFont="1" applyBorder="1">
      <alignment vertical="center"/>
    </xf>
    <xf numFmtId="0" fontId="1" fillId="23" borderId="51" xfId="0" applyFont="1" applyFill="1" applyBorder="1">
      <alignment vertical="center"/>
    </xf>
    <xf numFmtId="14" fontId="1" fillId="0" borderId="78" xfId="0" applyNumberFormat="1" applyFont="1" applyBorder="1">
      <alignment vertical="center"/>
    </xf>
    <xf numFmtId="0" fontId="1" fillId="23" borderId="66" xfId="0" applyFont="1" applyFill="1" applyBorder="1">
      <alignment vertical="center"/>
    </xf>
    <xf numFmtId="0" fontId="8" fillId="0" borderId="66" xfId="0" applyFont="1" applyBorder="1" applyAlignment="1">
      <alignment horizontal="left" vertical="center" wrapText="1"/>
    </xf>
    <xf numFmtId="186" fontId="1" fillId="0" borderId="79" xfId="0" applyNumberFormat="1" applyFont="1" applyBorder="1">
      <alignment vertical="center"/>
    </xf>
    <xf numFmtId="187" fontId="1" fillId="0" borderId="79" xfId="0" applyNumberFormat="1" applyFont="1" applyBorder="1">
      <alignment vertical="center"/>
    </xf>
    <xf numFmtId="0" fontId="4" fillId="41" borderId="66" xfId="0" applyFont="1" applyFill="1" applyBorder="1" applyAlignment="1">
      <alignment horizontal="center" vertical="center"/>
    </xf>
    <xf numFmtId="0" fontId="4" fillId="41" borderId="20" xfId="0" applyFont="1" applyFill="1" applyBorder="1" applyAlignment="1">
      <alignment horizontal="center" vertical="center"/>
    </xf>
    <xf numFmtId="0" fontId="1" fillId="0" borderId="66" xfId="0" applyFont="1" applyBorder="1" applyAlignment="1"/>
    <xf numFmtId="0" fontId="1" fillId="0" borderId="75" xfId="0" applyFont="1" applyBorder="1">
      <alignment vertical="center"/>
    </xf>
    <xf numFmtId="188" fontId="1" fillId="0" borderId="0" xfId="0" applyNumberFormat="1" applyFont="1" applyBorder="1">
      <alignment vertical="center"/>
    </xf>
    <xf numFmtId="14" fontId="1" fillId="0" borderId="0" xfId="0" applyNumberFormat="1" applyFont="1" applyBorder="1">
      <alignment vertical="center"/>
    </xf>
    <xf numFmtId="22" fontId="1" fillId="0" borderId="0" xfId="0" applyNumberFormat="1" applyFont="1" applyBorder="1">
      <alignment vertical="center"/>
    </xf>
    <xf numFmtId="18" fontId="1" fillId="0" borderId="0" xfId="0" applyNumberFormat="1" applyFont="1" applyBorder="1">
      <alignment vertical="center"/>
    </xf>
    <xf numFmtId="189" fontId="42" fillId="0" borderId="0" xfId="0" applyNumberFormat="1" applyFont="1" applyBorder="1">
      <alignment vertical="center"/>
    </xf>
    <xf numFmtId="58" fontId="1" fillId="0" borderId="0" xfId="0" applyNumberFormat="1" applyFont="1" applyBorder="1">
      <alignment vertical="center"/>
    </xf>
    <xf numFmtId="58" fontId="1" fillId="0" borderId="93" xfId="0" applyNumberFormat="1" applyFont="1" applyBorder="1">
      <alignment vertical="center"/>
    </xf>
    <xf numFmtId="0" fontId="43" fillId="0" borderId="66" xfId="0" applyFont="1" applyBorder="1" applyAlignment="1">
      <alignment horizontal="center" vertical="center" wrapText="1"/>
    </xf>
    <xf numFmtId="0" fontId="43" fillId="0" borderId="20" xfId="0" applyFont="1" applyBorder="1" applyAlignment="1">
      <alignment horizontal="center" vertical="center" wrapText="1"/>
    </xf>
    <xf numFmtId="0" fontId="23" fillId="0" borderId="66" xfId="0" applyFont="1" applyBorder="1">
      <alignment vertical="center"/>
    </xf>
    <xf numFmtId="0" fontId="23" fillId="0" borderId="20" xfId="0" applyFont="1" applyBorder="1" applyAlignment="1">
      <alignment horizontal="right"/>
    </xf>
    <xf numFmtId="0" fontId="23" fillId="0" borderId="20" xfId="0" applyFont="1" applyBorder="1" applyAlignment="1">
      <alignment horizontal="right" vertical="center"/>
    </xf>
    <xf numFmtId="0" fontId="27" fillId="0" borderId="0" xfId="0" applyFont="1" applyBorder="1">
      <alignment vertical="center"/>
    </xf>
    <xf numFmtId="180" fontId="1" fillId="0" borderId="20" xfId="0" applyNumberFormat="1" applyFont="1" applyBorder="1">
      <alignment vertical="center"/>
    </xf>
    <xf numFmtId="0" fontId="23" fillId="0" borderId="20" xfId="0" applyFont="1" applyBorder="1">
      <alignment vertical="center"/>
    </xf>
    <xf numFmtId="14" fontId="1" fillId="0" borderId="93" xfId="0" applyNumberFormat="1" applyFont="1" applyBorder="1">
      <alignment vertical="center"/>
    </xf>
    <xf numFmtId="177" fontId="10" fillId="0" borderId="79" xfId="0" applyNumberFormat="1" applyFont="1" applyBorder="1" applyAlignment="1">
      <alignment horizontal="center"/>
    </xf>
    <xf numFmtId="190" fontId="10" fillId="0" borderId="0" xfId="0" applyNumberFormat="1" applyFont="1" applyBorder="1" applyAlignment="1">
      <alignment horizontal="center"/>
    </xf>
    <xf numFmtId="180" fontId="10" fillId="0" borderId="0" xfId="0" applyNumberFormat="1" applyFont="1" applyBorder="1" applyAlignment="1">
      <alignment horizontal="center"/>
    </xf>
    <xf numFmtId="0" fontId="10" fillId="0" borderId="0" xfId="0" applyFont="1" applyBorder="1" applyAlignment="1"/>
    <xf numFmtId="0" fontId="10" fillId="0" borderId="79" xfId="0" applyFont="1" applyBorder="1" applyAlignment="1">
      <alignment horizontal="center"/>
    </xf>
    <xf numFmtId="177" fontId="9" fillId="0" borderId="79" xfId="0" applyNumberFormat="1" applyFont="1" applyBorder="1" applyAlignment="1">
      <alignment horizontal="center"/>
    </xf>
    <xf numFmtId="180" fontId="9" fillId="0" borderId="0" xfId="0" applyNumberFormat="1" applyFont="1" applyBorder="1" applyAlignment="1">
      <alignment horizontal="center"/>
    </xf>
    <xf numFmtId="0" fontId="10" fillId="0" borderId="79" xfId="0" applyFont="1" applyBorder="1" applyAlignment="1"/>
    <xf numFmtId="0" fontId="10" fillId="0" borderId="0" xfId="0" applyFont="1" applyBorder="1" applyAlignment="1">
      <alignment wrapText="1"/>
    </xf>
    <xf numFmtId="0" fontId="44" fillId="0" borderId="79" xfId="0" applyFont="1" applyBorder="1">
      <alignment vertical="center"/>
    </xf>
    <xf numFmtId="0" fontId="44" fillId="0" borderId="0" xfId="0" applyFont="1" applyBorder="1">
      <alignment vertical="center"/>
    </xf>
    <xf numFmtId="0" fontId="1" fillId="42" borderId="0" xfId="0" applyFont="1" applyFill="1" applyBorder="1">
      <alignment vertical="center"/>
    </xf>
    <xf numFmtId="0" fontId="1" fillId="0" borderId="40" xfId="0" applyFont="1" applyBorder="1" applyAlignment="1"/>
    <xf numFmtId="0" fontId="31" fillId="0" borderId="20" xfId="0" applyFont="1" applyBorder="1" applyAlignment="1">
      <alignment horizontal="center" vertical="center" wrapText="1"/>
    </xf>
    <xf numFmtId="0" fontId="45" fillId="0" borderId="20" xfId="0" applyFont="1" applyBorder="1" applyAlignment="1">
      <alignment horizontal="center" vertical="center" wrapText="1"/>
    </xf>
    <xf numFmtId="0" fontId="46" fillId="0" borderId="20" xfId="0" applyFont="1" applyBorder="1" applyAlignment="1">
      <alignment horizontal="center" vertical="center" wrapText="1"/>
    </xf>
    <xf numFmtId="10" fontId="46" fillId="0" borderId="20" xfId="0" applyNumberFormat="1" applyFont="1" applyBorder="1" applyAlignment="1">
      <alignment horizontal="center" vertical="center" wrapText="1"/>
    </xf>
    <xf numFmtId="0" fontId="1" fillId="0" borderId="51" xfId="0" applyFont="1" applyBorder="1" applyAlignment="1"/>
    <xf numFmtId="191" fontId="1" fillId="0" borderId="20" xfId="0" applyNumberFormat="1" applyFont="1" applyBorder="1" applyAlignment="1"/>
    <xf numFmtId="0" fontId="1" fillId="0" borderId="112" xfId="0" applyFont="1" applyBorder="1" applyAlignment="1"/>
    <xf numFmtId="0" fontId="1" fillId="0" borderId="113" xfId="0" applyFont="1" applyBorder="1" applyAlignment="1"/>
    <xf numFmtId="0" fontId="1" fillId="0" borderId="114" xfId="0" applyFont="1" applyBorder="1" applyAlignment="1"/>
    <xf numFmtId="0" fontId="1" fillId="0" borderId="115" xfId="0" applyFont="1" applyBorder="1" applyAlignment="1"/>
    <xf numFmtId="0" fontId="1" fillId="23" borderId="116" xfId="0" applyFont="1" applyFill="1" applyBorder="1" applyAlignment="1"/>
    <xf numFmtId="0" fontId="1" fillId="0" borderId="117" xfId="0" applyFont="1" applyBorder="1" applyAlignment="1"/>
    <xf numFmtId="0" fontId="1" fillId="42" borderId="69" xfId="0" applyFont="1" applyFill="1" applyBorder="1" applyAlignment="1">
      <alignment horizontal="center" vertical="center"/>
    </xf>
    <xf numFmtId="14" fontId="1" fillId="0" borderId="69" xfId="0" applyNumberFormat="1" applyFont="1" applyBorder="1">
      <alignment vertical="center"/>
    </xf>
    <xf numFmtId="0" fontId="1" fillId="0" borderId="79" xfId="0" applyFont="1" applyBorder="1" applyAlignment="1">
      <alignment vertical="top"/>
    </xf>
    <xf numFmtId="0" fontId="1" fillId="0" borderId="0" xfId="0" applyFont="1" applyAlignment="1"/>
    <xf numFmtId="0" fontId="13" fillId="0" borderId="0" xfId="0" applyFont="1" applyBorder="1" applyAlignment="1">
      <alignment horizontal="center" vertical="center"/>
    </xf>
    <xf numFmtId="0" fontId="1" fillId="43" borderId="0" xfId="0" applyFont="1" applyFill="1" applyBorder="1" applyAlignment="1">
      <alignment horizontal="center" vertical="center"/>
    </xf>
    <xf numFmtId="176" fontId="25" fillId="43" borderId="118" xfId="0" applyNumberFormat="1" applyFont="1" applyFill="1" applyBorder="1" applyAlignment="1">
      <alignment horizontal="center" vertical="center"/>
    </xf>
    <xf numFmtId="0" fontId="27" fillId="44" borderId="118" xfId="0" applyFont="1" applyFill="1" applyBorder="1" applyAlignment="1">
      <alignment horizontal="center" vertical="center"/>
    </xf>
    <xf numFmtId="0" fontId="13" fillId="0" borderId="0" xfId="0" applyFont="1" applyBorder="1" applyAlignment="1">
      <alignment horizontal="left" vertical="center"/>
    </xf>
    <xf numFmtId="0" fontId="1" fillId="40" borderId="0" xfId="0" applyFont="1" applyFill="1" applyBorder="1" applyAlignment="1">
      <alignment horizontal="center" vertical="center"/>
    </xf>
    <xf numFmtId="0" fontId="1" fillId="23" borderId="66" xfId="0" applyFont="1" applyFill="1" applyBorder="1" applyAlignment="1">
      <alignment horizontal="center"/>
    </xf>
    <xf numFmtId="0" fontId="1" fillId="23" borderId="20" xfId="0" applyFont="1" applyFill="1" applyBorder="1" applyAlignment="1">
      <alignment horizontal="center"/>
    </xf>
    <xf numFmtId="0" fontId="1" fillId="23" borderId="66" xfId="0" applyFont="1" applyFill="1" applyBorder="1" applyAlignment="1"/>
    <xf numFmtId="0" fontId="1" fillId="23" borderId="20" xfId="0" applyFont="1" applyFill="1" applyBorder="1" applyAlignment="1"/>
    <xf numFmtId="0" fontId="3" fillId="23" borderId="20" xfId="0" applyFont="1" applyFill="1" applyBorder="1" applyAlignment="1">
      <alignment horizontal="center" vertical="center"/>
    </xf>
    <xf numFmtId="0" fontId="3" fillId="46" borderId="20" xfId="0" applyFont="1" applyFill="1" applyBorder="1" applyAlignment="1">
      <alignment horizontal="center" vertical="center"/>
    </xf>
    <xf numFmtId="0" fontId="47" fillId="0" borderId="79" xfId="0" applyFont="1" applyBorder="1" applyAlignment="1">
      <alignment horizontal="center" vertical="center"/>
    </xf>
    <xf numFmtId="0" fontId="47" fillId="0" borderId="0" xfId="0" applyFont="1" applyBorder="1" applyAlignment="1">
      <alignment horizontal="center" vertical="center"/>
    </xf>
    <xf numFmtId="0" fontId="1" fillId="0" borderId="62" xfId="0" applyFont="1" applyBorder="1">
      <alignment vertical="center"/>
    </xf>
    <xf numFmtId="176" fontId="1" fillId="0" borderId="69" xfId="0" applyNumberFormat="1" applyFont="1" applyBorder="1" applyAlignment="1"/>
    <xf numFmtId="176" fontId="1" fillId="0" borderId="0" xfId="0" applyNumberFormat="1" applyFont="1" applyBorder="1" applyAlignment="1"/>
    <xf numFmtId="0" fontId="1" fillId="0" borderId="80" xfId="0" applyFont="1" applyBorder="1" applyAlignment="1"/>
    <xf numFmtId="0" fontId="1" fillId="0" borderId="40" xfId="0" applyFont="1" applyBorder="1" applyAlignment="1" applyProtection="1">
      <alignment horizontal="center" vertical="center"/>
      <protection locked="0"/>
    </xf>
    <xf numFmtId="0" fontId="1" fillId="0" borderId="69" xfId="0" applyFont="1" applyBorder="1" applyProtection="1">
      <alignment vertical="center"/>
      <protection locked="0"/>
    </xf>
    <xf numFmtId="0" fontId="1" fillId="0" borderId="79" xfId="0" applyFont="1" applyBorder="1" applyAlignment="1" applyProtection="1">
      <alignment horizontal="center" vertical="center"/>
      <protection locked="0"/>
    </xf>
    <xf numFmtId="0" fontId="1" fillId="0" borderId="0" xfId="0" applyFont="1" applyBorder="1" applyProtection="1">
      <alignment vertical="center"/>
      <protection locked="0"/>
    </xf>
    <xf numFmtId="0" fontId="27" fillId="0" borderId="79" xfId="0" applyFont="1" applyBorder="1" applyAlignment="1">
      <alignment horizontal="center" vertical="center"/>
    </xf>
    <xf numFmtId="192" fontId="27" fillId="0" borderId="0" xfId="0" applyNumberFormat="1" applyFont="1" applyBorder="1" applyAlignment="1">
      <alignment horizontal="center" vertical="center"/>
    </xf>
    <xf numFmtId="0" fontId="27" fillId="0" borderId="0" xfId="0" applyFont="1" applyBorder="1" applyAlignment="1">
      <alignment horizontal="center" vertical="center"/>
    </xf>
    <xf numFmtId="0" fontId="1" fillId="23" borderId="96" xfId="5" applyFont="1" applyFill="1" applyBorder="1" applyAlignment="1">
      <alignment horizontal="center"/>
    </xf>
    <xf numFmtId="0" fontId="1" fillId="23" borderId="97" xfId="5" applyFont="1" applyFill="1" applyBorder="1" applyAlignment="1">
      <alignment horizontal="center"/>
    </xf>
    <xf numFmtId="0" fontId="1" fillId="0" borderId="80" xfId="5" applyFont="1" applyBorder="1" applyAlignment="1">
      <alignment horizontal="center" vertical="center"/>
    </xf>
    <xf numFmtId="0" fontId="1" fillId="0" borderId="0" xfId="5" applyFont="1" applyBorder="1"/>
    <xf numFmtId="0" fontId="27" fillId="23" borderId="66" xfId="5" applyNumberFormat="1" applyFont="1" applyFill="1" applyBorder="1"/>
    <xf numFmtId="0" fontId="27" fillId="23" borderId="20" xfId="5" applyFont="1" applyFill="1" applyBorder="1"/>
    <xf numFmtId="0" fontId="23" fillId="0" borderId="82" xfId="0" applyFont="1" applyBorder="1" applyAlignment="1"/>
    <xf numFmtId="0" fontId="27" fillId="0" borderId="7" xfId="0" applyFont="1" applyBorder="1" applyAlignment="1">
      <alignment horizontal="center" vertical="center"/>
    </xf>
    <xf numFmtId="0" fontId="1" fillId="0" borderId="9" xfId="0" applyFont="1" applyBorder="1">
      <alignment vertical="center"/>
    </xf>
    <xf numFmtId="0" fontId="27" fillId="0" borderId="40" xfId="0" applyFont="1" applyBorder="1" applyAlignment="1">
      <alignment horizontal="center" vertical="center"/>
    </xf>
    <xf numFmtId="192" fontId="48" fillId="38" borderId="80" xfId="0" applyNumberFormat="1" applyFont="1" applyFill="1" applyBorder="1" applyAlignment="1">
      <alignment horizontal="center" vertical="center"/>
    </xf>
    <xf numFmtId="0" fontId="27" fillId="0" borderId="81" xfId="0" applyFont="1" applyBorder="1" applyAlignment="1">
      <alignment horizontal="center" vertical="center"/>
    </xf>
    <xf numFmtId="0" fontId="27" fillId="0" borderId="82" xfId="0" applyFont="1" applyBorder="1" applyAlignment="1">
      <alignment horizontal="center" vertical="center"/>
    </xf>
    <xf numFmtId="192" fontId="48" fillId="38" borderId="83" xfId="0" applyNumberFormat="1" applyFont="1" applyFill="1" applyBorder="1" applyAlignment="1">
      <alignment horizontal="center" vertical="center"/>
    </xf>
    <xf numFmtId="0" fontId="27" fillId="0" borderId="0" xfId="0" applyFont="1" applyBorder="1" applyAlignment="1">
      <alignment horizontal="left" vertical="center"/>
    </xf>
    <xf numFmtId="0" fontId="27" fillId="40" borderId="40" xfId="0" applyFont="1" applyFill="1" applyBorder="1" applyAlignment="1">
      <alignment horizontal="left" vertical="center"/>
    </xf>
    <xf numFmtId="0" fontId="27" fillId="40" borderId="21" xfId="0" applyFont="1" applyFill="1" applyBorder="1" applyAlignment="1">
      <alignment horizontal="center" vertical="center"/>
    </xf>
    <xf numFmtId="0" fontId="27" fillId="40" borderId="82" xfId="0" applyFont="1" applyFill="1" applyBorder="1" applyAlignment="1">
      <alignment horizontal="left" vertical="center"/>
    </xf>
    <xf numFmtId="0" fontId="27" fillId="23" borderId="66" xfId="5" applyFont="1" applyFill="1" applyBorder="1"/>
    <xf numFmtId="0" fontId="1" fillId="0" borderId="79" xfId="5" applyFont="1" applyBorder="1"/>
    <xf numFmtId="0" fontId="1" fillId="0" borderId="81" xfId="5" applyFont="1" applyBorder="1"/>
    <xf numFmtId="22" fontId="5" fillId="0" borderId="7" xfId="5" applyNumberFormat="1" applyFont="1" applyBorder="1"/>
    <xf numFmtId="22" fontId="5" fillId="0" borderId="8" xfId="5" applyNumberFormat="1" applyFont="1" applyBorder="1"/>
    <xf numFmtId="0" fontId="1" fillId="0" borderId="9" xfId="5" applyFont="1" applyBorder="1"/>
    <xf numFmtId="14" fontId="1" fillId="0" borderId="0" xfId="5" applyNumberFormat="1" applyFont="1" applyBorder="1"/>
    <xf numFmtId="0" fontId="5" fillId="0" borderId="0" xfId="5" applyFont="1" applyBorder="1"/>
    <xf numFmtId="0" fontId="1" fillId="0" borderId="82" xfId="5" applyFont="1" applyBorder="1"/>
    <xf numFmtId="0" fontId="1" fillId="0" borderId="93" xfId="5" applyFont="1" applyBorder="1"/>
    <xf numFmtId="0" fontId="1" fillId="0" borderId="0" xfId="5" applyFont="1"/>
    <xf numFmtId="0" fontId="1" fillId="0" borderId="0" xfId="0" applyFont="1" applyAlignment="1">
      <alignment horizontal="center"/>
    </xf>
    <xf numFmtId="0" fontId="1" fillId="23" borderId="0" xfId="0" applyFont="1" applyFill="1" applyAlignment="1">
      <alignment horizontal="center"/>
    </xf>
    <xf numFmtId="0" fontId="49" fillId="47" borderId="66" xfId="0" applyFont="1" applyFill="1" applyBorder="1" applyAlignment="1">
      <alignment horizontal="center" vertical="center"/>
    </xf>
    <xf numFmtId="0" fontId="49" fillId="47" borderId="74" xfId="0" applyFont="1" applyFill="1" applyBorder="1" applyAlignment="1">
      <alignment horizontal="center" vertical="center"/>
    </xf>
    <xf numFmtId="0" fontId="49" fillId="0" borderId="0" xfId="0" applyFont="1" applyBorder="1">
      <alignment vertical="center"/>
    </xf>
    <xf numFmtId="0" fontId="49" fillId="0" borderId="111" xfId="0" applyFont="1" applyBorder="1">
      <alignment vertical="center"/>
    </xf>
    <xf numFmtId="192" fontId="49" fillId="0" borderId="78" xfId="0" applyNumberFormat="1" applyFont="1" applyBorder="1">
      <alignment vertical="center"/>
    </xf>
    <xf numFmtId="0" fontId="49" fillId="0" borderId="78" xfId="0" applyFont="1" applyBorder="1">
      <alignment vertical="center"/>
    </xf>
    <xf numFmtId="0" fontId="49" fillId="48" borderId="79" xfId="0" applyFont="1" applyFill="1" applyBorder="1">
      <alignment vertical="center"/>
    </xf>
    <xf numFmtId="182" fontId="49" fillId="48" borderId="0" xfId="0" applyNumberFormat="1" applyFont="1" applyFill="1" applyBorder="1" applyAlignment="1">
      <alignment horizontal="left" vertical="center"/>
    </xf>
    <xf numFmtId="0" fontId="22" fillId="48" borderId="0" xfId="0" applyFont="1" applyFill="1" applyBorder="1">
      <alignment vertical="center"/>
    </xf>
    <xf numFmtId="182" fontId="49" fillId="48" borderId="0" xfId="0" applyNumberFormat="1" applyFont="1" applyFill="1" applyBorder="1">
      <alignment vertical="center"/>
    </xf>
    <xf numFmtId="0" fontId="49" fillId="48" borderId="0" xfId="0" applyFont="1" applyFill="1" applyBorder="1">
      <alignment vertical="center"/>
    </xf>
    <xf numFmtId="0" fontId="49" fillId="0" borderId="111" xfId="0" applyFont="1" applyBorder="1" applyProtection="1">
      <alignment vertical="center"/>
      <protection locked="0"/>
    </xf>
    <xf numFmtId="0" fontId="49" fillId="0" borderId="78" xfId="0" applyFont="1" applyBorder="1" applyProtection="1">
      <alignment vertical="center"/>
      <protection locked="0"/>
    </xf>
    <xf numFmtId="0" fontId="1" fillId="0" borderId="8" xfId="5" applyFont="1" applyBorder="1"/>
    <xf numFmtId="0" fontId="1" fillId="0" borderId="69" xfId="0" applyFont="1" applyBorder="1" applyAlignment="1">
      <alignment horizontal="left"/>
    </xf>
    <xf numFmtId="0" fontId="1" fillId="0" borderId="0" xfId="0" applyFont="1" applyAlignment="1">
      <alignment horizontal="left"/>
    </xf>
    <xf numFmtId="0" fontId="1" fillId="0" borderId="81" xfId="0" applyFont="1" applyBorder="1" applyAlignment="1">
      <alignment horizontal="center"/>
    </xf>
    <xf numFmtId="0" fontId="1" fillId="0" borderId="93" xfId="0" applyFont="1" applyBorder="1" applyAlignment="1">
      <alignment horizontal="left"/>
    </xf>
    <xf numFmtId="0" fontId="1" fillId="0" borderId="0" xfId="3" applyFont="1">
      <alignment vertical="center"/>
    </xf>
    <xf numFmtId="0" fontId="41" fillId="0" borderId="0" xfId="3" applyFont="1">
      <alignment vertical="center"/>
    </xf>
    <xf numFmtId="0" fontId="50" fillId="0" borderId="40" xfId="3" applyFont="1" applyBorder="1">
      <alignment vertical="center"/>
    </xf>
    <xf numFmtId="0" fontId="1" fillId="0" borderId="69" xfId="3" applyFont="1" applyBorder="1">
      <alignment vertical="center"/>
    </xf>
    <xf numFmtId="0" fontId="1" fillId="0" borderId="80" xfId="3" applyFont="1" applyBorder="1">
      <alignment vertical="center"/>
    </xf>
    <xf numFmtId="0" fontId="1" fillId="0" borderId="79" xfId="3" applyFont="1" applyBorder="1">
      <alignment vertical="center"/>
    </xf>
    <xf numFmtId="0" fontId="1" fillId="0" borderId="81" xfId="3" applyFont="1" applyBorder="1">
      <alignment vertical="center"/>
    </xf>
    <xf numFmtId="0" fontId="22" fillId="0" borderId="0" xfId="3" applyFont="1">
      <alignment vertical="center"/>
    </xf>
    <xf numFmtId="0" fontId="1" fillId="0" borderId="82" xfId="3" applyFont="1" applyBorder="1">
      <alignment vertical="center"/>
    </xf>
    <xf numFmtId="0" fontId="1" fillId="0" borderId="93" xfId="3" applyFont="1" applyBorder="1">
      <alignment vertical="center"/>
    </xf>
    <xf numFmtId="0" fontId="1" fillId="0" borderId="83" xfId="3" applyFont="1" applyBorder="1">
      <alignment vertical="center"/>
    </xf>
    <xf numFmtId="0" fontId="51" fillId="0" borderId="93" xfId="3" applyFont="1" applyBorder="1">
      <alignment vertical="center"/>
    </xf>
    <xf numFmtId="0" fontId="3" fillId="0" borderId="79" xfId="3" applyFont="1" applyBorder="1" applyAlignment="1">
      <alignment horizontal="left" vertical="center"/>
    </xf>
    <xf numFmtId="0" fontId="1" fillId="0" borderId="0" xfId="3" applyFont="1" applyAlignment="1">
      <alignment horizontal="left" vertical="center"/>
    </xf>
    <xf numFmtId="0" fontId="3" fillId="0" borderId="82" xfId="3" applyFont="1" applyBorder="1" applyAlignment="1">
      <alignment horizontal="left" vertical="center"/>
    </xf>
    <xf numFmtId="0" fontId="1" fillId="0" borderId="93" xfId="3" applyFont="1" applyBorder="1" applyAlignment="1">
      <alignment horizontal="left" vertical="center"/>
    </xf>
    <xf numFmtId="0" fontId="3" fillId="0" borderId="0" xfId="3" applyFont="1" applyAlignment="1">
      <alignment horizontal="left" vertical="center"/>
    </xf>
    <xf numFmtId="0" fontId="52" fillId="0" borderId="0" xfId="3" applyFont="1">
      <alignment vertical="center"/>
    </xf>
    <xf numFmtId="0" fontId="53" fillId="0" borderId="0" xfId="3" applyFont="1">
      <alignment vertical="center"/>
    </xf>
    <xf numFmtId="0" fontId="50" fillId="0" borderId="82" xfId="3" applyFont="1" applyBorder="1">
      <alignment vertical="center"/>
    </xf>
    <xf numFmtId="0" fontId="50" fillId="0" borderId="79" xfId="3" applyFont="1" applyBorder="1">
      <alignment vertical="center"/>
    </xf>
    <xf numFmtId="0" fontId="4" fillId="10" borderId="127" xfId="3" applyFont="1" applyFill="1" applyBorder="1">
      <alignment vertical="center"/>
    </xf>
    <xf numFmtId="0" fontId="4" fillId="10" borderId="128" xfId="3" applyFont="1" applyFill="1" applyBorder="1">
      <alignment vertical="center"/>
    </xf>
    <xf numFmtId="0" fontId="4" fillId="10" borderId="129" xfId="3" applyFont="1" applyFill="1" applyBorder="1">
      <alignment vertical="center"/>
    </xf>
    <xf numFmtId="0" fontId="54" fillId="49" borderId="127" xfId="3" applyFont="1" applyFill="1" applyBorder="1">
      <alignment vertical="center"/>
    </xf>
    <xf numFmtId="0" fontId="54" fillId="49" borderId="128" xfId="3" applyFont="1" applyFill="1" applyBorder="1">
      <alignment vertical="center"/>
    </xf>
    <xf numFmtId="0" fontId="54" fillId="49" borderId="129" xfId="3" applyFont="1" applyFill="1" applyBorder="1">
      <alignment vertical="center"/>
    </xf>
    <xf numFmtId="0" fontId="54" fillId="0" borderId="127" xfId="3" applyFont="1" applyBorder="1">
      <alignment vertical="center"/>
    </xf>
    <xf numFmtId="0" fontId="54" fillId="0" borderId="128" xfId="3" applyFont="1" applyBorder="1">
      <alignment vertical="center"/>
    </xf>
    <xf numFmtId="0" fontId="54" fillId="0" borderId="129" xfId="3" applyFont="1" applyBorder="1">
      <alignment vertical="center"/>
    </xf>
    <xf numFmtId="0" fontId="54" fillId="49" borderId="130" xfId="3" applyFont="1" applyFill="1" applyBorder="1">
      <alignment vertical="center"/>
    </xf>
    <xf numFmtId="0" fontId="54" fillId="49" borderId="131" xfId="3" applyFont="1" applyFill="1" applyBorder="1">
      <alignment vertical="center"/>
    </xf>
    <xf numFmtId="0" fontId="54" fillId="49" borderId="132" xfId="3" applyFont="1" applyFill="1" applyBorder="1">
      <alignment vertical="center"/>
    </xf>
    <xf numFmtId="0" fontId="4" fillId="10" borderId="127" xfId="3" applyNumberFormat="1" applyFont="1" applyFill="1" applyBorder="1" applyAlignment="1">
      <alignment vertical="center"/>
    </xf>
    <xf numFmtId="0" fontId="4" fillId="10" borderId="129" xfId="3" applyNumberFormat="1" applyFont="1" applyFill="1" applyBorder="1" applyAlignment="1">
      <alignment vertical="center"/>
    </xf>
    <xf numFmtId="0" fontId="1" fillId="0" borderId="127" xfId="3" applyNumberFormat="1" applyFont="1" applyBorder="1" applyAlignment="1">
      <alignment vertical="center"/>
    </xf>
    <xf numFmtId="0" fontId="1" fillId="0" borderId="129" xfId="3" applyNumberFormat="1" applyFont="1" applyBorder="1" applyAlignment="1">
      <alignment vertical="center"/>
    </xf>
    <xf numFmtId="0" fontId="1" fillId="0" borderId="130" xfId="3" applyNumberFormat="1" applyFont="1" applyBorder="1" applyAlignment="1">
      <alignment vertical="center"/>
    </xf>
    <xf numFmtId="0" fontId="1" fillId="0" borderId="132" xfId="3" applyNumberFormat="1" applyFont="1" applyBorder="1" applyAlignment="1">
      <alignment vertical="center"/>
    </xf>
    <xf numFmtId="0" fontId="1" fillId="23" borderId="0" xfId="3" applyFont="1" applyFill="1">
      <alignment vertical="center"/>
    </xf>
    <xf numFmtId="49" fontId="1" fillId="0" borderId="0" xfId="3" applyNumberFormat="1" applyFont="1">
      <alignment vertical="center"/>
    </xf>
    <xf numFmtId="0" fontId="4" fillId="10" borderId="63" xfId="3" applyNumberFormat="1" applyFont="1" applyFill="1" applyBorder="1" applyAlignment="1">
      <alignment vertical="center"/>
    </xf>
    <xf numFmtId="0" fontId="1" fillId="0" borderId="133" xfId="3" applyNumberFormat="1" applyFont="1" applyBorder="1" applyAlignment="1">
      <alignment vertical="center"/>
    </xf>
    <xf numFmtId="0" fontId="1" fillId="0" borderId="69" xfId="3" applyFont="1" applyBorder="1" applyAlignment="1">
      <alignment horizontal="left" vertical="center"/>
    </xf>
    <xf numFmtId="0" fontId="55" fillId="0" borderId="0" xfId="3" applyFont="1">
      <alignment vertical="center"/>
    </xf>
    <xf numFmtId="0" fontId="1" fillId="0" borderId="134" xfId="3" applyNumberFormat="1" applyFont="1" applyBorder="1" applyAlignment="1">
      <alignment vertical="center"/>
    </xf>
    <xf numFmtId="0" fontId="4" fillId="10" borderId="135" xfId="3" applyNumberFormat="1" applyFont="1" applyFill="1" applyBorder="1" applyAlignment="1">
      <alignment vertical="center"/>
    </xf>
    <xf numFmtId="0" fontId="1" fillId="0" borderId="135" xfId="3" applyNumberFormat="1" applyFont="1" applyBorder="1" applyAlignment="1">
      <alignment vertical="center"/>
    </xf>
    <xf numFmtId="0" fontId="1" fillId="0" borderId="136" xfId="3" applyNumberFormat="1" applyFont="1" applyBorder="1" applyAlignment="1">
      <alignment vertical="center"/>
    </xf>
    <xf numFmtId="14" fontId="1" fillId="0" borderId="127" xfId="3" applyNumberFormat="1" applyFont="1" applyBorder="1" applyAlignment="1">
      <alignment vertical="center"/>
    </xf>
    <xf numFmtId="14" fontId="1" fillId="0" borderId="0" xfId="3" applyNumberFormat="1" applyFont="1">
      <alignment vertical="center"/>
    </xf>
    <xf numFmtId="0" fontId="4" fillId="10" borderId="128" xfId="3" applyNumberFormat="1" applyFont="1" applyFill="1" applyBorder="1" applyAlignment="1">
      <alignment vertical="center"/>
    </xf>
    <xf numFmtId="0" fontId="1" fillId="0" borderId="128" xfId="3" applyNumberFormat="1" applyFont="1" applyBorder="1" applyAlignment="1">
      <alignment vertical="center"/>
    </xf>
    <xf numFmtId="0" fontId="1" fillId="0" borderId="131" xfId="3" applyNumberFormat="1" applyFont="1" applyBorder="1" applyAlignment="1">
      <alignment vertical="center"/>
    </xf>
    <xf numFmtId="0" fontId="50" fillId="0" borderId="0" xfId="3" applyFont="1">
      <alignment vertical="center"/>
    </xf>
    <xf numFmtId="0" fontId="1" fillId="0" borderId="79" xfId="3" applyFont="1" applyBorder="1" applyAlignment="1">
      <alignment vertical="center" wrapText="1"/>
    </xf>
    <xf numFmtId="0" fontId="4" fillId="10" borderId="137" xfId="3" applyNumberFormat="1" applyFont="1" applyFill="1" applyBorder="1" applyAlignment="1">
      <alignment vertical="center"/>
    </xf>
    <xf numFmtId="0" fontId="1" fillId="49" borderId="137" xfId="3" applyNumberFormat="1" applyFont="1" applyFill="1" applyBorder="1" applyAlignment="1">
      <alignment vertical="center"/>
    </xf>
    <xf numFmtId="0" fontId="1" fillId="0" borderId="137" xfId="3" applyNumberFormat="1" applyFont="1" applyBorder="1" applyAlignment="1">
      <alignment vertical="center"/>
    </xf>
    <xf numFmtId="0" fontId="1" fillId="0" borderId="138" xfId="3" applyNumberFormat="1" applyFont="1" applyBorder="1" applyAlignment="1">
      <alignment vertical="center"/>
    </xf>
    <xf numFmtId="0" fontId="4" fillId="30" borderId="139" xfId="3" applyNumberFormat="1" applyFont="1" applyFill="1" applyBorder="1" applyAlignment="1">
      <alignment vertical="center"/>
    </xf>
    <xf numFmtId="0" fontId="1" fillId="31" borderId="139" xfId="3" applyNumberFormat="1" applyFont="1" applyFill="1" applyBorder="1" applyAlignment="1">
      <alignment vertical="center"/>
    </xf>
    <xf numFmtId="0" fontId="1" fillId="0" borderId="139" xfId="3" applyNumberFormat="1" applyFont="1" applyBorder="1" applyAlignment="1">
      <alignment vertical="center"/>
    </xf>
    <xf numFmtId="0" fontId="1" fillId="31" borderId="140" xfId="3" applyNumberFormat="1" applyFont="1" applyFill="1" applyBorder="1" applyAlignment="1">
      <alignment vertical="center"/>
    </xf>
    <xf numFmtId="0" fontId="4" fillId="10" borderId="141" xfId="3" applyNumberFormat="1" applyFont="1" applyFill="1" applyBorder="1" applyAlignment="1">
      <alignment vertical="center"/>
    </xf>
    <xf numFmtId="0" fontId="1" fillId="49" borderId="141" xfId="3" applyNumberFormat="1" applyFont="1" applyFill="1" applyBorder="1" applyAlignment="1">
      <alignment vertical="center"/>
    </xf>
    <xf numFmtId="0" fontId="1" fillId="0" borderId="141" xfId="3" applyNumberFormat="1" applyFont="1" applyBorder="1" applyAlignment="1">
      <alignment vertical="center"/>
    </xf>
    <xf numFmtId="0" fontId="1" fillId="0" borderId="142" xfId="3" applyNumberFormat="1" applyFont="1" applyBorder="1" applyAlignment="1">
      <alignment vertical="center"/>
    </xf>
    <xf numFmtId="0" fontId="56" fillId="0" borderId="143" xfId="3" applyNumberFormat="1" applyFont="1" applyBorder="1" applyAlignment="1">
      <alignment vertical="center"/>
    </xf>
    <xf numFmtId="0" fontId="57" fillId="50" borderId="143" xfId="3" applyNumberFormat="1" applyFont="1" applyFill="1" applyBorder="1" applyAlignment="1">
      <alignment vertical="center"/>
    </xf>
    <xf numFmtId="0" fontId="57" fillId="0" borderId="0" xfId="3" applyNumberFormat="1" applyFont="1" applyBorder="1" applyAlignment="1">
      <alignment vertical="center"/>
    </xf>
    <xf numFmtId="0" fontId="57" fillId="50" borderId="144" xfId="3" applyNumberFormat="1" applyFont="1" applyFill="1" applyBorder="1" applyAlignment="1">
      <alignment vertical="center"/>
    </xf>
    <xf numFmtId="14" fontId="1" fillId="23" borderId="0" xfId="3" applyNumberFormat="1" applyFont="1" applyFill="1">
      <alignment vertical="center"/>
    </xf>
    <xf numFmtId="21" fontId="1" fillId="23" borderId="0" xfId="3" applyNumberFormat="1" applyFont="1" applyFill="1">
      <alignment vertical="center"/>
    </xf>
    <xf numFmtId="0" fontId="58" fillId="0" borderId="0" xfId="1" applyFont="1" applyAlignment="1">
      <alignment horizontal="center" vertical="center"/>
    </xf>
    <xf numFmtId="0" fontId="41" fillId="0" borderId="145" xfId="0" applyFont="1" applyBorder="1" applyAlignment="1">
      <alignment horizontal="center" vertical="center"/>
    </xf>
    <xf numFmtId="0" fontId="41" fillId="0" borderId="146" xfId="0" applyFont="1" applyBorder="1" applyAlignment="1">
      <alignment horizontal="center" vertical="center"/>
    </xf>
    <xf numFmtId="0" fontId="41" fillId="0" borderId="147" xfId="0" applyFont="1" applyBorder="1" applyAlignment="1">
      <alignment horizontal="center" vertical="center"/>
    </xf>
    <xf numFmtId="0" fontId="3" fillId="0" borderId="62" xfId="0" applyFont="1" applyBorder="1" applyAlignment="1">
      <alignment horizontal="left" vertical="center"/>
    </xf>
    <xf numFmtId="0" fontId="1" fillId="0" borderId="74" xfId="0" applyFont="1" applyBorder="1" applyAlignment="1">
      <alignment horizontal="left" vertical="center"/>
    </xf>
    <xf numFmtId="0" fontId="1" fillId="0" borderId="148" xfId="0" applyFont="1" applyBorder="1" applyAlignment="1">
      <alignment horizontal="left" vertical="center"/>
    </xf>
    <xf numFmtId="0" fontId="1" fillId="0" borderId="78" xfId="0" applyFont="1" applyBorder="1" applyAlignment="1">
      <alignment horizontal="left" vertical="center"/>
    </xf>
    <xf numFmtId="0" fontId="1" fillId="0" borderId="150" xfId="0" applyFont="1" applyBorder="1" applyAlignment="1">
      <alignment horizontal="left" vertical="center"/>
    </xf>
    <xf numFmtId="0" fontId="3" fillId="0" borderId="153" xfId="0" applyFont="1" applyBorder="1" applyAlignment="1">
      <alignment horizontal="left" vertical="center"/>
    </xf>
    <xf numFmtId="0" fontId="1" fillId="0" borderId="154" xfId="0" applyFont="1" applyBorder="1" applyAlignment="1">
      <alignment horizontal="left" vertical="center"/>
    </xf>
    <xf numFmtId="0" fontId="1" fillId="0" borderId="155" xfId="0" applyFont="1" applyBorder="1" applyAlignment="1">
      <alignment horizontal="left" vertical="center"/>
    </xf>
    <xf numFmtId="0" fontId="59" fillId="0" borderId="0" xfId="5"/>
    <xf numFmtId="0" fontId="60" fillId="0" borderId="0" xfId="5" applyFont="1"/>
    <xf numFmtId="0" fontId="41" fillId="0" borderId="0" xfId="0" applyFont="1" applyAlignment="1">
      <alignment horizontal="left" vertical="center"/>
    </xf>
    <xf numFmtId="0" fontId="4" fillId="10" borderId="127" xfId="0" applyFont="1" applyFill="1" applyBorder="1" applyAlignment="1">
      <alignment horizontal="center" vertical="center"/>
    </xf>
    <xf numFmtId="0" fontId="4" fillId="10" borderId="128" xfId="0" applyFont="1" applyFill="1" applyBorder="1" applyAlignment="1">
      <alignment horizontal="center" vertical="center"/>
    </xf>
    <xf numFmtId="0" fontId="4" fillId="10" borderId="129" xfId="0" applyFont="1" applyFill="1" applyBorder="1" applyAlignment="1">
      <alignment horizontal="center" vertical="center"/>
    </xf>
    <xf numFmtId="0" fontId="1" fillId="0" borderId="130" xfId="0" applyFont="1" applyFill="1" applyBorder="1" applyAlignment="1">
      <alignment horizontal="center" vertical="center"/>
    </xf>
    <xf numFmtId="0" fontId="1" fillId="0" borderId="131" xfId="0" applyFont="1" applyFill="1" applyBorder="1" applyAlignment="1">
      <alignment horizontal="center" vertical="center"/>
    </xf>
    <xf numFmtId="9" fontId="1" fillId="0" borderId="132" xfId="2" applyFont="1" applyFill="1" applyBorder="1" applyAlignment="1">
      <alignment horizontal="center" vertical="center"/>
    </xf>
    <xf numFmtId="0" fontId="61" fillId="0" borderId="0" xfId="0" applyFont="1" applyFill="1">
      <alignment vertical="center"/>
    </xf>
    <xf numFmtId="0" fontId="16" fillId="0" borderId="0" xfId="0" applyFont="1" applyFill="1" applyAlignment="1"/>
    <xf numFmtId="0" fontId="1" fillId="11" borderId="156" xfId="0" applyFont="1" applyFill="1" applyBorder="1" applyAlignment="1">
      <alignment horizontal="center" vertical="center"/>
    </xf>
    <xf numFmtId="0" fontId="1" fillId="13" borderId="28" xfId="0" applyFont="1" applyFill="1" applyBorder="1" applyAlignment="1">
      <alignment horizontal="center" vertical="center"/>
    </xf>
    <xf numFmtId="0" fontId="1" fillId="13" borderId="30" xfId="0" applyFont="1" applyFill="1" applyBorder="1" applyAlignment="1">
      <alignment horizontal="center" vertical="center"/>
    </xf>
    <xf numFmtId="0" fontId="1" fillId="51" borderId="30" xfId="0" applyFont="1" applyFill="1" applyBorder="1" applyAlignment="1">
      <alignment horizontal="center" vertical="center"/>
    </xf>
    <xf numFmtId="0" fontId="1" fillId="11" borderId="28" xfId="0" applyFont="1" applyFill="1" applyBorder="1" applyAlignment="1">
      <alignment horizontal="center" vertical="center"/>
    </xf>
    <xf numFmtId="0" fontId="1" fillId="11" borderId="30" xfId="0" applyFont="1" applyFill="1" applyBorder="1" applyAlignment="1">
      <alignment horizontal="center" vertical="center"/>
    </xf>
    <xf numFmtId="0" fontId="1" fillId="52" borderId="30" xfId="0" applyFont="1" applyFill="1" applyBorder="1" applyAlignment="1">
      <alignment horizontal="center" vertical="center"/>
    </xf>
    <xf numFmtId="0" fontId="1" fillId="13" borderId="157" xfId="0" applyFont="1" applyFill="1" applyBorder="1" applyAlignment="1">
      <alignment horizontal="center" vertical="center"/>
    </xf>
    <xf numFmtId="0" fontId="1" fillId="13" borderId="158" xfId="0" applyFont="1" applyFill="1" applyBorder="1" applyAlignment="1">
      <alignment horizontal="center" vertical="center"/>
    </xf>
    <xf numFmtId="0" fontId="1" fillId="51" borderId="158" xfId="0" applyFont="1" applyFill="1" applyBorder="1" applyAlignment="1">
      <alignment horizontal="center" vertical="center"/>
    </xf>
    <xf numFmtId="0" fontId="1" fillId="23" borderId="73" xfId="0" applyFont="1" applyFill="1" applyBorder="1">
      <alignment vertical="center"/>
    </xf>
    <xf numFmtId="0" fontId="1" fillId="23" borderId="76" xfId="0" applyFont="1" applyFill="1" applyBorder="1">
      <alignment vertical="center"/>
    </xf>
    <xf numFmtId="0" fontId="1" fillId="0" borderId="77" xfId="0" applyFont="1" applyBorder="1">
      <alignment vertical="center"/>
    </xf>
    <xf numFmtId="0" fontId="1" fillId="23" borderId="78" xfId="0" applyFont="1" applyFill="1" applyBorder="1">
      <alignment vertical="center"/>
    </xf>
    <xf numFmtId="0" fontId="1" fillId="53" borderId="11" xfId="0" applyFont="1" applyFill="1" applyBorder="1" applyAlignment="1">
      <alignment horizontal="center" vertical="center"/>
    </xf>
    <xf numFmtId="0" fontId="1" fillId="53" borderId="0" xfId="0" applyFont="1" applyFill="1" applyBorder="1" applyAlignment="1">
      <alignment horizontal="center" vertical="center"/>
    </xf>
    <xf numFmtId="0" fontId="1" fillId="0" borderId="12" xfId="0" applyFont="1" applyFill="1" applyBorder="1" applyAlignment="1">
      <alignment horizontal="center" vertical="center"/>
    </xf>
    <xf numFmtId="0" fontId="1" fillId="23" borderId="12" xfId="0" applyFont="1" applyFill="1" applyBorder="1" applyAlignment="1">
      <alignment horizontal="center" vertical="center"/>
    </xf>
    <xf numFmtId="14" fontId="1" fillId="0" borderId="12" xfId="0" applyNumberFormat="1" applyFont="1" applyFill="1" applyBorder="1" applyAlignment="1">
      <alignment horizontal="center" vertical="center"/>
    </xf>
    <xf numFmtId="0" fontId="4" fillId="5" borderId="56" xfId="0" applyFont="1" applyFill="1" applyBorder="1" applyAlignment="1">
      <alignment horizontal="center"/>
    </xf>
    <xf numFmtId="0" fontId="4" fillId="5" borderId="49" xfId="0" applyFont="1" applyFill="1" applyBorder="1" applyAlignment="1">
      <alignment horizontal="center"/>
    </xf>
    <xf numFmtId="0" fontId="4" fillId="5" borderId="50" xfId="0" applyFont="1" applyFill="1" applyBorder="1" applyAlignment="1">
      <alignment horizontal="center"/>
    </xf>
    <xf numFmtId="0" fontId="1" fillId="11" borderId="159" xfId="0" applyFont="1" applyFill="1" applyBorder="1" applyAlignment="1">
      <alignment horizontal="center" vertical="center"/>
    </xf>
    <xf numFmtId="0" fontId="1" fillId="13" borderId="32" xfId="0" applyFont="1" applyFill="1" applyBorder="1" applyAlignment="1">
      <alignment horizontal="center" vertical="center"/>
    </xf>
    <xf numFmtId="0" fontId="1" fillId="11" borderId="32" xfId="0" applyFont="1" applyFill="1" applyBorder="1" applyAlignment="1">
      <alignment horizontal="center" vertical="center"/>
    </xf>
    <xf numFmtId="0" fontId="1" fillId="13" borderId="26" xfId="0" applyFont="1" applyFill="1" applyBorder="1" applyAlignment="1">
      <alignment horizontal="center" vertical="center"/>
    </xf>
    <xf numFmtId="14" fontId="1" fillId="16" borderId="56" xfId="0" applyNumberFormat="1" applyFont="1" applyFill="1" applyBorder="1" applyAlignment="1"/>
    <xf numFmtId="14" fontId="1" fillId="0" borderId="56" xfId="0" applyNumberFormat="1" applyFont="1" applyBorder="1" applyAlignment="1"/>
    <xf numFmtId="14" fontId="1" fillId="0" borderId="0" xfId="0" applyNumberFormat="1" applyFont="1">
      <alignment vertical="center"/>
    </xf>
    <xf numFmtId="14" fontId="1" fillId="0" borderId="57" xfId="0" applyNumberFormat="1" applyFont="1" applyBorder="1" applyAlignment="1"/>
    <xf numFmtId="14" fontId="1" fillId="16" borderId="56" xfId="0" applyNumberFormat="1" applyFont="1" applyFill="1" applyBorder="1" applyAlignment="1">
      <alignment horizontal="center"/>
    </xf>
    <xf numFmtId="0" fontId="1" fillId="16" borderId="49" xfId="0" applyFont="1" applyFill="1" applyBorder="1" applyAlignment="1">
      <alignment horizontal="center"/>
    </xf>
    <xf numFmtId="0" fontId="1" fillId="16" borderId="50" xfId="0" applyFont="1" applyFill="1" applyBorder="1" applyAlignment="1">
      <alignment horizontal="center"/>
    </xf>
    <xf numFmtId="14" fontId="1" fillId="0" borderId="56" xfId="0" applyNumberFormat="1" applyFont="1" applyBorder="1" applyAlignment="1">
      <alignment horizontal="center"/>
    </xf>
    <xf numFmtId="0" fontId="1" fillId="0" borderId="49" xfId="0" applyFont="1" applyBorder="1" applyAlignment="1">
      <alignment horizontal="center"/>
    </xf>
    <xf numFmtId="0" fontId="1" fillId="0" borderId="50" xfId="0" applyFont="1" applyBorder="1" applyAlignment="1">
      <alignment horizontal="center"/>
    </xf>
    <xf numFmtId="14" fontId="1" fillId="16" borderId="57" xfId="0" applyNumberFormat="1" applyFont="1" applyFill="1" applyBorder="1" applyAlignment="1">
      <alignment horizontal="center"/>
    </xf>
    <xf numFmtId="0" fontId="1" fillId="16" borderId="53" xfId="0" applyFont="1" applyFill="1" applyBorder="1" applyAlignment="1">
      <alignment horizontal="center"/>
    </xf>
    <xf numFmtId="0" fontId="1" fillId="16" borderId="54" xfId="0" applyFont="1" applyFill="1" applyBorder="1" applyAlignment="1">
      <alignment horizontal="center"/>
    </xf>
    <xf numFmtId="0" fontId="1" fillId="11" borderId="28" xfId="0" applyNumberFormat="1" applyFont="1" applyFill="1" applyBorder="1" applyAlignment="1">
      <alignment horizontal="center"/>
    </xf>
    <xf numFmtId="0" fontId="1" fillId="52" borderId="30" xfId="0" applyFont="1" applyFill="1" applyBorder="1" applyAlignment="1">
      <alignment horizontal="center"/>
    </xf>
    <xf numFmtId="0" fontId="1" fillId="0" borderId="0" xfId="0" applyFont="1" applyFill="1" applyAlignment="1"/>
    <xf numFmtId="0" fontId="4" fillId="5" borderId="0" xfId="0" applyFont="1" applyFill="1" applyAlignment="1">
      <alignment horizontal="center"/>
    </xf>
    <xf numFmtId="14" fontId="1" fillId="16" borderId="25" xfId="0" applyNumberFormat="1" applyFont="1" applyFill="1" applyBorder="1" applyAlignment="1">
      <alignment horizontal="center"/>
    </xf>
    <xf numFmtId="0" fontId="1" fillId="16" borderId="26" xfId="0" applyFont="1" applyFill="1" applyBorder="1" applyAlignment="1">
      <alignment horizontal="center"/>
    </xf>
    <xf numFmtId="0" fontId="1" fillId="52" borderId="32" xfId="0" applyFont="1" applyFill="1" applyBorder="1" applyAlignment="1">
      <alignment horizontal="center"/>
    </xf>
    <xf numFmtId="0" fontId="4" fillId="5" borderId="160" xfId="0" applyFont="1" applyFill="1" applyBorder="1" applyAlignment="1">
      <alignment horizontal="left" vertical="top" wrapText="1"/>
    </xf>
    <xf numFmtId="0" fontId="4" fillId="5" borderId="22" xfId="0" applyFont="1" applyFill="1" applyBorder="1" applyAlignment="1">
      <alignment horizontal="center" vertical="center"/>
    </xf>
    <xf numFmtId="0" fontId="1" fillId="16" borderId="25" xfId="0" applyFont="1" applyFill="1" applyBorder="1" applyAlignment="1">
      <alignment horizontal="center"/>
    </xf>
    <xf numFmtId="0" fontId="1" fillId="4" borderId="0" xfId="0" applyFont="1" applyFill="1" applyAlignment="1"/>
    <xf numFmtId="0" fontId="1" fillId="13" borderId="26" xfId="0" applyFont="1" applyFill="1" applyBorder="1" applyAlignment="1">
      <alignment horizontal="center"/>
    </xf>
    <xf numFmtId="0" fontId="1" fillId="52" borderId="24" xfId="0" applyFont="1" applyFill="1" applyBorder="1" applyAlignment="1">
      <alignment horizontal="center"/>
    </xf>
    <xf numFmtId="0" fontId="1" fillId="51" borderId="26" xfId="0" applyFont="1" applyFill="1" applyBorder="1" applyAlignment="1">
      <alignment horizontal="center"/>
    </xf>
    <xf numFmtId="0" fontId="61" fillId="0" borderId="0" xfId="0" applyFont="1" applyFill="1" applyBorder="1">
      <alignment vertical="center"/>
    </xf>
    <xf numFmtId="0" fontId="1" fillId="0" borderId="73" xfId="0" applyFont="1" applyFill="1" applyBorder="1" applyAlignment="1"/>
    <xf numFmtId="0" fontId="1" fillId="54" borderId="76" xfId="0" applyFont="1" applyFill="1" applyBorder="1" applyAlignment="1"/>
    <xf numFmtId="0" fontId="1" fillId="54" borderId="78" xfId="0" applyFont="1" applyFill="1" applyBorder="1" applyAlignment="1"/>
    <xf numFmtId="0" fontId="1" fillId="23" borderId="40" xfId="0" applyFont="1" applyFill="1" applyBorder="1" applyAlignment="1"/>
    <xf numFmtId="0" fontId="1" fillId="4" borderId="69" xfId="0" applyFont="1" applyFill="1" applyBorder="1" applyAlignment="1"/>
    <xf numFmtId="0" fontId="1" fillId="0" borderId="79" xfId="0" applyFont="1" applyFill="1" applyBorder="1" applyAlignment="1"/>
    <xf numFmtId="0" fontId="1" fillId="0" borderId="0" xfId="0" applyFont="1" applyFill="1" applyBorder="1" applyAlignment="1"/>
    <xf numFmtId="0" fontId="1" fillId="0" borderId="82" xfId="0" applyFont="1" applyFill="1" applyBorder="1" applyAlignment="1"/>
    <xf numFmtId="0" fontId="1" fillId="0" borderId="93" xfId="0" applyFont="1" applyFill="1" applyBorder="1" applyAlignment="1"/>
    <xf numFmtId="0" fontId="1" fillId="52" borderId="26" xfId="0" applyFont="1" applyFill="1" applyBorder="1" applyAlignment="1">
      <alignment horizontal="center"/>
    </xf>
    <xf numFmtId="0" fontId="23" fillId="0" borderId="0" xfId="0" applyFont="1" applyFill="1" applyBorder="1" applyAlignment="1">
      <alignment horizontal="left" vertical="top"/>
    </xf>
    <xf numFmtId="14" fontId="1" fillId="11" borderId="24" xfId="0" applyNumberFormat="1" applyFont="1" applyFill="1" applyBorder="1" applyAlignment="1">
      <alignment horizontal="center"/>
    </xf>
    <xf numFmtId="14" fontId="1" fillId="13" borderId="26" xfId="0" applyNumberFormat="1" applyFont="1" applyFill="1" applyBorder="1" applyAlignment="1">
      <alignment horizontal="center"/>
    </xf>
    <xf numFmtId="14" fontId="1" fillId="11" borderId="26" xfId="0" applyNumberFormat="1" applyFont="1" applyFill="1" applyBorder="1" applyAlignment="1">
      <alignment horizontal="center"/>
    </xf>
    <xf numFmtId="0" fontId="1" fillId="4" borderId="80" xfId="0" applyFont="1" applyFill="1" applyBorder="1" applyAlignment="1"/>
    <xf numFmtId="0" fontId="1" fillId="0" borderId="81" xfId="0" applyFont="1" applyFill="1" applyBorder="1" applyAlignment="1"/>
    <xf numFmtId="0" fontId="1" fillId="0" borderId="83" xfId="0" applyFont="1" applyFill="1" applyBorder="1" applyAlignment="1"/>
    <xf numFmtId="0" fontId="1" fillId="23" borderId="63" xfId="0" applyFont="1" applyFill="1" applyBorder="1" applyAlignment="1">
      <alignment horizontal="center" vertical="center"/>
    </xf>
    <xf numFmtId="0" fontId="61" fillId="0" borderId="0" xfId="0" applyFont="1">
      <alignment vertical="center"/>
    </xf>
    <xf numFmtId="0" fontId="1" fillId="0" borderId="0" xfId="0" applyFont="1" applyAlignment="1">
      <alignment vertical="center"/>
    </xf>
    <xf numFmtId="0" fontId="1" fillId="16" borderId="20" xfId="0" applyFont="1" applyFill="1" applyBorder="1" applyAlignment="1">
      <alignment horizontal="center" vertical="center"/>
    </xf>
    <xf numFmtId="0" fontId="22" fillId="0" borderId="0" xfId="0" applyFont="1">
      <alignment vertical="center"/>
    </xf>
    <xf numFmtId="0" fontId="53" fillId="0" borderId="0" xfId="0" applyFont="1">
      <alignment vertical="center"/>
    </xf>
    <xf numFmtId="0" fontId="62" fillId="0" borderId="0" xfId="0" applyFont="1">
      <alignment vertical="center"/>
    </xf>
    <xf numFmtId="0" fontId="1" fillId="23" borderId="81" xfId="0" applyFont="1" applyFill="1" applyBorder="1">
      <alignment vertical="center"/>
    </xf>
    <xf numFmtId="0" fontId="63" fillId="30" borderId="161" xfId="0" applyFont="1" applyFill="1" applyBorder="1" applyAlignment="1">
      <alignment horizontal="center" vertical="center"/>
    </xf>
    <xf numFmtId="0" fontId="64" fillId="0" borderId="161" xfId="0" applyFont="1" applyBorder="1" applyAlignment="1">
      <alignment horizontal="center" vertical="center"/>
    </xf>
    <xf numFmtId="0" fontId="41" fillId="0" borderId="0" xfId="3" applyAlignment="1"/>
    <xf numFmtId="0" fontId="65" fillId="55" borderId="161" xfId="3" applyFont="1" applyFill="1" applyBorder="1" applyAlignment="1">
      <alignment horizontal="center" vertical="center"/>
    </xf>
    <xf numFmtId="0" fontId="66" fillId="55" borderId="161" xfId="3" applyFont="1" applyFill="1" applyBorder="1" applyAlignment="1">
      <alignment horizontal="center" vertical="center"/>
    </xf>
    <xf numFmtId="0" fontId="67" fillId="0" borderId="0" xfId="3" applyFont="1">
      <alignment vertical="center"/>
    </xf>
    <xf numFmtId="0" fontId="41" fillId="0" borderId="0" xfId="3">
      <alignment vertical="center"/>
    </xf>
    <xf numFmtId="0" fontId="68" fillId="55" borderId="161" xfId="3" applyFont="1" applyFill="1" applyBorder="1" applyAlignment="1">
      <alignment horizontal="center" vertical="center"/>
    </xf>
    <xf numFmtId="0" fontId="1" fillId="23" borderId="75" xfId="0" applyFont="1" applyFill="1" applyBorder="1">
      <alignment vertical="center"/>
    </xf>
    <xf numFmtId="14" fontId="1" fillId="23" borderId="76" xfId="0" applyNumberFormat="1" applyFont="1" applyFill="1" applyBorder="1">
      <alignment vertical="center"/>
    </xf>
    <xf numFmtId="0" fontId="1" fillId="23" borderId="77" xfId="0" applyFont="1" applyFill="1" applyBorder="1">
      <alignment vertical="center"/>
    </xf>
    <xf numFmtId="14" fontId="1" fillId="23" borderId="78" xfId="0" applyNumberFormat="1" applyFont="1" applyFill="1" applyBorder="1">
      <alignment vertical="center"/>
    </xf>
    <xf numFmtId="14" fontId="1" fillId="0" borderId="81" xfId="0" applyNumberFormat="1" applyFont="1" applyBorder="1">
      <alignment vertical="center"/>
    </xf>
    <xf numFmtId="14" fontId="1" fillId="0" borderId="83" xfId="0" applyNumberFormat="1" applyFont="1" applyBorder="1">
      <alignment vertical="center"/>
    </xf>
    <xf numFmtId="0" fontId="69" fillId="0" borderId="0" xfId="0" applyFont="1">
      <alignment vertical="center"/>
    </xf>
    <xf numFmtId="0" fontId="70" fillId="0" borderId="0" xfId="1" applyFont="1" applyAlignment="1">
      <alignment horizontal="center" vertical="center"/>
    </xf>
    <xf numFmtId="0" fontId="14" fillId="0" borderId="0" xfId="0" applyFont="1" applyAlignment="1">
      <alignment horizontal="left" vertical="center"/>
    </xf>
    <xf numFmtId="0" fontId="18" fillId="0" borderId="0" xfId="0" applyFont="1">
      <alignment vertical="center"/>
    </xf>
    <xf numFmtId="0" fontId="28" fillId="0" borderId="0" xfId="0" applyFont="1">
      <alignment vertical="center"/>
    </xf>
    <xf numFmtId="0" fontId="71" fillId="0" borderId="0" xfId="0" applyFont="1">
      <alignment vertical="center"/>
    </xf>
    <xf numFmtId="0" fontId="72" fillId="0" borderId="0" xfId="0" applyFont="1" applyAlignment="1">
      <alignment horizontal="left" vertical="center"/>
    </xf>
    <xf numFmtId="0" fontId="73" fillId="0" borderId="0" xfId="0" applyFont="1" applyAlignment="1">
      <alignment horizontal="left" vertical="center"/>
    </xf>
    <xf numFmtId="0" fontId="63" fillId="30" borderId="20" xfId="0" applyFont="1" applyFill="1" applyBorder="1" applyAlignment="1">
      <alignment horizontal="center" vertical="center"/>
    </xf>
    <xf numFmtId="0" fontId="73" fillId="0" borderId="0" xfId="0" applyFont="1">
      <alignment vertical="center"/>
    </xf>
    <xf numFmtId="0" fontId="64" fillId="0" borderId="20" xfId="0" applyFont="1" applyBorder="1" applyAlignment="1" applyProtection="1">
      <alignment horizontal="center" vertical="center"/>
      <protection locked="0"/>
    </xf>
    <xf numFmtId="0" fontId="63" fillId="30" borderId="162" xfId="0" applyFont="1" applyFill="1" applyBorder="1" applyAlignment="1">
      <alignment horizontal="center" vertical="center"/>
    </xf>
    <xf numFmtId="0" fontId="64" fillId="0" borderId="162" xfId="0" applyFont="1" applyBorder="1" applyAlignment="1">
      <alignment horizontal="center" vertical="center"/>
    </xf>
    <xf numFmtId="0" fontId="73" fillId="23" borderId="20" xfId="0" applyFont="1" applyFill="1" applyBorder="1" applyAlignment="1">
      <alignment horizontal="center" vertical="center"/>
    </xf>
    <xf numFmtId="0" fontId="73" fillId="0" borderId="0" xfId="0" applyFont="1" applyAlignment="1">
      <alignment horizontal="center" vertical="center"/>
    </xf>
    <xf numFmtId="0" fontId="0" fillId="0" borderId="0" xfId="0" applyAlignment="1">
      <alignment horizontal="center" vertical="center"/>
    </xf>
    <xf numFmtId="0" fontId="74" fillId="0" borderId="0" xfId="1" applyFont="1" applyAlignment="1">
      <alignment horizontal="center" vertical="center"/>
    </xf>
    <xf numFmtId="0" fontId="67" fillId="23" borderId="161" xfId="3" applyFont="1" applyFill="1" applyBorder="1" applyAlignment="1">
      <alignment horizontal="center" vertical="center"/>
    </xf>
    <xf numFmtId="0" fontId="75" fillId="0" borderId="0" xfId="0" applyFont="1">
      <alignment vertical="center"/>
    </xf>
    <xf numFmtId="0" fontId="52" fillId="0" borderId="0" xfId="0" applyFont="1">
      <alignment vertical="center"/>
    </xf>
    <xf numFmtId="0" fontId="76" fillId="0" borderId="0" xfId="0" applyFont="1">
      <alignment vertical="center"/>
    </xf>
    <xf numFmtId="0" fontId="64" fillId="0" borderId="161" xfId="0" applyFont="1" applyBorder="1" applyAlignment="1">
      <alignment horizontal="left" vertical="center"/>
    </xf>
    <xf numFmtId="0" fontId="77" fillId="23" borderId="161" xfId="0" applyFont="1" applyFill="1" applyBorder="1" applyAlignment="1">
      <alignment horizontal="center" vertical="center"/>
    </xf>
    <xf numFmtId="0" fontId="64" fillId="23" borderId="161" xfId="0" applyFont="1" applyFill="1" applyBorder="1" applyAlignment="1">
      <alignment horizontal="center" vertical="center"/>
    </xf>
    <xf numFmtId="0" fontId="78" fillId="23" borderId="161" xfId="0" applyFont="1" applyFill="1" applyBorder="1" applyAlignment="1">
      <alignment horizontal="center" vertical="center"/>
    </xf>
    <xf numFmtId="0" fontId="0" fillId="0" borderId="0" xfId="0" applyAlignment="1">
      <alignment horizontal="left" vertical="center"/>
    </xf>
    <xf numFmtId="0" fontId="0" fillId="0" borderId="0" xfId="0" applyNumberFormat="1">
      <alignment vertical="center"/>
    </xf>
    <xf numFmtId="0" fontId="60" fillId="0" borderId="0" xfId="0" applyFont="1">
      <alignment vertical="center"/>
    </xf>
    <xf numFmtId="0" fontId="1" fillId="0" borderId="20" xfId="0" applyFont="1" applyBorder="1">
      <alignment vertical="center"/>
    </xf>
    <xf numFmtId="0" fontId="1" fillId="23" borderId="20" xfId="0" applyFont="1" applyFill="1" applyBorder="1">
      <alignment vertical="center"/>
    </xf>
    <xf numFmtId="0" fontId="1" fillId="0" borderId="20" xfId="0" quotePrefix="1" applyFont="1" applyBorder="1">
      <alignment vertical="center"/>
    </xf>
    <xf numFmtId="0" fontId="96" fillId="0" borderId="0" xfId="0" applyFont="1" applyAlignment="1">
      <alignment horizontal="left" vertical="center"/>
    </xf>
    <xf numFmtId="0" fontId="0" fillId="0" borderId="0" xfId="0" applyAlignment="1"/>
    <xf numFmtId="0" fontId="0" fillId="0" borderId="163" xfId="0" applyBorder="1" applyAlignment="1">
      <alignment horizontal="center" vertical="center"/>
    </xf>
    <xf numFmtId="0" fontId="0" fillId="0" borderId="164" xfId="0" applyBorder="1" applyAlignment="1"/>
    <xf numFmtId="0" fontId="0" fillId="0" borderId="165" xfId="0" applyBorder="1" applyAlignment="1"/>
    <xf numFmtId="0" fontId="0" fillId="0" borderId="166" xfId="0" applyBorder="1" applyAlignment="1">
      <alignment horizontal="left"/>
    </xf>
    <xf numFmtId="0" fontId="0" fillId="0" borderId="167" xfId="0" applyBorder="1" applyAlignment="1"/>
    <xf numFmtId="0" fontId="0" fillId="0" borderId="168" xfId="0" applyBorder="1" applyAlignment="1">
      <alignment horizontal="left"/>
    </xf>
    <xf numFmtId="0" fontId="0" fillId="0" borderId="169" xfId="0" applyBorder="1" applyAlignment="1"/>
    <xf numFmtId="0" fontId="0" fillId="0" borderId="170" xfId="0" applyBorder="1" applyAlignment="1"/>
    <xf numFmtId="0" fontId="0" fillId="0" borderId="166" xfId="0" applyBorder="1" applyAlignment="1">
      <alignment horizontal="center"/>
    </xf>
    <xf numFmtId="0" fontId="0" fillId="0" borderId="167" xfId="0" applyBorder="1" applyAlignment="1">
      <alignment horizontal="center"/>
    </xf>
    <xf numFmtId="0" fontId="0" fillId="23" borderId="166" xfId="0" applyFill="1" applyBorder="1" applyAlignment="1">
      <alignment horizontal="center"/>
    </xf>
    <xf numFmtId="0" fontId="0" fillId="0" borderId="166" xfId="0" applyBorder="1" applyAlignment="1"/>
    <xf numFmtId="0" fontId="0" fillId="0" borderId="169" xfId="0" applyBorder="1" applyAlignment="1">
      <alignment horizontal="center"/>
    </xf>
    <xf numFmtId="0" fontId="0" fillId="0" borderId="170" xfId="0" applyBorder="1" applyAlignment="1">
      <alignment horizontal="center"/>
    </xf>
    <xf numFmtId="0" fontId="0" fillId="0" borderId="40" xfId="0" applyBorder="1" applyAlignment="1"/>
    <xf numFmtId="0" fontId="0" fillId="0" borderId="69" xfId="0" applyBorder="1" applyAlignment="1"/>
    <xf numFmtId="0" fontId="0" fillId="0" borderId="80" xfId="0" applyBorder="1" applyAlignment="1"/>
    <xf numFmtId="0" fontId="0" fillId="0" borderId="79" xfId="0" applyBorder="1" applyAlignment="1"/>
    <xf numFmtId="0" fontId="0" fillId="0" borderId="0" xfId="0" applyBorder="1" applyAlignment="1"/>
    <xf numFmtId="0" fontId="0" fillId="0" borderId="81" xfId="0" applyBorder="1" applyAlignment="1"/>
    <xf numFmtId="0" fontId="0" fillId="0" borderId="79" xfId="0" applyBorder="1" applyAlignment="1">
      <alignment horizontal="center"/>
    </xf>
    <xf numFmtId="0" fontId="0" fillId="0" borderId="0" xfId="0" applyBorder="1" applyAlignment="1">
      <alignment horizontal="center"/>
    </xf>
    <xf numFmtId="14" fontId="0" fillId="0" borderId="79" xfId="0" applyNumberFormat="1" applyBorder="1" applyAlignment="1"/>
    <xf numFmtId="0" fontId="0" fillId="0" borderId="0" xfId="0" applyBorder="1" applyAlignment="1">
      <alignment horizontal="left"/>
    </xf>
    <xf numFmtId="0" fontId="0" fillId="0" borderId="168" xfId="0" applyBorder="1" applyAlignment="1"/>
    <xf numFmtId="182" fontId="0" fillId="0" borderId="60" xfId="0" applyNumberFormat="1" applyBorder="1" applyAlignment="1"/>
    <xf numFmtId="182" fontId="0" fillId="0" borderId="72" xfId="0" applyNumberFormat="1" applyBorder="1" applyAlignment="1"/>
    <xf numFmtId="182" fontId="0" fillId="0" borderId="73" xfId="0" applyNumberFormat="1" applyBorder="1" applyAlignment="1"/>
    <xf numFmtId="182" fontId="0" fillId="0" borderId="0" xfId="0" applyNumberFormat="1" applyBorder="1" applyAlignment="1"/>
    <xf numFmtId="182" fontId="0" fillId="0" borderId="62" xfId="0" applyNumberFormat="1" applyBorder="1" applyAlignment="1"/>
    <xf numFmtId="182" fontId="0" fillId="0" borderId="126" xfId="0" applyNumberFormat="1" applyBorder="1" applyAlignment="1"/>
    <xf numFmtId="182" fontId="0" fillId="0" borderId="74" xfId="0" applyNumberFormat="1" applyBorder="1" applyAlignment="1"/>
    <xf numFmtId="0" fontId="59" fillId="0" borderId="0" xfId="0" applyFont="1" applyBorder="1" applyAlignment="1"/>
    <xf numFmtId="0" fontId="0" fillId="0" borderId="20" xfId="0" applyBorder="1" applyAlignment="1">
      <alignment horizontal="center"/>
    </xf>
    <xf numFmtId="0" fontId="0" fillId="0" borderId="7" xfId="0" pivotButton="1" applyBorder="1">
      <alignment vertical="center"/>
    </xf>
    <xf numFmtId="0" fontId="0" fillId="0" borderId="9" xfId="0" applyBorder="1">
      <alignment vertical="center"/>
    </xf>
    <xf numFmtId="0" fontId="0" fillId="0" borderId="79" xfId="0" applyBorder="1" applyAlignment="1">
      <alignment horizontal="left" vertical="center"/>
    </xf>
    <xf numFmtId="0" fontId="0" fillId="0" borderId="81" xfId="0" applyNumberFormat="1" applyBorder="1">
      <alignment vertical="center"/>
    </xf>
    <xf numFmtId="0" fontId="0" fillId="0" borderId="83" xfId="0" applyNumberFormat="1" applyBorder="1">
      <alignment vertical="center"/>
    </xf>
    <xf numFmtId="0" fontId="0" fillId="0" borderId="40" xfId="0" applyNumberFormat="1" applyBorder="1">
      <alignment vertical="center"/>
    </xf>
    <xf numFmtId="0" fontId="0" fillId="0" borderId="80" xfId="0" applyNumberFormat="1" applyBorder="1">
      <alignment vertical="center"/>
    </xf>
    <xf numFmtId="0" fontId="0" fillId="0" borderId="79" xfId="0" applyNumberFormat="1" applyBorder="1">
      <alignment vertical="center"/>
    </xf>
    <xf numFmtId="0" fontId="0" fillId="0" borderId="82" xfId="0" applyNumberFormat="1" applyBorder="1">
      <alignment vertical="center"/>
    </xf>
    <xf numFmtId="0" fontId="0" fillId="0" borderId="21" xfId="0" pivotButton="1" applyBorder="1">
      <alignment vertical="center"/>
    </xf>
    <xf numFmtId="0" fontId="0" fillId="0" borderId="21" xfId="0" applyBorder="1" applyAlignment="1">
      <alignment horizontal="left" vertical="center"/>
    </xf>
    <xf numFmtId="0" fontId="0" fillId="0" borderId="7" xfId="0" applyBorder="1">
      <alignment vertical="center"/>
    </xf>
    <xf numFmtId="0" fontId="1" fillId="0" borderId="79" xfId="0" applyFont="1" applyBorder="1" applyAlignment="1">
      <alignment horizontal="center" vertical="center"/>
    </xf>
    <xf numFmtId="193" fontId="1" fillId="0" borderId="0" xfId="0" applyNumberFormat="1" applyFont="1" applyBorder="1" applyAlignment="1"/>
    <xf numFmtId="0" fontId="101" fillId="0" borderId="0" xfId="0" applyFont="1" applyBorder="1" applyAlignment="1">
      <alignment horizontal="center" vertical="center"/>
    </xf>
    <xf numFmtId="0" fontId="22" fillId="0" borderId="0" xfId="0" applyFont="1" applyBorder="1" applyAlignment="1">
      <alignment horizontal="center" vertical="center"/>
    </xf>
    <xf numFmtId="194" fontId="22" fillId="0" borderId="0" xfId="0" applyNumberFormat="1" applyFont="1" applyBorder="1" applyAlignment="1">
      <alignment horizontal="center" vertical="center"/>
    </xf>
    <xf numFmtId="0" fontId="1" fillId="0" borderId="0" xfId="5" applyFont="1" applyBorder="1" applyAlignment="1">
      <alignment vertical="center"/>
    </xf>
    <xf numFmtId="0" fontId="1" fillId="0" borderId="7" xfId="5" applyFont="1" applyBorder="1" applyAlignment="1">
      <alignment vertical="center"/>
    </xf>
    <xf numFmtId="0" fontId="59" fillId="0" borderId="0" xfId="0" applyFont="1" applyBorder="1" applyAlignment="1">
      <alignment horizontal="center"/>
    </xf>
    <xf numFmtId="0" fontId="1" fillId="0" borderId="124" xfId="0" applyFont="1" applyBorder="1">
      <alignment vertical="center"/>
    </xf>
    <xf numFmtId="0" fontId="1" fillId="0" borderId="64" xfId="0" applyFont="1" applyBorder="1">
      <alignment vertical="center"/>
    </xf>
    <xf numFmtId="0" fontId="3" fillId="0" borderId="40" xfId="0" applyFont="1" applyBorder="1">
      <alignment vertical="center"/>
    </xf>
    <xf numFmtId="0" fontId="50" fillId="0" borderId="0" xfId="0" applyFont="1" applyBorder="1">
      <alignment vertical="center"/>
    </xf>
    <xf numFmtId="0" fontId="5" fillId="15" borderId="66" xfId="0" applyFont="1" applyFill="1" applyBorder="1" applyAlignment="1">
      <alignment horizontal="center" vertical="center"/>
    </xf>
    <xf numFmtId="49" fontId="5" fillId="15" borderId="20" xfId="0" applyNumberFormat="1" applyFont="1" applyFill="1" applyBorder="1" applyAlignment="1">
      <alignment horizontal="center" vertical="center"/>
    </xf>
    <xf numFmtId="0" fontId="24" fillId="5" borderId="20" xfId="0" applyFont="1" applyFill="1" applyBorder="1" applyAlignment="1">
      <alignment horizontal="center" vertical="center" wrapText="1"/>
    </xf>
    <xf numFmtId="0" fontId="25" fillId="5" borderId="20" xfId="0" applyFont="1" applyFill="1" applyBorder="1" applyAlignment="1">
      <alignment horizontal="center" vertical="center" wrapText="1"/>
    </xf>
    <xf numFmtId="9" fontId="26" fillId="16" borderId="20" xfId="0" applyNumberFormat="1" applyFont="1" applyFill="1" applyBorder="1" applyAlignment="1">
      <alignment horizontal="center" vertical="center"/>
    </xf>
    <xf numFmtId="0" fontId="19" fillId="19" borderId="20" xfId="0" applyFont="1" applyFill="1" applyBorder="1">
      <alignment vertical="center"/>
    </xf>
    <xf numFmtId="9" fontId="5" fillId="0" borderId="20" xfId="0" applyNumberFormat="1" applyFont="1" applyBorder="1" applyAlignment="1">
      <alignment horizontal="center" vertical="center"/>
    </xf>
    <xf numFmtId="0" fontId="19" fillId="4" borderId="20" xfId="0" applyFont="1" applyFill="1" applyBorder="1">
      <alignment vertical="center"/>
    </xf>
    <xf numFmtId="9" fontId="5" fillId="16" borderId="20" xfId="0" applyNumberFormat="1" applyFont="1" applyFill="1" applyBorder="1" applyAlignment="1">
      <alignment horizontal="center" vertical="center"/>
    </xf>
    <xf numFmtId="177" fontId="12" fillId="5" borderId="63" xfId="0" applyNumberFormat="1" applyFont="1" applyFill="1" applyBorder="1" applyAlignment="1">
      <alignment horizontal="center" vertical="center" wrapText="1"/>
    </xf>
    <xf numFmtId="0" fontId="43" fillId="5" borderId="20" xfId="0" applyFont="1" applyFill="1" applyBorder="1" applyAlignment="1">
      <alignment horizontal="center" vertical="center" wrapText="1"/>
    </xf>
    <xf numFmtId="0" fontId="0" fillId="0" borderId="0" xfId="0" applyBorder="1">
      <alignment vertical="center"/>
    </xf>
    <xf numFmtId="195" fontId="0" fillId="0" borderId="0" xfId="0" applyNumberFormat="1" applyBorder="1">
      <alignment vertical="center"/>
    </xf>
    <xf numFmtId="0" fontId="104" fillId="0" borderId="0" xfId="0" applyFont="1" applyBorder="1">
      <alignment vertical="center"/>
    </xf>
    <xf numFmtId="0" fontId="59" fillId="0" borderId="0" xfId="0" applyFont="1" applyBorder="1">
      <alignment vertical="center"/>
    </xf>
    <xf numFmtId="0" fontId="0" fillId="0" borderId="72" xfId="0" applyBorder="1">
      <alignment vertical="center"/>
    </xf>
    <xf numFmtId="195" fontId="0" fillId="0" borderId="72" xfId="0" applyNumberFormat="1" applyBorder="1">
      <alignment vertical="center"/>
    </xf>
    <xf numFmtId="195" fontId="59" fillId="0" borderId="73" xfId="0" applyNumberFormat="1" applyFont="1" applyBorder="1">
      <alignment vertical="center"/>
    </xf>
    <xf numFmtId="195" fontId="0" fillId="0" borderId="76" xfId="0" applyNumberFormat="1" applyBorder="1">
      <alignment vertical="center"/>
    </xf>
    <xf numFmtId="0" fontId="104" fillId="0" borderId="51" xfId="0" applyFont="1" applyBorder="1">
      <alignment vertical="center"/>
    </xf>
    <xf numFmtId="195" fontId="0" fillId="0" borderId="51" xfId="0" applyNumberFormat="1" applyBorder="1">
      <alignment vertical="center"/>
    </xf>
    <xf numFmtId="195" fontId="0" fillId="0" borderId="78" xfId="0" applyNumberFormat="1" applyBorder="1">
      <alignment vertical="center"/>
    </xf>
    <xf numFmtId="0" fontId="0" fillId="0" borderId="59" xfId="0" applyBorder="1">
      <alignment vertical="center"/>
    </xf>
    <xf numFmtId="0" fontId="0" fillId="0" borderId="58" xfId="0" applyBorder="1">
      <alignment vertical="center"/>
    </xf>
    <xf numFmtId="0" fontId="1" fillId="0" borderId="0" xfId="3" applyFont="1" applyBorder="1">
      <alignment vertical="center"/>
    </xf>
    <xf numFmtId="0" fontId="3" fillId="0" borderId="40" xfId="3" applyFont="1" applyBorder="1">
      <alignment vertical="center"/>
    </xf>
    <xf numFmtId="0" fontId="83" fillId="0" borderId="83" xfId="0" applyFont="1" applyBorder="1" applyAlignment="1"/>
    <xf numFmtId="0" fontId="0" fillId="0" borderId="0" xfId="0" pivotButton="1" applyBorder="1">
      <alignment vertical="center"/>
    </xf>
    <xf numFmtId="0" fontId="0" fillId="0" borderId="0" xfId="0" applyBorder="1" applyAlignment="1">
      <alignment horizontal="left" vertical="center"/>
    </xf>
    <xf numFmtId="0" fontId="0" fillId="0" borderId="0" xfId="0" applyNumberFormat="1" applyBorder="1">
      <alignment vertical="center"/>
    </xf>
    <xf numFmtId="0" fontId="0" fillId="0" borderId="93" xfId="0" applyBorder="1">
      <alignment vertical="center"/>
    </xf>
    <xf numFmtId="0" fontId="0" fillId="0" borderId="82" xfId="0" pivotButton="1" applyBorder="1">
      <alignment vertical="center"/>
    </xf>
    <xf numFmtId="0" fontId="0" fillId="0" borderId="172" xfId="0" applyNumberFormat="1" applyBorder="1">
      <alignment vertical="center"/>
    </xf>
    <xf numFmtId="0" fontId="0" fillId="0" borderId="171" xfId="0" applyNumberFormat="1" applyBorder="1">
      <alignment vertical="center"/>
    </xf>
    <xf numFmtId="0" fontId="0" fillId="0" borderId="171" xfId="0" pivotButton="1" applyBorder="1">
      <alignment vertical="center"/>
    </xf>
    <xf numFmtId="0" fontId="0" fillId="0" borderId="171" xfId="0" applyBorder="1" applyAlignment="1">
      <alignment horizontal="left" vertical="center"/>
    </xf>
    <xf numFmtId="0" fontId="0" fillId="0" borderId="171" xfId="0" applyBorder="1">
      <alignment vertical="center"/>
    </xf>
    <xf numFmtId="0" fontId="0" fillId="0" borderId="20" xfId="0" applyBorder="1">
      <alignment vertical="center"/>
    </xf>
    <xf numFmtId="0" fontId="1" fillId="0" borderId="20" xfId="0" applyFont="1" applyBorder="1" applyAlignment="1">
      <alignment horizontal="center" vertical="center"/>
    </xf>
    <xf numFmtId="0" fontId="105" fillId="0" borderId="20" xfId="0" applyFont="1" applyBorder="1" applyAlignment="1">
      <alignment horizontal="center" vertical="center"/>
    </xf>
    <xf numFmtId="0" fontId="108" fillId="0" borderId="20" xfId="0" applyFont="1" applyBorder="1" applyAlignment="1">
      <alignment horizontal="center" vertical="center"/>
    </xf>
    <xf numFmtId="196" fontId="108" fillId="0" borderId="20" xfId="0" applyNumberFormat="1" applyFont="1" applyBorder="1" applyAlignment="1">
      <alignment horizontal="center" vertical="center"/>
    </xf>
    <xf numFmtId="0" fontId="0" fillId="0" borderId="69" xfId="0" applyBorder="1">
      <alignment vertical="center"/>
    </xf>
    <xf numFmtId="0" fontId="105" fillId="0" borderId="66" xfId="0" applyFont="1" applyBorder="1" applyAlignment="1">
      <alignment horizontal="center" vertical="center"/>
    </xf>
    <xf numFmtId="0" fontId="107" fillId="0" borderId="0" xfId="0" applyFont="1" applyBorder="1" applyAlignment="1">
      <alignment horizontal="center" vertical="center"/>
    </xf>
    <xf numFmtId="0" fontId="108" fillId="0" borderId="66" xfId="0" applyFont="1" applyBorder="1" applyAlignment="1">
      <alignment horizontal="center" vertical="center"/>
    </xf>
    <xf numFmtId="0" fontId="108" fillId="0" borderId="0" xfId="0" applyFont="1" applyBorder="1" applyAlignment="1">
      <alignment horizontal="center" vertical="center"/>
    </xf>
    <xf numFmtId="0" fontId="0" fillId="0" borderId="0" xfId="0" applyAlignment="1">
      <alignment wrapText="1"/>
    </xf>
    <xf numFmtId="0" fontId="114" fillId="0" borderId="20" xfId="0" applyFont="1" applyBorder="1" applyAlignment="1">
      <alignment horizontal="center" vertical="center" wrapText="1"/>
    </xf>
    <xf numFmtId="0" fontId="115" fillId="23" borderId="20" xfId="0" applyFont="1" applyFill="1" applyBorder="1" applyAlignment="1">
      <alignment horizontal="center" vertical="center" wrapText="1"/>
    </xf>
    <xf numFmtId="0" fontId="116" fillId="0" borderId="20" xfId="0" applyFont="1" applyBorder="1" applyAlignment="1">
      <alignment horizontal="center" vertical="center" wrapText="1"/>
    </xf>
    <xf numFmtId="0" fontId="0" fillId="0" borderId="20" xfId="0" applyBorder="1" applyAlignment="1">
      <alignment horizontal="center" vertical="center" wrapText="1"/>
    </xf>
    <xf numFmtId="14" fontId="0" fillId="0" borderId="20" xfId="0" applyNumberFormat="1" applyBorder="1" applyAlignment="1">
      <alignment horizontal="center" vertical="center" wrapText="1"/>
    </xf>
    <xf numFmtId="14" fontId="1" fillId="0" borderId="20" xfId="0" applyNumberFormat="1" applyFont="1" applyBorder="1" applyAlignment="1">
      <alignment horizontal="center" vertical="center"/>
    </xf>
    <xf numFmtId="0" fontId="113" fillId="0" borderId="0" xfId="0" applyFont="1" applyBorder="1" applyAlignment="1">
      <alignment horizontal="center" vertical="center" wrapText="1"/>
    </xf>
    <xf numFmtId="0" fontId="0" fillId="0" borderId="0" xfId="0" applyBorder="1" applyAlignment="1">
      <alignment wrapText="1"/>
    </xf>
    <xf numFmtId="0" fontId="114" fillId="0" borderId="66" xfId="0" applyFont="1" applyBorder="1" applyAlignment="1">
      <alignment horizontal="center" vertical="center" wrapText="1"/>
    </xf>
    <xf numFmtId="0" fontId="114" fillId="0" borderId="0" xfId="0" applyFont="1" applyBorder="1" applyAlignment="1">
      <alignment horizontal="center" vertical="center" wrapText="1"/>
    </xf>
    <xf numFmtId="0" fontId="114" fillId="0" borderId="0" xfId="0" applyFont="1" applyBorder="1" applyAlignment="1">
      <alignment wrapText="1"/>
    </xf>
    <xf numFmtId="0" fontId="0" fillId="0" borderId="0" xfId="0" applyBorder="1" applyAlignment="1">
      <alignment horizontal="center" vertical="center" wrapText="1"/>
    </xf>
    <xf numFmtId="0" fontId="0" fillId="0" borderId="79" xfId="0" applyBorder="1" applyAlignment="1">
      <alignment wrapText="1"/>
    </xf>
    <xf numFmtId="0" fontId="0" fillId="0" borderId="82" xfId="0" applyBorder="1" applyAlignment="1">
      <alignment wrapText="1"/>
    </xf>
    <xf numFmtId="0" fontId="0" fillId="0" borderId="93" xfId="0" applyBorder="1" applyAlignment="1">
      <alignment wrapText="1"/>
    </xf>
    <xf numFmtId="14" fontId="1" fillId="0" borderId="124" xfId="0" applyNumberFormat="1" applyFont="1" applyBorder="1">
      <alignment vertical="center"/>
    </xf>
    <xf numFmtId="14" fontId="1" fillId="0" borderId="64" xfId="0" applyNumberFormat="1" applyFont="1" applyBorder="1">
      <alignment vertical="center"/>
    </xf>
    <xf numFmtId="0" fontId="1" fillId="0" borderId="74" xfId="0" applyFont="1" applyBorder="1">
      <alignment vertical="center"/>
    </xf>
    <xf numFmtId="14" fontId="51" fillId="0" borderId="63" xfId="0" applyNumberFormat="1" applyFont="1" applyBorder="1">
      <alignment vertical="center"/>
    </xf>
    <xf numFmtId="14" fontId="51" fillId="0" borderId="124" xfId="0" applyNumberFormat="1" applyFont="1" applyBorder="1">
      <alignment vertical="center"/>
    </xf>
    <xf numFmtId="14" fontId="51" fillId="0" borderId="64" xfId="0" applyNumberFormat="1" applyFont="1" applyBorder="1">
      <alignment vertical="center"/>
    </xf>
    <xf numFmtId="14" fontId="111" fillId="58" borderId="174" xfId="9" applyNumberFormat="1" applyBorder="1">
      <alignment vertical="center"/>
    </xf>
    <xf numFmtId="0" fontId="1" fillId="0" borderId="62" xfId="0" applyFont="1" applyBorder="1" applyAlignment="1">
      <alignment horizontal="centerContinuous" vertical="center"/>
    </xf>
    <xf numFmtId="0" fontId="1" fillId="0" borderId="126" xfId="0" applyFont="1" applyBorder="1" applyAlignment="1">
      <alignment horizontal="centerContinuous" vertical="center"/>
    </xf>
    <xf numFmtId="0" fontId="109" fillId="56" borderId="126" xfId="7" applyBorder="1" applyAlignment="1">
      <alignment horizontal="centerContinuous" vertical="center"/>
    </xf>
    <xf numFmtId="0" fontId="109" fillId="56" borderId="74" xfId="7" applyBorder="1" applyAlignment="1">
      <alignment horizontal="centerContinuous" vertical="center"/>
    </xf>
    <xf numFmtId="0" fontId="1" fillId="0" borderId="149" xfId="0" applyFont="1" applyBorder="1">
      <alignment vertical="center"/>
    </xf>
    <xf numFmtId="14" fontId="1" fillId="0" borderId="175" xfId="0" applyNumberFormat="1" applyFont="1" applyBorder="1">
      <alignment vertical="center"/>
    </xf>
    <xf numFmtId="14" fontId="110" fillId="57" borderId="0" xfId="8" applyNumberFormat="1" applyBorder="1">
      <alignment vertical="center"/>
    </xf>
    <xf numFmtId="14" fontId="111" fillId="58" borderId="173" xfId="9" applyNumberFormat="1" applyBorder="1">
      <alignment vertical="center"/>
    </xf>
    <xf numFmtId="14" fontId="1" fillId="0" borderId="111" xfId="0" applyNumberFormat="1" applyFont="1" applyBorder="1">
      <alignment vertical="center"/>
    </xf>
    <xf numFmtId="0" fontId="1" fillId="0" borderId="20" xfId="0" applyFont="1" applyBorder="1" applyAlignment="1">
      <alignment horizontal="center" vertical="center"/>
    </xf>
    <xf numFmtId="0" fontId="111" fillId="58" borderId="173" xfId="9">
      <alignment vertical="center"/>
    </xf>
    <xf numFmtId="0" fontId="111" fillId="58" borderId="173" xfId="9" applyProtection="1">
      <alignment vertical="center"/>
      <protection locked="0"/>
    </xf>
    <xf numFmtId="0" fontId="111" fillId="58" borderId="174" xfId="9" applyBorder="1" applyProtection="1">
      <alignment vertical="center"/>
      <protection locked="0"/>
    </xf>
    <xf numFmtId="177" fontId="1" fillId="0" borderId="20" xfId="0" applyNumberFormat="1" applyFont="1" applyBorder="1" applyAlignment="1">
      <alignment horizontal="center" vertical="center"/>
    </xf>
    <xf numFmtId="0" fontId="117" fillId="58" borderId="173" xfId="9" applyFont="1">
      <alignment vertical="center"/>
    </xf>
    <xf numFmtId="0" fontId="0" fillId="0" borderId="20" xfId="0" applyBorder="1" applyAlignment="1"/>
    <xf numFmtId="0" fontId="0" fillId="59" borderId="20" xfId="0" applyFill="1" applyBorder="1" applyAlignment="1"/>
    <xf numFmtId="0" fontId="0" fillId="45" borderId="20" xfId="0" applyFill="1" applyBorder="1" applyAlignment="1"/>
    <xf numFmtId="197" fontId="0" fillId="45" borderId="20" xfId="0" applyNumberFormat="1" applyFill="1" applyBorder="1" applyAlignment="1"/>
    <xf numFmtId="0" fontId="0" fillId="0" borderId="0" xfId="0" applyBorder="1" applyAlignment="1">
      <alignment vertical="top"/>
    </xf>
    <xf numFmtId="0" fontId="0" fillId="0" borderId="66" xfId="0" applyBorder="1" applyAlignment="1"/>
    <xf numFmtId="0" fontId="0" fillId="59" borderId="66" xfId="0" applyFill="1" applyBorder="1" applyAlignment="1"/>
    <xf numFmtId="0" fontId="0" fillId="0" borderId="82" xfId="0" applyBorder="1" applyAlignment="1"/>
    <xf numFmtId="0" fontId="0" fillId="0" borderId="93" xfId="0" applyBorder="1" applyAlignment="1"/>
    <xf numFmtId="0" fontId="0" fillId="0" borderId="83" xfId="0" applyBorder="1" applyAlignment="1"/>
    <xf numFmtId="0" fontId="111" fillId="58" borderId="173" xfId="9" applyAlignment="1"/>
    <xf numFmtId="0" fontId="13" fillId="0" borderId="0" xfId="3" applyFont="1">
      <alignment vertical="center"/>
    </xf>
    <xf numFmtId="0" fontId="0" fillId="0" borderId="40" xfId="0" applyBorder="1" applyAlignment="1">
      <alignment horizontal="right"/>
    </xf>
    <xf numFmtId="0" fontId="0" fillId="0" borderId="69" xfId="0" applyBorder="1" applyAlignment="1">
      <alignment horizontal="center" vertical="center"/>
    </xf>
    <xf numFmtId="0" fontId="0" fillId="0" borderId="80" xfId="0" applyBorder="1" applyAlignment="1">
      <alignment horizontal="center" vertical="center"/>
    </xf>
    <xf numFmtId="0" fontId="0" fillId="0" borderId="79" xfId="0" applyBorder="1" applyAlignment="1">
      <alignment horizontal="right" vertical="center"/>
    </xf>
    <xf numFmtId="0" fontId="0" fillId="0" borderId="82" xfId="0" applyBorder="1" applyAlignment="1">
      <alignment horizontal="right" vertical="center"/>
    </xf>
    <xf numFmtId="0" fontId="0" fillId="0" borderId="0" xfId="0" applyBorder="1" applyAlignment="1">
      <alignment horizontal="center" vertical="center"/>
    </xf>
    <xf numFmtId="49" fontId="0" fillId="0" borderId="0" xfId="0" applyNumberFormat="1" applyBorder="1" applyAlignment="1">
      <alignment horizontal="right"/>
    </xf>
    <xf numFmtId="49" fontId="0" fillId="0" borderId="0" xfId="0" applyNumberFormat="1" applyBorder="1" applyAlignment="1">
      <alignment horizontal="center" vertical="center"/>
    </xf>
    <xf numFmtId="49" fontId="0" fillId="0" borderId="72" xfId="0" applyNumberFormat="1" applyBorder="1" applyAlignment="1">
      <alignment horizontal="right"/>
    </xf>
    <xf numFmtId="49" fontId="0" fillId="0" borderId="72" xfId="0" applyNumberFormat="1" applyBorder="1" applyAlignment="1">
      <alignment horizontal="center" vertical="center"/>
    </xf>
    <xf numFmtId="49" fontId="0" fillId="0" borderId="73" xfId="0" applyNumberFormat="1" applyBorder="1" applyAlignment="1"/>
    <xf numFmtId="49" fontId="0" fillId="0" borderId="76" xfId="0" applyNumberFormat="1" applyBorder="1" applyAlignment="1"/>
    <xf numFmtId="49" fontId="0" fillId="0" borderId="51" xfId="0" applyNumberFormat="1" applyBorder="1" applyAlignment="1">
      <alignment horizontal="right"/>
    </xf>
    <xf numFmtId="49" fontId="0" fillId="0" borderId="51" xfId="0" applyNumberFormat="1" applyBorder="1" applyAlignment="1">
      <alignment horizontal="center" vertical="center"/>
    </xf>
    <xf numFmtId="49" fontId="0" fillId="0" borderId="78" xfId="0" applyNumberFormat="1" applyBorder="1" applyAlignment="1"/>
    <xf numFmtId="0" fontId="0" fillId="0" borderId="0" xfId="0" applyBorder="1" applyAlignment="1">
      <alignment horizontal="right"/>
    </xf>
    <xf numFmtId="0" fontId="111" fillId="58" borderId="173" xfId="9" applyAlignment="1">
      <alignment horizontal="center" vertical="center"/>
    </xf>
    <xf numFmtId="0" fontId="59" fillId="0" borderId="0" xfId="0" applyFont="1" applyBorder="1" applyAlignment="1">
      <alignment horizontal="center" vertical="center"/>
    </xf>
    <xf numFmtId="0" fontId="0" fillId="0" borderId="66" xfId="0" applyBorder="1">
      <alignment vertical="center"/>
    </xf>
    <xf numFmtId="0" fontId="59" fillId="0" borderId="0" xfId="10">
      <alignment vertical="center"/>
    </xf>
    <xf numFmtId="0" fontId="59" fillId="0" borderId="0" xfId="10" applyAlignment="1">
      <alignment horizontal="center" vertical="center"/>
    </xf>
    <xf numFmtId="0" fontId="59" fillId="0" borderId="0" xfId="10" applyAlignment="1">
      <alignment horizontal="center" vertical="center" wrapText="1"/>
    </xf>
    <xf numFmtId="0" fontId="59" fillId="0" borderId="20" xfId="10" applyBorder="1">
      <alignment vertical="center"/>
    </xf>
    <xf numFmtId="0" fontId="59" fillId="0" borderId="20" xfId="10" applyBorder="1" applyAlignment="1">
      <alignment horizontal="center" vertical="center"/>
    </xf>
    <xf numFmtId="49" fontId="59" fillId="0" borderId="20" xfId="10" applyNumberFormat="1" applyBorder="1" applyAlignment="1">
      <alignment horizontal="center" vertical="center"/>
    </xf>
    <xf numFmtId="0" fontId="59" fillId="0" borderId="20" xfId="10" applyBorder="1" applyAlignment="1">
      <alignment horizontal="center" vertical="center" wrapText="1"/>
    </xf>
    <xf numFmtId="0" fontId="59" fillId="45" borderId="20" xfId="10" applyFill="1" applyBorder="1">
      <alignment vertical="center"/>
    </xf>
    <xf numFmtId="0" fontId="59" fillId="45" borderId="20" xfId="10" applyFill="1" applyBorder="1" applyAlignment="1">
      <alignment horizontal="center" vertical="center"/>
    </xf>
    <xf numFmtId="49" fontId="59" fillId="45" borderId="20" xfId="10" applyNumberFormat="1" applyFill="1" applyBorder="1" applyAlignment="1">
      <alignment horizontal="center" vertical="center"/>
    </xf>
    <xf numFmtId="0" fontId="59" fillId="23" borderId="0" xfId="10" applyFill="1">
      <alignment vertical="center"/>
    </xf>
    <xf numFmtId="0" fontId="118" fillId="23" borderId="0" xfId="10" applyFont="1" applyFill="1">
      <alignment vertical="center"/>
    </xf>
    <xf numFmtId="0" fontId="59" fillId="23" borderId="20" xfId="10" applyFill="1" applyBorder="1" applyAlignment="1">
      <alignment horizontal="center" vertical="center" wrapText="1"/>
    </xf>
    <xf numFmtId="0" fontId="0" fillId="0" borderId="20" xfId="0" applyBorder="1" applyAlignment="1">
      <alignment horizontal="center" vertical="center"/>
    </xf>
    <xf numFmtId="0" fontId="121" fillId="59" borderId="20" xfId="0" applyFont="1" applyFill="1" applyBorder="1" applyAlignment="1">
      <alignment horizontal="center" vertical="center"/>
    </xf>
    <xf numFmtId="0" fontId="120" fillId="0" borderId="72" xfId="0" applyFont="1" applyBorder="1" applyAlignment="1">
      <alignment horizontal="center" vertical="center"/>
    </xf>
    <xf numFmtId="198" fontId="120" fillId="0" borderId="73" xfId="0" applyNumberFormat="1" applyFont="1" applyBorder="1" applyAlignment="1">
      <alignment horizontal="center" vertical="center"/>
    </xf>
    <xf numFmtId="14" fontId="120" fillId="0" borderId="0" xfId="0" applyNumberFormat="1" applyFont="1" applyBorder="1" applyAlignment="1">
      <alignment horizontal="center" vertical="center"/>
    </xf>
    <xf numFmtId="0" fontId="120" fillId="0" borderId="0" xfId="0" applyFont="1" applyBorder="1" applyAlignment="1">
      <alignment horizontal="center" vertical="center"/>
    </xf>
    <xf numFmtId="0" fontId="120" fillId="0" borderId="76" xfId="0" applyFont="1" applyBorder="1" applyAlignment="1">
      <alignment horizontal="center" vertical="center"/>
    </xf>
    <xf numFmtId="14" fontId="122" fillId="0" borderId="0" xfId="0" applyNumberFormat="1" applyFont="1" applyBorder="1" applyAlignment="1">
      <alignment horizontal="center" vertical="center"/>
    </xf>
    <xf numFmtId="14" fontId="122" fillId="0" borderId="51" xfId="0" applyNumberFormat="1" applyFont="1" applyBorder="1" applyAlignment="1">
      <alignment horizontal="center" vertical="center"/>
    </xf>
    <xf numFmtId="0" fontId="120" fillId="0" borderId="51" xfId="0" applyFont="1" applyBorder="1" applyAlignment="1">
      <alignment horizontal="center" vertical="center"/>
    </xf>
    <xf numFmtId="0" fontId="120" fillId="0" borderId="78" xfId="0" applyFont="1" applyBorder="1" applyAlignment="1">
      <alignment horizontal="center" vertical="center"/>
    </xf>
    <xf numFmtId="14" fontId="120" fillId="0" borderId="0" xfId="0" applyNumberFormat="1" applyFont="1" applyFill="1" applyBorder="1" applyAlignment="1">
      <alignment horizontal="center" vertical="center"/>
    </xf>
    <xf numFmtId="0" fontId="120" fillId="0" borderId="0" xfId="0" applyFont="1" applyFill="1" applyBorder="1" applyAlignment="1">
      <alignment horizontal="center" vertical="center"/>
    </xf>
    <xf numFmtId="0" fontId="120" fillId="0" borderId="59" xfId="0" applyFont="1" applyBorder="1" applyAlignment="1">
      <alignment horizontal="center" vertical="center"/>
    </xf>
    <xf numFmtId="198" fontId="120" fillId="0" borderId="0" xfId="0" applyNumberFormat="1" applyFont="1" applyBorder="1" applyAlignment="1">
      <alignment horizontal="center" vertical="center"/>
    </xf>
    <xf numFmtId="0" fontId="120" fillId="0" borderId="79" xfId="0" applyFont="1" applyBorder="1" applyAlignment="1">
      <alignment horizontal="center" vertical="center"/>
    </xf>
    <xf numFmtId="0" fontId="121" fillId="0" borderId="0" xfId="0" applyFont="1" applyBorder="1" applyAlignment="1">
      <alignment horizontal="left" vertical="center"/>
    </xf>
    <xf numFmtId="0" fontId="111" fillId="58" borderId="173" xfId="9" applyBorder="1" applyAlignment="1">
      <alignment horizontal="center" vertical="center"/>
    </xf>
    <xf numFmtId="0" fontId="120" fillId="0" borderId="58" xfId="0" applyFont="1" applyBorder="1" applyAlignment="1">
      <alignment horizontal="center" vertical="center"/>
    </xf>
    <xf numFmtId="0" fontId="119" fillId="0" borderId="176" xfId="11" applyFill="1">
      <alignment vertical="center"/>
    </xf>
    <xf numFmtId="0" fontId="13" fillId="0" borderId="0" xfId="5" applyFont="1" applyBorder="1"/>
    <xf numFmtId="0" fontId="0" fillId="0" borderId="79" xfId="0" applyBorder="1" applyProtection="1">
      <alignment vertical="center"/>
      <protection hidden="1"/>
    </xf>
    <xf numFmtId="0" fontId="0" fillId="0" borderId="0" xfId="0" applyBorder="1" applyProtection="1">
      <alignment vertical="center"/>
      <protection hidden="1"/>
    </xf>
    <xf numFmtId="0" fontId="121" fillId="0" borderId="0" xfId="0" applyFont="1" applyBorder="1" applyProtection="1">
      <alignment vertical="center"/>
      <protection hidden="1"/>
    </xf>
    <xf numFmtId="0" fontId="111" fillId="58" borderId="173" xfId="9" applyBorder="1">
      <alignment vertical="center"/>
    </xf>
    <xf numFmtId="0" fontId="59" fillId="0" borderId="69" xfId="0" applyFont="1" applyBorder="1">
      <alignment vertical="center"/>
    </xf>
    <xf numFmtId="0" fontId="55" fillId="0" borderId="0" xfId="0" applyFont="1" applyBorder="1">
      <alignment vertical="center"/>
    </xf>
    <xf numFmtId="0" fontId="1" fillId="0" borderId="0" xfId="3" applyFont="1" applyBorder="1" applyAlignment="1">
      <alignment vertical="center" wrapText="1"/>
    </xf>
    <xf numFmtId="0" fontId="59" fillId="0" borderId="79" xfId="0" applyFont="1" applyBorder="1">
      <alignment vertical="center"/>
    </xf>
    <xf numFmtId="0" fontId="126" fillId="0" borderId="0" xfId="12" applyBorder="1">
      <alignment vertical="center"/>
    </xf>
    <xf numFmtId="0" fontId="1" fillId="0" borderId="60" xfId="0" applyFont="1" applyBorder="1" applyAlignment="1">
      <alignment horizontal="center" vertical="center"/>
    </xf>
    <xf numFmtId="0" fontId="1" fillId="0" borderId="75" xfId="0" applyFont="1" applyBorder="1" applyAlignment="1">
      <alignment horizontal="center" vertical="center"/>
    </xf>
    <xf numFmtId="0" fontId="1" fillId="0" borderId="77" xfId="0" applyFont="1" applyBorder="1" applyAlignment="1">
      <alignment horizontal="center" vertical="center"/>
    </xf>
    <xf numFmtId="0" fontId="4" fillId="5" borderId="31" xfId="0" applyFont="1" applyFill="1" applyBorder="1" applyAlignment="1">
      <alignment horizontal="center" vertical="center"/>
    </xf>
    <xf numFmtId="0" fontId="4" fillId="5" borderId="27" xfId="0" applyFont="1" applyFill="1" applyBorder="1" applyAlignment="1">
      <alignment horizontal="center" vertical="center"/>
    </xf>
    <xf numFmtId="0" fontId="4" fillId="5" borderId="29" xfId="0" applyFont="1" applyFill="1" applyBorder="1" applyAlignment="1">
      <alignment horizontal="center" vertical="center"/>
    </xf>
    <xf numFmtId="0" fontId="50" fillId="4" borderId="0" xfId="0" applyFont="1" applyFill="1" applyAlignment="1">
      <alignment horizontal="center"/>
    </xf>
    <xf numFmtId="0" fontId="1" fillId="0" borderId="77" xfId="0" applyFont="1" applyFill="1" applyBorder="1" applyAlignment="1">
      <alignment horizontal="center"/>
    </xf>
    <xf numFmtId="0" fontId="1" fillId="0" borderId="51" xfId="0" applyFont="1" applyFill="1" applyBorder="1" applyAlignment="1">
      <alignment horizontal="center"/>
    </xf>
    <xf numFmtId="0" fontId="4" fillId="5" borderId="62" xfId="0" applyFont="1" applyFill="1" applyBorder="1" applyAlignment="1">
      <alignment horizontal="center" vertical="center"/>
    </xf>
    <xf numFmtId="0" fontId="4" fillId="5" borderId="74" xfId="0" applyFont="1" applyFill="1" applyBorder="1" applyAlignment="1">
      <alignment horizontal="center" vertical="center"/>
    </xf>
    <xf numFmtId="0" fontId="4" fillId="5" borderId="63" xfId="0" applyFont="1" applyFill="1" applyBorder="1" applyAlignment="1">
      <alignment horizontal="center" vertical="center"/>
    </xf>
    <xf numFmtId="0" fontId="4" fillId="5" borderId="64" xfId="0" applyFont="1" applyFill="1" applyBorder="1" applyAlignment="1">
      <alignment horizontal="center" vertical="center"/>
    </xf>
    <xf numFmtId="0" fontId="1" fillId="23" borderId="0" xfId="0" applyFont="1" applyFill="1" applyAlignment="1">
      <alignment horizontal="center"/>
    </xf>
    <xf numFmtId="0" fontId="1" fillId="0" borderId="60" xfId="0" applyFont="1" applyFill="1" applyBorder="1" applyAlignment="1">
      <alignment horizontal="center"/>
    </xf>
    <xf numFmtId="0" fontId="1" fillId="0" borderId="72" xfId="0" applyFont="1" applyFill="1" applyBorder="1" applyAlignment="1">
      <alignment horizontal="center"/>
    </xf>
    <xf numFmtId="0" fontId="1" fillId="0" borderId="75" xfId="0" applyFont="1" applyFill="1" applyBorder="1" applyAlignment="1">
      <alignment horizontal="center"/>
    </xf>
    <xf numFmtId="0" fontId="1" fillId="0" borderId="0" xfId="0" applyFont="1" applyFill="1" applyBorder="1" applyAlignment="1">
      <alignment horizontal="center"/>
    </xf>
    <xf numFmtId="0" fontId="41" fillId="0" borderId="96" xfId="0" applyFont="1" applyBorder="1" applyAlignment="1">
      <alignment horizontal="center" vertical="center"/>
    </xf>
    <xf numFmtId="0" fontId="41" fillId="0" borderId="97" xfId="0" applyFont="1" applyBorder="1" applyAlignment="1">
      <alignment horizontal="center" vertical="center"/>
    </xf>
    <xf numFmtId="0" fontId="96" fillId="0" borderId="66" xfId="0" applyFont="1" applyBorder="1" applyAlignment="1">
      <alignment horizontal="center" vertical="center"/>
    </xf>
    <xf numFmtId="0" fontId="96" fillId="0" borderId="149" xfId="0" applyFont="1" applyBorder="1" applyAlignment="1">
      <alignment horizontal="center" vertical="center"/>
    </xf>
    <xf numFmtId="0" fontId="96" fillId="0" borderId="151" xfId="0" applyFont="1" applyBorder="1" applyAlignment="1">
      <alignment horizontal="center" vertical="center"/>
    </xf>
    <xf numFmtId="0" fontId="1" fillId="0" borderId="20" xfId="0" applyFont="1" applyBorder="1" applyAlignment="1">
      <alignment horizontal="center" vertical="center"/>
    </xf>
    <xf numFmtId="0" fontId="1" fillId="0" borderId="63" xfId="0" applyFont="1" applyBorder="1" applyAlignment="1">
      <alignment horizontal="center" vertical="center"/>
    </xf>
    <xf numFmtId="0" fontId="1" fillId="0" borderId="152" xfId="0" applyFont="1" applyBorder="1" applyAlignment="1">
      <alignment horizontal="center" vertical="center"/>
    </xf>
    <xf numFmtId="49" fontId="0" fillId="0" borderId="59" xfId="0" applyNumberFormat="1" applyBorder="1" applyAlignment="1">
      <alignment horizontal="center" vertical="center"/>
    </xf>
    <xf numFmtId="49" fontId="0" fillId="0" borderId="79" xfId="0" applyNumberFormat="1" applyBorder="1" applyAlignment="1">
      <alignment horizontal="center" vertical="center"/>
    </xf>
    <xf numFmtId="49" fontId="0" fillId="0" borderId="58" xfId="0" applyNumberFormat="1" applyBorder="1" applyAlignment="1">
      <alignment horizontal="center" vertical="center"/>
    </xf>
    <xf numFmtId="0" fontId="49" fillId="47" borderId="125" xfId="0" applyFont="1" applyFill="1" applyBorder="1" applyAlignment="1">
      <alignment horizontal="center" vertical="center"/>
    </xf>
    <xf numFmtId="0" fontId="1" fillId="0" borderId="63" xfId="0" applyFont="1" applyBorder="1" applyAlignment="1" applyProtection="1">
      <alignment horizontal="center" vertical="center" wrapText="1"/>
      <protection locked="0"/>
    </xf>
    <xf numFmtId="0" fontId="1" fillId="0" borderId="124" xfId="0" applyFont="1" applyBorder="1" applyAlignment="1" applyProtection="1">
      <alignment horizontal="center" vertical="center" wrapText="1"/>
      <protection locked="0"/>
    </xf>
    <xf numFmtId="0" fontId="1" fillId="0" borderId="64" xfId="0" applyFont="1" applyBorder="1" applyAlignment="1" applyProtection="1">
      <alignment horizontal="center" vertical="center" wrapText="1"/>
      <protection locked="0"/>
    </xf>
    <xf numFmtId="0" fontId="49" fillId="40" borderId="125" xfId="0" applyFont="1" applyFill="1" applyBorder="1" applyProtection="1">
      <alignment vertical="center"/>
      <protection locked="0"/>
    </xf>
    <xf numFmtId="0" fontId="0" fillId="0" borderId="20" xfId="0" applyBorder="1" applyAlignment="1">
      <alignment horizontal="center"/>
    </xf>
    <xf numFmtId="0" fontId="112" fillId="0" borderId="79" xfId="0" applyFont="1" applyBorder="1" applyAlignment="1">
      <alignment horizontal="center" vertical="center" wrapText="1"/>
    </xf>
    <xf numFmtId="0" fontId="113" fillId="0" borderId="0" xfId="0" applyFont="1" applyBorder="1" applyAlignment="1">
      <alignment horizontal="center" vertical="center" wrapText="1"/>
    </xf>
    <xf numFmtId="0" fontId="112" fillId="0" borderId="0" xfId="0" applyFont="1" applyBorder="1" applyAlignment="1">
      <alignment horizontal="center" vertical="center" wrapText="1"/>
    </xf>
    <xf numFmtId="0" fontId="0" fillId="0" borderId="163" xfId="0" applyBorder="1" applyAlignment="1">
      <alignment horizontal="center"/>
    </xf>
    <xf numFmtId="0" fontId="0" fillId="0" borderId="164" xfId="0" applyBorder="1" applyAlignment="1">
      <alignment horizontal="center"/>
    </xf>
    <xf numFmtId="0" fontId="0" fillId="0" borderId="165" xfId="0" applyBorder="1" applyAlignment="1">
      <alignment horizontal="center"/>
    </xf>
    <xf numFmtId="0" fontId="1" fillId="0" borderId="0" xfId="0" applyFont="1" applyBorder="1" applyAlignment="1">
      <alignment horizontal="center" vertical="center"/>
    </xf>
    <xf numFmtId="0" fontId="1" fillId="23" borderId="66" xfId="0" applyFont="1" applyFill="1" applyBorder="1" applyAlignment="1">
      <alignment horizontal="center" vertical="center"/>
    </xf>
    <xf numFmtId="0" fontId="1" fillId="23" borderId="20" xfId="0" applyFont="1" applyFill="1" applyBorder="1" applyAlignment="1">
      <alignment horizontal="center" vertical="center"/>
    </xf>
    <xf numFmtId="0" fontId="1" fillId="40" borderId="20" xfId="0" applyFont="1" applyFill="1" applyBorder="1" applyAlignment="1">
      <alignment horizontal="center" vertical="center"/>
    </xf>
    <xf numFmtId="0" fontId="41" fillId="0" borderId="72" xfId="0" applyFont="1" applyBorder="1" applyAlignment="1">
      <alignment horizontal="center" vertical="center"/>
    </xf>
    <xf numFmtId="0" fontId="41" fillId="0" borderId="73" xfId="0" applyFont="1" applyBorder="1" applyAlignment="1">
      <alignment horizontal="center" vertical="center"/>
    </xf>
    <xf numFmtId="185" fontId="1" fillId="0" borderId="79" xfId="0" applyNumberFormat="1" applyFont="1" applyBorder="1" applyAlignment="1">
      <alignment horizontal="right" vertical="center"/>
    </xf>
    <xf numFmtId="185" fontId="1" fillId="0" borderId="0" xfId="0" applyNumberFormat="1" applyFont="1" applyBorder="1" applyAlignment="1">
      <alignment horizontal="right" vertical="center"/>
    </xf>
    <xf numFmtId="185" fontId="1" fillId="0" borderId="76" xfId="0" applyNumberFormat="1" applyFont="1" applyBorder="1" applyAlignment="1">
      <alignment horizontal="right" vertical="center"/>
    </xf>
    <xf numFmtId="0" fontId="1" fillId="0" borderId="79" xfId="0" applyFont="1" applyBorder="1" applyAlignment="1">
      <alignment horizontal="center" vertical="center"/>
    </xf>
    <xf numFmtId="0" fontId="12" fillId="23" borderId="0" xfId="0" applyFont="1" applyFill="1" applyBorder="1" applyAlignment="1">
      <alignment horizontal="center" vertical="center" wrapText="1"/>
    </xf>
    <xf numFmtId="0" fontId="40" fillId="23" borderId="0" xfId="0" applyFont="1" applyFill="1" applyBorder="1" applyAlignment="1">
      <alignment horizontal="center" vertical="center"/>
    </xf>
    <xf numFmtId="0" fontId="40" fillId="23" borderId="81" xfId="0" applyFont="1" applyFill="1" applyBorder="1" applyAlignment="1">
      <alignment horizontal="center" vertical="center"/>
    </xf>
    <xf numFmtId="0" fontId="1" fillId="0" borderId="40" xfId="0" applyFont="1" applyFill="1" applyBorder="1" applyAlignment="1">
      <alignment horizontal="center" vertical="center"/>
    </xf>
    <xf numFmtId="0" fontId="1" fillId="0" borderId="69" xfId="0" applyFont="1" applyFill="1" applyBorder="1" applyAlignment="1">
      <alignment horizontal="center" vertical="center"/>
    </xf>
    <xf numFmtId="0" fontId="1" fillId="0" borderId="79" xfId="0" applyFont="1" applyFill="1" applyBorder="1" applyAlignment="1">
      <alignment horizontal="center" vertical="center"/>
    </xf>
    <xf numFmtId="0" fontId="1" fillId="0" borderId="0" xfId="0" applyFont="1" applyFill="1" applyAlignment="1">
      <alignment horizontal="center" vertical="center"/>
    </xf>
    <xf numFmtId="49" fontId="1" fillId="0" borderId="69" xfId="0" applyNumberFormat="1" applyFont="1" applyFill="1" applyBorder="1" applyAlignment="1">
      <alignment horizontal="center" vertical="center"/>
    </xf>
    <xf numFmtId="49" fontId="1" fillId="0" borderId="0" xfId="0" applyNumberFormat="1" applyFont="1" applyFill="1" applyAlignment="1">
      <alignment horizontal="center" vertical="center"/>
    </xf>
    <xf numFmtId="0" fontId="1" fillId="0" borderId="79" xfId="0" applyFont="1" applyBorder="1" applyAlignment="1">
      <alignment horizontal="left" vertical="center"/>
    </xf>
    <xf numFmtId="0" fontId="1" fillId="0" borderId="0" xfId="0" applyFont="1" applyBorder="1" applyAlignment="1">
      <alignment horizontal="left" vertical="center"/>
    </xf>
    <xf numFmtId="0" fontId="1" fillId="0" borderId="82" xfId="0" applyFont="1" applyBorder="1" applyAlignment="1">
      <alignment horizontal="left" vertical="center"/>
    </xf>
    <xf numFmtId="0" fontId="1" fillId="0" borderId="93" xfId="0" applyFont="1" applyBorder="1" applyAlignment="1">
      <alignment horizontal="left" vertical="center"/>
    </xf>
    <xf numFmtId="0" fontId="35" fillId="0" borderId="0" xfId="0" applyFont="1" applyBorder="1" applyAlignment="1">
      <alignment horizontal="center" vertical="center"/>
    </xf>
    <xf numFmtId="0" fontId="24" fillId="0" borderId="20" xfId="0" applyFont="1" applyBorder="1" applyAlignment="1">
      <alignment horizontal="center" vertical="center" wrapText="1"/>
    </xf>
    <xf numFmtId="0" fontId="30" fillId="0" borderId="20" xfId="0" applyFont="1" applyBorder="1" applyAlignment="1">
      <alignment horizontal="center" vertical="center" wrapText="1"/>
    </xf>
    <xf numFmtId="0" fontId="1" fillId="0" borderId="20" xfId="0" applyFont="1" applyBorder="1" applyAlignment="1">
      <alignment horizontal="center" vertical="center" wrapText="1"/>
    </xf>
    <xf numFmtId="0" fontId="14" fillId="0" borderId="20" xfId="0" applyFont="1" applyBorder="1" applyAlignment="1">
      <alignment horizontal="center" vertical="center" wrapText="1"/>
    </xf>
    <xf numFmtId="0" fontId="49" fillId="40" borderId="125" xfId="0" applyFont="1" applyFill="1" applyBorder="1" applyAlignment="1" applyProtection="1">
      <alignment horizontal="left" vertical="center"/>
      <protection locked="0"/>
    </xf>
    <xf numFmtId="0" fontId="1" fillId="43" borderId="79" xfId="0" applyFont="1" applyFill="1" applyBorder="1" applyAlignment="1">
      <alignment horizontal="center" vertical="center"/>
    </xf>
    <xf numFmtId="0" fontId="1" fillId="43" borderId="119" xfId="0" applyFont="1" applyFill="1" applyBorder="1" applyAlignment="1">
      <alignment horizontal="center" vertical="center"/>
    </xf>
    <xf numFmtId="0" fontId="27" fillId="44" borderId="120" xfId="0" applyFont="1" applyFill="1" applyBorder="1" applyAlignment="1">
      <alignment horizontal="center" vertical="center"/>
    </xf>
    <xf numFmtId="0" fontId="27" fillId="44" borderId="121" xfId="0" applyFont="1" applyFill="1" applyBorder="1" applyAlignment="1">
      <alignment horizontal="center" vertical="center"/>
    </xf>
    <xf numFmtId="0" fontId="27" fillId="44" borderId="122" xfId="0" applyFont="1" applyFill="1" applyBorder="1" applyAlignment="1">
      <alignment horizontal="center" vertical="center"/>
    </xf>
    <xf numFmtId="0" fontId="1" fillId="40" borderId="123" xfId="0" applyFont="1" applyFill="1" applyBorder="1" applyAlignment="1">
      <alignment horizontal="center" vertical="center"/>
    </xf>
    <xf numFmtId="0" fontId="1" fillId="40" borderId="79" xfId="0" applyFont="1" applyFill="1" applyBorder="1" applyAlignment="1">
      <alignment horizontal="center" vertical="center"/>
    </xf>
    <xf numFmtId="0" fontId="1" fillId="23" borderId="79" xfId="0" applyFont="1" applyFill="1" applyBorder="1" applyAlignment="1">
      <alignment horizontal="center" vertical="center"/>
    </xf>
    <xf numFmtId="0" fontId="1" fillId="45" borderId="0" xfId="5" applyFont="1" applyFill="1" applyBorder="1" applyAlignment="1">
      <alignment horizontal="center" vertical="top" wrapText="1"/>
    </xf>
    <xf numFmtId="0" fontId="1" fillId="45" borderId="0" xfId="0" applyFont="1" applyFill="1" applyBorder="1" applyAlignment="1">
      <alignment horizontal="center" vertical="top" wrapText="1"/>
    </xf>
    <xf numFmtId="0" fontId="49" fillId="40" borderId="62" xfId="0" applyFont="1" applyFill="1" applyBorder="1" applyAlignment="1" applyProtection="1">
      <alignment horizontal="left" vertical="center"/>
      <protection locked="0"/>
    </xf>
    <xf numFmtId="0" fontId="49" fillId="40" borderId="126" xfId="0" applyFont="1" applyFill="1" applyBorder="1" applyAlignment="1" applyProtection="1">
      <alignment horizontal="left" vertical="center"/>
      <protection locked="0"/>
    </xf>
    <xf numFmtId="0" fontId="37" fillId="0" borderId="0" xfId="0" applyFont="1" applyBorder="1" applyAlignment="1">
      <alignment horizontal="center" vertical="center"/>
    </xf>
    <xf numFmtId="0" fontId="1" fillId="0" borderId="79" xfId="0" applyFont="1" applyBorder="1" applyAlignment="1">
      <alignment horizontal="center" vertical="center" wrapText="1"/>
    </xf>
    <xf numFmtId="0" fontId="1" fillId="0" borderId="0" xfId="0" applyFont="1" applyBorder="1" applyAlignment="1">
      <alignment horizontal="center" vertical="center" wrapText="1"/>
    </xf>
    <xf numFmtId="0" fontId="8" fillId="0" borderId="79" xfId="0" applyFont="1" applyFill="1" applyBorder="1" applyAlignment="1">
      <alignment horizontal="center" vertical="center"/>
    </xf>
    <xf numFmtId="0" fontId="8" fillId="0" borderId="0" xfId="0" applyFont="1" applyFill="1" applyBorder="1" applyAlignment="1">
      <alignment horizontal="center" vertical="center"/>
    </xf>
    <xf numFmtId="0" fontId="11" fillId="0" borderId="58" xfId="0" applyFont="1" applyBorder="1" applyAlignment="1">
      <alignment horizontal="center" vertical="center" wrapText="1"/>
    </xf>
    <xf numFmtId="0" fontId="11" fillId="0" borderId="51" xfId="0" applyFont="1" applyBorder="1" applyAlignment="1">
      <alignment horizontal="center" vertical="center" wrapText="1"/>
    </xf>
    <xf numFmtId="0" fontId="29" fillId="0" borderId="51" xfId="0" applyFont="1" applyBorder="1" applyAlignment="1">
      <alignment horizontal="center" vertical="center" wrapText="1"/>
    </xf>
    <xf numFmtId="0" fontId="1" fillId="0" borderId="62" xfId="0" applyFont="1" applyBorder="1" applyAlignment="1">
      <alignment horizontal="center" vertical="center" shrinkToFit="1"/>
    </xf>
    <xf numFmtId="0" fontId="1" fillId="0" borderId="74" xfId="0" applyFont="1" applyBorder="1" applyAlignment="1">
      <alignment horizontal="center" vertical="center" shrinkToFit="1"/>
    </xf>
    <xf numFmtId="0" fontId="21" fillId="33" borderId="40" xfId="0" applyFont="1" applyFill="1" applyBorder="1" applyAlignment="1">
      <alignment horizontal="center" vertical="center"/>
    </xf>
    <xf numFmtId="0" fontId="21" fillId="33" borderId="69" xfId="0" applyFont="1" applyFill="1" applyBorder="1" applyAlignment="1">
      <alignment horizontal="center" vertical="center"/>
    </xf>
    <xf numFmtId="0" fontId="1" fillId="0" borderId="62" xfId="0" applyFont="1" applyBorder="1" applyAlignment="1">
      <alignment horizontal="center" vertical="center"/>
    </xf>
    <xf numFmtId="0" fontId="1" fillId="0" borderId="74" xfId="0" applyFont="1" applyBorder="1" applyAlignment="1">
      <alignment horizontal="center" vertical="center"/>
    </xf>
    <xf numFmtId="0" fontId="1" fillId="0" borderId="40" xfId="0" applyFont="1" applyBorder="1" applyAlignment="1">
      <alignment horizontal="left" vertical="center"/>
    </xf>
    <xf numFmtId="0" fontId="1" fillId="0" borderId="69" xfId="0" applyFont="1" applyBorder="1" applyAlignment="1">
      <alignment horizontal="left" vertical="center"/>
    </xf>
    <xf numFmtId="0" fontId="1" fillId="34" borderId="0" xfId="0" applyFont="1" applyFill="1" applyBorder="1" applyAlignment="1">
      <alignment horizontal="center" vertical="center" wrapText="1"/>
    </xf>
    <xf numFmtId="0" fontId="59" fillId="0" borderId="63" xfId="10" applyBorder="1" applyAlignment="1">
      <alignment horizontal="center" vertical="center" wrapText="1"/>
    </xf>
    <xf numFmtId="0" fontId="59" fillId="0" borderId="124" xfId="10" applyBorder="1" applyAlignment="1">
      <alignment horizontal="center" vertical="center" wrapText="1"/>
    </xf>
    <xf numFmtId="0" fontId="59" fillId="0" borderId="64" xfId="10" applyBorder="1" applyAlignment="1">
      <alignment horizontal="center" vertical="center" wrapText="1"/>
    </xf>
    <xf numFmtId="0" fontId="59" fillId="45" borderId="63" xfId="10" applyFill="1" applyBorder="1" applyAlignment="1">
      <alignment horizontal="center" vertical="center" wrapText="1"/>
    </xf>
    <xf numFmtId="49" fontId="59" fillId="45" borderId="63" xfId="10" applyNumberFormat="1" applyFill="1" applyBorder="1" applyAlignment="1">
      <alignment horizontal="center" vertical="center"/>
    </xf>
    <xf numFmtId="49" fontId="59" fillId="45" borderId="124" xfId="10" applyNumberFormat="1" applyFill="1" applyBorder="1" applyAlignment="1">
      <alignment horizontal="center" vertical="center"/>
    </xf>
    <xf numFmtId="49" fontId="59" fillId="45" borderId="64" xfId="10" applyNumberFormat="1" applyFill="1" applyBorder="1" applyAlignment="1">
      <alignment horizontal="center" vertical="center"/>
    </xf>
    <xf numFmtId="49" fontId="59" fillId="0" borderId="63" xfId="10" applyNumberFormat="1" applyBorder="1" applyAlignment="1">
      <alignment horizontal="center" vertical="center"/>
    </xf>
    <xf numFmtId="49" fontId="59" fillId="0" borderId="124" xfId="10" applyNumberFormat="1" applyBorder="1" applyAlignment="1">
      <alignment horizontal="center" vertical="center"/>
    </xf>
    <xf numFmtId="49" fontId="59" fillId="0" borderId="64" xfId="10" applyNumberFormat="1" applyBorder="1" applyAlignment="1">
      <alignment horizontal="center" vertical="center"/>
    </xf>
    <xf numFmtId="0" fontId="59" fillId="0" borderId="63" xfId="10" applyBorder="1" applyAlignment="1">
      <alignment horizontal="center" vertical="center"/>
    </xf>
    <xf numFmtId="0" fontId="59" fillId="0" borderId="124" xfId="10" applyBorder="1" applyAlignment="1">
      <alignment horizontal="center" vertical="center"/>
    </xf>
    <xf numFmtId="0" fontId="59" fillId="0" borderId="64" xfId="10" applyBorder="1" applyAlignment="1">
      <alignment horizontal="center" vertical="center"/>
    </xf>
    <xf numFmtId="49" fontId="59" fillId="0" borderId="20" xfId="10" applyNumberFormat="1" applyBorder="1" applyAlignment="1">
      <alignment horizontal="center" vertical="center"/>
    </xf>
    <xf numFmtId="0" fontId="59" fillId="45" borderId="63" xfId="10" applyFill="1" applyBorder="1" applyAlignment="1">
      <alignment horizontal="center" vertical="center"/>
    </xf>
    <xf numFmtId="49" fontId="59" fillId="45" borderId="20" xfId="10" applyNumberFormat="1" applyFill="1" applyBorder="1" applyAlignment="1">
      <alignment horizontal="center" vertical="center"/>
    </xf>
    <xf numFmtId="0" fontId="59" fillId="0" borderId="51" xfId="10" applyBorder="1" applyAlignment="1">
      <alignment horizontal="center" vertical="center" wrapText="1"/>
    </xf>
    <xf numFmtId="0" fontId="21" fillId="18" borderId="67" xfId="0" applyFont="1" applyFill="1" applyBorder="1" applyAlignment="1">
      <alignment horizontal="center" vertical="center"/>
    </xf>
    <xf numFmtId="0" fontId="21" fillId="18" borderId="68" xfId="0" applyFont="1" applyFill="1" applyBorder="1" applyAlignment="1">
      <alignment horizontal="center" vertical="center"/>
    </xf>
    <xf numFmtId="0" fontId="2" fillId="0" borderId="0" xfId="0" applyFont="1" applyAlignment="1">
      <alignment horizontal="center" vertical="center"/>
    </xf>
    <xf numFmtId="0" fontId="1" fillId="15" borderId="51" xfId="0" applyFont="1" applyFill="1" applyBorder="1" applyAlignment="1">
      <alignment horizontal="center"/>
    </xf>
    <xf numFmtId="0" fontId="8" fillId="0" borderId="58" xfId="0" applyFont="1" applyFill="1" applyBorder="1" applyAlignment="1">
      <alignment horizontal="center" vertical="center"/>
    </xf>
    <xf numFmtId="0" fontId="8" fillId="0" borderId="51" xfId="0" applyFont="1" applyFill="1" applyBorder="1" applyAlignment="1">
      <alignment horizontal="center" vertical="center"/>
    </xf>
    <xf numFmtId="0" fontId="11" fillId="0" borderId="20" xfId="0" applyFont="1" applyBorder="1" applyAlignment="1">
      <alignment horizontal="center" vertical="center" wrapText="1"/>
    </xf>
  </cellXfs>
  <cellStyles count="13">
    <cellStyle name="百分比" xfId="2" builtinId="5"/>
    <cellStyle name="差" xfId="8" builtinId="27"/>
    <cellStyle name="常规" xfId="0" builtinId="0"/>
    <cellStyle name="常规 2" xfId="10" xr:uid="{9075F956-3317-4E3B-9786-1FC33110E0B1}"/>
    <cellStyle name="常规 3" xfId="4" xr:uid="{00000000-0005-0000-0000-000032000000}"/>
    <cellStyle name="常规 4" xfId="5" xr:uid="{00000000-0005-0000-0000-000033000000}"/>
    <cellStyle name="常规 5" xfId="6" xr:uid="{00000000-0005-0000-0000-000034000000}"/>
    <cellStyle name="超链接" xfId="1" builtinId="8"/>
    <cellStyle name="好" xfId="7" builtinId="26"/>
    <cellStyle name="计算" xfId="9" builtinId="22"/>
    <cellStyle name="解释性文本" xfId="12" builtinId="53"/>
    <cellStyle name="链接单元格" xfId="11" builtinId="24"/>
    <cellStyle name="主标题" xfId="3" xr:uid="{00000000-0005-0000-0000-000031000000}"/>
  </cellStyles>
  <dxfs count="36">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rgb="FFFFFF00"/>
        </patternFill>
      </fill>
    </dxf>
    <dxf>
      <font>
        <color theme="0"/>
      </font>
      <fill>
        <patternFill patternType="solid">
          <bgColor theme="3"/>
        </patternFill>
      </fill>
    </dxf>
    <dxf>
      <font>
        <b val="0"/>
        <i/>
        <color theme="9" tint="-0.24994659260841701"/>
      </font>
    </dxf>
    <dxf>
      <font>
        <color theme="0"/>
      </font>
      <fill>
        <patternFill patternType="solid">
          <bgColor rgb="FFC00000"/>
        </patternFill>
      </fill>
    </dxf>
    <dxf>
      <font>
        <color theme="1"/>
      </font>
      <fill>
        <patternFill patternType="solid">
          <bgColor theme="4" tint="0.39994506668294322"/>
        </patternFill>
      </fill>
    </dxf>
    <dxf>
      <fill>
        <patternFill patternType="solid">
          <bgColor rgb="FFFF0000"/>
        </patternFill>
      </fill>
    </dxf>
    <dxf>
      <fill>
        <patternFill patternType="solid">
          <bgColor theme="9" tint="0.79995117038483843"/>
        </patternFill>
      </fill>
    </dxf>
    <dxf>
      <fill>
        <patternFill patternType="solid">
          <bgColor rgb="FFF3A779"/>
        </patternFill>
      </fill>
    </dxf>
    <dxf>
      <fill>
        <patternFill patternType="solid">
          <bgColor rgb="FFFFFF00"/>
        </patternFill>
      </fill>
    </dxf>
    <dxf>
      <fill>
        <patternFill patternType="solid">
          <bgColor theme="0" tint="-0.34998626667073579"/>
        </patternFill>
      </fill>
    </dxf>
    <dxf>
      <fill>
        <patternFill patternType="solid">
          <bgColor rgb="FF92D050"/>
        </patternFill>
      </fill>
    </dxf>
    <dxf>
      <fill>
        <patternFill patternType="solid">
          <bgColor theme="5" tint="0.79995117038483843"/>
        </patternFill>
      </fill>
    </dxf>
    <dxf>
      <fill>
        <patternFill patternType="solid">
          <bgColor theme="8" tint="0.59996337778862885"/>
        </patternFill>
      </fill>
    </dxf>
    <dxf>
      <fill>
        <patternFill patternType="solid">
          <bgColor theme="5" tint="0.79995117038483843"/>
        </patternFill>
      </fill>
    </dxf>
    <dxf>
      <fill>
        <patternFill patternType="solid">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4.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2</xdr:col>
      <xdr:colOff>171449</xdr:colOff>
      <xdr:row>355</xdr:row>
      <xdr:rowOff>28575</xdr:rowOff>
    </xdr:from>
    <xdr:to>
      <xdr:col>4</xdr:col>
      <xdr:colOff>609600</xdr:colOff>
      <xdr:row>359</xdr:row>
      <xdr:rowOff>161925</xdr:rowOff>
    </xdr:to>
    <mc:AlternateContent xmlns:mc="http://schemas.openxmlformats.org/markup-compatibility/2006" xmlns:a14="http://schemas.microsoft.com/office/drawing/2010/main">
      <mc:Choice Requires="a14">
        <xdr:graphicFrame macro="">
          <xdr:nvGraphicFramePr>
            <xdr:cNvPr id="2" name="销售处">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销售处"/>
            </a:graphicData>
          </a:graphic>
        </xdr:graphicFrame>
      </mc:Choice>
      <mc:Fallback xmlns:r="http://schemas.openxmlformats.org/officeDocument/2006/relationships" xmlns="">
        <xdr:sp macro="" textlink="">
          <xdr:nvSpPr>
            <xdr:cNvPr id="0" name=""/>
            <xdr:cNvSpPr>
              <a:spLocks noTextEdit="1"/>
            </xdr:cNvSpPr>
          </xdr:nvSpPr>
          <xdr:spPr>
            <a:xfrm>
              <a:off x="2504440" y="81343500"/>
              <a:ext cx="2343785" cy="1047750"/>
            </a:xfrm>
            <a:prstGeom prst="rect">
              <a:avLst/>
            </a:prstGeom>
            <a:solidFill>
              <a:prstClr val="white"/>
            </a:solidFill>
            <a:ln w="1">
              <a:solidFill>
                <a:prstClr val="green"/>
              </a:solidFill>
            </a:ln>
          </xdr:spPr>
          <xdr:txBody>
            <a:bodyPr vertOverflow="clip" horzOverflow="clip"/>
            <a:lstStyle/>
            <a:p>
              <a:r>
                <a:rPr sz="1100"/>
                <a:t>此形状表示切片器。
当前版本不支持切片器，请升级到最新版的WPS。</a:t>
              </a:r>
            </a:p>
          </xdr:txBody>
        </xdr:sp>
      </mc:Fallback>
    </mc:AlternateContent>
    <xdr:clientData/>
  </xdr:twoCellAnchor>
  <xdr:twoCellAnchor>
    <xdr:from>
      <xdr:col>0</xdr:col>
      <xdr:colOff>9525</xdr:colOff>
      <xdr:row>528</xdr:row>
      <xdr:rowOff>85724</xdr:rowOff>
    </xdr:from>
    <xdr:to>
      <xdr:col>13</xdr:col>
      <xdr:colOff>708873</xdr:colOff>
      <xdr:row>535</xdr:row>
      <xdr:rowOff>133349</xdr:rowOff>
    </xdr:to>
    <xdr:grpSp>
      <xdr:nvGrpSpPr>
        <xdr:cNvPr id="19" name="组合 18">
          <a:extLst>
            <a:ext uri="{FF2B5EF4-FFF2-40B4-BE49-F238E27FC236}">
              <a16:creationId xmlns:a16="http://schemas.microsoft.com/office/drawing/2014/main" id="{00000000-0008-0000-0000-000013000000}"/>
            </a:ext>
          </a:extLst>
        </xdr:cNvPr>
        <xdr:cNvGrpSpPr/>
      </xdr:nvGrpSpPr>
      <xdr:grpSpPr>
        <a:xfrm>
          <a:off x="9525" y="120948449"/>
          <a:ext cx="11662623" cy="1647825"/>
          <a:chOff x="4171950" y="121319925"/>
          <a:chExt cx="7820025" cy="1104900"/>
        </a:xfrm>
      </xdr:grpSpPr>
      <xdr:sp macro="" textlink="">
        <xdr:nvSpPr>
          <xdr:cNvPr id="16" name="矩形 15">
            <a:extLst>
              <a:ext uri="{FF2B5EF4-FFF2-40B4-BE49-F238E27FC236}">
                <a16:creationId xmlns:a16="http://schemas.microsoft.com/office/drawing/2014/main" id="{00000000-0008-0000-0000-000010000000}"/>
              </a:ext>
            </a:extLst>
          </xdr:cNvPr>
          <xdr:cNvSpPr/>
        </xdr:nvSpPr>
        <xdr:spPr>
          <a:xfrm>
            <a:off x="4171950" y="121319925"/>
            <a:ext cx="7820025" cy="1104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pic>
        <xdr:nvPicPr>
          <xdr:cNvPr id="9" name="图片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00525" y="121329450"/>
            <a:ext cx="7772400" cy="1075512"/>
          </a:xfrm>
          <a:prstGeom prst="rect">
            <a:avLst/>
          </a:prstGeom>
        </xdr:spPr>
      </xdr:pic>
    </xdr:grpSp>
    <xdr:clientData/>
  </xdr:twoCellAnchor>
  <xdr:twoCellAnchor>
    <xdr:from>
      <xdr:col>0</xdr:col>
      <xdr:colOff>0</xdr:colOff>
      <xdr:row>536</xdr:row>
      <xdr:rowOff>197625</xdr:rowOff>
    </xdr:from>
    <xdr:to>
      <xdr:col>2</xdr:col>
      <xdr:colOff>76200</xdr:colOff>
      <xdr:row>544</xdr:row>
      <xdr:rowOff>54488</xdr:rowOff>
    </xdr:to>
    <xdr:grpSp>
      <xdr:nvGrpSpPr>
        <xdr:cNvPr id="21" name="组合 20">
          <a:extLst>
            <a:ext uri="{FF2B5EF4-FFF2-40B4-BE49-F238E27FC236}">
              <a16:creationId xmlns:a16="http://schemas.microsoft.com/office/drawing/2014/main" id="{00000000-0008-0000-0000-000015000000}"/>
            </a:ext>
          </a:extLst>
        </xdr:cNvPr>
        <xdr:cNvGrpSpPr/>
      </xdr:nvGrpSpPr>
      <xdr:grpSpPr>
        <a:xfrm>
          <a:off x="0" y="122889150"/>
          <a:ext cx="2409825" cy="1685663"/>
          <a:chOff x="10458450" y="122727225"/>
          <a:chExt cx="2543175" cy="1778941"/>
        </a:xfrm>
      </xdr:grpSpPr>
      <xdr:sp macro="" textlink="">
        <xdr:nvSpPr>
          <xdr:cNvPr id="20" name="矩形 19">
            <a:extLst>
              <a:ext uri="{FF2B5EF4-FFF2-40B4-BE49-F238E27FC236}">
                <a16:creationId xmlns:a16="http://schemas.microsoft.com/office/drawing/2014/main" id="{00000000-0008-0000-0000-000014000000}"/>
              </a:ext>
            </a:extLst>
          </xdr:cNvPr>
          <xdr:cNvSpPr/>
        </xdr:nvSpPr>
        <xdr:spPr>
          <a:xfrm>
            <a:off x="10458450" y="122729625"/>
            <a:ext cx="2543175" cy="17430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pic>
        <xdr:nvPicPr>
          <xdr:cNvPr id="11" name="图片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484625" y="122727225"/>
            <a:ext cx="2502155" cy="1778941"/>
          </a:xfrm>
          <a:prstGeom prst="rect">
            <a:avLst/>
          </a:prstGeom>
        </xdr:spPr>
      </xdr:pic>
    </xdr:grpSp>
    <xdr:clientData/>
  </xdr:twoCellAnchor>
  <xdr:twoCellAnchor>
    <xdr:from>
      <xdr:col>0</xdr:col>
      <xdr:colOff>0</xdr:colOff>
      <xdr:row>559</xdr:row>
      <xdr:rowOff>28575</xdr:rowOff>
    </xdr:from>
    <xdr:to>
      <xdr:col>10</xdr:col>
      <xdr:colOff>519220</xdr:colOff>
      <xdr:row>565</xdr:row>
      <xdr:rowOff>161925</xdr:rowOff>
    </xdr:to>
    <xdr:grpSp>
      <xdr:nvGrpSpPr>
        <xdr:cNvPr id="23" name="组合 22">
          <a:extLst>
            <a:ext uri="{FF2B5EF4-FFF2-40B4-BE49-F238E27FC236}">
              <a16:creationId xmlns:a16="http://schemas.microsoft.com/office/drawing/2014/main" id="{00000000-0008-0000-0000-000017000000}"/>
            </a:ext>
          </a:extLst>
        </xdr:cNvPr>
        <xdr:cNvGrpSpPr/>
      </xdr:nvGrpSpPr>
      <xdr:grpSpPr>
        <a:xfrm>
          <a:off x="0" y="127977900"/>
          <a:ext cx="9301270" cy="1504950"/>
          <a:chOff x="10010775" y="127949325"/>
          <a:chExt cx="7829550" cy="1266825"/>
        </a:xfrm>
      </xdr:grpSpPr>
      <xdr:sp macro="" textlink="">
        <xdr:nvSpPr>
          <xdr:cNvPr id="22" name="矩形 21">
            <a:extLst>
              <a:ext uri="{FF2B5EF4-FFF2-40B4-BE49-F238E27FC236}">
                <a16:creationId xmlns:a16="http://schemas.microsoft.com/office/drawing/2014/main" id="{00000000-0008-0000-0000-000016000000}"/>
              </a:ext>
            </a:extLst>
          </xdr:cNvPr>
          <xdr:cNvSpPr/>
        </xdr:nvSpPr>
        <xdr:spPr>
          <a:xfrm>
            <a:off x="10010775" y="127949325"/>
            <a:ext cx="7829550" cy="12668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pic>
        <xdr:nvPicPr>
          <xdr:cNvPr id="13" name="图片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053600" y="127982625"/>
            <a:ext cx="7772400" cy="1214895"/>
          </a:xfrm>
          <a:prstGeom prst="rect">
            <a:avLst/>
          </a:prstGeom>
        </xdr:spPr>
      </xdr:pic>
    </xdr:grpSp>
    <xdr:clientData/>
  </xdr:twoCellAnchor>
  <xdr:twoCellAnchor>
    <xdr:from>
      <xdr:col>0</xdr:col>
      <xdr:colOff>47625</xdr:colOff>
      <xdr:row>362</xdr:row>
      <xdr:rowOff>28977</xdr:rowOff>
    </xdr:from>
    <xdr:to>
      <xdr:col>6</xdr:col>
      <xdr:colOff>523875</xdr:colOff>
      <xdr:row>372</xdr:row>
      <xdr:rowOff>7373</xdr:rowOff>
    </xdr:to>
    <xdr:grpSp>
      <xdr:nvGrpSpPr>
        <xdr:cNvPr id="10" name="组合 9">
          <a:extLst>
            <a:ext uri="{FF2B5EF4-FFF2-40B4-BE49-F238E27FC236}">
              <a16:creationId xmlns:a16="http://schemas.microsoft.com/office/drawing/2014/main" id="{00000000-0008-0000-0000-00000A000000}"/>
            </a:ext>
          </a:extLst>
        </xdr:cNvPr>
        <xdr:cNvGrpSpPr/>
      </xdr:nvGrpSpPr>
      <xdr:grpSpPr>
        <a:xfrm>
          <a:off x="47625" y="82944102"/>
          <a:ext cx="6429375" cy="2264396"/>
          <a:chOff x="6677025" y="81745875"/>
          <a:chExt cx="7505700" cy="2643473"/>
        </a:xfrm>
      </xdr:grpSpPr>
      <xdr:sp macro="" textlink="">
        <xdr:nvSpPr>
          <xdr:cNvPr id="8" name="矩形 7">
            <a:extLst>
              <a:ext uri="{FF2B5EF4-FFF2-40B4-BE49-F238E27FC236}">
                <a16:creationId xmlns:a16="http://schemas.microsoft.com/office/drawing/2014/main" id="{00000000-0008-0000-0000-000008000000}"/>
              </a:ext>
            </a:extLst>
          </xdr:cNvPr>
          <xdr:cNvSpPr/>
        </xdr:nvSpPr>
        <xdr:spPr>
          <a:xfrm>
            <a:off x="6677025" y="81753075"/>
            <a:ext cx="7505700" cy="2619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pic>
        <xdr:nvPicPr>
          <xdr:cNvPr id="15" name="图片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688875" y="81745875"/>
            <a:ext cx="7473214" cy="2643473"/>
          </a:xfrm>
          <a:prstGeom prst="rect">
            <a:avLst/>
          </a:prstGeom>
        </xdr:spPr>
      </xdr:pic>
    </xdr:grpSp>
    <xdr:clientData/>
  </xdr:twoCellAnchor>
  <xdr:twoCellAnchor>
    <xdr:from>
      <xdr:col>0</xdr:col>
      <xdr:colOff>0</xdr:colOff>
      <xdr:row>462</xdr:row>
      <xdr:rowOff>34381</xdr:rowOff>
    </xdr:from>
    <xdr:to>
      <xdr:col>3</xdr:col>
      <xdr:colOff>781050</xdr:colOff>
      <xdr:row>472</xdr:row>
      <xdr:rowOff>226824</xdr:rowOff>
    </xdr:to>
    <xdr:grpSp>
      <xdr:nvGrpSpPr>
        <xdr:cNvPr id="14" name="组合 13">
          <a:extLst>
            <a:ext uri="{FF2B5EF4-FFF2-40B4-BE49-F238E27FC236}">
              <a16:creationId xmlns:a16="http://schemas.microsoft.com/office/drawing/2014/main" id="{00000000-0008-0000-0000-00000E000000}"/>
            </a:ext>
          </a:extLst>
        </xdr:cNvPr>
        <xdr:cNvGrpSpPr/>
      </xdr:nvGrpSpPr>
      <xdr:grpSpPr>
        <a:xfrm>
          <a:off x="0" y="105809506"/>
          <a:ext cx="4067175" cy="2478443"/>
          <a:chOff x="6619875" y="104660700"/>
          <a:chExt cx="5295900" cy="3227200"/>
        </a:xfrm>
      </xdr:grpSpPr>
      <xdr:sp macro="" textlink="">
        <xdr:nvSpPr>
          <xdr:cNvPr id="12" name="矩形 11">
            <a:extLst>
              <a:ext uri="{FF2B5EF4-FFF2-40B4-BE49-F238E27FC236}">
                <a16:creationId xmlns:a16="http://schemas.microsoft.com/office/drawing/2014/main" id="{00000000-0008-0000-0000-00000C000000}"/>
              </a:ext>
            </a:extLst>
          </xdr:cNvPr>
          <xdr:cNvSpPr/>
        </xdr:nvSpPr>
        <xdr:spPr>
          <a:xfrm>
            <a:off x="6619875" y="104660700"/>
            <a:ext cx="5295900" cy="32099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pic>
        <xdr:nvPicPr>
          <xdr:cNvPr id="17" name="图片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638925" y="104684356"/>
            <a:ext cx="5267325" cy="3203544"/>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675</xdr:row>
      <xdr:rowOff>47625</xdr:rowOff>
    </xdr:from>
    <xdr:to>
      <xdr:col>9</xdr:col>
      <xdr:colOff>504190</xdr:colOff>
      <xdr:row>675</xdr:row>
      <xdr:rowOff>56515</xdr:rowOff>
    </xdr:to>
    <xdr:sp macro="" textlink="">
      <xdr:nvSpPr>
        <xdr:cNvPr id="2" name="Text Box 3">
          <a:extLst>
            <a:ext uri="{FF2B5EF4-FFF2-40B4-BE49-F238E27FC236}">
              <a16:creationId xmlns:a16="http://schemas.microsoft.com/office/drawing/2014/main" id="{00000000-0008-0000-0300-000002000000}"/>
            </a:ext>
          </a:extLst>
        </xdr:cNvPr>
        <xdr:cNvSpPr txBox="1">
          <a:spLocks noChangeArrowheads="1"/>
        </xdr:cNvSpPr>
      </xdr:nvSpPr>
      <xdr:spPr>
        <a:xfrm>
          <a:off x="10248900" y="162496500"/>
          <a:ext cx="504190" cy="88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672465</xdr:colOff>
      <xdr:row>767</xdr:row>
      <xdr:rowOff>28575</xdr:rowOff>
    </xdr:from>
    <xdr:to>
      <xdr:col>1</xdr:col>
      <xdr:colOff>361950</xdr:colOff>
      <xdr:row>768</xdr:row>
      <xdr:rowOff>38100</xdr:rowOff>
    </xdr:to>
    <xdr:cxnSp macro="">
      <xdr:nvCxnSpPr>
        <xdr:cNvPr id="3" name="直接连接符 2">
          <a:extLst>
            <a:ext uri="{FF2B5EF4-FFF2-40B4-BE49-F238E27FC236}">
              <a16:creationId xmlns:a16="http://schemas.microsoft.com/office/drawing/2014/main" id="{00000000-0008-0000-0300-000003000000}"/>
            </a:ext>
          </a:extLst>
        </xdr:cNvPr>
        <xdr:cNvCxnSpPr/>
      </xdr:nvCxnSpPr>
      <xdr:spPr>
        <a:xfrm>
          <a:off x="672465" y="184618630"/>
          <a:ext cx="375285" cy="25019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7620</xdr:colOff>
      <xdr:row>767</xdr:row>
      <xdr:rowOff>22860</xdr:rowOff>
    </xdr:from>
    <xdr:to>
      <xdr:col>2</xdr:col>
      <xdr:colOff>9525</xdr:colOff>
      <xdr:row>767</xdr:row>
      <xdr:rowOff>447675</xdr:rowOff>
    </xdr:to>
    <xdr:cxnSp macro="">
      <xdr:nvCxnSpPr>
        <xdr:cNvPr id="4" name="直接连接符 3">
          <a:extLst>
            <a:ext uri="{FF2B5EF4-FFF2-40B4-BE49-F238E27FC236}">
              <a16:creationId xmlns:a16="http://schemas.microsoft.com/office/drawing/2014/main" id="{00000000-0008-0000-0300-000004000000}"/>
            </a:ext>
          </a:extLst>
        </xdr:cNvPr>
        <xdr:cNvCxnSpPr/>
      </xdr:nvCxnSpPr>
      <xdr:spPr>
        <a:xfrm flipH="1" flipV="1">
          <a:off x="693420" y="184612915"/>
          <a:ext cx="1192530" cy="21780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xdr:colOff>
      <xdr:row>922</xdr:row>
      <xdr:rowOff>31115</xdr:rowOff>
    </xdr:from>
    <xdr:to>
      <xdr:col>11</xdr:col>
      <xdr:colOff>187336</xdr:colOff>
      <xdr:row>939</xdr:row>
      <xdr:rowOff>135255</xdr:rowOff>
    </xdr:to>
    <xdr:sp macro="" textlink="">
      <xdr:nvSpPr>
        <xdr:cNvPr id="5" name="文本框 2">
          <a:extLst>
            <a:ext uri="{FF2B5EF4-FFF2-40B4-BE49-F238E27FC236}">
              <a16:creationId xmlns:a16="http://schemas.microsoft.com/office/drawing/2014/main" id="{00000000-0008-0000-0300-000005000000}"/>
            </a:ext>
          </a:extLst>
        </xdr:cNvPr>
        <xdr:cNvSpPr txBox="1"/>
      </xdr:nvSpPr>
      <xdr:spPr>
        <a:xfrm>
          <a:off x="6196965" y="219582365"/>
          <a:ext cx="6563371" cy="4152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表</a:t>
          </a:r>
          <a:r>
            <a:rPr lang="en-US" altLang="zh-CN" sz="1100"/>
            <a:t>1</a:t>
          </a:r>
          <a:r>
            <a:rPr lang="zh-CN" altLang="en-US" sz="1100"/>
            <a:t>里</a:t>
          </a:r>
          <a:r>
            <a:rPr lang="en-US" altLang="zh-CN" sz="1100"/>
            <a:t>B2</a:t>
          </a:r>
          <a:r>
            <a:rPr lang="zh-CN" altLang="en-US" sz="1100"/>
            <a:t>和</a:t>
          </a:r>
          <a:r>
            <a:rPr lang="en-US" altLang="zh-CN" sz="1100"/>
            <a:t>C2</a:t>
          </a:r>
          <a:r>
            <a:rPr lang="zh-CN" altLang="en-US" sz="1100"/>
            <a:t>是一组数，表示路右</a:t>
          </a:r>
          <a:r>
            <a:rPr lang="en-US" altLang="zh-CN" sz="1100"/>
            <a:t>6</a:t>
          </a:r>
          <a:r>
            <a:rPr lang="zh-CN" altLang="en-US" sz="1100"/>
            <a:t>米位置的高程是</a:t>
          </a:r>
          <a:r>
            <a:rPr lang="en-US" altLang="zh-CN" sz="1100"/>
            <a:t>14.874</a:t>
          </a:r>
          <a:r>
            <a:rPr lang="zh-CN" altLang="en-US" sz="1100"/>
            <a:t>，表</a:t>
          </a:r>
          <a:r>
            <a:rPr lang="en-US" altLang="zh-CN" sz="1100"/>
            <a:t>1</a:t>
          </a:r>
          <a:r>
            <a:rPr lang="zh-CN" altLang="en-US" sz="1100"/>
            <a:t>一个桩号下，都是测了多组数，表</a:t>
          </a:r>
          <a:r>
            <a:rPr lang="en-US" altLang="zh-CN" sz="1100"/>
            <a:t>2</a:t>
          </a:r>
          <a:r>
            <a:rPr lang="zh-CN" altLang="en-US" sz="1100"/>
            <a:t>要把表</a:t>
          </a:r>
          <a:r>
            <a:rPr lang="en-US" altLang="zh-CN" sz="1100"/>
            <a:t>1 </a:t>
          </a:r>
          <a:r>
            <a:rPr lang="zh-CN" altLang="en-US" sz="1100"/>
            <a:t>对应桩号下的多组数转置为一行，按表</a:t>
          </a:r>
          <a:r>
            <a:rPr lang="en-US" altLang="zh-CN" sz="1100"/>
            <a:t>1</a:t>
          </a:r>
          <a:r>
            <a:rPr lang="zh-CN" altLang="en-US" sz="1100"/>
            <a:t>的</a:t>
          </a:r>
          <a:r>
            <a:rPr lang="en-US" altLang="zh-CN" sz="1100"/>
            <a:t>B</a:t>
          </a:r>
          <a:r>
            <a:rPr lang="zh-CN" altLang="en-US" sz="1100"/>
            <a:t>列平距从小到大，一组组向右排列，比如：</a:t>
          </a:r>
        </a:p>
        <a:p>
          <a:pPr algn="l"/>
          <a:r>
            <a:rPr lang="zh-CN" altLang="en-US" sz="1100"/>
            <a:t>表</a:t>
          </a:r>
          <a:r>
            <a:rPr lang="en-US" altLang="zh-CN" sz="1100"/>
            <a:t>1   A        B       C</a:t>
          </a:r>
        </a:p>
        <a:p>
          <a:pPr algn="l"/>
          <a:r>
            <a:rPr lang="en-US" altLang="zh-CN" sz="1100"/>
            <a:t>       </a:t>
          </a:r>
          <a:r>
            <a:rPr lang="zh-CN" altLang="en-US" sz="1100"/>
            <a:t>桩号</a:t>
          </a:r>
          <a:r>
            <a:rPr lang="en-US" altLang="zh-CN" sz="1100"/>
            <a:t>   </a:t>
          </a:r>
          <a:r>
            <a:rPr lang="zh-CN" altLang="en-US" sz="1100"/>
            <a:t>平距</a:t>
          </a:r>
          <a:r>
            <a:rPr lang="en-US" altLang="zh-CN" sz="1100"/>
            <a:t> </a:t>
          </a:r>
          <a:r>
            <a:rPr lang="zh-CN" altLang="en-US" sz="1100"/>
            <a:t>高程</a:t>
          </a:r>
        </a:p>
        <a:p>
          <a:pPr algn="l"/>
          <a:r>
            <a:rPr lang="en-US" altLang="zh-CN" sz="1100"/>
            <a:t>       71000  </a:t>
          </a:r>
          <a:r>
            <a:rPr lang="zh-CN" altLang="en-US" sz="1100"/>
            <a:t>－</a:t>
          </a:r>
          <a:r>
            <a:rPr lang="en-US" altLang="zh-CN" sz="1100"/>
            <a:t>3  12.123</a:t>
          </a:r>
        </a:p>
        <a:p>
          <a:pPr algn="l"/>
          <a:r>
            <a:rPr lang="en-US" altLang="zh-CN" sz="1100"/>
            <a:t>       71000  </a:t>
          </a:r>
          <a:r>
            <a:rPr lang="zh-CN" altLang="en-US" sz="1100"/>
            <a:t>－</a:t>
          </a:r>
          <a:r>
            <a:rPr lang="en-US" altLang="zh-CN" sz="1100"/>
            <a:t>5  13.234</a:t>
          </a:r>
        </a:p>
        <a:p>
          <a:pPr algn="l"/>
          <a:r>
            <a:rPr lang="en-US" altLang="zh-CN" sz="1100"/>
            <a:t>       71000   7      12.105</a:t>
          </a:r>
        </a:p>
        <a:p>
          <a:pPr algn="l"/>
          <a:r>
            <a:rPr lang="zh-CN" altLang="en-US" sz="1100"/>
            <a:t>表</a:t>
          </a:r>
          <a:r>
            <a:rPr lang="en-US" altLang="zh-CN" sz="1100"/>
            <a:t>2   A        B         C          D          E          F           G</a:t>
          </a:r>
        </a:p>
        <a:p>
          <a:pPr algn="l"/>
          <a:r>
            <a:rPr lang="en-US" altLang="zh-CN" sz="1100"/>
            <a:t>       </a:t>
          </a:r>
          <a:r>
            <a:rPr lang="zh-CN" altLang="en-US" sz="1100"/>
            <a:t>桩号</a:t>
          </a:r>
          <a:r>
            <a:rPr lang="en-US" altLang="zh-CN" sz="1100"/>
            <a:t>  </a:t>
          </a:r>
          <a:r>
            <a:rPr lang="zh-CN" altLang="en-US" sz="1100"/>
            <a:t>平距</a:t>
          </a:r>
          <a:r>
            <a:rPr lang="en-US" altLang="zh-CN" sz="1100"/>
            <a:t>1  </a:t>
          </a:r>
          <a:r>
            <a:rPr lang="zh-CN" altLang="en-US" sz="1100"/>
            <a:t>高程</a:t>
          </a:r>
          <a:r>
            <a:rPr lang="en-US" altLang="zh-CN" sz="1100"/>
            <a:t>1 </a:t>
          </a:r>
          <a:r>
            <a:rPr lang="zh-CN" altLang="en-US" sz="1100"/>
            <a:t>平距</a:t>
          </a:r>
          <a:r>
            <a:rPr lang="en-US" altLang="zh-CN" sz="1100"/>
            <a:t>2 </a:t>
          </a:r>
          <a:r>
            <a:rPr lang="zh-CN" altLang="en-US" sz="1100"/>
            <a:t>高程</a:t>
          </a:r>
          <a:r>
            <a:rPr lang="en-US" altLang="zh-CN" sz="1100"/>
            <a:t>2  </a:t>
          </a:r>
          <a:r>
            <a:rPr lang="zh-CN" altLang="en-US" sz="1100"/>
            <a:t>平距</a:t>
          </a:r>
          <a:r>
            <a:rPr lang="en-US" altLang="zh-CN" sz="1100"/>
            <a:t>3  </a:t>
          </a:r>
          <a:r>
            <a:rPr lang="zh-CN" altLang="en-US" sz="1100"/>
            <a:t>高程</a:t>
          </a:r>
          <a:r>
            <a:rPr lang="en-US" altLang="zh-CN" sz="1100"/>
            <a:t>3</a:t>
          </a:r>
        </a:p>
        <a:p>
          <a:pPr algn="l"/>
          <a:r>
            <a:rPr lang="en-US" altLang="zh-CN" sz="1100"/>
            <a:t>       71000 </a:t>
          </a:r>
          <a:r>
            <a:rPr lang="zh-CN" altLang="en-US" sz="1100"/>
            <a:t>－</a:t>
          </a:r>
          <a:r>
            <a:rPr lang="en-US" altLang="zh-CN" sz="1100"/>
            <a:t>5    13.234  </a:t>
          </a:r>
          <a:r>
            <a:rPr lang="zh-CN" altLang="en-US" sz="1100"/>
            <a:t>－</a:t>
          </a:r>
          <a:r>
            <a:rPr lang="en-US" altLang="zh-CN" sz="1100"/>
            <a:t>3    13.123   7       12.105</a:t>
          </a:r>
        </a:p>
        <a:p>
          <a:pPr algn="l"/>
          <a:endParaRPr lang="en-US" altLang="zh-CN" sz="1100"/>
        </a:p>
      </xdr:txBody>
    </xdr:sp>
    <xdr:clientData/>
  </xdr:twoCellAnchor>
  <xdr:twoCellAnchor editAs="oneCell">
    <xdr:from>
      <xdr:col>3</xdr:col>
      <xdr:colOff>90802</xdr:colOff>
      <xdr:row>1294</xdr:row>
      <xdr:rowOff>180975</xdr:rowOff>
    </xdr:from>
    <xdr:to>
      <xdr:col>4</xdr:col>
      <xdr:colOff>676275</xdr:colOff>
      <xdr:row>1299</xdr:row>
      <xdr:rowOff>114920</xdr:rowOff>
    </xdr:to>
    <xdr:pic>
      <xdr:nvPicPr>
        <xdr:cNvPr id="7" name="图片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57852" y="308267100"/>
          <a:ext cx="2966723" cy="1124570"/>
        </a:xfrm>
        <a:prstGeom prst="rect">
          <a:avLst/>
        </a:prstGeom>
      </xdr:spPr>
    </xdr:pic>
    <xdr:clientData/>
  </xdr:twoCellAnchor>
  <xdr:twoCellAnchor>
    <xdr:from>
      <xdr:col>11</xdr:col>
      <xdr:colOff>692150</xdr:colOff>
      <xdr:row>1307</xdr:row>
      <xdr:rowOff>38100</xdr:rowOff>
    </xdr:from>
    <xdr:to>
      <xdr:col>12</xdr:col>
      <xdr:colOff>488950</xdr:colOff>
      <xdr:row>1308</xdr:row>
      <xdr:rowOff>165100</xdr:rowOff>
    </xdr:to>
    <xdr:sp macro="" textlink="">
      <xdr:nvSpPr>
        <xdr:cNvPr id="8" name="箭头: 下 7">
          <a:extLst>
            <a:ext uri="{FF2B5EF4-FFF2-40B4-BE49-F238E27FC236}">
              <a16:creationId xmlns:a16="http://schemas.microsoft.com/office/drawing/2014/main" id="{ED08722D-D611-4A21-B01D-1D835A9128B6}"/>
            </a:ext>
          </a:extLst>
        </xdr:cNvPr>
        <xdr:cNvSpPr/>
      </xdr:nvSpPr>
      <xdr:spPr>
        <a:xfrm>
          <a:off x="7940675" y="1095375"/>
          <a:ext cx="673100" cy="307975"/>
        </a:xfrm>
        <a:prstGeom prst="downArrow">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5</xdr:col>
      <xdr:colOff>219075</xdr:colOff>
      <xdr:row>1673</xdr:row>
      <xdr:rowOff>57151</xdr:rowOff>
    </xdr:from>
    <xdr:to>
      <xdr:col>8</xdr:col>
      <xdr:colOff>685800</xdr:colOff>
      <xdr:row>1690</xdr:row>
      <xdr:rowOff>28576</xdr:rowOff>
    </xdr:to>
    <xdr:pic>
      <xdr:nvPicPr>
        <xdr:cNvPr id="9" name="图片 8">
          <a:extLst>
            <a:ext uri="{FF2B5EF4-FFF2-40B4-BE49-F238E27FC236}">
              <a16:creationId xmlns:a16="http://schemas.microsoft.com/office/drawing/2014/main" id="{61908446-BE66-4588-8A2D-08174187F5C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53400" y="396249526"/>
          <a:ext cx="4543425" cy="40195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577969</xdr:colOff>
      <xdr:row>71</xdr:row>
      <xdr:rowOff>120770</xdr:rowOff>
    </xdr:from>
    <xdr:ext cx="5184074" cy="546455"/>
    <xdr:pic>
      <xdr:nvPicPr>
        <xdr:cNvPr id="2" name="图片 1">
          <a:extLst>
            <a:ext uri="{FF2B5EF4-FFF2-40B4-BE49-F238E27FC236}">
              <a16:creationId xmlns:a16="http://schemas.microsoft.com/office/drawing/2014/main" id="{574F65C1-6D1C-49B1-8B18-C31223AB5A86}"/>
            </a:ext>
          </a:extLst>
        </xdr:cNvPr>
        <xdr:cNvPicPr>
          <a:picLocks noChangeAspect="1"/>
        </xdr:cNvPicPr>
      </xdr:nvPicPr>
      <xdr:blipFill>
        <a:blip xmlns:r="http://schemas.openxmlformats.org/officeDocument/2006/relationships" r:embed="rId1"/>
        <a:stretch>
          <a:fillRect/>
        </a:stretch>
      </xdr:blipFill>
      <xdr:spPr>
        <a:xfrm>
          <a:off x="577969" y="12293720"/>
          <a:ext cx="5184074" cy="546455"/>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E:\exe\excel&#35757;&#32451;\&#32039;&#24613;&#27714;&#21161;.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丁金枫" refreshedDate="44670.439398958297" createdVersion="7" refreshedVersion="7" minRefreshableVersion="3" recordCount="16" xr:uid="{00000000-000A-0000-FFFF-FFFF00000000}">
  <cacheSource type="worksheet">
    <worksheetSource ref="A338:C354" sheet="函数讲义"/>
  </cacheSource>
  <cacheFields count="3">
    <cacheField name="销售处" numFmtId="0">
      <sharedItems count="3">
        <s v="高新区营销处"/>
        <s v="青年路营销中心"/>
        <s v="老城区营销处"/>
      </sharedItems>
    </cacheField>
    <cacheField name="姓名" numFmtId="0">
      <sharedItems containsNonDate="0"/>
    </cacheField>
    <cacheField name="销售套数" numFmtId="0">
      <sharedItems containsSemiMixedTypes="0" containsNonDate="0" containsString="0" containsNumber="1" containsInteger="1" minValue="6" maxValue="18"/>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丁金枫" refreshedDate="44881.462217129629" createdVersion="7" refreshedVersion="7" minRefreshableVersion="3" recordCount="40" xr:uid="{98A1A954-B52A-480D-99CD-8B785CA9CBC2}">
  <cacheSource type="worksheet">
    <worksheetSource ref="A3:G43" sheet="A" r:id="rId2"/>
  </cacheSource>
  <cacheFields count="7">
    <cacheField name="销售日期" numFmtId="14">
      <sharedItems containsSemiMixedTypes="0" containsNonDate="0" containsDate="1" containsString="0" minDate="2022-09-10T00:00:00" maxDate="2022-11-16T00:00:00"/>
    </cacheField>
    <cacheField name="客户" numFmtId="0">
      <sharedItems count="10">
        <s v="C公司"/>
        <s v="B公司"/>
        <s v="D公司"/>
        <s v="A公司"/>
        <s v="E公司"/>
        <s v="R公司"/>
        <s v="T公司"/>
        <s v="K公司"/>
        <s v="G公司"/>
        <s v="Z公司"/>
      </sharedItems>
    </cacheField>
    <cacheField name="业务员" numFmtId="0">
      <sharedItems count="5">
        <s v="小王"/>
        <s v="小罗"/>
        <s v="小张"/>
        <s v="小李"/>
        <s v="小赵"/>
      </sharedItems>
    </cacheField>
    <cacheField name="商品名称" numFmtId="0">
      <sharedItems count="4">
        <s v="C"/>
        <s v="D"/>
        <s v="A"/>
        <s v="B"/>
      </sharedItems>
    </cacheField>
    <cacheField name="数量" numFmtId="0">
      <sharedItems containsSemiMixedTypes="0" containsString="0" containsNumber="1" containsInteger="1" minValue="2" maxValue="21" count="20">
        <n v="20"/>
        <n v="21"/>
        <n v="2"/>
        <n v="3"/>
        <n v="4"/>
        <n v="5"/>
        <n v="6"/>
        <n v="7"/>
        <n v="8"/>
        <n v="9"/>
        <n v="10"/>
        <n v="11"/>
        <n v="12"/>
        <n v="13"/>
        <n v="14"/>
        <n v="15"/>
        <n v="16"/>
        <n v="17"/>
        <n v="18"/>
        <n v="19"/>
      </sharedItems>
    </cacheField>
    <cacheField name="单价" numFmtId="0">
      <sharedItems containsSemiMixedTypes="0" containsString="0" containsNumber="1" containsInteger="1" minValue="2" maxValue="10"/>
    </cacheField>
    <cacheField name="金额" numFmtId="0">
      <sharedItems containsSemiMixedTypes="0" containsString="0" containsNumber="1" containsInteger="1" minValue="6" maxValue="21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丁金枫" refreshedDate="44886.920012847222" createdVersion="7" refreshedVersion="7" minRefreshableVersion="3" recordCount="32" xr:uid="{7EE77C7E-0BF7-4A17-B242-C969041E24DE}">
  <cacheSource type="worksheet">
    <worksheetSource ref="A315:C347" sheet="函数练习"/>
  </cacheSource>
  <cacheFields count="3">
    <cacheField name="部门" numFmtId="0">
      <sharedItems count="5">
        <s v="人力部"/>
        <s v="供应链管理部"/>
        <s v="市场部"/>
        <s v="研发部"/>
        <s v="财经部"/>
      </sharedItems>
    </cacheField>
    <cacheField name="费用" numFmtId="0">
      <sharedItems count="32">
        <s v="招待费"/>
        <s v="房租费"/>
        <s v="差旅费"/>
        <s v="物业费"/>
        <s v="保养与维修费"/>
        <s v="网络费"/>
        <s v="汽油费"/>
        <s v="电费"/>
        <s v="停洗车费"/>
        <s v="绿植费"/>
        <s v="市内交通费"/>
        <s v="汽车饰费"/>
        <s v="印花税"/>
        <s v="固定电话费"/>
        <s v="银行手续费"/>
        <s v="银行询证函及快递费"/>
        <s v="数字认证服务费"/>
        <s v="运费"/>
        <s v="差旅"/>
        <s v="广告"/>
        <s v="推广费"/>
        <s v="销售费"/>
        <s v="差旅费预算"/>
        <s v="招待费用"/>
        <s v="培训费"/>
        <s v="行政部领用酒水"/>
        <s v="会议费"/>
        <s v="通讯补贴"/>
        <s v="检测费"/>
        <s v="笔记本电脑"/>
        <s v="市内交通费用及加班交通费补助"/>
        <s v="邮寄费"/>
      </sharedItems>
    </cacheField>
    <cacheField name="金额" numFmtId="0">
      <sharedItems containsSemiMixedTypes="0" containsString="0" containsNumber="1" minValue="1" maxValue="748061.28" count="31">
        <n v="1440"/>
        <n v="748061.28"/>
        <n v="200000"/>
        <n v="114111"/>
        <n v="42000"/>
        <n v="30000"/>
        <n v="27000"/>
        <n v="20000"/>
        <n v="15600"/>
        <n v="14400"/>
        <n v="1000"/>
        <n v="500"/>
        <n v="480"/>
        <n v="420"/>
        <n v="222"/>
        <n v="180"/>
        <n v="1"/>
        <n v="100"/>
        <n v="1200"/>
        <n v="480000"/>
        <n v="135000"/>
        <n v="198310"/>
        <n v="44100"/>
        <n v="29200"/>
        <n v="18000"/>
        <n v="17000"/>
        <n v="16800"/>
        <n v="1260"/>
        <n v="6000"/>
        <n v="2400"/>
        <n v="200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丁金枫" refreshedDate="44886.925635069441" createdVersion="7" refreshedVersion="7" minRefreshableVersion="3" recordCount="32" xr:uid="{F2672A80-785B-48FD-B072-57AD43C23281}">
  <cacheSource type="worksheet">
    <worksheetSource ref="B1375:E1407" sheet="实例"/>
  </cacheSource>
  <cacheFields count="4">
    <cacheField name="部门" numFmtId="0">
      <sharedItems count="5">
        <s v="人力部"/>
        <s v="供应链管理部"/>
        <s v="市场部"/>
        <s v="研发部"/>
        <s v="财经部"/>
      </sharedItems>
    </cacheField>
    <cacheField name="费用" numFmtId="0">
      <sharedItems count="32">
        <s v="招待费"/>
        <s v="房租费"/>
        <s v="差旅费"/>
        <s v="物业费"/>
        <s v="保养与维修费"/>
        <s v="网络费"/>
        <s v="汽油费"/>
        <s v="电费"/>
        <s v="停洗车费"/>
        <s v="绿植费"/>
        <s v="市内交通费"/>
        <s v="汽车饰费"/>
        <s v="印花税"/>
        <s v="固定电话费"/>
        <s v="银行手续费"/>
        <s v="银行询证函及快递费"/>
        <s v="数字认证服务费"/>
        <s v="运费"/>
        <s v="差旅"/>
        <s v="广告"/>
        <s v="推广费"/>
        <s v="销售费"/>
        <s v="差旅费预算"/>
        <s v="招待费用"/>
        <s v="培训费"/>
        <s v="行政部领用酒水"/>
        <s v="会议费"/>
        <s v="通讯补贴"/>
        <s v="检测费"/>
        <s v="笔记本电脑"/>
        <s v="市内交通费用及加班交通费补助"/>
        <s v="邮寄费"/>
      </sharedItems>
    </cacheField>
    <cacheField name="非取数项" numFmtId="195">
      <sharedItems containsSemiMixedTypes="0" containsString="0" containsNumber="1" minValue="1" maxValue="748061.28" count="31">
        <n v="1440"/>
        <n v="748061.28"/>
        <n v="200000"/>
        <n v="114111"/>
        <n v="42000"/>
        <n v="30000"/>
        <n v="27000"/>
        <n v="20000"/>
        <n v="15600"/>
        <n v="14400"/>
        <n v="1000"/>
        <n v="500"/>
        <n v="480"/>
        <n v="420"/>
        <n v="222"/>
        <n v="180"/>
        <n v="1"/>
        <n v="100"/>
        <n v="1200"/>
        <n v="480000"/>
        <n v="135000"/>
        <n v="198310"/>
        <n v="44100"/>
        <n v="29200"/>
        <n v="18000"/>
        <n v="17000"/>
        <n v="16800"/>
        <n v="1260"/>
        <n v="6000"/>
        <n v="2400"/>
        <n v="2000"/>
      </sharedItems>
    </cacheField>
    <cacheField name="取整金额人民币" numFmtId="195">
      <sharedItems containsSemiMixedTypes="0" containsString="0" containsNumber="1" minValue="1" maxValue="748061.2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s v="付雪莲"/>
    <n v="18"/>
  </r>
  <r>
    <x v="1"/>
    <s v="高五一"/>
    <n v="6"/>
  </r>
  <r>
    <x v="1"/>
    <s v="何国栋"/>
    <n v="11"/>
  </r>
  <r>
    <x v="2"/>
    <s v="李为涛"/>
    <n v="15"/>
  </r>
  <r>
    <x v="0"/>
    <s v="马建昆"/>
    <n v="14"/>
  </r>
  <r>
    <x v="1"/>
    <s v="欧燕立"/>
    <n v="18"/>
  </r>
  <r>
    <x v="2"/>
    <s v="王建珊"/>
    <n v="15"/>
  </r>
  <r>
    <x v="0"/>
    <s v="吴琼芳"/>
    <n v="16"/>
  </r>
  <r>
    <x v="2"/>
    <s v="吴秀琴"/>
    <n v="9"/>
  </r>
  <r>
    <x v="0"/>
    <s v="杨桂仙"/>
    <n v="6"/>
  </r>
  <r>
    <x v="2"/>
    <s v="张凤芝"/>
    <n v="7"/>
  </r>
  <r>
    <x v="2"/>
    <s v="张国美"/>
    <n v="6"/>
  </r>
  <r>
    <x v="1"/>
    <s v="赵学国"/>
    <n v="13"/>
  </r>
  <r>
    <x v="0"/>
    <s v="周莉敏"/>
    <n v="15"/>
  </r>
  <r>
    <x v="1"/>
    <s v="周蜀康"/>
    <n v="17"/>
  </r>
  <r>
    <x v="1"/>
    <s v="朱绍启"/>
    <n v="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d v="2022-09-10T00:00:00"/>
    <x v="0"/>
    <x v="0"/>
    <x v="0"/>
    <x v="0"/>
    <n v="5"/>
    <n v="100"/>
  </r>
  <r>
    <d v="2022-09-10T00:00:00"/>
    <x v="1"/>
    <x v="1"/>
    <x v="1"/>
    <x v="1"/>
    <n v="10"/>
    <n v="210"/>
  </r>
  <r>
    <d v="2022-09-10T00:00:00"/>
    <x v="2"/>
    <x v="2"/>
    <x v="2"/>
    <x v="2"/>
    <n v="3"/>
    <n v="6"/>
  </r>
  <r>
    <d v="2022-09-10T00:00:00"/>
    <x v="3"/>
    <x v="3"/>
    <x v="3"/>
    <x v="3"/>
    <n v="2"/>
    <n v="6"/>
  </r>
  <r>
    <d v="2022-10-10T00:00:00"/>
    <x v="0"/>
    <x v="0"/>
    <x v="3"/>
    <x v="4"/>
    <n v="5"/>
    <n v="20"/>
  </r>
  <r>
    <d v="2022-10-10T00:00:00"/>
    <x v="4"/>
    <x v="4"/>
    <x v="1"/>
    <x v="5"/>
    <n v="10"/>
    <n v="50"/>
  </r>
  <r>
    <d v="2022-10-15T00:00:00"/>
    <x v="0"/>
    <x v="0"/>
    <x v="2"/>
    <x v="6"/>
    <n v="3"/>
    <n v="18"/>
  </r>
  <r>
    <d v="2022-10-15T00:00:00"/>
    <x v="1"/>
    <x v="1"/>
    <x v="3"/>
    <x v="7"/>
    <n v="2"/>
    <n v="14"/>
  </r>
  <r>
    <d v="2022-10-15T00:00:00"/>
    <x v="2"/>
    <x v="2"/>
    <x v="0"/>
    <x v="8"/>
    <n v="5"/>
    <n v="40"/>
  </r>
  <r>
    <d v="2022-10-15T00:00:00"/>
    <x v="5"/>
    <x v="2"/>
    <x v="1"/>
    <x v="9"/>
    <n v="10"/>
    <n v="90"/>
  </r>
  <r>
    <d v="2022-11-10T00:00:00"/>
    <x v="3"/>
    <x v="3"/>
    <x v="2"/>
    <x v="10"/>
    <n v="3"/>
    <n v="30"/>
  </r>
  <r>
    <d v="2022-11-10T00:00:00"/>
    <x v="6"/>
    <x v="0"/>
    <x v="3"/>
    <x v="11"/>
    <n v="2"/>
    <n v="22"/>
  </r>
  <r>
    <d v="2022-11-10T00:00:00"/>
    <x v="4"/>
    <x v="4"/>
    <x v="0"/>
    <x v="12"/>
    <n v="5"/>
    <n v="60"/>
  </r>
  <r>
    <d v="2022-11-10T00:00:00"/>
    <x v="6"/>
    <x v="0"/>
    <x v="1"/>
    <x v="13"/>
    <n v="10"/>
    <n v="130"/>
  </r>
  <r>
    <d v="2022-11-10T00:00:00"/>
    <x v="7"/>
    <x v="1"/>
    <x v="2"/>
    <x v="14"/>
    <n v="3"/>
    <n v="42"/>
  </r>
  <r>
    <d v="2022-11-10T00:00:00"/>
    <x v="5"/>
    <x v="2"/>
    <x v="3"/>
    <x v="15"/>
    <n v="2"/>
    <n v="30"/>
  </r>
  <r>
    <d v="2022-11-15T00:00:00"/>
    <x v="2"/>
    <x v="2"/>
    <x v="0"/>
    <x v="16"/>
    <n v="5"/>
    <n v="80"/>
  </r>
  <r>
    <d v="2022-11-15T00:00:00"/>
    <x v="8"/>
    <x v="3"/>
    <x v="1"/>
    <x v="17"/>
    <n v="10"/>
    <n v="170"/>
  </r>
  <r>
    <d v="2022-11-15T00:00:00"/>
    <x v="6"/>
    <x v="0"/>
    <x v="2"/>
    <x v="18"/>
    <n v="3"/>
    <n v="54"/>
  </r>
  <r>
    <d v="2022-11-15T00:00:00"/>
    <x v="9"/>
    <x v="4"/>
    <x v="3"/>
    <x v="19"/>
    <n v="2"/>
    <n v="38"/>
  </r>
  <r>
    <d v="2022-09-10T00:00:00"/>
    <x v="0"/>
    <x v="0"/>
    <x v="0"/>
    <x v="0"/>
    <n v="5"/>
    <n v="100"/>
  </r>
  <r>
    <d v="2022-09-10T00:00:00"/>
    <x v="1"/>
    <x v="1"/>
    <x v="1"/>
    <x v="1"/>
    <n v="10"/>
    <n v="210"/>
  </r>
  <r>
    <d v="2022-09-10T00:00:00"/>
    <x v="2"/>
    <x v="2"/>
    <x v="2"/>
    <x v="2"/>
    <n v="3"/>
    <n v="6"/>
  </r>
  <r>
    <d v="2022-09-10T00:00:00"/>
    <x v="3"/>
    <x v="3"/>
    <x v="3"/>
    <x v="3"/>
    <n v="2"/>
    <n v="6"/>
  </r>
  <r>
    <d v="2022-10-10T00:00:00"/>
    <x v="0"/>
    <x v="0"/>
    <x v="0"/>
    <x v="4"/>
    <n v="5"/>
    <n v="20"/>
  </r>
  <r>
    <d v="2022-10-10T00:00:00"/>
    <x v="4"/>
    <x v="4"/>
    <x v="1"/>
    <x v="5"/>
    <n v="10"/>
    <n v="50"/>
  </r>
  <r>
    <d v="2022-10-15T00:00:00"/>
    <x v="0"/>
    <x v="0"/>
    <x v="2"/>
    <x v="6"/>
    <n v="3"/>
    <n v="18"/>
  </r>
  <r>
    <d v="2022-10-15T00:00:00"/>
    <x v="1"/>
    <x v="1"/>
    <x v="3"/>
    <x v="7"/>
    <n v="2"/>
    <n v="14"/>
  </r>
  <r>
    <d v="2022-10-15T00:00:00"/>
    <x v="2"/>
    <x v="2"/>
    <x v="0"/>
    <x v="8"/>
    <n v="5"/>
    <n v="40"/>
  </r>
  <r>
    <d v="2022-10-15T00:00:00"/>
    <x v="5"/>
    <x v="2"/>
    <x v="1"/>
    <x v="9"/>
    <n v="10"/>
    <n v="90"/>
  </r>
  <r>
    <d v="2022-11-10T00:00:00"/>
    <x v="3"/>
    <x v="3"/>
    <x v="2"/>
    <x v="10"/>
    <n v="3"/>
    <n v="30"/>
  </r>
  <r>
    <d v="2022-11-10T00:00:00"/>
    <x v="6"/>
    <x v="0"/>
    <x v="3"/>
    <x v="11"/>
    <n v="2"/>
    <n v="22"/>
  </r>
  <r>
    <d v="2022-11-10T00:00:00"/>
    <x v="4"/>
    <x v="4"/>
    <x v="0"/>
    <x v="12"/>
    <n v="5"/>
    <n v="60"/>
  </r>
  <r>
    <d v="2022-11-10T00:00:00"/>
    <x v="6"/>
    <x v="0"/>
    <x v="1"/>
    <x v="13"/>
    <n v="10"/>
    <n v="130"/>
  </r>
  <r>
    <d v="2022-11-10T00:00:00"/>
    <x v="7"/>
    <x v="1"/>
    <x v="2"/>
    <x v="14"/>
    <n v="3"/>
    <n v="42"/>
  </r>
  <r>
    <d v="2022-11-10T00:00:00"/>
    <x v="5"/>
    <x v="2"/>
    <x v="3"/>
    <x v="15"/>
    <n v="2"/>
    <n v="30"/>
  </r>
  <r>
    <d v="2022-11-15T00:00:00"/>
    <x v="2"/>
    <x v="2"/>
    <x v="0"/>
    <x v="16"/>
    <n v="5"/>
    <n v="80"/>
  </r>
  <r>
    <d v="2022-11-15T00:00:00"/>
    <x v="8"/>
    <x v="3"/>
    <x v="1"/>
    <x v="17"/>
    <n v="10"/>
    <n v="170"/>
  </r>
  <r>
    <d v="2022-11-15T00:00:00"/>
    <x v="6"/>
    <x v="0"/>
    <x v="2"/>
    <x v="18"/>
    <n v="3"/>
    <n v="54"/>
  </r>
  <r>
    <d v="2022-11-15T00:00:00"/>
    <x v="9"/>
    <x v="4"/>
    <x v="3"/>
    <x v="19"/>
    <n v="2"/>
    <n v="3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x v="0"/>
    <x v="0"/>
  </r>
  <r>
    <x v="0"/>
    <x v="1"/>
    <x v="1"/>
  </r>
  <r>
    <x v="0"/>
    <x v="2"/>
    <x v="2"/>
  </r>
  <r>
    <x v="0"/>
    <x v="3"/>
    <x v="3"/>
  </r>
  <r>
    <x v="0"/>
    <x v="4"/>
    <x v="4"/>
  </r>
  <r>
    <x v="0"/>
    <x v="5"/>
    <x v="5"/>
  </r>
  <r>
    <x v="0"/>
    <x v="6"/>
    <x v="6"/>
  </r>
  <r>
    <x v="0"/>
    <x v="7"/>
    <x v="7"/>
  </r>
  <r>
    <x v="0"/>
    <x v="8"/>
    <x v="7"/>
  </r>
  <r>
    <x v="0"/>
    <x v="9"/>
    <x v="8"/>
  </r>
  <r>
    <x v="0"/>
    <x v="10"/>
    <x v="9"/>
  </r>
  <r>
    <x v="0"/>
    <x v="11"/>
    <x v="10"/>
  </r>
  <r>
    <x v="0"/>
    <x v="12"/>
    <x v="11"/>
  </r>
  <r>
    <x v="0"/>
    <x v="13"/>
    <x v="12"/>
  </r>
  <r>
    <x v="0"/>
    <x v="14"/>
    <x v="13"/>
  </r>
  <r>
    <x v="0"/>
    <x v="15"/>
    <x v="14"/>
  </r>
  <r>
    <x v="0"/>
    <x v="16"/>
    <x v="15"/>
  </r>
  <r>
    <x v="1"/>
    <x v="17"/>
    <x v="16"/>
  </r>
  <r>
    <x v="1"/>
    <x v="18"/>
    <x v="17"/>
  </r>
  <r>
    <x v="2"/>
    <x v="19"/>
    <x v="18"/>
  </r>
  <r>
    <x v="2"/>
    <x v="20"/>
    <x v="19"/>
  </r>
  <r>
    <x v="3"/>
    <x v="21"/>
    <x v="20"/>
  </r>
  <r>
    <x v="4"/>
    <x v="22"/>
    <x v="21"/>
  </r>
  <r>
    <x v="4"/>
    <x v="23"/>
    <x v="22"/>
  </r>
  <r>
    <x v="4"/>
    <x v="24"/>
    <x v="23"/>
  </r>
  <r>
    <x v="4"/>
    <x v="25"/>
    <x v="24"/>
  </r>
  <r>
    <x v="4"/>
    <x v="26"/>
    <x v="25"/>
  </r>
  <r>
    <x v="4"/>
    <x v="27"/>
    <x v="26"/>
  </r>
  <r>
    <x v="4"/>
    <x v="28"/>
    <x v="27"/>
  </r>
  <r>
    <x v="4"/>
    <x v="29"/>
    <x v="28"/>
  </r>
  <r>
    <x v="4"/>
    <x v="30"/>
    <x v="29"/>
  </r>
  <r>
    <x v="4"/>
    <x v="31"/>
    <x v="3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x v="0"/>
    <x v="0"/>
    <n v="1440"/>
  </r>
  <r>
    <x v="0"/>
    <x v="1"/>
    <x v="1"/>
    <n v="748061.28"/>
  </r>
  <r>
    <x v="0"/>
    <x v="2"/>
    <x v="2"/>
    <n v="200000"/>
  </r>
  <r>
    <x v="0"/>
    <x v="3"/>
    <x v="3"/>
    <n v="114111"/>
  </r>
  <r>
    <x v="0"/>
    <x v="4"/>
    <x v="4"/>
    <n v="42000"/>
  </r>
  <r>
    <x v="0"/>
    <x v="5"/>
    <x v="5"/>
    <n v="30000"/>
  </r>
  <r>
    <x v="0"/>
    <x v="6"/>
    <x v="6"/>
    <n v="27000"/>
  </r>
  <r>
    <x v="0"/>
    <x v="7"/>
    <x v="7"/>
    <n v="20000"/>
  </r>
  <r>
    <x v="0"/>
    <x v="8"/>
    <x v="7"/>
    <n v="20000"/>
  </r>
  <r>
    <x v="0"/>
    <x v="9"/>
    <x v="8"/>
    <n v="15600"/>
  </r>
  <r>
    <x v="0"/>
    <x v="10"/>
    <x v="9"/>
    <n v="14400"/>
  </r>
  <r>
    <x v="0"/>
    <x v="11"/>
    <x v="10"/>
    <n v="1000"/>
  </r>
  <r>
    <x v="0"/>
    <x v="12"/>
    <x v="11"/>
    <n v="500"/>
  </r>
  <r>
    <x v="0"/>
    <x v="13"/>
    <x v="12"/>
    <n v="480"/>
  </r>
  <r>
    <x v="0"/>
    <x v="14"/>
    <x v="13"/>
    <n v="420"/>
  </r>
  <r>
    <x v="0"/>
    <x v="15"/>
    <x v="14"/>
    <n v="222"/>
  </r>
  <r>
    <x v="0"/>
    <x v="16"/>
    <x v="15"/>
    <n v="180"/>
  </r>
  <r>
    <x v="1"/>
    <x v="17"/>
    <x v="16"/>
    <n v="1"/>
  </r>
  <r>
    <x v="1"/>
    <x v="18"/>
    <x v="17"/>
    <n v="100"/>
  </r>
  <r>
    <x v="2"/>
    <x v="19"/>
    <x v="18"/>
    <n v="8560.08"/>
  </r>
  <r>
    <x v="2"/>
    <x v="20"/>
    <x v="19"/>
    <n v="480000"/>
  </r>
  <r>
    <x v="3"/>
    <x v="21"/>
    <x v="20"/>
    <n v="135000"/>
  </r>
  <r>
    <x v="4"/>
    <x v="22"/>
    <x v="21"/>
    <n v="198310"/>
  </r>
  <r>
    <x v="4"/>
    <x v="23"/>
    <x v="22"/>
    <n v="44100"/>
  </r>
  <r>
    <x v="4"/>
    <x v="24"/>
    <x v="23"/>
    <n v="29200"/>
  </r>
  <r>
    <x v="4"/>
    <x v="25"/>
    <x v="24"/>
    <n v="18000"/>
  </r>
  <r>
    <x v="4"/>
    <x v="26"/>
    <x v="25"/>
    <n v="17000"/>
  </r>
  <r>
    <x v="4"/>
    <x v="27"/>
    <x v="26"/>
    <n v="16800"/>
  </r>
  <r>
    <x v="4"/>
    <x v="28"/>
    <x v="27"/>
    <n v="8988.08"/>
  </r>
  <r>
    <x v="4"/>
    <x v="29"/>
    <x v="28"/>
    <n v="6000"/>
  </r>
  <r>
    <x v="4"/>
    <x v="30"/>
    <x v="29"/>
    <n v="2400"/>
  </r>
  <r>
    <x v="4"/>
    <x v="31"/>
    <x v="30"/>
    <n v="2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数据透视表1" cacheId="0" applyNumberFormats="0" applyBorderFormats="0" applyFontFormats="0" applyPatternFormats="0" applyAlignmentFormats="0" applyWidthHeightFormats="1" dataCaption="值" updatedVersion="7" minRefreshableVersion="3" useAutoFormatting="1" createdVersion="7" indent="0" outline="1" outlineData="1" multipleFieldFilters="0">
  <location ref="A357:B359" firstHeaderRow="1" firstDataRow="1" firstDataCol="1"/>
  <pivotFields count="3">
    <pivotField axis="axisRow" showAll="0">
      <items count="4">
        <item h="1" x="0"/>
        <item x="2"/>
        <item h="1" x="1"/>
        <item t="default"/>
      </items>
    </pivotField>
    <pivotField showAll="0"/>
    <pivotField dataField="1" showAll="0"/>
  </pivotFields>
  <rowFields count="1">
    <field x="0"/>
  </rowFields>
  <rowItems count="2">
    <i>
      <x v="1"/>
    </i>
    <i t="grand">
      <x/>
    </i>
  </rowItems>
  <colItems count="1">
    <i/>
  </colItems>
  <dataFields count="1">
    <dataField name="求和项:销售套数"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8A1FA8-FEAE-4248-B4CA-ED70596A4DC2}" name="数据透视表4" cacheId="3"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H1389:I1398" firstHeaderRow="1" firstDataRow="1" firstDataCol="1" rowPageCount="1" colPageCount="1"/>
  <pivotFields count="4">
    <pivotField axis="axisPage" showAll="0">
      <items count="6">
        <item x="4"/>
        <item x="1"/>
        <item x="0"/>
        <item x="2"/>
        <item x="3"/>
        <item t="default"/>
      </items>
    </pivotField>
    <pivotField axis="axisRow" showAll="0" measureFilter="1" sortType="descending">
      <items count="33">
        <item x="4"/>
        <item x="29"/>
        <item x="18"/>
        <item x="2"/>
        <item x="22"/>
        <item x="7"/>
        <item x="1"/>
        <item x="13"/>
        <item x="19"/>
        <item x="25"/>
        <item x="26"/>
        <item x="28"/>
        <item x="9"/>
        <item x="24"/>
        <item x="11"/>
        <item x="6"/>
        <item x="10"/>
        <item x="30"/>
        <item x="16"/>
        <item x="8"/>
        <item x="27"/>
        <item x="20"/>
        <item x="5"/>
        <item x="3"/>
        <item x="21"/>
        <item x="14"/>
        <item x="15"/>
        <item x="12"/>
        <item x="31"/>
        <item x="17"/>
        <item x="0"/>
        <item x="23"/>
        <item t="default"/>
      </items>
      <autoSortScope>
        <pivotArea dataOnly="0" outline="0" fieldPosition="0">
          <references count="1">
            <reference field="4294967294" count="1" selected="0">
              <x v="0"/>
            </reference>
          </references>
        </pivotArea>
      </autoSortScope>
    </pivotField>
    <pivotField dataField="1" numFmtId="195" showAll="0">
      <items count="32">
        <item x="16"/>
        <item x="17"/>
        <item x="15"/>
        <item x="14"/>
        <item x="13"/>
        <item x="12"/>
        <item x="11"/>
        <item x="10"/>
        <item x="18"/>
        <item x="27"/>
        <item x="0"/>
        <item x="30"/>
        <item x="29"/>
        <item x="28"/>
        <item x="9"/>
        <item x="8"/>
        <item x="26"/>
        <item x="25"/>
        <item x="24"/>
        <item x="7"/>
        <item x="6"/>
        <item x="23"/>
        <item x="5"/>
        <item x="4"/>
        <item x="22"/>
        <item x="3"/>
        <item x="20"/>
        <item x="21"/>
        <item x="2"/>
        <item x="19"/>
        <item x="1"/>
        <item t="default"/>
      </items>
    </pivotField>
    <pivotField numFmtId="195" showAll="0"/>
  </pivotFields>
  <rowFields count="1">
    <field x="1"/>
  </rowFields>
  <rowItems count="9">
    <i>
      <x v="4"/>
    </i>
    <i>
      <x v="31"/>
    </i>
    <i>
      <x v="13"/>
    </i>
    <i>
      <x v="9"/>
    </i>
    <i>
      <x v="10"/>
    </i>
    <i>
      <x v="20"/>
    </i>
    <i>
      <x v="1"/>
    </i>
    <i>
      <x v="17"/>
    </i>
    <i t="grand">
      <x/>
    </i>
  </rowItems>
  <colItems count="1">
    <i/>
  </colItems>
  <pageFields count="1">
    <pageField fld="0" item="0" hier="-1"/>
  </pageFields>
  <dataFields count="1">
    <dataField name="求和项:非取数项" fld="2" baseField="0" baseItem="0"/>
  </dataFields>
  <formats count="10">
    <format dxfId="15">
      <pivotArea collapsedLevelsAreSubtotals="1" fieldPosition="0">
        <references count="1">
          <reference field="1" count="4">
            <x v="5"/>
            <x v="15"/>
            <x v="19"/>
            <x v="22"/>
          </reference>
        </references>
      </pivotArea>
    </format>
    <format dxfId="14">
      <pivotArea grandRow="1" outline="0" collapsedLevelsAreSubtotals="1" fieldPosition="0"/>
    </format>
    <format dxfId="13">
      <pivotArea dataOnly="0" labelOnly="1" fieldPosition="0">
        <references count="1">
          <reference field="1" count="4">
            <x v="5"/>
            <x v="15"/>
            <x v="19"/>
            <x v="22"/>
          </reference>
        </references>
      </pivotArea>
    </format>
    <format dxfId="12">
      <pivotArea dataOnly="0" labelOnly="1" grandRow="1" outline="0" fieldPosition="0"/>
    </format>
    <format dxfId="11">
      <pivotArea type="all" dataOnly="0" outline="0" fieldPosition="0"/>
    </format>
    <format dxfId="10">
      <pivotArea outline="0" collapsedLevelsAreSubtotals="1" fieldPosition="0"/>
    </format>
    <format dxfId="9">
      <pivotArea field="1" type="button" dataOnly="0" labelOnly="1" outline="0" axis="axisRow" fieldPosition="0"/>
    </format>
    <format dxfId="8">
      <pivotArea dataOnly="0" labelOnly="1" fieldPosition="0">
        <references count="1">
          <reference field="1" count="8">
            <x v="0"/>
            <x v="3"/>
            <x v="5"/>
            <x v="6"/>
            <x v="15"/>
            <x v="19"/>
            <x v="22"/>
            <x v="23"/>
          </reference>
        </references>
      </pivotArea>
    </format>
    <format dxfId="7">
      <pivotArea dataOnly="0" labelOnly="1" grandRow="1" outline="0" fieldPosition="0"/>
    </format>
    <format dxfId="6">
      <pivotArea dataOnly="0" labelOnly="1" outline="0" axis="axisValues" fieldPosition="0"/>
    </format>
  </formats>
  <pivotTableStyleInfo name="PivotStyleLight16" showRowHeaders="1" showColHeaders="1" showRowStripes="0" showColStripes="0" showLastColumn="1"/>
  <filters count="1">
    <filter fld="1" type="count" evalOrder="-1" id="1"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5DE1B7-4682-43BA-988C-E298424E634D}" name="数据透视表3" cacheId="1"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rowHeaderCaption="商品名称">
  <location ref="K1329:M1333" firstHeaderRow="0" firstDataRow="1" firstDataCol="1" rowPageCount="2" colPageCount="1"/>
  <pivotFields count="7">
    <pivotField numFmtId="14" showAll="0"/>
    <pivotField axis="axisPage" showAll="0">
      <items count="11">
        <item x="3"/>
        <item x="1"/>
        <item x="0"/>
        <item x="2"/>
        <item x="4"/>
        <item x="8"/>
        <item x="7"/>
        <item x="5"/>
        <item x="6"/>
        <item x="9"/>
        <item t="default"/>
      </items>
    </pivotField>
    <pivotField axis="axisPage" showAll="0">
      <items count="6">
        <item x="3"/>
        <item x="1"/>
        <item x="0"/>
        <item x="2"/>
        <item x="4"/>
        <item t="default"/>
      </items>
    </pivotField>
    <pivotField axis="axisRow" showAll="0" sortType="descending">
      <items count="5">
        <item x="1"/>
        <item x="0"/>
        <item x="3"/>
        <item x="2"/>
        <item t="default"/>
      </items>
    </pivotField>
    <pivotField dataField="1" showAll="0">
      <items count="21">
        <item x="2"/>
        <item x="3"/>
        <item x="4"/>
        <item x="5"/>
        <item x="6"/>
        <item x="7"/>
        <item x="8"/>
        <item x="9"/>
        <item x="10"/>
        <item x="11"/>
        <item x="12"/>
        <item x="13"/>
        <item x="14"/>
        <item x="15"/>
        <item x="16"/>
        <item x="17"/>
        <item x="18"/>
        <item x="19"/>
        <item x="0"/>
        <item x="1"/>
        <item t="default"/>
      </items>
    </pivotField>
    <pivotField showAll="0"/>
    <pivotField dataField="1" showAll="0"/>
  </pivotFields>
  <rowFields count="1">
    <field x="3"/>
  </rowFields>
  <rowItems count="4">
    <i>
      <x v="1"/>
    </i>
    <i>
      <x v="2"/>
    </i>
    <i>
      <x v="3"/>
    </i>
    <i t="grand">
      <x/>
    </i>
  </rowItems>
  <colFields count="1">
    <field x="-2"/>
  </colFields>
  <colItems count="2">
    <i>
      <x/>
    </i>
    <i i="1">
      <x v="1"/>
    </i>
  </colItems>
  <pageFields count="2">
    <pageField fld="1" item="2" hier="-1"/>
    <pageField fld="2" item="2" hier="-1"/>
  </pageFields>
  <dataFields count="2">
    <dataField name="求和项:数量" fld="4" baseField="0" baseItem="0"/>
    <dataField name="求和项:金额" fld="6" baseField="0" baseItem="0"/>
  </dataFields>
  <formats count="5">
    <format dxfId="20">
      <pivotArea type="all" dataOnly="0" outline="0" fieldPosition="0"/>
    </format>
    <format dxfId="19">
      <pivotArea outline="0" collapsedLevelsAreSubtotals="1" fieldPosition="0"/>
    </format>
    <format dxfId="18">
      <pivotArea field="3" type="button" dataOnly="0" labelOnly="1" outline="0" axis="axisRow" fieldPosition="0"/>
    </format>
    <format dxfId="17">
      <pivotArea dataOnly="0" labelOnly="1" grandRow="1" outline="0" fieldPosition="0"/>
    </format>
    <format dxfId="1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F3C36B-BE47-4ABD-ACEF-995580E5D696}" name="数据透视表1" cacheId="2"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E333:F342" firstHeaderRow="1" firstDataRow="1" firstDataCol="1" rowPageCount="1" colPageCount="1"/>
  <pivotFields count="3">
    <pivotField axis="axisPage" showAll="0">
      <items count="6">
        <item x="4"/>
        <item x="1"/>
        <item x="0"/>
        <item x="2"/>
        <item x="3"/>
        <item t="default"/>
      </items>
    </pivotField>
    <pivotField axis="axisRow" showAll="0" measureFilter="1" sortType="descending">
      <items count="33">
        <item x="23"/>
        <item x="0"/>
        <item x="17"/>
        <item x="31"/>
        <item x="12"/>
        <item x="15"/>
        <item x="14"/>
        <item x="21"/>
        <item x="3"/>
        <item x="5"/>
        <item x="20"/>
        <item x="27"/>
        <item x="8"/>
        <item x="16"/>
        <item x="30"/>
        <item x="10"/>
        <item x="6"/>
        <item x="11"/>
        <item x="24"/>
        <item x="9"/>
        <item x="28"/>
        <item x="26"/>
        <item x="25"/>
        <item x="19"/>
        <item x="13"/>
        <item x="1"/>
        <item x="7"/>
        <item x="22"/>
        <item x="2"/>
        <item x="18"/>
        <item x="29"/>
        <item x="4"/>
        <item t="default"/>
      </items>
      <autoSortScope>
        <pivotArea dataOnly="0" outline="0" fieldPosition="0">
          <references count="1">
            <reference field="4294967294" count="1" selected="0">
              <x v="0"/>
            </reference>
          </references>
        </pivotArea>
      </autoSortScope>
    </pivotField>
    <pivotField dataField="1" showAll="0">
      <items count="32">
        <item x="16"/>
        <item x="17"/>
        <item x="15"/>
        <item x="14"/>
        <item x="13"/>
        <item x="12"/>
        <item x="11"/>
        <item x="10"/>
        <item x="18"/>
        <item x="27"/>
        <item x="0"/>
        <item x="30"/>
        <item x="29"/>
        <item x="28"/>
        <item x="9"/>
        <item x="8"/>
        <item x="26"/>
        <item x="25"/>
        <item x="24"/>
        <item x="7"/>
        <item x="6"/>
        <item x="23"/>
        <item x="5"/>
        <item x="4"/>
        <item x="22"/>
        <item x="3"/>
        <item x="20"/>
        <item x="21"/>
        <item x="2"/>
        <item x="19"/>
        <item x="1"/>
        <item t="default"/>
      </items>
    </pivotField>
  </pivotFields>
  <rowFields count="1">
    <field x="1"/>
  </rowFields>
  <rowItems count="9">
    <i>
      <x v="25"/>
    </i>
    <i>
      <x v="28"/>
    </i>
    <i>
      <x v="8"/>
    </i>
    <i>
      <x v="31"/>
    </i>
    <i>
      <x v="9"/>
    </i>
    <i>
      <x v="16"/>
    </i>
    <i>
      <x v="26"/>
    </i>
    <i>
      <x v="12"/>
    </i>
    <i t="grand">
      <x/>
    </i>
  </rowItems>
  <colItems count="1">
    <i/>
  </colItems>
  <pageFields count="1">
    <pageField fld="0" item="2" hier="-1"/>
  </pageFields>
  <dataFields count="1">
    <dataField name="求和项:金额" fld="2" baseField="0" baseItem="0"/>
  </dataFields>
  <formats count="6">
    <format dxfId="5">
      <pivotArea type="all" dataOnly="0" outline="0" fieldPosition="0"/>
    </format>
    <format dxfId="4">
      <pivotArea outline="0" collapsedLevelsAreSubtotals="1" fieldPosition="0"/>
    </format>
    <format dxfId="3">
      <pivotArea field="1" type="button" dataOnly="0" labelOnly="1" outline="0" axis="axisRow" fieldPosition="0"/>
    </format>
    <format dxfId="2">
      <pivotArea dataOnly="0" labelOnly="1" fieldPosition="0">
        <references count="1">
          <reference field="1" count="8">
            <x v="8"/>
            <x v="9"/>
            <x v="12"/>
            <x v="16"/>
            <x v="25"/>
            <x v="26"/>
            <x v="28"/>
            <x v="31"/>
          </reference>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filters count="1">
    <filter fld="1" type="count" evalOrder="-1" id="1"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销售处" xr10:uid="{00000000-0013-0000-FFFF-FFFF01000000}" sourceName="销售处">
  <pivotTables>
    <pivotTable tabId="2" name="数据透视表1"/>
  </pivotTables>
  <data>
    <tabular pivotCacheId="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销售处" xr10:uid="{00000000-0014-0000-FFFF-FFFF01000000}" cache="切片器_销售处" caption="销售处" rowHeight="225425"/>
</slic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6" tint="0.39994506668294322"/>
  </sheetPr>
  <dimension ref="A1:W593"/>
  <sheetViews>
    <sheetView topLeftCell="A579" workbookViewId="0">
      <selection activeCell="A592" sqref="A592"/>
    </sheetView>
  </sheetViews>
  <sheetFormatPr defaultColWidth="9" defaultRowHeight="18" customHeight="1"/>
  <cols>
    <col min="1" max="1" width="13" style="1" customWidth="1"/>
    <col min="2" max="2" width="17.625" style="1" customWidth="1"/>
    <col min="3" max="4" width="12.5" style="1" customWidth="1"/>
    <col min="5" max="5" width="12" style="1" customWidth="1"/>
    <col min="6" max="6" width="10.5" style="1" customWidth="1"/>
    <col min="7" max="7" width="10" style="1" customWidth="1"/>
    <col min="8" max="8" width="9.125" style="1" customWidth="1"/>
    <col min="9" max="10" width="9" style="1"/>
    <col min="11" max="11" width="10.375" style="1" customWidth="1"/>
    <col min="12" max="13" width="9.125" style="1" customWidth="1"/>
    <col min="14" max="14" width="10" style="1" customWidth="1"/>
    <col min="15" max="15" width="9.125" style="1" customWidth="1"/>
    <col min="16" max="17" width="9" style="1"/>
    <col min="18" max="18" width="10.125" style="1" customWidth="1"/>
    <col min="19" max="19" width="9" style="1"/>
    <col min="20" max="20" width="9.875" style="1" customWidth="1"/>
    <col min="21" max="16384" width="9" style="1"/>
  </cols>
  <sheetData>
    <row r="1" spans="1:4" ht="18" customHeight="1">
      <c r="A1" s="742" t="s">
        <v>0</v>
      </c>
      <c r="C1" s="1" t="s">
        <v>1</v>
      </c>
    </row>
    <row r="2" spans="1:4" ht="18" customHeight="1">
      <c r="A2" s="742" t="s">
        <v>2</v>
      </c>
      <c r="C2" s="1" t="s">
        <v>3</v>
      </c>
    </row>
    <row r="3" spans="1:4" ht="18" customHeight="1">
      <c r="A3" s="742" t="s">
        <v>4</v>
      </c>
      <c r="C3" s="1" t="s">
        <v>5</v>
      </c>
    </row>
    <row r="4" spans="1:4" ht="18" customHeight="1">
      <c r="A4" s="742" t="s">
        <v>6</v>
      </c>
      <c r="C4" s="1" t="s">
        <v>7</v>
      </c>
    </row>
    <row r="5" spans="1:4" ht="18" customHeight="1">
      <c r="A5" s="742" t="s">
        <v>8</v>
      </c>
      <c r="C5" s="1" t="s">
        <v>9</v>
      </c>
    </row>
    <row r="7" spans="1:4" ht="18" customHeight="1">
      <c r="A7" s="743"/>
      <c r="B7" s="744" t="s">
        <v>10</v>
      </c>
      <c r="C7" s="744" t="s">
        <v>11</v>
      </c>
      <c r="D7" s="745" t="s">
        <v>12</v>
      </c>
    </row>
    <row r="8" spans="1:4" ht="18" customHeight="1">
      <c r="A8" s="746" t="s">
        <v>13</v>
      </c>
      <c r="B8" s="747">
        <v>12</v>
      </c>
      <c r="C8" s="747">
        <v>66</v>
      </c>
      <c r="D8" s="748">
        <f>IFERROR(B8/C8,"")</f>
        <v>0.18181818181818182</v>
      </c>
    </row>
    <row r="9" spans="1:4" ht="18" customHeight="1">
      <c r="A9" s="746" t="s">
        <v>14</v>
      </c>
      <c r="B9" s="747">
        <v>23</v>
      </c>
      <c r="C9" s="747"/>
      <c r="D9" s="748" t="str">
        <f>IFERROR(B9/C9,"")</f>
        <v/>
      </c>
    </row>
    <row r="10" spans="1:4" ht="18" customHeight="1">
      <c r="A10" s="746" t="s">
        <v>15</v>
      </c>
      <c r="B10" s="747">
        <v>35</v>
      </c>
      <c r="C10" s="747">
        <v>68</v>
      </c>
      <c r="D10" s="748">
        <f>IFERROR(B10/C10,"")</f>
        <v>0.51470588235294112</v>
      </c>
    </row>
    <row r="12" spans="1:4" ht="18" customHeight="1">
      <c r="C12" s="1" t="s">
        <v>16</v>
      </c>
    </row>
    <row r="14" spans="1:4" ht="18" customHeight="1">
      <c r="A14" s="746" t="s">
        <v>13</v>
      </c>
      <c r="B14" s="378" t="str">
        <f>IF(D8&gt;=0.6,"及格","不及格")</f>
        <v>不及格</v>
      </c>
      <c r="D14" s="749" t="s">
        <v>17</v>
      </c>
    </row>
    <row r="16" spans="1:4" ht="18" customHeight="1">
      <c r="A16" s="742" t="s">
        <v>18</v>
      </c>
    </row>
    <row r="17" spans="1:11" ht="18" customHeight="1">
      <c r="C17" s="1" t="s">
        <v>19</v>
      </c>
    </row>
    <row r="18" spans="1:11" ht="18" customHeight="1">
      <c r="A18" s="39" t="s">
        <v>20</v>
      </c>
      <c r="B18" s="1" t="s">
        <v>21</v>
      </c>
    </row>
    <row r="19" spans="1:11" ht="18" customHeight="1">
      <c r="A19" s="40" t="s">
        <v>13</v>
      </c>
      <c r="B19" s="378">
        <f>SUMPRODUCT(1/COUNTIF(A19:A23,A19:A23))</f>
        <v>3</v>
      </c>
    </row>
    <row r="20" spans="1:11" ht="18" customHeight="1">
      <c r="A20" s="40" t="s">
        <v>14</v>
      </c>
    </row>
    <row r="21" spans="1:11" ht="18" customHeight="1">
      <c r="A21" s="40" t="s">
        <v>15</v>
      </c>
    </row>
    <row r="22" spans="1:11" ht="18" customHeight="1">
      <c r="A22" s="40" t="s">
        <v>14</v>
      </c>
      <c r="C22" s="749" t="s">
        <v>22</v>
      </c>
    </row>
    <row r="23" spans="1:11" ht="18" customHeight="1">
      <c r="A23" s="40" t="s">
        <v>15</v>
      </c>
    </row>
    <row r="24" spans="1:11" ht="18" customHeight="1">
      <c r="A24" s="16"/>
    </row>
    <row r="25" spans="1:11" ht="18" customHeight="1">
      <c r="A25" s="16"/>
      <c r="B25" s="750" t="s">
        <v>23</v>
      </c>
    </row>
    <row r="27" spans="1:11" ht="18" customHeight="1">
      <c r="A27" s="742" t="s">
        <v>24</v>
      </c>
    </row>
    <row r="29" spans="1:11" ht="18" customHeight="1">
      <c r="A29" s="1098" t="s">
        <v>25</v>
      </c>
      <c r="B29" s="1099" t="s">
        <v>26</v>
      </c>
      <c r="C29" s="1099"/>
      <c r="D29" s="1099" t="s">
        <v>27</v>
      </c>
      <c r="E29" s="1099"/>
      <c r="F29" s="1097" t="s">
        <v>28</v>
      </c>
      <c r="G29" s="1098"/>
      <c r="H29" s="1099" t="s">
        <v>29</v>
      </c>
      <c r="I29" s="1099"/>
      <c r="K29" s="1" t="s">
        <v>30</v>
      </c>
    </row>
    <row r="30" spans="1:11" ht="18" customHeight="1">
      <c r="A30" s="1098"/>
      <c r="B30" s="751" t="s">
        <v>10</v>
      </c>
      <c r="C30" s="751" t="s">
        <v>11</v>
      </c>
      <c r="D30" s="751" t="s">
        <v>10</v>
      </c>
      <c r="E30" s="751" t="s">
        <v>11</v>
      </c>
      <c r="F30" s="751" t="s">
        <v>10</v>
      </c>
      <c r="G30" s="751" t="s">
        <v>11</v>
      </c>
      <c r="H30" s="751" t="s">
        <v>10</v>
      </c>
      <c r="I30" s="773" t="s">
        <v>11</v>
      </c>
      <c r="K30" s="1" t="s">
        <v>31</v>
      </c>
    </row>
    <row r="31" spans="1:11" ht="18" customHeight="1">
      <c r="A31" s="752" t="s">
        <v>32</v>
      </c>
      <c r="B31" s="753">
        <v>1</v>
      </c>
      <c r="C31" s="753">
        <v>6</v>
      </c>
      <c r="D31" s="753">
        <v>9</v>
      </c>
      <c r="E31" s="753">
        <v>3</v>
      </c>
      <c r="F31" s="753">
        <v>7</v>
      </c>
      <c r="G31" s="753">
        <v>4</v>
      </c>
      <c r="H31" s="754">
        <f>SUMIF($B$30:$G$30,$H$30,B31:G31)</f>
        <v>17</v>
      </c>
      <c r="I31" s="774"/>
      <c r="K31" s="1" t="s">
        <v>33</v>
      </c>
    </row>
    <row r="32" spans="1:11" ht="18" customHeight="1">
      <c r="A32" s="755" t="s">
        <v>34</v>
      </c>
      <c r="B32" s="756">
        <v>9</v>
      </c>
      <c r="C32" s="756">
        <v>7</v>
      </c>
      <c r="D32" s="756">
        <v>6</v>
      </c>
      <c r="E32" s="756">
        <v>5</v>
      </c>
      <c r="F32" s="756">
        <v>2</v>
      </c>
      <c r="G32" s="756">
        <v>3</v>
      </c>
      <c r="H32" s="757">
        <f>SUMIF($B$30:$G$30,$H$30,B32:G32)</f>
        <v>17</v>
      </c>
      <c r="I32" s="775"/>
      <c r="K32" s="1" t="s">
        <v>35</v>
      </c>
    </row>
    <row r="33" spans="1:17" ht="18" customHeight="1">
      <c r="A33" s="758" t="s">
        <v>36</v>
      </c>
      <c r="B33" s="759">
        <v>6</v>
      </c>
      <c r="C33" s="759">
        <v>10</v>
      </c>
      <c r="D33" s="759">
        <v>10</v>
      </c>
      <c r="E33" s="759">
        <v>7</v>
      </c>
      <c r="F33" s="759">
        <v>6</v>
      </c>
      <c r="G33" s="759">
        <v>5</v>
      </c>
      <c r="H33" s="760">
        <f>SUMPRODUCT((MOD(COLUMN(B33:G33),2)=0)*B33:G33)</f>
        <v>22</v>
      </c>
      <c r="I33" s="776"/>
      <c r="K33" s="1" t="s">
        <v>37</v>
      </c>
    </row>
    <row r="34" spans="1:17" ht="18" customHeight="1">
      <c r="K34" s="1" t="s">
        <v>38</v>
      </c>
    </row>
    <row r="35" spans="1:17" ht="18" customHeight="1">
      <c r="D35" s="749" t="s">
        <v>39</v>
      </c>
    </row>
    <row r="36" spans="1:17" ht="18" customHeight="1">
      <c r="D36" s="749" t="s">
        <v>40</v>
      </c>
    </row>
    <row r="37" spans="1:17" ht="18" customHeight="1">
      <c r="K37" s="1" t="s">
        <v>41</v>
      </c>
    </row>
    <row r="38" spans="1:17" ht="18" customHeight="1">
      <c r="A38" s="742" t="s">
        <v>42</v>
      </c>
    </row>
    <row r="39" spans="1:17" ht="18" customHeight="1">
      <c r="K39" s="123" t="s">
        <v>43</v>
      </c>
      <c r="L39" s="122" t="s">
        <v>44</v>
      </c>
    </row>
    <row r="40" spans="1:17" ht="18" customHeight="1">
      <c r="A40" s="43" t="s">
        <v>25</v>
      </c>
      <c r="B40" s="43" t="s">
        <v>45</v>
      </c>
      <c r="C40" s="43" t="s">
        <v>46</v>
      </c>
      <c r="K40" s="777">
        <v>44198</v>
      </c>
      <c r="L40" s="108">
        <v>1</v>
      </c>
      <c r="N40" s="1" t="s">
        <v>47</v>
      </c>
    </row>
    <row r="41" spans="1:17" ht="18" customHeight="1">
      <c r="A41" s="44" t="s">
        <v>48</v>
      </c>
      <c r="B41" s="44">
        <v>3</v>
      </c>
      <c r="C41" s="44">
        <v>11</v>
      </c>
      <c r="K41" s="778">
        <v>44199</v>
      </c>
      <c r="L41" s="111">
        <v>2</v>
      </c>
      <c r="N41" s="779">
        <v>44200</v>
      </c>
      <c r="O41" s="1">
        <f>SUMIF(K40:K43,"&lt;="&amp;N41,L40:L43)</f>
        <v>6</v>
      </c>
      <c r="Q41" s="1" t="s">
        <v>49</v>
      </c>
    </row>
    <row r="42" spans="1:17" ht="18" customHeight="1">
      <c r="A42" s="45" t="s">
        <v>50</v>
      </c>
      <c r="B42" s="45">
        <v>5</v>
      </c>
      <c r="C42" s="45">
        <v>26</v>
      </c>
      <c r="K42" s="777">
        <v>44200</v>
      </c>
      <c r="L42" s="108">
        <v>3</v>
      </c>
      <c r="O42" s="1">
        <f>SUMIF(K40:K43,"&lt;=2021/1/4",L40:L43)</f>
        <v>6</v>
      </c>
      <c r="Q42" s="1" t="s">
        <v>51</v>
      </c>
    </row>
    <row r="43" spans="1:17" ht="18" customHeight="1">
      <c r="A43" s="46" t="s">
        <v>52</v>
      </c>
      <c r="B43" s="46">
        <v>7</v>
      </c>
      <c r="C43" s="46">
        <v>24</v>
      </c>
      <c r="K43" s="780">
        <v>44201</v>
      </c>
      <c r="L43" s="115">
        <v>4</v>
      </c>
    </row>
    <row r="45" spans="1:17" ht="18" customHeight="1">
      <c r="B45" s="242" t="s">
        <v>53</v>
      </c>
      <c r="C45" s="761">
        <f>SUMIF($A$41:$A$43,"*a*",$C$41:$C$43)</f>
        <v>35</v>
      </c>
      <c r="E45" s="749" t="s">
        <v>54</v>
      </c>
    </row>
    <row r="46" spans="1:17" ht="18" customHeight="1">
      <c r="B46" s="534" t="s">
        <v>55</v>
      </c>
      <c r="C46" s="762">
        <f>SUMIF($A$41:$A$43,"a*",C41:C43)</f>
        <v>11</v>
      </c>
      <c r="E46" s="749" t="s">
        <v>56</v>
      </c>
    </row>
    <row r="47" spans="1:17" ht="18" customHeight="1">
      <c r="B47" s="763" t="s">
        <v>57</v>
      </c>
      <c r="C47" s="764">
        <f>SUMIF($A$41:$A$43,"*a",C41:C43)</f>
        <v>24</v>
      </c>
      <c r="E47" s="749" t="s">
        <v>58</v>
      </c>
    </row>
    <row r="49" spans="1:8" ht="18" customHeight="1">
      <c r="A49" s="742" t="s">
        <v>59</v>
      </c>
    </row>
    <row r="51" spans="1:8" ht="18" customHeight="1">
      <c r="A51" s="13" t="s">
        <v>43</v>
      </c>
      <c r="B51" s="13" t="s">
        <v>25</v>
      </c>
      <c r="C51" s="13" t="s">
        <v>60</v>
      </c>
      <c r="E51" s="13" t="s">
        <v>25</v>
      </c>
      <c r="F51" s="13">
        <v>1</v>
      </c>
      <c r="G51" s="13">
        <v>2</v>
      </c>
      <c r="H51" s="13">
        <v>3</v>
      </c>
    </row>
    <row r="52" spans="1:8" ht="18" customHeight="1">
      <c r="A52" s="15">
        <v>42013</v>
      </c>
      <c r="B52" s="14" t="s">
        <v>61</v>
      </c>
      <c r="C52" s="14">
        <v>5</v>
      </c>
      <c r="E52" s="14" t="s">
        <v>61</v>
      </c>
      <c r="F52" s="765">
        <f t="shared" ref="F52:H59" si="0">SUMPRODUCT((MONTH($A$52:$A$61)=F$51)*($B$52:$B$61=$E52)*$C$52:$C$61)</f>
        <v>23</v>
      </c>
      <c r="G52" s="765">
        <f t="shared" si="0"/>
        <v>34</v>
      </c>
      <c r="H52" s="14">
        <f t="shared" si="0"/>
        <v>0</v>
      </c>
    </row>
    <row r="53" spans="1:8" ht="18" customHeight="1">
      <c r="A53" s="17">
        <v>42014</v>
      </c>
      <c r="B53" s="16" t="s">
        <v>61</v>
      </c>
      <c r="C53" s="16">
        <v>18</v>
      </c>
      <c r="E53" s="16" t="s">
        <v>62</v>
      </c>
      <c r="F53" s="446">
        <f t="shared" si="0"/>
        <v>16</v>
      </c>
      <c r="G53" s="446">
        <f t="shared" si="0"/>
        <v>0</v>
      </c>
      <c r="H53" s="16">
        <f t="shared" si="0"/>
        <v>0</v>
      </c>
    </row>
    <row r="54" spans="1:8" ht="18" customHeight="1">
      <c r="A54" s="19">
        <v>42015</v>
      </c>
      <c r="B54" s="18" t="s">
        <v>62</v>
      </c>
      <c r="C54" s="18">
        <v>11</v>
      </c>
      <c r="E54" s="18" t="s">
        <v>63</v>
      </c>
      <c r="F54" s="766">
        <f t="shared" si="0"/>
        <v>0</v>
      </c>
      <c r="G54" s="766">
        <f t="shared" si="0"/>
        <v>34</v>
      </c>
      <c r="H54" s="18">
        <f t="shared" si="0"/>
        <v>0</v>
      </c>
    </row>
    <row r="55" spans="1:8" ht="18" customHeight="1">
      <c r="A55" s="17">
        <v>42016</v>
      </c>
      <c r="B55" s="16" t="s">
        <v>62</v>
      </c>
      <c r="C55" s="16">
        <v>5</v>
      </c>
      <c r="E55" s="16" t="s">
        <v>64</v>
      </c>
      <c r="F55" s="446">
        <f t="shared" si="0"/>
        <v>0</v>
      </c>
      <c r="G55" s="446">
        <f t="shared" si="0"/>
        <v>6</v>
      </c>
      <c r="H55" s="16">
        <f t="shared" si="0"/>
        <v>0</v>
      </c>
    </row>
    <row r="56" spans="1:8" ht="18" customHeight="1">
      <c r="A56" s="19">
        <v>42045</v>
      </c>
      <c r="B56" s="18" t="s">
        <v>61</v>
      </c>
      <c r="C56" s="18">
        <v>18</v>
      </c>
      <c r="E56" s="18" t="s">
        <v>65</v>
      </c>
      <c r="F56" s="766">
        <f t="shared" si="0"/>
        <v>0</v>
      </c>
      <c r="G56" s="766">
        <f t="shared" si="0"/>
        <v>11</v>
      </c>
      <c r="H56" s="18">
        <f t="shared" si="0"/>
        <v>0</v>
      </c>
    </row>
    <row r="57" spans="1:8" ht="18" customHeight="1">
      <c r="A57" s="17">
        <v>42046</v>
      </c>
      <c r="B57" s="16" t="s">
        <v>63</v>
      </c>
      <c r="C57" s="16">
        <v>19</v>
      </c>
      <c r="E57" s="16" t="s">
        <v>66</v>
      </c>
      <c r="F57" s="446">
        <f t="shared" si="0"/>
        <v>0</v>
      </c>
      <c r="G57" s="446">
        <f t="shared" si="0"/>
        <v>0</v>
      </c>
      <c r="H57" s="16">
        <f t="shared" si="0"/>
        <v>0</v>
      </c>
    </row>
    <row r="58" spans="1:8" ht="18" customHeight="1">
      <c r="A58" s="19">
        <v>42050</v>
      </c>
      <c r="B58" s="18" t="s">
        <v>64</v>
      </c>
      <c r="C58" s="18">
        <v>6</v>
      </c>
      <c r="E58" s="18" t="s">
        <v>67</v>
      </c>
      <c r="F58" s="766">
        <f t="shared" si="0"/>
        <v>0</v>
      </c>
      <c r="G58" s="766">
        <f t="shared" si="0"/>
        <v>0</v>
      </c>
      <c r="H58" s="18">
        <f t="shared" si="0"/>
        <v>0</v>
      </c>
    </row>
    <row r="59" spans="1:8" ht="18" customHeight="1">
      <c r="A59" s="17">
        <v>42050</v>
      </c>
      <c r="B59" s="16" t="s">
        <v>63</v>
      </c>
      <c r="C59" s="16">
        <v>15</v>
      </c>
      <c r="E59" s="767" t="s">
        <v>68</v>
      </c>
      <c r="F59" s="768">
        <f t="shared" si="0"/>
        <v>0</v>
      </c>
      <c r="G59" s="768">
        <f t="shared" si="0"/>
        <v>0</v>
      </c>
      <c r="H59" s="767">
        <f t="shared" si="0"/>
        <v>0</v>
      </c>
    </row>
    <row r="60" spans="1:8" ht="18" customHeight="1">
      <c r="A60" s="19">
        <v>42050</v>
      </c>
      <c r="B60" s="18" t="s">
        <v>65</v>
      </c>
      <c r="C60" s="18">
        <v>11</v>
      </c>
    </row>
    <row r="61" spans="1:8" ht="18" customHeight="1">
      <c r="A61" s="769">
        <v>42053</v>
      </c>
      <c r="B61" s="767" t="s">
        <v>61</v>
      </c>
      <c r="C61" s="767">
        <v>16</v>
      </c>
      <c r="F61" s="749" t="s">
        <v>69</v>
      </c>
    </row>
    <row r="63" spans="1:8" ht="18" customHeight="1">
      <c r="A63" s="742" t="s">
        <v>70</v>
      </c>
      <c r="D63" s="1" t="s">
        <v>71</v>
      </c>
    </row>
    <row r="64" spans="1:8" ht="18" customHeight="1">
      <c r="A64" s="770" t="s">
        <v>72</v>
      </c>
      <c r="B64" s="771" t="s">
        <v>45</v>
      </c>
      <c r="C64" s="772" t="s">
        <v>46</v>
      </c>
      <c r="D64" s="1" t="s">
        <v>73</v>
      </c>
    </row>
    <row r="65" spans="1:22" ht="18" customHeight="1">
      <c r="A65" s="781" t="s">
        <v>13</v>
      </c>
      <c r="B65" s="782">
        <v>3</v>
      </c>
      <c r="C65" s="783">
        <v>11</v>
      </c>
      <c r="D65" s="1" t="s">
        <v>74</v>
      </c>
    </row>
    <row r="66" spans="1:22" ht="18" customHeight="1">
      <c r="A66" s="784" t="s">
        <v>14</v>
      </c>
      <c r="B66" s="785">
        <v>5</v>
      </c>
      <c r="C66" s="786">
        <v>26</v>
      </c>
    </row>
    <row r="67" spans="1:22" ht="18" customHeight="1" thickBot="1">
      <c r="A67" s="787" t="s">
        <v>15</v>
      </c>
      <c r="B67" s="788">
        <v>7</v>
      </c>
      <c r="C67" s="789">
        <v>24</v>
      </c>
    </row>
    <row r="68" spans="1:22" ht="18" customHeight="1">
      <c r="L68" s="933" t="s">
        <v>75</v>
      </c>
      <c r="M68" s="324"/>
      <c r="N68" s="324"/>
      <c r="O68" s="324"/>
      <c r="P68" s="324"/>
      <c r="Q68" s="324"/>
      <c r="R68" s="324"/>
      <c r="S68" s="324"/>
      <c r="T68" s="324"/>
      <c r="U68" s="324"/>
      <c r="V68" s="325"/>
    </row>
    <row r="69" spans="1:22" ht="18" customHeight="1">
      <c r="A69" s="16" t="s">
        <v>14</v>
      </c>
      <c r="B69" s="378">
        <f>VLOOKUP(A69,A64:C67,3,0)</f>
        <v>26</v>
      </c>
      <c r="D69" s="749" t="s">
        <v>76</v>
      </c>
      <c r="L69" s="254"/>
      <c r="M69" s="116" t="s">
        <v>77</v>
      </c>
      <c r="N69" s="116"/>
      <c r="O69" s="116"/>
      <c r="P69" s="116"/>
      <c r="Q69" s="116"/>
      <c r="R69" s="116"/>
      <c r="S69" s="116"/>
      <c r="T69" s="116"/>
      <c r="U69" s="116"/>
      <c r="V69" s="326"/>
    </row>
    <row r="70" spans="1:22" ht="18" customHeight="1">
      <c r="L70" s="254"/>
      <c r="M70" s="116"/>
      <c r="N70" s="804" t="s">
        <v>78</v>
      </c>
      <c r="O70" s="116"/>
      <c r="P70" s="116"/>
      <c r="Q70" s="116"/>
      <c r="R70" s="116"/>
      <c r="S70" s="116"/>
      <c r="T70" s="116"/>
      <c r="U70" s="116"/>
      <c r="V70" s="326"/>
    </row>
    <row r="71" spans="1:22" ht="18" customHeight="1" thickBot="1">
      <c r="A71" s="56" t="s">
        <v>46</v>
      </c>
      <c r="B71" s="58" t="s">
        <v>72</v>
      </c>
      <c r="L71" s="254"/>
      <c r="M71" s="116"/>
      <c r="N71" s="116"/>
      <c r="O71" s="116" t="s">
        <v>79</v>
      </c>
      <c r="P71" s="116"/>
      <c r="Q71" s="116"/>
      <c r="R71" s="116"/>
      <c r="S71" s="116"/>
      <c r="T71" s="116"/>
      <c r="U71" s="116"/>
      <c r="V71" s="326"/>
    </row>
    <row r="72" spans="1:22" ht="18" customHeight="1" thickTop="1">
      <c r="A72" s="790">
        <v>26</v>
      </c>
      <c r="B72" s="791" t="str">
        <f>INDEX(A65:A67,MATCH(A72,C65:C67,0),MATCH(B71,A64:C64,0))</f>
        <v>员工B</v>
      </c>
      <c r="D72" s="749" t="s">
        <v>80</v>
      </c>
      <c r="L72" s="254"/>
      <c r="M72" s="116"/>
      <c r="N72" s="116"/>
      <c r="O72" s="116" t="s">
        <v>81</v>
      </c>
      <c r="P72" s="116"/>
      <c r="Q72" s="116"/>
      <c r="R72" s="116"/>
      <c r="S72" s="116"/>
      <c r="T72" s="116"/>
      <c r="U72" s="116"/>
      <c r="V72" s="326"/>
    </row>
    <row r="73" spans="1:22" ht="18" customHeight="1">
      <c r="L73" s="254"/>
      <c r="M73" s="116"/>
      <c r="N73" s="116"/>
      <c r="O73" s="116" t="s">
        <v>82</v>
      </c>
      <c r="P73" s="116"/>
      <c r="Q73" s="116"/>
      <c r="R73" s="116"/>
      <c r="S73" s="116"/>
      <c r="T73" s="116"/>
      <c r="U73" s="116"/>
      <c r="V73" s="326"/>
    </row>
    <row r="74" spans="1:22" ht="18" customHeight="1">
      <c r="B74" s="750" t="s">
        <v>83</v>
      </c>
      <c r="L74" s="254"/>
      <c r="M74" s="116"/>
      <c r="N74" s="116"/>
      <c r="O74" s="116"/>
      <c r="P74" s="116"/>
      <c r="Q74" s="116"/>
      <c r="R74" s="116"/>
      <c r="S74" s="116"/>
      <c r="T74" s="116"/>
      <c r="U74" s="116"/>
      <c r="V74" s="326"/>
    </row>
    <row r="75" spans="1:22" ht="18" customHeight="1">
      <c r="A75" s="742" t="s">
        <v>84</v>
      </c>
      <c r="B75" s="792"/>
      <c r="C75" s="792"/>
      <c r="D75" s="792"/>
      <c r="E75" s="792"/>
      <c r="F75" s="792"/>
      <c r="G75" s="792"/>
      <c r="H75" s="792"/>
      <c r="I75" s="792"/>
      <c r="J75" s="792"/>
      <c r="L75" s="254"/>
      <c r="M75" s="116"/>
      <c r="N75" s="116"/>
      <c r="O75" s="116"/>
      <c r="P75" s="116"/>
      <c r="Q75" s="116"/>
      <c r="R75" s="116"/>
      <c r="S75" s="116"/>
      <c r="T75" s="116"/>
      <c r="U75" s="116"/>
      <c r="V75" s="326"/>
    </row>
    <row r="76" spans="1:22" ht="18" customHeight="1" thickBot="1">
      <c r="A76" s="793" t="s">
        <v>85</v>
      </c>
      <c r="B76" s="49" t="s">
        <v>86</v>
      </c>
      <c r="C76" s="49" t="s">
        <v>87</v>
      </c>
      <c r="E76" s="792"/>
      <c r="F76" s="792"/>
      <c r="G76" s="792"/>
      <c r="H76" s="792"/>
      <c r="I76" s="792"/>
      <c r="J76" s="792"/>
      <c r="L76" s="254"/>
      <c r="M76" s="116" t="s">
        <v>88</v>
      </c>
      <c r="N76" s="116"/>
      <c r="O76" s="116"/>
      <c r="P76" s="116"/>
      <c r="Q76" s="116"/>
      <c r="R76" s="116"/>
      <c r="S76" s="116"/>
      <c r="T76" s="116"/>
      <c r="U76" s="116"/>
      <c r="V76" s="326"/>
    </row>
    <row r="77" spans="1:22" ht="18" customHeight="1" thickTop="1">
      <c r="A77" s="50">
        <v>40910</v>
      </c>
      <c r="B77" s="51" t="s">
        <v>61</v>
      </c>
      <c r="C77" s="51">
        <v>10</v>
      </c>
      <c r="E77" s="792"/>
      <c r="F77" s="792"/>
      <c r="G77" s="792"/>
      <c r="H77" s="792"/>
      <c r="I77" s="792"/>
      <c r="J77" s="792"/>
      <c r="L77" s="254"/>
      <c r="M77" s="116" t="s">
        <v>89</v>
      </c>
      <c r="N77" s="116"/>
      <c r="O77" s="116"/>
      <c r="P77" s="116"/>
      <c r="Q77" s="116"/>
      <c r="R77" s="116"/>
      <c r="S77" s="116"/>
      <c r="T77" s="116"/>
      <c r="U77" s="116"/>
      <c r="V77" s="326"/>
    </row>
    <row r="78" spans="1:22" ht="18" customHeight="1">
      <c r="A78" s="794">
        <v>40911</v>
      </c>
      <c r="B78" s="795" t="s">
        <v>62</v>
      </c>
      <c r="C78" s="795">
        <v>34</v>
      </c>
      <c r="E78" s="792"/>
      <c r="F78" s="792"/>
      <c r="G78" s="792"/>
      <c r="H78" s="792"/>
      <c r="I78" s="792"/>
      <c r="J78" s="792"/>
      <c r="L78" s="254"/>
      <c r="M78" s="116"/>
      <c r="N78" s="116"/>
      <c r="O78" s="116"/>
      <c r="P78" s="116"/>
      <c r="Q78" s="116"/>
      <c r="R78" s="116"/>
      <c r="S78" s="116"/>
      <c r="T78" s="116"/>
      <c r="U78" s="116"/>
      <c r="V78" s="326"/>
    </row>
    <row r="79" spans="1:22" ht="18" customHeight="1">
      <c r="A79" s="54">
        <v>40912</v>
      </c>
      <c r="B79" s="55" t="s">
        <v>61</v>
      </c>
      <c r="C79" s="55">
        <v>19</v>
      </c>
      <c r="E79" s="792"/>
      <c r="F79" s="792"/>
      <c r="G79" s="792"/>
      <c r="H79" s="792"/>
      <c r="I79" s="792"/>
      <c r="J79" s="792"/>
      <c r="L79" s="254"/>
      <c r="M79" s="116" t="s">
        <v>90</v>
      </c>
      <c r="N79" s="116"/>
      <c r="O79" s="116"/>
      <c r="P79" s="116"/>
      <c r="Q79" s="116"/>
      <c r="R79" s="116"/>
      <c r="S79" s="116"/>
      <c r="T79" s="116"/>
      <c r="U79" s="116"/>
      <c r="V79" s="326"/>
    </row>
    <row r="80" spans="1:22" ht="18" customHeight="1">
      <c r="A80" s="794">
        <v>40913</v>
      </c>
      <c r="B80" s="795" t="s">
        <v>66</v>
      </c>
      <c r="C80" s="795">
        <v>25</v>
      </c>
      <c r="E80" s="792"/>
      <c r="F80" s="792"/>
      <c r="G80" s="792"/>
      <c r="H80" s="792"/>
      <c r="I80" s="792"/>
      <c r="J80" s="792"/>
      <c r="L80" s="254"/>
      <c r="M80" s="804" t="s">
        <v>91</v>
      </c>
      <c r="N80" s="116"/>
      <c r="O80" s="116"/>
      <c r="P80" s="116"/>
      <c r="Q80" s="116"/>
      <c r="R80" s="116"/>
      <c r="S80" s="116"/>
      <c r="T80" s="116"/>
      <c r="U80" s="116"/>
      <c r="V80" s="326"/>
    </row>
    <row r="81" spans="1:22" ht="18" customHeight="1">
      <c r="A81" s="54">
        <v>40914</v>
      </c>
      <c r="B81" s="55" t="s">
        <v>61</v>
      </c>
      <c r="C81" s="55">
        <v>12</v>
      </c>
      <c r="E81" s="792"/>
      <c r="F81" s="792"/>
      <c r="G81" s="792"/>
      <c r="H81" s="792"/>
      <c r="I81" s="792"/>
      <c r="J81" s="792"/>
      <c r="L81" s="254"/>
      <c r="M81" s="116" t="s">
        <v>92</v>
      </c>
      <c r="N81" s="116"/>
      <c r="O81" s="116"/>
      <c r="P81" s="116"/>
      <c r="Q81" s="116"/>
      <c r="R81" s="116"/>
      <c r="S81" s="116"/>
      <c r="T81" s="116"/>
      <c r="U81" s="116"/>
      <c r="V81" s="326"/>
    </row>
    <row r="82" spans="1:22" ht="18" customHeight="1">
      <c r="A82" s="794">
        <v>40915</v>
      </c>
      <c r="B82" s="795" t="s">
        <v>63</v>
      </c>
      <c r="C82" s="795">
        <v>25</v>
      </c>
      <c r="E82" s="792"/>
      <c r="F82" s="792"/>
      <c r="G82" s="792"/>
      <c r="H82" s="792"/>
      <c r="I82" s="792"/>
      <c r="J82" s="792"/>
      <c r="L82" s="254"/>
      <c r="M82" s="804" t="s">
        <v>93</v>
      </c>
      <c r="N82" s="116"/>
      <c r="O82" s="116"/>
      <c r="P82" s="116"/>
      <c r="Q82" s="116"/>
      <c r="R82" s="116"/>
      <c r="S82" s="116"/>
      <c r="T82" s="116"/>
      <c r="U82" s="116"/>
      <c r="V82" s="326"/>
    </row>
    <row r="83" spans="1:22" ht="18" customHeight="1">
      <c r="A83" s="792"/>
      <c r="B83" s="792"/>
      <c r="C83" s="792"/>
      <c r="D83" s="792"/>
      <c r="E83" s="792"/>
      <c r="F83" s="792"/>
      <c r="G83" s="792"/>
      <c r="H83" s="792"/>
      <c r="I83" s="792"/>
      <c r="J83" s="792"/>
      <c r="L83" s="254"/>
      <c r="M83" s="116"/>
      <c r="N83" s="116"/>
      <c r="O83" s="116"/>
      <c r="P83" s="116"/>
      <c r="Q83" s="116"/>
      <c r="R83" s="116"/>
      <c r="S83" s="116"/>
      <c r="T83" s="116"/>
      <c r="U83" s="116"/>
      <c r="V83" s="326"/>
    </row>
    <row r="84" spans="1:22" ht="18" customHeight="1" thickBot="1">
      <c r="A84" s="56" t="s">
        <v>85</v>
      </c>
      <c r="B84" s="57">
        <v>40910</v>
      </c>
      <c r="D84" s="792"/>
      <c r="E84" s="792"/>
      <c r="F84" s="792"/>
      <c r="G84" s="792"/>
      <c r="H84" s="792"/>
      <c r="I84" s="792"/>
      <c r="J84" s="792"/>
      <c r="L84" s="254"/>
      <c r="M84" s="804" t="s">
        <v>94</v>
      </c>
      <c r="N84" s="116"/>
      <c r="O84" s="116"/>
      <c r="P84" s="116"/>
      <c r="Q84" s="116"/>
      <c r="R84" s="116"/>
      <c r="S84" s="116"/>
      <c r="T84" s="116"/>
      <c r="U84" s="116"/>
      <c r="V84" s="326"/>
    </row>
    <row r="85" spans="1:22" ht="18" customHeight="1" thickTop="1" thickBot="1">
      <c r="A85" s="58" t="s">
        <v>86</v>
      </c>
      <c r="B85" s="59" t="s">
        <v>61</v>
      </c>
      <c r="D85" s="792"/>
      <c r="E85" s="792"/>
      <c r="F85" s="792"/>
      <c r="G85" s="792"/>
      <c r="H85" s="792"/>
      <c r="I85" s="792"/>
      <c r="J85" s="792"/>
      <c r="L85" s="254"/>
      <c r="M85" s="116"/>
      <c r="N85" s="116"/>
      <c r="O85" s="116"/>
      <c r="P85" s="116"/>
      <c r="Q85" s="116"/>
      <c r="R85" s="116"/>
      <c r="S85" s="116"/>
      <c r="T85" s="116"/>
      <c r="U85" s="116"/>
      <c r="V85" s="326"/>
    </row>
    <row r="86" spans="1:22" ht="18" customHeight="1" thickTop="1" thickBot="1">
      <c r="A86" s="60" t="s">
        <v>87</v>
      </c>
      <c r="B86" s="796">
        <f>LOOKUP(1,0/((函数讲义!$A$77:$A$82=B84)*(函数讲义!$B$77:$B$82=B85)),(函数讲义!$C$77:$C$82))</f>
        <v>10</v>
      </c>
      <c r="D86" s="749" t="s">
        <v>2582</v>
      </c>
      <c r="E86" s="792"/>
      <c r="F86" s="792"/>
      <c r="G86" s="792"/>
      <c r="H86" s="792"/>
      <c r="I86" s="792"/>
      <c r="J86" s="792"/>
      <c r="L86" s="254"/>
      <c r="M86" s="116" t="s">
        <v>2583</v>
      </c>
      <c r="N86" s="116"/>
      <c r="O86" s="116"/>
      <c r="P86" s="116"/>
      <c r="Q86" s="116"/>
      <c r="R86" s="116"/>
      <c r="S86" s="116"/>
      <c r="T86" s="116"/>
      <c r="U86" s="116"/>
      <c r="V86" s="326"/>
    </row>
    <row r="87" spans="1:22" ht="18" customHeight="1" thickTop="1">
      <c r="A87" s="792"/>
      <c r="B87" s="792"/>
      <c r="C87" s="792"/>
      <c r="D87" s="792"/>
      <c r="E87" s="792"/>
      <c r="F87" s="792"/>
      <c r="G87" s="792"/>
      <c r="H87" s="792"/>
      <c r="I87" s="792"/>
      <c r="J87" s="792"/>
      <c r="L87" s="254"/>
      <c r="M87" s="116"/>
      <c r="N87" s="116"/>
      <c r="O87" s="116"/>
      <c r="P87" s="116"/>
      <c r="Q87" s="116"/>
      <c r="R87" s="116"/>
      <c r="S87" s="116"/>
      <c r="T87" s="116"/>
      <c r="U87" s="116"/>
      <c r="V87" s="326"/>
    </row>
    <row r="88" spans="1:22" ht="18" customHeight="1">
      <c r="A88" s="792"/>
      <c r="B88" s="750" t="s">
        <v>2581</v>
      </c>
      <c r="C88" s="792"/>
      <c r="D88" s="792"/>
      <c r="E88" s="792"/>
      <c r="F88" s="792"/>
      <c r="G88" s="792"/>
      <c r="H88" s="792"/>
      <c r="I88" s="792"/>
      <c r="J88" s="792"/>
      <c r="L88" s="254"/>
      <c r="M88" s="116"/>
      <c r="N88" s="116"/>
      <c r="O88" s="116"/>
      <c r="P88" s="116"/>
      <c r="Q88" s="116"/>
      <c r="R88" s="116"/>
      <c r="S88" s="116"/>
      <c r="T88" s="116"/>
      <c r="U88" s="116"/>
      <c r="V88" s="326"/>
    </row>
    <row r="89" spans="1:22" ht="18" customHeight="1">
      <c r="A89" s="792"/>
      <c r="B89" s="792"/>
      <c r="C89" s="792"/>
      <c r="D89" s="792"/>
      <c r="E89" s="792"/>
      <c r="F89" s="792"/>
      <c r="G89" s="792"/>
      <c r="H89" s="792"/>
      <c r="I89" s="792"/>
      <c r="J89" s="792"/>
      <c r="L89" s="254"/>
      <c r="M89" s="116"/>
      <c r="N89" s="116"/>
      <c r="O89" s="116"/>
      <c r="P89" s="116"/>
      <c r="Q89" s="116"/>
      <c r="R89" s="116"/>
      <c r="S89" s="116"/>
      <c r="T89" s="116"/>
      <c r="U89" s="116"/>
      <c r="V89" s="326"/>
    </row>
    <row r="90" spans="1:22" ht="30.75" customHeight="1" thickBot="1">
      <c r="A90" s="797" t="s">
        <v>95</v>
      </c>
      <c r="B90" s="798" t="s">
        <v>61</v>
      </c>
      <c r="C90" s="798" t="s">
        <v>62</v>
      </c>
      <c r="D90" s="798" t="s">
        <v>63</v>
      </c>
      <c r="E90" s="798" t="s">
        <v>64</v>
      </c>
      <c r="F90" s="792"/>
      <c r="G90" s="792"/>
      <c r="H90" s="792"/>
      <c r="I90" s="792"/>
      <c r="J90" s="792"/>
      <c r="L90" s="254"/>
      <c r="M90" s="116"/>
      <c r="N90" s="116"/>
      <c r="O90" s="116"/>
      <c r="P90" s="116"/>
      <c r="Q90" s="116"/>
      <c r="R90" s="116"/>
      <c r="S90" s="116"/>
      <c r="T90" s="116"/>
      <c r="U90" s="116"/>
      <c r="V90" s="326"/>
    </row>
    <row r="91" spans="1:22" ht="18" customHeight="1" thickTop="1">
      <c r="A91" s="85" t="s">
        <v>26</v>
      </c>
      <c r="B91" s="51">
        <v>4</v>
      </c>
      <c r="C91" s="51"/>
      <c r="D91" s="51"/>
      <c r="E91" s="51"/>
      <c r="F91" s="792"/>
      <c r="G91" s="792"/>
      <c r="H91" s="792"/>
      <c r="I91" s="792"/>
      <c r="J91" s="792"/>
      <c r="L91" s="254"/>
      <c r="M91" s="242" t="s">
        <v>96</v>
      </c>
      <c r="N91" s="244">
        <f>LOOKUP(10,MID(M91,ROW($1:$6),1)/1)</f>
        <v>1</v>
      </c>
      <c r="O91" s="116"/>
      <c r="P91" s="804" t="s">
        <v>97</v>
      </c>
      <c r="Q91" s="116"/>
      <c r="R91" s="116"/>
      <c r="S91" s="116"/>
      <c r="T91" s="116"/>
      <c r="U91" s="116"/>
      <c r="V91" s="326"/>
    </row>
    <row r="92" spans="1:22" ht="18" customHeight="1">
      <c r="A92" s="799" t="s">
        <v>27</v>
      </c>
      <c r="B92" s="795"/>
      <c r="C92" s="795"/>
      <c r="D92" s="795"/>
      <c r="E92" s="795"/>
      <c r="F92" s="792"/>
      <c r="G92" s="792"/>
      <c r="H92" s="792"/>
      <c r="I92" s="792"/>
      <c r="J92" s="792"/>
      <c r="L92" s="254"/>
      <c r="M92" s="763" t="s">
        <v>98</v>
      </c>
      <c r="N92" s="251">
        <f>-LOOKUP(0,-MID(M92,ROW($1:$6),1))</f>
        <v>5</v>
      </c>
      <c r="O92" s="116"/>
      <c r="P92" s="804" t="s">
        <v>99</v>
      </c>
      <c r="Q92" s="116"/>
      <c r="R92" s="116"/>
      <c r="S92" s="116"/>
      <c r="T92" s="116"/>
      <c r="U92" s="116"/>
      <c r="V92" s="326"/>
    </row>
    <row r="93" spans="1:22" ht="18" customHeight="1">
      <c r="A93" s="87" t="s">
        <v>28</v>
      </c>
      <c r="B93" s="55"/>
      <c r="C93" s="55"/>
      <c r="D93" s="55"/>
      <c r="E93" s="55"/>
      <c r="F93" s="792"/>
      <c r="G93" s="792"/>
      <c r="H93" s="792"/>
      <c r="I93" s="792"/>
      <c r="J93" s="792"/>
      <c r="L93" s="254"/>
      <c r="M93" s="116"/>
      <c r="N93" s="116"/>
      <c r="O93" s="116"/>
      <c r="P93" s="116" t="s">
        <v>100</v>
      </c>
      <c r="Q93" s="116"/>
      <c r="R93" s="116"/>
      <c r="S93" s="116"/>
      <c r="T93" s="116"/>
      <c r="U93" s="116"/>
      <c r="V93" s="326"/>
    </row>
    <row r="94" spans="1:22" ht="18" customHeight="1">
      <c r="A94" s="799" t="s">
        <v>101</v>
      </c>
      <c r="B94" s="795">
        <v>1</v>
      </c>
      <c r="C94" s="795"/>
      <c r="D94" s="795">
        <v>83</v>
      </c>
      <c r="E94" s="795"/>
      <c r="F94" s="792"/>
      <c r="G94" s="792"/>
      <c r="H94" s="792"/>
      <c r="I94" s="792"/>
      <c r="J94" s="792"/>
      <c r="L94" s="254"/>
      <c r="M94" s="116"/>
      <c r="N94" s="116"/>
      <c r="O94" s="116"/>
      <c r="P94" s="116"/>
      <c r="Q94" s="116"/>
      <c r="R94" s="116"/>
      <c r="S94" s="116"/>
      <c r="T94" s="116"/>
      <c r="U94" s="116"/>
      <c r="V94" s="326"/>
    </row>
    <row r="95" spans="1:22" ht="18" customHeight="1">
      <c r="A95" s="87" t="s">
        <v>102</v>
      </c>
      <c r="B95" s="55"/>
      <c r="C95" s="55">
        <v>53</v>
      </c>
      <c r="D95" s="55"/>
      <c r="E95" s="55"/>
      <c r="F95" s="792"/>
      <c r="G95" s="792"/>
      <c r="H95" s="792"/>
      <c r="I95" s="792"/>
      <c r="J95" s="792"/>
      <c r="L95" s="254"/>
      <c r="M95" s="116"/>
      <c r="N95" s="116"/>
      <c r="O95" s="116"/>
      <c r="P95" s="116"/>
      <c r="Q95" s="116"/>
      <c r="R95" s="116"/>
      <c r="S95" s="116"/>
      <c r="T95" s="116"/>
      <c r="U95" s="116"/>
      <c r="V95" s="326"/>
    </row>
    <row r="96" spans="1:22" ht="18" customHeight="1">
      <c r="A96" s="799" t="s">
        <v>103</v>
      </c>
      <c r="B96" s="795"/>
      <c r="C96" s="795"/>
      <c r="D96" s="795"/>
      <c r="E96" s="795">
        <v>83</v>
      </c>
      <c r="F96" s="792"/>
      <c r="G96" s="792"/>
      <c r="H96" s="792"/>
      <c r="I96" s="792"/>
      <c r="J96" s="792"/>
      <c r="L96" s="254"/>
      <c r="M96" s="116"/>
      <c r="N96" s="116"/>
      <c r="O96" s="116"/>
      <c r="P96" s="116"/>
      <c r="Q96" s="116"/>
      <c r="R96" s="116"/>
      <c r="S96" s="116"/>
      <c r="T96" s="116"/>
      <c r="U96" s="116"/>
      <c r="V96" s="326"/>
    </row>
    <row r="97" spans="1:22" ht="18" customHeight="1">
      <c r="A97" s="87" t="s">
        <v>104</v>
      </c>
      <c r="B97" s="55">
        <v>83</v>
      </c>
      <c r="C97" s="55"/>
      <c r="D97" s="55"/>
      <c r="E97" s="55"/>
      <c r="F97" s="792"/>
      <c r="G97" s="792"/>
      <c r="H97" s="792"/>
      <c r="I97" s="792"/>
      <c r="J97" s="792"/>
      <c r="L97" s="254"/>
      <c r="M97" s="481" t="s">
        <v>105</v>
      </c>
      <c r="N97" s="934" t="s">
        <v>106</v>
      </c>
      <c r="O97" s="323" t="str">
        <f>LOOKUP("坐",M97:M104)</f>
        <v>朝鲜族4</v>
      </c>
      <c r="P97" s="116"/>
      <c r="Q97" s="804" t="s">
        <v>107</v>
      </c>
      <c r="R97" s="116"/>
      <c r="S97" s="116"/>
      <c r="T97" s="116"/>
      <c r="U97" s="116"/>
      <c r="V97" s="326"/>
    </row>
    <row r="98" spans="1:22" ht="18" customHeight="1">
      <c r="A98" s="799" t="s">
        <v>108</v>
      </c>
      <c r="B98" s="795"/>
      <c r="C98" s="795"/>
      <c r="D98" s="795">
        <v>38</v>
      </c>
      <c r="E98" s="795"/>
      <c r="F98" s="792"/>
      <c r="G98" s="792"/>
      <c r="H98" s="792"/>
      <c r="I98" s="792"/>
      <c r="J98" s="792"/>
      <c r="L98" s="254"/>
      <c r="M98" s="931" t="s">
        <v>109</v>
      </c>
      <c r="N98" s="934" t="s">
        <v>110</v>
      </c>
      <c r="O98" s="323">
        <f>LOOKUP(4^8,$M$97:$M$110)</f>
        <v>654</v>
      </c>
      <c r="P98" s="116"/>
      <c r="Q98" s="804" t="s">
        <v>111</v>
      </c>
      <c r="R98" s="116"/>
      <c r="S98" s="116"/>
      <c r="T98" s="116"/>
      <c r="U98" s="116"/>
      <c r="V98" s="326"/>
    </row>
    <row r="99" spans="1:22" ht="18" customHeight="1">
      <c r="A99" s="87" t="s">
        <v>112</v>
      </c>
      <c r="B99" s="55">
        <v>3</v>
      </c>
      <c r="C99" s="55"/>
      <c r="D99" s="55"/>
      <c r="E99" s="55"/>
      <c r="F99" s="792"/>
      <c r="G99" s="792"/>
      <c r="H99" s="792"/>
      <c r="I99" s="792"/>
      <c r="J99" s="792"/>
      <c r="L99" s="254"/>
      <c r="M99" s="931" t="s">
        <v>113</v>
      </c>
      <c r="N99" s="934" t="s">
        <v>114</v>
      </c>
      <c r="O99" s="323" t="str">
        <f t="array" ref="O99">LOOKUP(1,0/($M$97:$M$109&lt;&gt;""),$M$97:$M$109)</f>
        <v>a</v>
      </c>
      <c r="P99" s="116"/>
      <c r="Q99" s="804" t="s">
        <v>115</v>
      </c>
      <c r="R99" s="116"/>
      <c r="S99" s="116"/>
      <c r="T99" s="116"/>
      <c r="U99" s="116"/>
      <c r="V99" s="326"/>
    </row>
    <row r="100" spans="1:22" ht="18" customHeight="1">
      <c r="A100" s="799" t="s">
        <v>116</v>
      </c>
      <c r="B100" s="795"/>
      <c r="C100" s="795"/>
      <c r="D100" s="795"/>
      <c r="E100" s="795"/>
      <c r="F100" s="792"/>
      <c r="G100" s="792"/>
      <c r="H100" s="792"/>
      <c r="I100" s="792"/>
      <c r="J100" s="792"/>
      <c r="L100" s="254"/>
      <c r="M100" s="931">
        <v>4.5</v>
      </c>
      <c r="N100" s="116"/>
      <c r="O100" s="116"/>
      <c r="P100" s="116"/>
      <c r="Q100" s="116"/>
      <c r="R100" s="116"/>
      <c r="S100" s="116"/>
      <c r="T100" s="116"/>
      <c r="U100" s="116"/>
      <c r="V100" s="326"/>
    </row>
    <row r="101" spans="1:22" ht="18" customHeight="1">
      <c r="A101" s="87" t="s">
        <v>117</v>
      </c>
      <c r="B101" s="55"/>
      <c r="C101" s="55"/>
      <c r="D101" s="55"/>
      <c r="E101" s="55"/>
      <c r="F101" s="792"/>
      <c r="G101" s="792"/>
      <c r="H101" s="792"/>
      <c r="I101" s="792"/>
      <c r="J101" s="792"/>
      <c r="L101" s="254"/>
      <c r="M101" s="931" t="s">
        <v>118</v>
      </c>
      <c r="N101" s="116"/>
      <c r="O101" s="116"/>
      <c r="P101" s="116"/>
      <c r="Q101" s="116"/>
      <c r="R101" s="116"/>
      <c r="S101" s="116"/>
      <c r="T101" s="116"/>
      <c r="U101" s="116"/>
      <c r="V101" s="326"/>
    </row>
    <row r="102" spans="1:22" ht="18" customHeight="1">
      <c r="A102" s="799" t="s">
        <v>119</v>
      </c>
      <c r="B102" s="795"/>
      <c r="C102" s="795">
        <v>838</v>
      </c>
      <c r="D102" s="795"/>
      <c r="E102" s="795">
        <v>48</v>
      </c>
      <c r="F102" s="792"/>
      <c r="G102" s="792"/>
      <c r="H102" s="792"/>
      <c r="I102" s="792"/>
      <c r="J102" s="792"/>
      <c r="L102" s="254"/>
      <c r="M102" s="931" t="s">
        <v>120</v>
      </c>
      <c r="N102" s="116"/>
      <c r="O102" s="116"/>
      <c r="P102" s="116"/>
      <c r="Q102" s="116"/>
      <c r="R102" s="116"/>
      <c r="S102" s="116"/>
      <c r="T102" s="116"/>
      <c r="U102" s="116"/>
      <c r="V102" s="326"/>
    </row>
    <row r="103" spans="1:22" ht="18" customHeight="1">
      <c r="A103" s="800" t="s">
        <v>121</v>
      </c>
      <c r="B103" s="454" t="str">
        <f>LOOKUP(1,0/(B91:B102&lt;&gt;""),$A$91:$A$102)</f>
        <v>9月</v>
      </c>
      <c r="C103" s="454" t="str">
        <f>LOOKUP(1,0/(C91:C102&lt;&gt;""),$A$91:$A$102)</f>
        <v>12月</v>
      </c>
      <c r="D103" s="454" t="str">
        <f>LOOKUP(1,0/(D91:D102&lt;&gt;""),$A$91:$A$102)</f>
        <v>8月</v>
      </c>
      <c r="E103" s="454" t="str">
        <f>LOOKUP(1,0/(E91:E102&lt;&gt;""),$A$91:$A$102)</f>
        <v>12月</v>
      </c>
      <c r="F103" s="792"/>
      <c r="G103" s="749" t="s">
        <v>122</v>
      </c>
      <c r="H103" s="792"/>
      <c r="I103" s="792"/>
      <c r="J103" s="792"/>
      <c r="L103" s="254"/>
      <c r="M103" s="931" t="s">
        <v>123</v>
      </c>
      <c r="N103" s="116"/>
      <c r="O103" s="116"/>
      <c r="P103" s="116"/>
      <c r="Q103" s="116"/>
      <c r="R103" s="116"/>
      <c r="S103" s="116"/>
      <c r="T103" s="116"/>
      <c r="U103" s="116"/>
      <c r="V103" s="326"/>
    </row>
    <row r="104" spans="1:22" ht="18" customHeight="1">
      <c r="A104" s="792"/>
      <c r="B104" s="792"/>
      <c r="C104" s="792"/>
      <c r="D104" s="792"/>
      <c r="E104" s="792"/>
      <c r="F104" s="792"/>
      <c r="G104" s="792"/>
      <c r="H104" s="792"/>
      <c r="I104" s="792"/>
      <c r="J104" s="792"/>
      <c r="L104" s="254"/>
      <c r="M104" s="932">
        <v>654</v>
      </c>
      <c r="N104" s="116"/>
      <c r="O104" s="116"/>
      <c r="P104" s="116"/>
      <c r="Q104" s="116"/>
      <c r="R104" s="116"/>
      <c r="S104" s="116"/>
      <c r="T104" s="116"/>
      <c r="U104" s="116"/>
      <c r="V104" s="326"/>
    </row>
    <row r="105" spans="1:22" ht="18" customHeight="1">
      <c r="A105" s="1100" t="s">
        <v>124</v>
      </c>
      <c r="B105" s="1100"/>
      <c r="C105" s="1100"/>
      <c r="D105" s="792"/>
      <c r="E105" s="792"/>
      <c r="F105" s="792"/>
      <c r="G105" s="792"/>
      <c r="H105" s="792"/>
      <c r="I105" s="792"/>
      <c r="J105" s="792"/>
      <c r="L105" s="254"/>
      <c r="M105" s="116"/>
      <c r="N105" s="116"/>
      <c r="O105" s="116"/>
      <c r="P105" s="116"/>
      <c r="Q105" s="116"/>
      <c r="R105" s="116"/>
      <c r="S105" s="116"/>
      <c r="T105" s="116"/>
      <c r="U105" s="116"/>
      <c r="V105" s="326"/>
    </row>
    <row r="106" spans="1:22" ht="18" customHeight="1" thickBot="1">
      <c r="A106" s="48" t="s">
        <v>125</v>
      </c>
      <c r="B106" s="49" t="s">
        <v>126</v>
      </c>
      <c r="C106" s="49" t="s">
        <v>127</v>
      </c>
      <c r="D106" s="792"/>
      <c r="E106" s="792"/>
      <c r="F106" s="792"/>
      <c r="G106" s="792"/>
      <c r="H106" s="792"/>
      <c r="I106" s="792"/>
      <c r="J106" s="792"/>
      <c r="L106" s="254"/>
      <c r="M106" s="116" t="s">
        <v>2577</v>
      </c>
      <c r="N106" s="116"/>
      <c r="O106" s="116"/>
      <c r="P106" s="116"/>
      <c r="Q106" s="116"/>
      <c r="R106" s="116"/>
      <c r="S106" s="116"/>
      <c r="T106" s="116"/>
      <c r="U106" s="116"/>
      <c r="V106" s="326"/>
    </row>
    <row r="107" spans="1:22" ht="18" customHeight="1" thickTop="1">
      <c r="A107" s="85">
        <v>0</v>
      </c>
      <c r="B107" s="51">
        <v>5</v>
      </c>
      <c r="C107" s="51" t="s">
        <v>128</v>
      </c>
      <c r="D107" s="792"/>
      <c r="E107" s="792"/>
      <c r="F107" s="792"/>
      <c r="G107" s="792"/>
      <c r="H107" s="792"/>
      <c r="I107" s="792"/>
      <c r="J107" s="792"/>
      <c r="L107" s="254"/>
      <c r="M107" s="116"/>
      <c r="N107" s="116"/>
      <c r="O107" s="116"/>
      <c r="P107" s="116"/>
      <c r="Q107" s="116"/>
      <c r="R107" s="116"/>
      <c r="S107" s="116"/>
      <c r="T107" s="116"/>
      <c r="U107" s="116"/>
      <c r="V107" s="326"/>
    </row>
    <row r="108" spans="1:22" ht="18" customHeight="1">
      <c r="A108" s="86">
        <v>50</v>
      </c>
      <c r="B108" s="801">
        <v>9</v>
      </c>
      <c r="C108" s="801" t="s">
        <v>129</v>
      </c>
      <c r="D108" s="792"/>
      <c r="E108" s="792"/>
      <c r="F108" s="792"/>
      <c r="G108" s="792"/>
      <c r="H108" s="792"/>
      <c r="I108" s="792"/>
      <c r="J108" s="792"/>
      <c r="L108" s="254"/>
      <c r="M108" s="1094" t="s">
        <v>2578</v>
      </c>
      <c r="N108" s="244" t="str">
        <f>LOOKUP("做",M$108:M108)</f>
        <v>a</v>
      </c>
      <c r="O108" s="116"/>
      <c r="P108" s="804" t="s">
        <v>2580</v>
      </c>
      <c r="Q108" s="116"/>
      <c r="R108" s="116"/>
      <c r="S108" s="116"/>
      <c r="T108" s="116"/>
      <c r="U108" s="116"/>
      <c r="V108" s="326"/>
    </row>
    <row r="109" spans="1:22" ht="18" customHeight="1">
      <c r="A109" s="87">
        <v>200</v>
      </c>
      <c r="B109" s="55">
        <v>15</v>
      </c>
      <c r="C109" s="55" t="s">
        <v>130</v>
      </c>
      <c r="D109" s="792"/>
      <c r="E109" s="792"/>
      <c r="F109" s="792"/>
      <c r="G109" s="792"/>
      <c r="H109" s="792"/>
      <c r="I109" s="792"/>
      <c r="J109" s="792"/>
      <c r="L109" s="254"/>
      <c r="M109" s="1095"/>
      <c r="N109" s="246" t="str">
        <f>LOOKUP("做",M$108:M109)</f>
        <v>a</v>
      </c>
      <c r="O109" s="116"/>
      <c r="P109" s="116"/>
      <c r="Q109" s="116"/>
      <c r="R109" s="116"/>
      <c r="S109" s="116"/>
      <c r="T109" s="116"/>
      <c r="U109" s="116"/>
      <c r="V109" s="326"/>
    </row>
    <row r="110" spans="1:22" ht="18" customHeight="1">
      <c r="A110" s="792"/>
      <c r="B110" s="792"/>
      <c r="C110" s="792"/>
      <c r="D110" s="792"/>
      <c r="E110" s="792"/>
      <c r="F110" s="792"/>
      <c r="G110" s="792"/>
      <c r="H110" s="792"/>
      <c r="I110" s="792"/>
      <c r="J110" s="792"/>
      <c r="L110" s="254"/>
      <c r="M110" s="1095"/>
      <c r="N110" s="246" t="str">
        <f>LOOKUP("做",M$108:M110)</f>
        <v>a</v>
      </c>
      <c r="O110" s="116"/>
      <c r="P110" s="116"/>
      <c r="Q110" s="116"/>
      <c r="R110" s="116"/>
      <c r="S110" s="116"/>
      <c r="T110" s="116"/>
      <c r="U110" s="116"/>
      <c r="V110" s="326"/>
    </row>
    <row r="111" spans="1:22" ht="18" customHeight="1" thickBot="1">
      <c r="A111" s="48" t="s">
        <v>131</v>
      </c>
      <c r="B111" s="49" t="s">
        <v>132</v>
      </c>
      <c r="C111" s="49" t="s">
        <v>126</v>
      </c>
      <c r="D111" s="49" t="s">
        <v>133</v>
      </c>
      <c r="E111" s="792"/>
      <c r="F111" s="792"/>
      <c r="G111" s="792"/>
      <c r="H111" s="792"/>
      <c r="I111" s="792"/>
      <c r="J111" s="792"/>
      <c r="L111" s="254"/>
      <c r="M111" s="1095" t="s">
        <v>2579</v>
      </c>
      <c r="N111" s="246" t="str">
        <f>LOOKUP("做",M$108:M111)</f>
        <v>b</v>
      </c>
      <c r="O111" s="116"/>
      <c r="P111" s="116"/>
      <c r="Q111" s="116"/>
      <c r="R111" s="116"/>
      <c r="S111" s="116"/>
      <c r="T111" s="116"/>
      <c r="U111" s="116"/>
      <c r="V111" s="326"/>
    </row>
    <row r="112" spans="1:22" ht="18" customHeight="1" thickTop="1" thickBot="1">
      <c r="A112" s="85" t="s">
        <v>61</v>
      </c>
      <c r="B112" s="51">
        <v>2</v>
      </c>
      <c r="C112" s="802">
        <f>LOOKUP(B112,$A$107:$A$109,$B$107:$B$109)</f>
        <v>5</v>
      </c>
      <c r="D112" s="802">
        <f>B112*C112</f>
        <v>10</v>
      </c>
      <c r="E112" s="792"/>
      <c r="F112" s="792"/>
      <c r="G112" s="749" t="s">
        <v>134</v>
      </c>
      <c r="H112" s="792"/>
      <c r="I112" s="792"/>
      <c r="J112" s="792"/>
      <c r="L112" s="254"/>
      <c r="M112" s="1095"/>
      <c r="N112" s="246" t="str">
        <f>LOOKUP("做",M$108:M112)</f>
        <v>b</v>
      </c>
      <c r="O112" s="116"/>
      <c r="P112" s="116"/>
      <c r="Q112" s="116"/>
      <c r="R112" s="116"/>
      <c r="S112" s="116"/>
      <c r="T112" s="116"/>
      <c r="U112" s="116"/>
      <c r="V112" s="326"/>
    </row>
    <row r="113" spans="1:22" ht="18" customHeight="1" thickTop="1" thickBot="1">
      <c r="A113" s="86" t="s">
        <v>62</v>
      </c>
      <c r="B113" s="801">
        <v>300</v>
      </c>
      <c r="C113" s="802">
        <f>LOOKUP(B113,$A$107:$A$109,$B$107:$B$109)</f>
        <v>15</v>
      </c>
      <c r="D113" s="803">
        <f t="shared" ref="D113:D116" si="1">SUMPRODUCT(B113:C113)</f>
        <v>315</v>
      </c>
      <c r="E113" s="792"/>
      <c r="F113" s="792"/>
      <c r="G113" s="792"/>
      <c r="H113" s="792"/>
      <c r="I113" s="792"/>
      <c r="J113" s="792"/>
      <c r="L113" s="254"/>
      <c r="M113" s="1096"/>
      <c r="N113" s="251" t="str">
        <f>LOOKUP("做",M$108:M113)</f>
        <v>b</v>
      </c>
      <c r="O113" s="116"/>
      <c r="P113" s="116"/>
      <c r="Q113" s="116"/>
      <c r="R113" s="116"/>
      <c r="S113" s="116"/>
      <c r="T113" s="116"/>
      <c r="U113" s="116"/>
      <c r="V113" s="326"/>
    </row>
    <row r="114" spans="1:22" ht="18" customHeight="1" thickTop="1" thickBot="1">
      <c r="A114" s="87" t="s">
        <v>63</v>
      </c>
      <c r="B114" s="55">
        <v>15</v>
      </c>
      <c r="C114" s="802">
        <f>LOOKUP(B114,$A$107:$A$109,$B$107:$B$109)</f>
        <v>5</v>
      </c>
      <c r="D114" s="803">
        <f t="shared" si="1"/>
        <v>20</v>
      </c>
      <c r="E114" s="792"/>
      <c r="F114" s="792"/>
      <c r="G114" s="792"/>
      <c r="H114" s="792"/>
      <c r="I114" s="792"/>
      <c r="J114" s="792"/>
      <c r="L114" s="254"/>
      <c r="M114" s="116"/>
      <c r="N114" s="116"/>
      <c r="O114" s="116"/>
      <c r="P114" s="116"/>
      <c r="Q114" s="116"/>
      <c r="R114" s="116"/>
      <c r="S114" s="116"/>
      <c r="T114" s="116"/>
      <c r="U114" s="116"/>
      <c r="V114" s="326"/>
    </row>
    <row r="115" spans="1:22" ht="18" customHeight="1" thickTop="1" thickBot="1">
      <c r="A115" s="86" t="s">
        <v>64</v>
      </c>
      <c r="B115" s="801">
        <v>150</v>
      </c>
      <c r="C115" s="802">
        <f>LOOKUP(B115,$A$107:$A$109,$B$107:$B$109)</f>
        <v>9</v>
      </c>
      <c r="D115" s="803">
        <f t="shared" si="1"/>
        <v>159</v>
      </c>
      <c r="E115" s="792"/>
      <c r="F115" s="792"/>
      <c r="G115" s="792"/>
      <c r="H115" s="792"/>
      <c r="I115" s="792"/>
      <c r="J115" s="792"/>
      <c r="L115" s="304"/>
      <c r="M115" s="305"/>
      <c r="N115" s="305"/>
      <c r="O115" s="305"/>
      <c r="P115" s="305"/>
      <c r="Q115" s="305"/>
      <c r="R115" s="305"/>
      <c r="S115" s="305"/>
      <c r="T115" s="305"/>
      <c r="U115" s="305"/>
      <c r="V115" s="327"/>
    </row>
    <row r="116" spans="1:22" ht="18" customHeight="1" thickTop="1">
      <c r="A116" s="87" t="s">
        <v>66</v>
      </c>
      <c r="B116" s="55">
        <v>100</v>
      </c>
      <c r="C116" s="802">
        <f>LOOKUP(B116,$A$107:$A$109,$B$107:$B$109)</f>
        <v>9</v>
      </c>
      <c r="D116" s="803">
        <f t="shared" si="1"/>
        <v>109</v>
      </c>
      <c r="E116" s="792"/>
      <c r="F116" s="792"/>
      <c r="G116" s="792"/>
      <c r="H116" s="792"/>
      <c r="I116" s="792"/>
      <c r="J116" s="792"/>
    </row>
    <row r="117" spans="1:22" ht="18" customHeight="1">
      <c r="A117" s="792"/>
      <c r="B117" s="792"/>
      <c r="C117" s="792"/>
      <c r="D117" s="792"/>
      <c r="E117" s="792"/>
      <c r="F117" s="792"/>
      <c r="G117" s="792"/>
      <c r="H117" s="792"/>
      <c r="I117" s="792"/>
      <c r="J117" s="792"/>
    </row>
    <row r="118" spans="1:22" ht="18" customHeight="1">
      <c r="A118" s="792"/>
      <c r="B118" s="792"/>
      <c r="C118" s="792"/>
      <c r="D118" s="792"/>
      <c r="E118" s="792"/>
      <c r="F118" s="792"/>
      <c r="G118" s="792"/>
      <c r="H118" s="792"/>
      <c r="I118" s="792"/>
      <c r="J118" s="792"/>
    </row>
    <row r="119" spans="1:22" ht="18" customHeight="1">
      <c r="A119" s="742" t="s">
        <v>135</v>
      </c>
      <c r="B119" s="792"/>
      <c r="C119" s="792"/>
      <c r="D119" s="792"/>
      <c r="E119" s="792"/>
      <c r="F119" s="792"/>
      <c r="G119" s="792"/>
      <c r="H119" s="792"/>
      <c r="I119" s="792"/>
      <c r="J119" s="792"/>
    </row>
    <row r="120" spans="1:22" ht="18" customHeight="1">
      <c r="A120" s="792"/>
      <c r="B120" s="792"/>
      <c r="C120" s="792"/>
      <c r="D120" s="792"/>
      <c r="E120" s="792"/>
      <c r="F120" s="792"/>
      <c r="G120" s="792"/>
      <c r="H120" s="792"/>
      <c r="I120" s="792"/>
      <c r="J120" s="792"/>
    </row>
    <row r="121" spans="1:22" ht="18" customHeight="1">
      <c r="A121" s="792" t="s">
        <v>131</v>
      </c>
      <c r="B121" s="792" t="s">
        <v>136</v>
      </c>
      <c r="C121" s="792" t="s">
        <v>137</v>
      </c>
      <c r="D121" s="792"/>
      <c r="E121" s="792"/>
      <c r="F121" s="792"/>
      <c r="G121" s="792"/>
      <c r="H121" s="792"/>
      <c r="I121" s="792"/>
      <c r="J121" s="792"/>
    </row>
    <row r="122" spans="1:22" ht="18" customHeight="1">
      <c r="A122" s="792" t="s">
        <v>61</v>
      </c>
      <c r="B122" s="454" t="str">
        <f>PHONETIC(A122:A127)</f>
        <v>abcdef</v>
      </c>
      <c r="C122" s="1107" t="str">
        <f>LEFT(B122,LEN(B122)-3)</f>
        <v>abc</v>
      </c>
      <c r="D122" s="1107"/>
      <c r="E122" s="792"/>
      <c r="F122" s="792"/>
      <c r="G122" s="792"/>
      <c r="H122" s="792"/>
      <c r="I122" s="792"/>
      <c r="J122" s="792"/>
    </row>
    <row r="123" spans="1:22" ht="18" customHeight="1">
      <c r="A123" s="792" t="s">
        <v>62</v>
      </c>
      <c r="B123" s="792"/>
      <c r="C123" s="792"/>
      <c r="D123" s="792"/>
      <c r="E123" s="792"/>
      <c r="F123" s="792"/>
      <c r="G123" s="792"/>
      <c r="H123" s="792"/>
      <c r="I123" s="792"/>
      <c r="J123" s="792"/>
    </row>
    <row r="124" spans="1:22" ht="18" customHeight="1">
      <c r="A124" s="792" t="s">
        <v>63</v>
      </c>
      <c r="B124" s="749" t="s">
        <v>138</v>
      </c>
      <c r="C124" s="792"/>
      <c r="D124" s="792"/>
      <c r="E124" s="792"/>
      <c r="F124" s="792"/>
      <c r="G124" s="792"/>
      <c r="H124" s="792"/>
      <c r="I124" s="792"/>
      <c r="J124" s="792"/>
    </row>
    <row r="125" spans="1:22" ht="18" customHeight="1">
      <c r="A125" s="792" t="s">
        <v>64</v>
      </c>
      <c r="B125" s="792"/>
      <c r="C125" s="792"/>
      <c r="D125" s="792"/>
      <c r="E125" s="792"/>
      <c r="F125" s="792"/>
      <c r="G125" s="792"/>
      <c r="H125" s="792"/>
      <c r="I125" s="792"/>
      <c r="J125" s="792"/>
    </row>
    <row r="126" spans="1:22" ht="18" customHeight="1">
      <c r="A126" s="792" t="s">
        <v>66</v>
      </c>
      <c r="B126" s="749" t="s">
        <v>139</v>
      </c>
      <c r="C126" s="792"/>
      <c r="D126" s="792"/>
      <c r="E126" s="792"/>
      <c r="F126" s="792"/>
      <c r="G126" s="792"/>
      <c r="H126" s="792"/>
      <c r="I126" s="792"/>
      <c r="J126" s="792"/>
    </row>
    <row r="127" spans="1:22" ht="18" customHeight="1">
      <c r="A127" s="792" t="s">
        <v>67</v>
      </c>
      <c r="B127" s="792"/>
      <c r="C127" s="792"/>
      <c r="D127" s="792"/>
      <c r="E127" s="792"/>
      <c r="F127" s="792"/>
      <c r="G127" s="792"/>
      <c r="H127" s="792"/>
      <c r="I127" s="792"/>
      <c r="J127" s="792"/>
    </row>
    <row r="128" spans="1:22" ht="18" customHeight="1">
      <c r="A128" s="792"/>
      <c r="B128" s="792"/>
      <c r="C128" s="792"/>
      <c r="D128" s="792"/>
      <c r="E128" s="792"/>
      <c r="F128" s="792"/>
      <c r="G128" s="792"/>
      <c r="H128" s="792"/>
      <c r="I128" s="792"/>
      <c r="J128" s="792"/>
    </row>
    <row r="129" spans="1:10" ht="18" customHeight="1">
      <c r="A129" s="1108" t="s">
        <v>140</v>
      </c>
      <c r="B129" s="1109"/>
      <c r="C129" s="805" t="s">
        <v>141</v>
      </c>
      <c r="D129" s="792"/>
      <c r="E129" s="792"/>
      <c r="F129" s="792"/>
      <c r="G129" s="792"/>
      <c r="H129" s="792"/>
      <c r="I129" s="792"/>
      <c r="J129" s="792"/>
    </row>
    <row r="130" spans="1:10" ht="18" customHeight="1">
      <c r="A130" s="1110" t="s">
        <v>142</v>
      </c>
      <c r="B130" s="1111"/>
      <c r="C130" s="806" t="str">
        <f>LEFT(A130,FIND("-",A130)-1)</f>
        <v>sads</v>
      </c>
      <c r="D130" s="792"/>
      <c r="E130" s="749" t="s">
        <v>143</v>
      </c>
      <c r="F130" s="792"/>
      <c r="G130" s="792"/>
      <c r="H130" s="792"/>
      <c r="I130" s="792"/>
      <c r="J130" s="792"/>
    </row>
    <row r="131" spans="1:10" ht="18" customHeight="1">
      <c r="A131" s="1110" t="s">
        <v>144</v>
      </c>
      <c r="B131" s="1111"/>
      <c r="C131" s="806" t="str">
        <f t="shared" ref="C131:C133" si="2">LEFT(A131,FIND("-",A131)-1)</f>
        <v>sdadwadw</v>
      </c>
      <c r="D131" s="792"/>
      <c r="E131" s="792"/>
      <c r="F131" s="792"/>
      <c r="G131" s="792"/>
      <c r="H131" s="792"/>
      <c r="I131" s="792"/>
      <c r="J131" s="792"/>
    </row>
    <row r="132" spans="1:10" ht="18" customHeight="1">
      <c r="A132" s="1110" t="s">
        <v>145</v>
      </c>
      <c r="B132" s="1111"/>
      <c r="C132" s="806" t="str">
        <f t="shared" si="2"/>
        <v>sadcas</v>
      </c>
      <c r="D132" s="792"/>
      <c r="E132" s="792"/>
      <c r="F132" s="792"/>
      <c r="G132" s="792"/>
      <c r="H132" s="792"/>
      <c r="I132" s="792"/>
      <c r="J132" s="792"/>
    </row>
    <row r="133" spans="1:10" ht="18" customHeight="1">
      <c r="A133" s="1101" t="s">
        <v>146</v>
      </c>
      <c r="B133" s="1102"/>
      <c r="C133" s="807" t="str">
        <f t="shared" si="2"/>
        <v>sadadw</v>
      </c>
      <c r="D133" s="792"/>
      <c r="E133" s="792"/>
      <c r="F133" s="792"/>
      <c r="G133" s="792"/>
      <c r="H133" s="792"/>
      <c r="I133" s="792"/>
      <c r="J133" s="792"/>
    </row>
    <row r="134" spans="1:10" ht="18" customHeight="1">
      <c r="A134" s="792"/>
      <c r="B134" s="792"/>
      <c r="C134" s="792"/>
      <c r="D134" s="792"/>
      <c r="E134" s="792"/>
      <c r="F134" s="792"/>
      <c r="G134" s="792"/>
      <c r="H134" s="792"/>
      <c r="I134" s="792"/>
      <c r="J134" s="792"/>
    </row>
    <row r="135" spans="1:10" ht="18" customHeight="1">
      <c r="A135" s="792"/>
      <c r="B135" s="792"/>
      <c r="C135" s="792"/>
      <c r="D135" s="792"/>
      <c r="E135" s="792"/>
      <c r="F135" s="792"/>
      <c r="G135" s="792"/>
      <c r="H135" s="792"/>
      <c r="I135" s="792"/>
      <c r="J135" s="792"/>
    </row>
    <row r="136" spans="1:10" ht="18" customHeight="1">
      <c r="A136" s="742" t="s">
        <v>147</v>
      </c>
      <c r="B136" s="792"/>
      <c r="C136" s="792"/>
      <c r="D136" s="792"/>
      <c r="E136" s="792"/>
      <c r="F136" s="792"/>
      <c r="G136" s="792"/>
      <c r="H136" s="792"/>
      <c r="I136" s="792"/>
      <c r="J136" s="792"/>
    </row>
    <row r="137" spans="1:10" ht="18" customHeight="1">
      <c r="A137" s="792"/>
      <c r="B137" s="792"/>
      <c r="C137" s="792"/>
      <c r="D137" s="792"/>
      <c r="E137" s="792"/>
      <c r="F137" s="792"/>
      <c r="G137" s="792"/>
      <c r="H137" s="792"/>
      <c r="I137" s="792"/>
      <c r="J137" s="792"/>
    </row>
    <row r="138" spans="1:10" ht="18" customHeight="1">
      <c r="A138" s="808" t="s">
        <v>148</v>
      </c>
      <c r="B138" s="809" t="str">
        <f t="shared" ref="B138:F138" si="3">TRIM(MID(SUBSTITUTE($A138," ",REPT(" ",20)),20,20))</f>
        <v>2</v>
      </c>
      <c r="C138" s="809" t="str">
        <f t="shared" si="3"/>
        <v>2</v>
      </c>
      <c r="D138" s="809" t="str">
        <f t="shared" si="3"/>
        <v>2</v>
      </c>
      <c r="E138" s="809" t="str">
        <f t="shared" si="3"/>
        <v>2</v>
      </c>
      <c r="F138" s="809" t="str">
        <f t="shared" si="3"/>
        <v>2</v>
      </c>
      <c r="G138" s="809" t="str">
        <f>TRIM(MID(SUBSTITUTE($A138," ",REPT(" ",20)),20,20))</f>
        <v>2</v>
      </c>
      <c r="H138" s="809" t="str">
        <f>TRIM(MID(SUBSTITUTE($A138," ",REPT(" ",20)),20,20))</f>
        <v>2</v>
      </c>
      <c r="I138" s="819" t="str">
        <f>TRIM(MID(SUBSTITUTE($A138," ",REPT(" ",20)),20,20))</f>
        <v>2</v>
      </c>
      <c r="J138" s="792"/>
    </row>
    <row r="139" spans="1:10" ht="18" customHeight="1">
      <c r="A139" s="810"/>
      <c r="B139" s="811"/>
      <c r="C139" s="811"/>
      <c r="D139" s="811"/>
      <c r="E139" s="811"/>
      <c r="F139" s="811"/>
      <c r="G139" s="811"/>
      <c r="H139" s="811"/>
      <c r="I139" s="820"/>
      <c r="J139" s="792"/>
    </row>
    <row r="140" spans="1:10" ht="18" customHeight="1">
      <c r="A140" s="812"/>
      <c r="B140" s="813"/>
      <c r="C140" s="813"/>
      <c r="D140" s="813"/>
      <c r="E140" s="813"/>
      <c r="F140" s="813"/>
      <c r="G140" s="813"/>
      <c r="H140" s="813"/>
      <c r="I140" s="821"/>
      <c r="J140" s="792"/>
    </row>
    <row r="141" spans="1:10" ht="18" customHeight="1">
      <c r="A141" s="792"/>
      <c r="B141" s="792"/>
      <c r="C141" s="792"/>
      <c r="D141" s="792"/>
      <c r="E141" s="792"/>
      <c r="F141" s="792"/>
      <c r="G141" s="792"/>
      <c r="H141" s="792"/>
      <c r="I141" s="792"/>
      <c r="J141" s="792"/>
    </row>
    <row r="142" spans="1:10" ht="18" customHeight="1">
      <c r="A142" s="742" t="s">
        <v>149</v>
      </c>
      <c r="B142" s="792"/>
      <c r="C142" s="792"/>
      <c r="D142" s="792"/>
      <c r="E142" s="792"/>
      <c r="F142" s="792"/>
      <c r="G142" s="792"/>
      <c r="H142" s="792"/>
      <c r="I142" s="792"/>
      <c r="J142" s="792"/>
    </row>
    <row r="143" spans="1:10" ht="18" customHeight="1">
      <c r="A143" s="792"/>
      <c r="B143" s="792"/>
      <c r="C143" s="792"/>
      <c r="D143" s="792"/>
      <c r="E143" s="792"/>
      <c r="G143" s="792"/>
      <c r="H143" s="792"/>
    </row>
    <row r="144" spans="1:10" ht="18" customHeight="1">
      <c r="A144" s="48" t="s">
        <v>150</v>
      </c>
      <c r="B144" s="49" t="s">
        <v>151</v>
      </c>
      <c r="C144" s="792"/>
      <c r="D144" s="792"/>
      <c r="E144" s="792"/>
      <c r="G144" s="792"/>
      <c r="H144" s="792"/>
    </row>
    <row r="145" spans="1:10" ht="18" customHeight="1">
      <c r="A145" s="85" t="s">
        <v>152</v>
      </c>
      <c r="B145" s="802" t="str">
        <f t="shared" ref="B145:B148" si="4">IF(COUNT(FIND("湖北",A145))=0,"否","是")</f>
        <v>否</v>
      </c>
      <c r="C145" s="792"/>
      <c r="D145" s="749" t="s">
        <v>153</v>
      </c>
      <c r="E145" s="792"/>
      <c r="F145" s="792"/>
      <c r="G145" s="792"/>
      <c r="H145" s="792"/>
    </row>
    <row r="146" spans="1:10" ht="18" customHeight="1">
      <c r="A146" s="86" t="s">
        <v>154</v>
      </c>
      <c r="B146" s="803" t="str">
        <f t="shared" si="4"/>
        <v>是</v>
      </c>
      <c r="C146" s="792"/>
      <c r="D146" s="792"/>
      <c r="E146" s="792"/>
      <c r="F146" s="792"/>
      <c r="G146" s="792"/>
      <c r="H146" s="792"/>
    </row>
    <row r="147" spans="1:10" ht="18" customHeight="1">
      <c r="A147" s="87" t="s">
        <v>155</v>
      </c>
      <c r="B147" s="814" t="str">
        <f t="shared" si="4"/>
        <v>否</v>
      </c>
      <c r="C147" s="792"/>
      <c r="D147" s="1" t="e">
        <v>#VALUE!</v>
      </c>
      <c r="E147" s="1" t="s">
        <v>156</v>
      </c>
      <c r="F147" s="792"/>
      <c r="G147" s="792"/>
      <c r="H147" s="792"/>
      <c r="I147" s="792"/>
      <c r="J147" s="792"/>
    </row>
    <row r="148" spans="1:10" ht="18" customHeight="1">
      <c r="A148" s="86" t="s">
        <v>157</v>
      </c>
      <c r="B148" s="803" t="str">
        <f t="shared" si="4"/>
        <v>是</v>
      </c>
      <c r="C148" s="792"/>
      <c r="D148" s="1" t="e">
        <v>#VALUE!</v>
      </c>
      <c r="E148" s="1" t="s">
        <v>158</v>
      </c>
      <c r="F148" s="792"/>
      <c r="G148" s="792"/>
      <c r="H148" s="792"/>
      <c r="I148" s="792"/>
      <c r="J148" s="792"/>
    </row>
    <row r="149" spans="1:10" ht="18" customHeight="1">
      <c r="A149" s="792"/>
      <c r="B149" s="792"/>
      <c r="C149" s="792"/>
      <c r="D149" s="792"/>
      <c r="E149" s="792"/>
      <c r="F149" s="792"/>
      <c r="G149" s="792"/>
      <c r="H149" s="792"/>
      <c r="I149" s="792"/>
      <c r="J149" s="792"/>
    </row>
    <row r="150" spans="1:10" ht="18" customHeight="1">
      <c r="A150" s="792"/>
      <c r="B150" s="750" t="s">
        <v>159</v>
      </c>
      <c r="C150" s="792"/>
      <c r="D150" s="792"/>
      <c r="E150" s="792"/>
      <c r="F150" s="792"/>
      <c r="G150" s="792"/>
      <c r="H150" s="792"/>
      <c r="I150" s="792"/>
      <c r="J150" s="792"/>
    </row>
    <row r="151" spans="1:10" ht="18" customHeight="1">
      <c r="A151" s="792"/>
      <c r="B151" s="792"/>
      <c r="C151" s="792"/>
      <c r="D151" s="792"/>
      <c r="E151" s="792"/>
      <c r="F151" s="792"/>
      <c r="G151" s="792"/>
      <c r="H151" s="792"/>
      <c r="I151" s="792"/>
      <c r="J151" s="792"/>
    </row>
    <row r="152" spans="1:10" ht="18" customHeight="1">
      <c r="A152" s="742" t="s">
        <v>160</v>
      </c>
      <c r="B152" s="792"/>
      <c r="C152" s="792"/>
      <c r="D152" s="792"/>
      <c r="E152" s="792"/>
      <c r="F152" s="792"/>
      <c r="G152" s="792"/>
      <c r="H152" s="792"/>
      <c r="I152" s="792"/>
      <c r="J152" s="792"/>
    </row>
    <row r="153" spans="1:10" ht="18" customHeight="1">
      <c r="A153" s="792"/>
      <c r="B153" s="792"/>
      <c r="C153" s="792"/>
      <c r="D153" s="792"/>
      <c r="E153" s="792"/>
      <c r="F153" s="792"/>
      <c r="G153" s="792"/>
      <c r="H153" s="792"/>
      <c r="I153" s="792"/>
      <c r="J153" s="792"/>
    </row>
    <row r="154" spans="1:10" ht="18" customHeight="1">
      <c r="A154" s="48" t="s">
        <v>150</v>
      </c>
      <c r="B154" s="49" t="s">
        <v>151</v>
      </c>
      <c r="C154" s="792"/>
      <c r="D154" s="792"/>
      <c r="E154" s="792"/>
      <c r="F154" s="792"/>
      <c r="G154" s="792"/>
      <c r="H154" s="792"/>
      <c r="I154" s="792"/>
      <c r="J154" s="792"/>
    </row>
    <row r="155" spans="1:10" ht="18" customHeight="1">
      <c r="A155" s="85" t="s">
        <v>152</v>
      </c>
      <c r="B155" s="802" t="str">
        <f>IF(COUNT(FIND({"武汉","黄冈","孝感"},A155))=0,"否","是")</f>
        <v>否</v>
      </c>
      <c r="C155" s="792"/>
      <c r="D155" s="749" t="s">
        <v>161</v>
      </c>
      <c r="E155" s="792"/>
      <c r="F155" s="792"/>
      <c r="G155" s="792"/>
      <c r="H155" s="792"/>
      <c r="I155" s="792"/>
      <c r="J155" s="792"/>
    </row>
    <row r="156" spans="1:10" ht="18" customHeight="1">
      <c r="A156" s="86" t="s">
        <v>154</v>
      </c>
      <c r="B156" s="802" t="str">
        <f>IF(COUNT(FIND({"武汉","黄冈","孝感"},A156))=0,"否","是")</f>
        <v>是</v>
      </c>
      <c r="C156" s="792"/>
      <c r="D156" s="792"/>
      <c r="E156" s="792"/>
      <c r="F156" s="792"/>
      <c r="G156" s="792"/>
      <c r="H156" s="792"/>
      <c r="I156" s="792"/>
      <c r="J156" s="792"/>
    </row>
    <row r="157" spans="1:10" ht="18" customHeight="1">
      <c r="A157" s="87" t="s">
        <v>162</v>
      </c>
      <c r="B157" s="802" t="str">
        <f>IF(COUNT(FIND({"武汉","黄冈","孝感"},A157))=0,"否","是")</f>
        <v>否</v>
      </c>
      <c r="C157" s="792"/>
      <c r="D157" s="792"/>
      <c r="E157" s="792"/>
      <c r="F157" s="792"/>
      <c r="G157" s="792"/>
      <c r="H157" s="792"/>
      <c r="I157" s="792"/>
      <c r="J157" s="792"/>
    </row>
    <row r="158" spans="1:10" ht="18" customHeight="1">
      <c r="A158" s="86" t="s">
        <v>157</v>
      </c>
      <c r="B158" s="802" t="str">
        <f>IF(COUNT(FIND({"武汉","黄冈","孝感"},A158))=0,"否","是")</f>
        <v>是</v>
      </c>
      <c r="C158" s="792"/>
      <c r="D158" s="792"/>
      <c r="E158" s="792"/>
      <c r="F158" s="792"/>
      <c r="G158" s="792"/>
      <c r="H158" s="792"/>
      <c r="I158" s="792"/>
      <c r="J158" s="792"/>
    </row>
    <row r="159" spans="1:10" ht="18" customHeight="1">
      <c r="A159" s="87" t="s">
        <v>163</v>
      </c>
      <c r="B159" s="802" t="str">
        <f>IF(COUNT(FIND({"武汉","黄冈","孝感"},A159))=0,"否","是")</f>
        <v>是</v>
      </c>
      <c r="C159" s="792"/>
      <c r="D159" s="792"/>
      <c r="E159" s="792"/>
      <c r="F159" s="792"/>
      <c r="G159" s="792"/>
      <c r="H159" s="792"/>
      <c r="I159" s="792"/>
      <c r="J159" s="792"/>
    </row>
    <row r="160" spans="1:10" ht="18" customHeight="1">
      <c r="A160" s="792"/>
      <c r="B160" s="792"/>
      <c r="C160" s="792"/>
      <c r="D160" s="792"/>
      <c r="E160" s="792"/>
      <c r="F160" s="792"/>
      <c r="G160" s="792"/>
      <c r="H160" s="792"/>
      <c r="I160" s="792"/>
      <c r="J160" s="792"/>
    </row>
    <row r="161" spans="1:10" ht="18" customHeight="1">
      <c r="A161" s="792"/>
      <c r="B161" s="792"/>
      <c r="C161" s="792"/>
      <c r="D161" s="792"/>
      <c r="E161" s="792"/>
      <c r="F161" s="792"/>
      <c r="G161" s="792"/>
      <c r="H161" s="792"/>
      <c r="I161" s="792"/>
      <c r="J161" s="792"/>
    </row>
    <row r="162" spans="1:10" ht="18" customHeight="1">
      <c r="A162" s="742" t="s">
        <v>164</v>
      </c>
      <c r="B162" s="792"/>
      <c r="C162" s="792"/>
      <c r="D162" s="792"/>
      <c r="E162" s="792"/>
      <c r="F162" s="792"/>
      <c r="G162" s="792"/>
      <c r="H162" s="792"/>
      <c r="I162" s="792"/>
      <c r="J162" s="792"/>
    </row>
    <row r="163" spans="1:10" ht="18" customHeight="1">
      <c r="A163" s="792"/>
      <c r="B163" s="792"/>
      <c r="C163" s="792"/>
      <c r="D163" s="792"/>
      <c r="E163" s="792"/>
      <c r="F163" s="792"/>
      <c r="G163" s="792"/>
      <c r="H163" s="792"/>
      <c r="I163" s="792"/>
      <c r="J163" s="792"/>
    </row>
    <row r="164" spans="1:10" ht="18" customHeight="1">
      <c r="A164" s="792"/>
      <c r="B164" s="792" t="s">
        <v>165</v>
      </c>
      <c r="C164" s="792"/>
      <c r="D164" s="792"/>
      <c r="E164" s="792"/>
      <c r="F164" s="792"/>
      <c r="G164" s="792"/>
      <c r="H164" s="792"/>
      <c r="I164" s="792"/>
      <c r="J164" s="792"/>
    </row>
    <row r="165" spans="1:10" ht="18" customHeight="1">
      <c r="A165" s="792"/>
      <c r="B165" s="792"/>
      <c r="C165" s="792"/>
      <c r="D165" s="792"/>
      <c r="E165" s="792"/>
      <c r="F165" s="792"/>
      <c r="G165" s="792"/>
      <c r="H165" s="792"/>
      <c r="I165" s="792"/>
      <c r="J165" s="792"/>
    </row>
    <row r="166" spans="1:10" ht="18" customHeight="1">
      <c r="A166" s="792"/>
      <c r="B166" s="792" t="s">
        <v>166</v>
      </c>
      <c r="C166" s="792"/>
      <c r="D166" s="792"/>
      <c r="E166" s="792"/>
      <c r="F166" s="792"/>
      <c r="G166" s="792"/>
      <c r="H166" s="792"/>
      <c r="I166" s="792"/>
      <c r="J166" s="792"/>
    </row>
    <row r="167" spans="1:10" ht="18" customHeight="1">
      <c r="A167" s="792"/>
      <c r="B167" s="792" t="s">
        <v>167</v>
      </c>
      <c r="C167" s="792"/>
      <c r="D167" s="792"/>
      <c r="E167" s="792"/>
      <c r="F167" s="792"/>
      <c r="G167" s="792"/>
      <c r="H167" s="792"/>
      <c r="I167" s="792"/>
      <c r="J167" s="792"/>
    </row>
    <row r="168" spans="1:10" ht="18" customHeight="1">
      <c r="A168" s="792"/>
      <c r="B168" s="792"/>
      <c r="C168" s="792"/>
      <c r="D168" s="792"/>
      <c r="E168" s="792"/>
      <c r="F168" s="792"/>
      <c r="G168" s="792"/>
      <c r="H168" s="792"/>
      <c r="I168" s="792"/>
      <c r="J168" s="792"/>
    </row>
    <row r="169" spans="1:10" ht="18" customHeight="1">
      <c r="A169" s="792"/>
      <c r="B169" s="792" t="s">
        <v>168</v>
      </c>
      <c r="C169" s="792"/>
      <c r="D169" s="792"/>
      <c r="E169" s="792"/>
      <c r="F169" s="792"/>
      <c r="G169" s="792"/>
      <c r="H169" s="792"/>
      <c r="I169" s="792"/>
      <c r="J169" s="792"/>
    </row>
    <row r="170" spans="1:10" ht="18" customHeight="1">
      <c r="A170" s="792"/>
      <c r="B170" s="792"/>
      <c r="C170" s="792"/>
      <c r="D170" s="792"/>
      <c r="E170" s="792"/>
      <c r="F170" s="792"/>
      <c r="G170" s="792"/>
      <c r="H170" s="792"/>
      <c r="I170" s="792"/>
      <c r="J170" s="792"/>
    </row>
    <row r="171" spans="1:10" ht="18" customHeight="1">
      <c r="A171" s="792"/>
      <c r="B171" s="792" t="s">
        <v>169</v>
      </c>
      <c r="C171" s="792"/>
      <c r="D171" s="792"/>
      <c r="E171" s="792"/>
      <c r="F171" s="792"/>
      <c r="G171" s="792"/>
      <c r="H171" s="792"/>
      <c r="I171" s="792"/>
      <c r="J171" s="792"/>
    </row>
    <row r="172" spans="1:10" ht="18" customHeight="1">
      <c r="A172" s="792"/>
      <c r="B172" s="792"/>
      <c r="C172" s="792"/>
      <c r="D172" s="792"/>
      <c r="E172" s="792"/>
      <c r="F172" s="792"/>
      <c r="G172" s="792"/>
      <c r="H172" s="792"/>
      <c r="I172" s="792"/>
      <c r="J172" s="792"/>
    </row>
    <row r="173" spans="1:10" ht="18" customHeight="1">
      <c r="A173" s="792"/>
      <c r="B173" s="792" t="s">
        <v>170</v>
      </c>
      <c r="C173" s="792"/>
      <c r="D173" s="792"/>
      <c r="E173" s="792"/>
      <c r="F173" s="792"/>
      <c r="G173" s="792"/>
      <c r="H173" s="792"/>
      <c r="I173" s="792"/>
      <c r="J173" s="792"/>
    </row>
    <row r="174" spans="1:10" ht="18" customHeight="1">
      <c r="A174" s="792"/>
      <c r="B174" s="792"/>
      <c r="C174" s="792"/>
      <c r="D174" s="792"/>
      <c r="E174" s="792"/>
      <c r="F174" s="792"/>
      <c r="G174" s="792"/>
      <c r="H174" s="792"/>
      <c r="I174" s="792"/>
      <c r="J174" s="792"/>
    </row>
    <row r="175" spans="1:10" ht="18" customHeight="1">
      <c r="A175" s="792"/>
      <c r="B175" s="792" t="s">
        <v>171</v>
      </c>
      <c r="C175" s="792"/>
      <c r="D175" s="792"/>
      <c r="E175" s="792"/>
      <c r="F175" s="792"/>
      <c r="G175" s="792"/>
      <c r="H175" s="792"/>
      <c r="I175" s="792"/>
      <c r="J175" s="792"/>
    </row>
    <row r="176" spans="1:10" ht="18" customHeight="1">
      <c r="A176" s="792"/>
      <c r="B176" s="792"/>
      <c r="C176" s="792"/>
      <c r="D176" s="792"/>
      <c r="E176" s="792"/>
      <c r="F176" s="792"/>
      <c r="G176" s="792"/>
      <c r="H176" s="792"/>
      <c r="I176" s="792"/>
      <c r="J176" s="792"/>
    </row>
    <row r="177" spans="1:10" ht="18" customHeight="1">
      <c r="A177" s="792"/>
      <c r="B177" s="792" t="s">
        <v>172</v>
      </c>
      <c r="C177" s="792"/>
      <c r="D177" s="792"/>
      <c r="E177" s="792"/>
      <c r="F177" s="792"/>
      <c r="G177" s="792"/>
      <c r="H177" s="792"/>
      <c r="I177" s="792"/>
      <c r="J177" s="792"/>
    </row>
    <row r="178" spans="1:10" ht="18" customHeight="1">
      <c r="A178" s="792"/>
      <c r="B178" s="792"/>
      <c r="C178" s="792"/>
      <c r="D178" s="792"/>
      <c r="E178" s="792"/>
      <c r="F178" s="792"/>
      <c r="G178" s="792"/>
      <c r="H178" s="792"/>
      <c r="I178" s="792"/>
      <c r="J178" s="792"/>
    </row>
    <row r="179" spans="1:10" ht="18" customHeight="1">
      <c r="A179" s="48" t="s">
        <v>131</v>
      </c>
      <c r="B179" s="49" t="s">
        <v>173</v>
      </c>
      <c r="C179" s="49" t="s">
        <v>174</v>
      </c>
      <c r="D179" s="792"/>
      <c r="E179" s="815" t="s">
        <v>175</v>
      </c>
      <c r="F179" s="792"/>
      <c r="G179" s="792"/>
      <c r="H179" s="792"/>
      <c r="I179" s="792"/>
      <c r="J179" s="792"/>
    </row>
    <row r="180" spans="1:10" ht="18" customHeight="1">
      <c r="A180" s="85" t="s">
        <v>61</v>
      </c>
      <c r="B180" s="816">
        <v>41671</v>
      </c>
      <c r="C180" s="802">
        <f t="shared" ref="C180:C182" si="5">NETWORKDAYS.INTL(IF(B180&lt;DATE(2015,1,1),DATE(2015,1,1),B180),DATE(2015,1,31),11)</f>
        <v>27</v>
      </c>
      <c r="D180" s="792"/>
      <c r="E180" s="792"/>
      <c r="F180" s="792"/>
      <c r="G180" s="792"/>
      <c r="H180" s="792"/>
      <c r="I180" s="792"/>
      <c r="J180" s="792"/>
    </row>
    <row r="181" spans="1:10" ht="18" customHeight="1">
      <c r="A181" s="86" t="s">
        <v>62</v>
      </c>
      <c r="B181" s="817">
        <v>42014</v>
      </c>
      <c r="C181" s="803">
        <f t="shared" si="5"/>
        <v>19</v>
      </c>
      <c r="D181" s="792"/>
      <c r="E181" s="792" t="s">
        <v>176</v>
      </c>
      <c r="F181" s="792"/>
      <c r="G181" s="792"/>
      <c r="H181" s="792"/>
      <c r="I181" s="792"/>
      <c r="J181" s="792"/>
    </row>
    <row r="182" spans="1:10" ht="18" customHeight="1">
      <c r="A182" s="87" t="s">
        <v>63</v>
      </c>
      <c r="B182" s="818">
        <v>42010</v>
      </c>
      <c r="C182" s="814">
        <f t="shared" si="5"/>
        <v>23</v>
      </c>
      <c r="D182" s="792"/>
      <c r="E182" s="792"/>
      <c r="F182" s="792"/>
      <c r="G182" s="792"/>
      <c r="H182" s="792"/>
      <c r="I182" s="792"/>
      <c r="J182" s="792"/>
    </row>
    <row r="183" spans="1:10" ht="18" customHeight="1">
      <c r="A183" s="792"/>
      <c r="B183" s="792"/>
      <c r="C183" s="792"/>
      <c r="D183" s="792"/>
      <c r="E183" s="749" t="s">
        <v>177</v>
      </c>
      <c r="F183" s="792"/>
      <c r="G183" s="792"/>
      <c r="H183" s="792"/>
      <c r="I183" s="792"/>
      <c r="J183" s="792"/>
    </row>
    <row r="184" spans="1:10" ht="18" customHeight="1">
      <c r="A184" s="792"/>
      <c r="B184" s="750" t="s">
        <v>178</v>
      </c>
      <c r="C184" s="792"/>
      <c r="D184" s="792"/>
      <c r="E184" s="792"/>
      <c r="F184" s="792"/>
      <c r="G184" s="792"/>
      <c r="H184" s="792"/>
      <c r="I184" s="792"/>
      <c r="J184" s="792"/>
    </row>
    <row r="185" spans="1:10" ht="18" customHeight="1">
      <c r="A185" s="792"/>
      <c r="B185" s="792"/>
      <c r="C185" s="792"/>
      <c r="D185" s="792"/>
      <c r="E185" s="792"/>
      <c r="F185" s="792"/>
      <c r="G185" s="792"/>
      <c r="H185" s="792"/>
      <c r="I185" s="792"/>
      <c r="J185" s="792"/>
    </row>
    <row r="186" spans="1:10" ht="18" customHeight="1">
      <c r="A186" s="742" t="s">
        <v>179</v>
      </c>
    </row>
    <row r="188" spans="1:10" ht="18" customHeight="1">
      <c r="A188" s="793" t="s">
        <v>180</v>
      </c>
      <c r="B188" s="49" t="s">
        <v>181</v>
      </c>
      <c r="C188" s="793" t="s">
        <v>182</v>
      </c>
      <c r="D188" s="49" t="s">
        <v>183</v>
      </c>
    </row>
    <row r="189" spans="1:10" ht="18" customHeight="1">
      <c r="A189" s="85" t="s">
        <v>184</v>
      </c>
      <c r="B189" s="816" t="s">
        <v>185</v>
      </c>
      <c r="C189" s="85" t="s">
        <v>186</v>
      </c>
      <c r="D189" s="816" t="s">
        <v>187</v>
      </c>
    </row>
    <row r="190" spans="1:10" ht="18" customHeight="1">
      <c r="A190" s="86"/>
      <c r="B190" s="817" t="s">
        <v>188</v>
      </c>
      <c r="C190" s="86" t="s">
        <v>189</v>
      </c>
      <c r="D190" s="817" t="s">
        <v>190</v>
      </c>
    </row>
    <row r="191" spans="1:10" ht="18" customHeight="1">
      <c r="A191" s="87"/>
      <c r="B191" s="818" t="s">
        <v>191</v>
      </c>
      <c r="C191" s="87" t="s">
        <v>192</v>
      </c>
      <c r="D191" s="818"/>
    </row>
    <row r="192" spans="1:10" ht="18" customHeight="1">
      <c r="A192" s="817"/>
      <c r="B192" s="817" t="s">
        <v>193</v>
      </c>
      <c r="C192" s="817"/>
      <c r="D192" s="817"/>
    </row>
    <row r="194" spans="1:8" ht="18" customHeight="1">
      <c r="A194" s="1105" t="s">
        <v>194</v>
      </c>
      <c r="B194" s="1105" t="s">
        <v>195</v>
      </c>
      <c r="C194" s="1103" t="s">
        <v>196</v>
      </c>
      <c r="D194" s="1104"/>
      <c r="H194" s="1" t="s">
        <v>2584</v>
      </c>
    </row>
    <row r="195" spans="1:8" ht="18" customHeight="1">
      <c r="A195" s="1106"/>
      <c r="B195" s="1106"/>
      <c r="C195" s="174" t="s">
        <v>197</v>
      </c>
      <c r="D195" s="162" t="s">
        <v>198</v>
      </c>
      <c r="H195" s="1" t="s">
        <v>2585</v>
      </c>
    </row>
    <row r="196" spans="1:8" ht="18" customHeight="1">
      <c r="A196" s="173" t="s">
        <v>199</v>
      </c>
      <c r="B196" s="173" t="s">
        <v>61</v>
      </c>
      <c r="C196" s="173" t="s">
        <v>182</v>
      </c>
      <c r="D196" s="822" t="s">
        <v>189</v>
      </c>
      <c r="F196" s="823" t="s">
        <v>200</v>
      </c>
      <c r="H196" s="1" t="s">
        <v>2586</v>
      </c>
    </row>
    <row r="197" spans="1:8" ht="18" customHeight="1">
      <c r="A197" s="174" t="s">
        <v>201</v>
      </c>
      <c r="B197" s="174" t="s">
        <v>62</v>
      </c>
      <c r="C197" s="174" t="s">
        <v>181</v>
      </c>
      <c r="D197" s="162" t="s">
        <v>193</v>
      </c>
      <c r="H197" s="1" t="s">
        <v>2587</v>
      </c>
    </row>
    <row r="198" spans="1:8" ht="18" customHeight="1">
      <c r="A198" s="196" t="s">
        <v>202</v>
      </c>
      <c r="B198" s="196" t="s">
        <v>64</v>
      </c>
      <c r="C198" s="196" t="s">
        <v>183</v>
      </c>
      <c r="D198" s="76" t="s">
        <v>190</v>
      </c>
      <c r="H198" s="1" t="s">
        <v>2588</v>
      </c>
    </row>
    <row r="199" spans="1:8" ht="18" customHeight="1">
      <c r="H199" s="1" t="s">
        <v>2589</v>
      </c>
    </row>
    <row r="200" spans="1:8" ht="18" customHeight="1">
      <c r="A200" s="742" t="s">
        <v>203</v>
      </c>
    </row>
    <row r="201" spans="1:8" ht="18" customHeight="1">
      <c r="A201" s="1" t="s">
        <v>204</v>
      </c>
      <c r="D201" s="1" t="s">
        <v>205</v>
      </c>
    </row>
    <row r="203" spans="1:8" ht="18" customHeight="1">
      <c r="B203" s="1" t="s">
        <v>206</v>
      </c>
    </row>
    <row r="205" spans="1:8" ht="18" customHeight="1">
      <c r="B205" s="1" t="s">
        <v>207</v>
      </c>
    </row>
    <row r="206" spans="1:8" ht="18" customHeight="1">
      <c r="C206" s="1" t="s">
        <v>208</v>
      </c>
    </row>
    <row r="207" spans="1:8" ht="18" customHeight="1">
      <c r="C207" s="1" t="s">
        <v>209</v>
      </c>
    </row>
    <row r="208" spans="1:8" ht="18" customHeight="1">
      <c r="D208" s="1" t="s">
        <v>210</v>
      </c>
    </row>
    <row r="209" spans="1:7" ht="18" customHeight="1">
      <c r="A209" s="742" t="s">
        <v>211</v>
      </c>
    </row>
    <row r="210" spans="1:7" ht="18" customHeight="1">
      <c r="A210" s="1" t="s">
        <v>212</v>
      </c>
    </row>
    <row r="212" spans="1:7" ht="18" customHeight="1">
      <c r="B212" s="824" t="s">
        <v>213</v>
      </c>
    </row>
    <row r="213" spans="1:7" ht="18" customHeight="1">
      <c r="B213" s="824" t="s">
        <v>214</v>
      </c>
    </row>
    <row r="215" spans="1:7" ht="18" customHeight="1">
      <c r="A215" s="825">
        <v>215</v>
      </c>
      <c r="B215" s="825" t="s">
        <v>61</v>
      </c>
    </row>
    <row r="216" spans="1:7" ht="18" customHeight="1">
      <c r="A216" s="76">
        <v>216</v>
      </c>
      <c r="B216" s="76" t="s">
        <v>62</v>
      </c>
      <c r="D216" s="1" t="s">
        <v>215</v>
      </c>
      <c r="F216" s="99">
        <v>1234</v>
      </c>
      <c r="G216" s="99" t="str">
        <f>TEXT(F216,0)</f>
        <v>1234</v>
      </c>
    </row>
    <row r="217" spans="1:7" ht="18" customHeight="1">
      <c r="A217" s="825">
        <v>217</v>
      </c>
      <c r="B217" s="825" t="s">
        <v>63</v>
      </c>
      <c r="D217" s="1" t="s">
        <v>216</v>
      </c>
      <c r="F217" s="874" t="s">
        <v>217</v>
      </c>
      <c r="G217" s="99">
        <f>VALUE(F217)</f>
        <v>1234</v>
      </c>
    </row>
    <row r="218" spans="1:7" ht="18" customHeight="1">
      <c r="A218" s="76" t="s">
        <v>218</v>
      </c>
      <c r="B218" s="76"/>
    </row>
    <row r="220" spans="1:7" ht="18" customHeight="1">
      <c r="A220" s="378">
        <f t="array" aca="1" ref="A220" ca="1">INDIRECT(B215&amp;A217,TRUE)</f>
        <v>217</v>
      </c>
      <c r="C220" s="823" t="s">
        <v>219</v>
      </c>
    </row>
    <row r="221" spans="1:7" ht="18" customHeight="1">
      <c r="A221" s="378">
        <f t="array" aca="1" ref="A221" ca="1">INDIRECT(A218,TRUE)</f>
        <v>217</v>
      </c>
      <c r="C221" s="823" t="s">
        <v>220</v>
      </c>
    </row>
    <row r="222" spans="1:7" ht="18" customHeight="1">
      <c r="A222" s="378">
        <f t="array" aca="1" ref="A222" ca="1">INDIRECT("a"&amp;A217,TRUE)</f>
        <v>217</v>
      </c>
      <c r="C222" s="823" t="s">
        <v>221</v>
      </c>
    </row>
    <row r="223" spans="1:7" ht="18" customHeight="1">
      <c r="A223" s="378" t="str">
        <f t="array" aca="1" ref="A223" ca="1">INDIRECT("r218c1",FALSE)</f>
        <v>a217</v>
      </c>
      <c r="C223" s="804" t="s">
        <v>222</v>
      </c>
    </row>
    <row r="224" spans="1:7" ht="18" customHeight="1">
      <c r="A224" s="378">
        <f t="array" aca="1" ref="A224" ca="1">INDIRECT("r217c1",FALSE)</f>
        <v>217</v>
      </c>
      <c r="C224" s="804" t="s">
        <v>223</v>
      </c>
    </row>
    <row r="226" spans="1:21" ht="18" customHeight="1">
      <c r="A226" s="742" t="s">
        <v>224</v>
      </c>
    </row>
    <row r="227" spans="1:21" ht="18" customHeight="1">
      <c r="B227" s="1" t="s">
        <v>225</v>
      </c>
    </row>
    <row r="228" spans="1:21" ht="18" customHeight="1">
      <c r="O228" s="830" t="s">
        <v>226</v>
      </c>
      <c r="P228" s="830" t="s">
        <v>227</v>
      </c>
      <c r="Q228" s="830" t="s">
        <v>228</v>
      </c>
      <c r="R228" s="830" t="s">
        <v>25</v>
      </c>
      <c r="S228" s="832"/>
      <c r="T228" s="833" t="s">
        <v>226</v>
      </c>
      <c r="U228" s="834" t="s">
        <v>229</v>
      </c>
    </row>
    <row r="229" spans="1:21" ht="18" customHeight="1">
      <c r="B229" s="826" t="s">
        <v>230</v>
      </c>
      <c r="C229" s="1" t="s">
        <v>231</v>
      </c>
      <c r="D229" s="1" t="s">
        <v>232</v>
      </c>
      <c r="O229" s="831" t="s">
        <v>233</v>
      </c>
      <c r="P229" s="831" t="s">
        <v>234</v>
      </c>
      <c r="Q229" s="831" t="s">
        <v>235</v>
      </c>
      <c r="R229" s="831" t="s">
        <v>236</v>
      </c>
      <c r="S229" s="832"/>
      <c r="T229" s="832"/>
      <c r="U229" s="832"/>
    </row>
    <row r="230" spans="1:21" ht="18" customHeight="1">
      <c r="O230" s="831" t="s">
        <v>229</v>
      </c>
      <c r="P230" s="831" t="s">
        <v>237</v>
      </c>
      <c r="Q230" s="831" t="s">
        <v>235</v>
      </c>
      <c r="R230" s="831" t="s">
        <v>238</v>
      </c>
      <c r="S230" s="832"/>
      <c r="T230" s="830" t="s">
        <v>25</v>
      </c>
      <c r="U230" s="832"/>
    </row>
    <row r="231" spans="1:21" ht="18" customHeight="1">
      <c r="B231" s="827" t="s">
        <v>239</v>
      </c>
      <c r="C231" s="1" t="s">
        <v>240</v>
      </c>
      <c r="D231" s="1" t="s">
        <v>241</v>
      </c>
      <c r="O231" s="831" t="s">
        <v>242</v>
      </c>
      <c r="P231" s="831" t="s">
        <v>243</v>
      </c>
      <c r="Q231" s="831" t="s">
        <v>244</v>
      </c>
      <c r="R231" s="831" t="s">
        <v>236</v>
      </c>
      <c r="S231" s="832"/>
      <c r="T231" s="831" t="str">
        <f t="array" ref="T231:T233">_xlfn.UNIQUE(_xlfn._xlws.FILTER(R229:R244,O229:O244=U228))</f>
        <v>益寿延年A</v>
      </c>
      <c r="U231" s="832"/>
    </row>
    <row r="232" spans="1:21" ht="18" customHeight="1">
      <c r="D232" s="1" t="s">
        <v>245</v>
      </c>
      <c r="O232" s="831" t="s">
        <v>233</v>
      </c>
      <c r="P232" s="831" t="s">
        <v>246</v>
      </c>
      <c r="Q232" s="831" t="s">
        <v>244</v>
      </c>
      <c r="R232" s="831" t="s">
        <v>247</v>
      </c>
      <c r="S232" s="832"/>
      <c r="T232" s="831" t="str">
        <v>臻尚人生B</v>
      </c>
      <c r="U232" s="832"/>
    </row>
    <row r="233" spans="1:21" ht="18" customHeight="1">
      <c r="D233" s="1" t="s">
        <v>248</v>
      </c>
      <c r="O233" s="831" t="s">
        <v>233</v>
      </c>
      <c r="P233" s="831" t="s">
        <v>234</v>
      </c>
      <c r="Q233" s="831" t="s">
        <v>235</v>
      </c>
      <c r="R233" s="831" t="s">
        <v>247</v>
      </c>
      <c r="S233" s="832"/>
      <c r="T233" s="831" t="str">
        <v>健康保险B</v>
      </c>
      <c r="U233" s="832"/>
    </row>
    <row r="234" spans="1:21" ht="18" customHeight="1">
      <c r="O234" s="831" t="s">
        <v>229</v>
      </c>
      <c r="P234" s="831" t="s">
        <v>237</v>
      </c>
      <c r="Q234" s="831" t="s">
        <v>244</v>
      </c>
      <c r="R234" s="831" t="s">
        <v>247</v>
      </c>
      <c r="S234" s="832"/>
      <c r="T234" s="831"/>
      <c r="U234" s="832"/>
    </row>
    <row r="235" spans="1:21" ht="18" customHeight="1">
      <c r="B235" s="828" t="s">
        <v>249</v>
      </c>
      <c r="C235" s="1" t="s">
        <v>240</v>
      </c>
      <c r="D235" s="1" t="s">
        <v>250</v>
      </c>
      <c r="O235" s="831" t="s">
        <v>242</v>
      </c>
      <c r="P235" s="831" t="s">
        <v>243</v>
      </c>
      <c r="Q235" s="831" t="s">
        <v>235</v>
      </c>
      <c r="R235" s="831" t="s">
        <v>238</v>
      </c>
      <c r="S235" s="832"/>
      <c r="T235" s="831"/>
      <c r="U235" s="832"/>
    </row>
    <row r="236" spans="1:21" ht="18" customHeight="1">
      <c r="D236" s="1" t="s">
        <v>251</v>
      </c>
      <c r="O236" s="831" t="s">
        <v>233</v>
      </c>
      <c r="P236" s="831" t="s">
        <v>234</v>
      </c>
      <c r="Q236" s="831" t="s">
        <v>244</v>
      </c>
      <c r="R236" s="831" t="s">
        <v>252</v>
      </c>
      <c r="S236" s="832"/>
      <c r="T236" s="831"/>
      <c r="U236" s="832"/>
    </row>
    <row r="237" spans="1:21" ht="18" customHeight="1">
      <c r="D237" s="1" t="s">
        <v>253</v>
      </c>
      <c r="O237" s="831" t="s">
        <v>233</v>
      </c>
      <c r="P237" s="831" t="s">
        <v>246</v>
      </c>
      <c r="Q237" s="831" t="s">
        <v>235</v>
      </c>
      <c r="R237" s="831" t="s">
        <v>238</v>
      </c>
      <c r="S237" s="832"/>
      <c r="T237" s="832"/>
      <c r="U237" s="832"/>
    </row>
    <row r="238" spans="1:21" ht="18" customHeight="1">
      <c r="A238" s="333" t="s">
        <v>254</v>
      </c>
      <c r="B238" s="324" t="s">
        <v>255</v>
      </c>
      <c r="C238" s="325" t="s">
        <v>256</v>
      </c>
      <c r="O238" s="831" t="s">
        <v>229</v>
      </c>
      <c r="P238" s="831" t="s">
        <v>237</v>
      </c>
      <c r="Q238" s="831" t="s">
        <v>244</v>
      </c>
      <c r="R238" s="831" t="s">
        <v>236</v>
      </c>
      <c r="S238" s="832"/>
      <c r="T238" s="832"/>
      <c r="U238" s="832"/>
    </row>
    <row r="239" spans="1:21" ht="18" customHeight="1">
      <c r="A239" s="254">
        <v>1</v>
      </c>
      <c r="B239" s="323">
        <f t="array" ref="B239:B243">_xlfn.UNIQUE(A239:A246)</f>
        <v>1</v>
      </c>
      <c r="C239" s="829">
        <f t="array" ref="C239:C240">_xlfn.UNIQUE(A239:A246,FALSE,TRUE)</f>
        <v>3</v>
      </c>
      <c r="E239" s="804" t="s">
        <v>257</v>
      </c>
      <c r="H239" s="804" t="s">
        <v>258</v>
      </c>
      <c r="O239" s="831" t="s">
        <v>242</v>
      </c>
      <c r="P239" s="831" t="s">
        <v>259</v>
      </c>
      <c r="Q239" s="831" t="s">
        <v>235</v>
      </c>
      <c r="R239" s="831" t="s">
        <v>238</v>
      </c>
      <c r="S239" s="832"/>
      <c r="T239" s="832"/>
      <c r="U239" s="832"/>
    </row>
    <row r="240" spans="1:21" ht="18" customHeight="1">
      <c r="A240" s="254">
        <v>1</v>
      </c>
      <c r="B240" s="323">
        <v>2</v>
      </c>
      <c r="C240" s="829">
        <v>4</v>
      </c>
      <c r="O240" s="831" t="s">
        <v>233</v>
      </c>
      <c r="P240" s="831" t="s">
        <v>234</v>
      </c>
      <c r="Q240" s="831" t="s">
        <v>244</v>
      </c>
      <c r="R240" s="831" t="s">
        <v>247</v>
      </c>
      <c r="S240" s="832"/>
      <c r="T240" s="832"/>
      <c r="U240" s="832"/>
    </row>
    <row r="241" spans="1:23" ht="18" customHeight="1">
      <c r="A241" s="254">
        <v>2</v>
      </c>
      <c r="B241" s="323">
        <v>3</v>
      </c>
      <c r="C241" s="326"/>
      <c r="O241" s="831" t="s">
        <v>233</v>
      </c>
      <c r="P241" s="831" t="s">
        <v>246</v>
      </c>
      <c r="Q241" s="831" t="s">
        <v>235</v>
      </c>
      <c r="R241" s="831" t="s">
        <v>252</v>
      </c>
      <c r="S241" s="832"/>
      <c r="T241" s="832"/>
      <c r="U241" s="832"/>
    </row>
    <row r="242" spans="1:23" ht="18" customHeight="1">
      <c r="A242" s="254">
        <v>2</v>
      </c>
      <c r="B242" s="323">
        <v>4</v>
      </c>
      <c r="C242" s="326"/>
      <c r="O242" s="831" t="s">
        <v>229</v>
      </c>
      <c r="P242" s="831" t="s">
        <v>260</v>
      </c>
      <c r="Q242" s="831" t="s">
        <v>244</v>
      </c>
      <c r="R242" s="831" t="s">
        <v>247</v>
      </c>
      <c r="S242" s="832"/>
      <c r="T242" s="832"/>
      <c r="U242" s="832"/>
    </row>
    <row r="243" spans="1:23" ht="18" customHeight="1">
      <c r="A243" s="254">
        <v>3</v>
      </c>
      <c r="B243" s="323">
        <v>5</v>
      </c>
      <c r="C243" s="326"/>
      <c r="O243" s="831" t="s">
        <v>233</v>
      </c>
      <c r="P243" s="831" t="s">
        <v>234</v>
      </c>
      <c r="Q243" s="831" t="s">
        <v>235</v>
      </c>
      <c r="R243" s="831" t="s">
        <v>238</v>
      </c>
      <c r="S243" s="832"/>
      <c r="T243" s="832"/>
      <c r="U243" s="832"/>
    </row>
    <row r="244" spans="1:23" ht="18" customHeight="1">
      <c r="A244" s="254">
        <v>4</v>
      </c>
      <c r="B244" s="116"/>
      <c r="C244" s="326"/>
      <c r="O244" s="831" t="s">
        <v>233</v>
      </c>
      <c r="P244" s="831" t="s">
        <v>261</v>
      </c>
      <c r="Q244" s="831" t="s">
        <v>235</v>
      </c>
      <c r="R244" s="831" t="s">
        <v>262</v>
      </c>
      <c r="S244" s="832"/>
      <c r="T244" s="832"/>
      <c r="U244" s="832"/>
    </row>
    <row r="245" spans="1:23" ht="18" customHeight="1">
      <c r="A245" s="254">
        <v>5</v>
      </c>
      <c r="B245" s="116"/>
      <c r="C245" s="326"/>
    </row>
    <row r="246" spans="1:23" ht="18" customHeight="1">
      <c r="A246" s="304">
        <v>5</v>
      </c>
      <c r="B246" s="305"/>
      <c r="C246" s="327"/>
    </row>
    <row r="248" spans="1:23" ht="18" customHeight="1">
      <c r="A248" s="742" t="s">
        <v>263</v>
      </c>
    </row>
    <row r="250" spans="1:23" ht="18" customHeight="1">
      <c r="B250" s="1" t="s">
        <v>264</v>
      </c>
    </row>
    <row r="252" spans="1:23" ht="18" customHeight="1">
      <c r="C252" s="1" t="s">
        <v>265</v>
      </c>
      <c r="D252" s="1" t="s">
        <v>231</v>
      </c>
      <c r="E252" s="1" t="s">
        <v>266</v>
      </c>
    </row>
    <row r="254" spans="1:23" ht="18" customHeight="1">
      <c r="C254" s="1" t="s">
        <v>267</v>
      </c>
      <c r="D254" s="1" t="s">
        <v>231</v>
      </c>
      <c r="E254" s="1" t="s">
        <v>268</v>
      </c>
      <c r="O254" s="830" t="s">
        <v>269</v>
      </c>
      <c r="P254" s="830" t="s">
        <v>270</v>
      </c>
      <c r="Q254" s="830" t="s">
        <v>131</v>
      </c>
      <c r="R254" s="830" t="s">
        <v>271</v>
      </c>
      <c r="S254" s="835"/>
      <c r="T254" s="836"/>
      <c r="U254" s="836"/>
      <c r="V254" s="835"/>
      <c r="W254" s="835"/>
    </row>
    <row r="255" spans="1:23" ht="18" customHeight="1">
      <c r="O255" s="831" t="s">
        <v>272</v>
      </c>
      <c r="P255" s="831" t="s">
        <v>273</v>
      </c>
      <c r="Q255" s="831" t="s">
        <v>274</v>
      </c>
      <c r="R255" s="831">
        <v>500</v>
      </c>
      <c r="S255" s="835"/>
      <c r="T255" s="833" t="s">
        <v>269</v>
      </c>
      <c r="U255" s="834" t="s">
        <v>2593</v>
      </c>
      <c r="V255" s="835"/>
      <c r="W255" s="835"/>
    </row>
    <row r="256" spans="1:23" ht="18" customHeight="1">
      <c r="C256" s="1" t="s">
        <v>276</v>
      </c>
      <c r="D256" s="1" t="s">
        <v>240</v>
      </c>
      <c r="E256" s="1" t="s">
        <v>277</v>
      </c>
      <c r="O256" s="831" t="s">
        <v>272</v>
      </c>
      <c r="P256" s="831" t="s">
        <v>278</v>
      </c>
      <c r="Q256" s="831" t="s">
        <v>279</v>
      </c>
      <c r="R256" s="831">
        <v>1300</v>
      </c>
      <c r="S256" s="835"/>
      <c r="T256" s="837" t="s">
        <v>270</v>
      </c>
      <c r="U256" s="834" t="s">
        <v>2594</v>
      </c>
      <c r="V256" s="835"/>
      <c r="W256" s="835"/>
    </row>
    <row r="257" spans="1:23" ht="18" customHeight="1">
      <c r="O257" s="831" t="s">
        <v>281</v>
      </c>
      <c r="P257" s="831" t="s">
        <v>282</v>
      </c>
      <c r="Q257" s="831" t="s">
        <v>283</v>
      </c>
      <c r="R257" s="831">
        <v>1200</v>
      </c>
      <c r="S257" s="835"/>
      <c r="T257" s="835"/>
      <c r="U257" s="835"/>
      <c r="V257" s="835"/>
      <c r="W257" s="835"/>
    </row>
    <row r="258" spans="1:23" ht="18" customHeight="1">
      <c r="A258" s="333" t="s">
        <v>284</v>
      </c>
      <c r="B258" s="324" t="s">
        <v>254</v>
      </c>
      <c r="C258" s="324" t="s">
        <v>43</v>
      </c>
      <c r="D258" s="242" t="s">
        <v>285</v>
      </c>
      <c r="E258" s="243" t="s">
        <v>285</v>
      </c>
      <c r="F258" s="243" t="s">
        <v>254</v>
      </c>
      <c r="G258" s="244" t="s">
        <v>43</v>
      </c>
      <c r="I258" s="1" t="s">
        <v>286</v>
      </c>
      <c r="O258" s="831" t="s">
        <v>275</v>
      </c>
      <c r="P258" s="831" t="s">
        <v>278</v>
      </c>
      <c r="Q258" s="831" t="s">
        <v>287</v>
      </c>
      <c r="R258" s="831">
        <v>1000</v>
      </c>
      <c r="S258" s="835"/>
      <c r="T258" s="830" t="s">
        <v>269</v>
      </c>
      <c r="U258" s="830" t="s">
        <v>270</v>
      </c>
      <c r="V258" s="830" t="s">
        <v>131</v>
      </c>
      <c r="W258" s="830" t="s">
        <v>271</v>
      </c>
    </row>
    <row r="259" spans="1:23" ht="18" customHeight="1">
      <c r="A259" s="254" t="s">
        <v>61</v>
      </c>
      <c r="B259" s="116">
        <v>1</v>
      </c>
      <c r="C259" s="536">
        <v>44197</v>
      </c>
      <c r="D259" s="838" t="str">
        <f t="array" ref="D259:D261">_xlfn._xlws.FILTER(A259:A264,B259:B264&gt;3,)</f>
        <v>d</v>
      </c>
      <c r="E259" s="323" t="str">
        <f t="array" ref="E259:G261">_xlfn._xlws.FILTER(A259:C264,B259:B264&gt;3)</f>
        <v>d</v>
      </c>
      <c r="F259" s="323">
        <v>4</v>
      </c>
      <c r="G259" s="839">
        <v>44200</v>
      </c>
      <c r="I259" s="378" t="str">
        <f t="array" ref="I259">_xlfn._xlws.FILTER(A259:A264,((B259:B264&gt;3)*(C259:C264&gt;K259)))</f>
        <v>f</v>
      </c>
      <c r="K259" s="779">
        <v>44201</v>
      </c>
      <c r="O259" s="831" t="s">
        <v>281</v>
      </c>
      <c r="P259" s="831" t="s">
        <v>288</v>
      </c>
      <c r="Q259" s="831" t="s">
        <v>289</v>
      </c>
      <c r="R259" s="831">
        <v>800</v>
      </c>
      <c r="S259" s="835"/>
      <c r="T259" s="861" t="str">
        <f t="array" ref="T259:W260">_xlfn._xlws.FILTER(O254:R264,O254:O264&amp;P254:P264=U255&amp;U256)</f>
        <v>采购部</v>
      </c>
      <c r="U259" s="861" t="str">
        <v>主管</v>
      </c>
      <c r="V259" s="861" t="str">
        <v>黄忠</v>
      </c>
      <c r="W259" s="861">
        <v>700</v>
      </c>
    </row>
    <row r="260" spans="1:23" ht="18" customHeight="1">
      <c r="A260" s="254" t="s">
        <v>62</v>
      </c>
      <c r="B260" s="116">
        <v>2</v>
      </c>
      <c r="C260" s="536">
        <v>44198</v>
      </c>
      <c r="D260" s="838" t="str">
        <v>e</v>
      </c>
      <c r="E260" s="323" t="str">
        <v>e</v>
      </c>
      <c r="F260" s="323">
        <v>5</v>
      </c>
      <c r="G260" s="839">
        <v>44201</v>
      </c>
      <c r="O260" s="831" t="s">
        <v>290</v>
      </c>
      <c r="P260" s="831" t="s">
        <v>288</v>
      </c>
      <c r="Q260" s="831" t="s">
        <v>291</v>
      </c>
      <c r="R260" s="831">
        <v>700</v>
      </c>
      <c r="S260" s="835"/>
      <c r="T260" s="861" t="str">
        <v>采购部</v>
      </c>
      <c r="U260" s="861" t="str">
        <v>主管</v>
      </c>
      <c r="V260" s="861" t="str">
        <v>黄忠</v>
      </c>
      <c r="W260" s="861">
        <v>700</v>
      </c>
    </row>
    <row r="261" spans="1:23" ht="18" customHeight="1">
      <c r="A261" s="254" t="s">
        <v>63</v>
      </c>
      <c r="B261" s="116">
        <v>3</v>
      </c>
      <c r="C261" s="536">
        <v>44199</v>
      </c>
      <c r="D261" s="840" t="str">
        <v>f</v>
      </c>
      <c r="E261" s="525" t="str">
        <v>f</v>
      </c>
      <c r="F261" s="525">
        <v>6</v>
      </c>
      <c r="G261" s="841">
        <v>44202</v>
      </c>
      <c r="O261" s="831" t="s">
        <v>290</v>
      </c>
      <c r="P261" s="831" t="s">
        <v>292</v>
      </c>
      <c r="Q261" s="831" t="s">
        <v>293</v>
      </c>
      <c r="R261" s="831">
        <v>400</v>
      </c>
      <c r="S261" s="835"/>
    </row>
    <row r="262" spans="1:23" ht="18" customHeight="1">
      <c r="A262" s="254" t="s">
        <v>64</v>
      </c>
      <c r="B262" s="116">
        <v>4</v>
      </c>
      <c r="C262" s="842">
        <v>44200</v>
      </c>
      <c r="D262" s="254">
        <v>1</v>
      </c>
      <c r="E262" s="116"/>
      <c r="F262" s="116"/>
      <c r="G262" s="326" t="str">
        <f t="shared" ref="G262:G264" si="6">IF(SUMIF(C262,"&gt;=2021/1/5",D262)=1,"dayu","xiaoyu")</f>
        <v>xiaoyu</v>
      </c>
      <c r="I262" s="804" t="s">
        <v>294</v>
      </c>
      <c r="O262" s="831" t="s">
        <v>272</v>
      </c>
      <c r="P262" s="831" t="s">
        <v>288</v>
      </c>
      <c r="Q262" s="831" t="s">
        <v>295</v>
      </c>
      <c r="R262" s="831">
        <v>1100</v>
      </c>
      <c r="S262" s="835"/>
    </row>
    <row r="263" spans="1:23" ht="18" customHeight="1">
      <c r="A263" s="254" t="s">
        <v>66</v>
      </c>
      <c r="B263" s="116">
        <v>5</v>
      </c>
      <c r="C263" s="842">
        <v>44201</v>
      </c>
      <c r="D263" s="254">
        <v>1</v>
      </c>
      <c r="E263" s="116"/>
      <c r="F263" s="116"/>
      <c r="G263" s="326" t="str">
        <f t="shared" si="6"/>
        <v>dayu</v>
      </c>
      <c r="I263" s="1" t="s">
        <v>296</v>
      </c>
      <c r="O263" s="831" t="s">
        <v>275</v>
      </c>
      <c r="P263" s="831" t="s">
        <v>280</v>
      </c>
      <c r="Q263" s="831" t="s">
        <v>297</v>
      </c>
      <c r="R263" s="831">
        <v>200</v>
      </c>
      <c r="S263" s="835"/>
      <c r="T263" s="835"/>
      <c r="U263" s="835"/>
      <c r="V263" s="835"/>
      <c r="W263" s="835"/>
    </row>
    <row r="264" spans="1:23" ht="18" customHeight="1">
      <c r="A264" s="304" t="s">
        <v>67</v>
      </c>
      <c r="B264" s="305">
        <v>6</v>
      </c>
      <c r="C264" s="843">
        <v>44202</v>
      </c>
      <c r="D264" s="304">
        <v>1</v>
      </c>
      <c r="E264" s="305">
        <f>IF(C264&gt;2022/1/1,1,2)</f>
        <v>1</v>
      </c>
      <c r="F264" s="305">
        <f>SUMIF(C262:C264,"&gt;=2021/1/5",B262:B264)</f>
        <v>11</v>
      </c>
      <c r="G264" s="327" t="str">
        <f t="shared" si="6"/>
        <v>dayu</v>
      </c>
      <c r="O264" s="831" t="s">
        <v>275</v>
      </c>
      <c r="P264" s="831" t="s">
        <v>280</v>
      </c>
      <c r="Q264" s="831" t="s">
        <v>298</v>
      </c>
      <c r="R264" s="831">
        <v>300</v>
      </c>
      <c r="S264" s="835"/>
      <c r="T264" s="835"/>
      <c r="U264" s="835"/>
      <c r="V264" s="835"/>
      <c r="W264" s="835"/>
    </row>
    <row r="265" spans="1:23" ht="18" customHeight="1">
      <c r="K265" s="860" t="s">
        <v>299</v>
      </c>
    </row>
    <row r="266" spans="1:23" ht="18" customHeight="1">
      <c r="A266" s="742" t="s">
        <v>300</v>
      </c>
      <c r="P266" s="804" t="s">
        <v>301</v>
      </c>
    </row>
    <row r="268" spans="1:23" ht="18" customHeight="1">
      <c r="B268" s="844" t="s">
        <v>302</v>
      </c>
    </row>
    <row r="270" spans="1:23" ht="18" customHeight="1">
      <c r="C270" s="1" t="s">
        <v>303</v>
      </c>
      <c r="D270" s="824" t="s">
        <v>231</v>
      </c>
      <c r="E270" s="1" t="s">
        <v>304</v>
      </c>
    </row>
    <row r="271" spans="1:23" ht="18" customHeight="1">
      <c r="D271" s="824"/>
    </row>
    <row r="272" spans="1:23" ht="18" customHeight="1">
      <c r="C272" s="1" t="s">
        <v>305</v>
      </c>
      <c r="D272" s="824" t="s">
        <v>231</v>
      </c>
      <c r="E272" s="1" t="s">
        <v>306</v>
      </c>
    </row>
    <row r="273" spans="1:10" ht="18" customHeight="1">
      <c r="D273" s="824"/>
    </row>
    <row r="274" spans="1:10" ht="18" customHeight="1">
      <c r="C274" s="1" t="s">
        <v>307</v>
      </c>
      <c r="D274" s="824" t="s">
        <v>231</v>
      </c>
      <c r="E274" s="1" t="s">
        <v>308</v>
      </c>
    </row>
    <row r="275" spans="1:10" ht="18" customHeight="1">
      <c r="D275" s="824"/>
    </row>
    <row r="276" spans="1:10" ht="18" customHeight="1">
      <c r="C276" s="1" t="s">
        <v>309</v>
      </c>
      <c r="D276" s="824" t="s">
        <v>240</v>
      </c>
      <c r="E276" s="1" t="s">
        <v>310</v>
      </c>
    </row>
    <row r="278" spans="1:10" ht="18" customHeight="1">
      <c r="C278" s="1" t="s">
        <v>311</v>
      </c>
      <c r="D278" s="1" t="s">
        <v>312</v>
      </c>
    </row>
    <row r="279" spans="1:10" ht="18" customHeight="1">
      <c r="D279" s="1" t="str">
        <f>_xlfn.TEXTJOIN(" ",TRUE,"The","sun","will","come","up","tomorrow.")</f>
        <v>The sun will come up tomorrow.</v>
      </c>
    </row>
    <row r="280" spans="1:10" ht="18" customHeight="1">
      <c r="C280" s="1" t="s">
        <v>313</v>
      </c>
      <c r="D280" s="845" t="s">
        <v>314</v>
      </c>
    </row>
    <row r="282" spans="1:10" ht="18" customHeight="1">
      <c r="A282" s="742" t="s">
        <v>315</v>
      </c>
      <c r="I282" s="377"/>
      <c r="J282" s="377"/>
    </row>
    <row r="283" spans="1:10" ht="18" customHeight="1">
      <c r="I283" s="377"/>
      <c r="J283" s="377"/>
    </row>
    <row r="284" spans="1:10" ht="18" customHeight="1">
      <c r="B284" s="1" t="s">
        <v>316</v>
      </c>
      <c r="I284" s="377"/>
      <c r="J284" s="377"/>
    </row>
    <row r="285" spans="1:10" ht="18" customHeight="1">
      <c r="B285" s="1" t="s">
        <v>317</v>
      </c>
      <c r="I285" s="377"/>
      <c r="J285" s="377"/>
    </row>
    <row r="286" spans="1:10" ht="18" customHeight="1">
      <c r="I286" s="851"/>
      <c r="J286" s="851"/>
    </row>
    <row r="287" spans="1:10" ht="18" customHeight="1">
      <c r="C287" s="826" t="s">
        <v>318</v>
      </c>
      <c r="D287" s="846" t="s">
        <v>231</v>
      </c>
      <c r="E287" s="846" t="s">
        <v>319</v>
      </c>
      <c r="I287" s="851"/>
      <c r="J287" s="851"/>
    </row>
    <row r="288" spans="1:10" ht="18" customHeight="1">
      <c r="I288" s="851"/>
      <c r="J288" s="851"/>
    </row>
    <row r="289" spans="1:10" ht="18" customHeight="1">
      <c r="C289" s="847" t="s">
        <v>320</v>
      </c>
      <c r="D289" s="846" t="s">
        <v>240</v>
      </c>
      <c r="E289" s="1" t="s">
        <v>321</v>
      </c>
      <c r="I289" s="851"/>
      <c r="J289" s="851"/>
    </row>
    <row r="290" spans="1:10" ht="18" customHeight="1">
      <c r="I290" s="851"/>
      <c r="J290" s="851"/>
    </row>
    <row r="291" spans="1:10" ht="18" customHeight="1">
      <c r="C291" s="848" t="s">
        <v>322</v>
      </c>
      <c r="D291" s="846" t="s">
        <v>240</v>
      </c>
      <c r="E291" s="1" t="s">
        <v>323</v>
      </c>
      <c r="I291" s="851"/>
      <c r="J291" s="851"/>
    </row>
    <row r="292" spans="1:10" ht="18" customHeight="1">
      <c r="I292" s="851"/>
      <c r="J292" s="851"/>
    </row>
    <row r="293" spans="1:10" ht="18" customHeight="1">
      <c r="C293" s="849" t="s">
        <v>324</v>
      </c>
      <c r="D293" s="846" t="s">
        <v>240</v>
      </c>
      <c r="E293" s="1" t="s">
        <v>325</v>
      </c>
      <c r="I293" s="851"/>
      <c r="J293" s="851"/>
    </row>
    <row r="294" spans="1:10" ht="18" customHeight="1">
      <c r="J294" s="851"/>
    </row>
    <row r="295" spans="1:10" ht="18" customHeight="1">
      <c r="J295" s="851"/>
    </row>
    <row r="296" spans="1:10" ht="18" customHeight="1">
      <c r="B296" s="850" t="s">
        <v>326</v>
      </c>
      <c r="J296" s="851"/>
    </row>
    <row r="297" spans="1:10" ht="18" customHeight="1">
      <c r="B297" s="851" t="s">
        <v>327</v>
      </c>
      <c r="J297" s="851"/>
    </row>
    <row r="298" spans="1:10" ht="18" customHeight="1">
      <c r="B298" s="851" t="s">
        <v>328</v>
      </c>
      <c r="J298" s="851"/>
    </row>
    <row r="299" spans="1:10" ht="18" customHeight="1">
      <c r="B299" s="851"/>
      <c r="I299" s="858"/>
      <c r="J299" s="858"/>
    </row>
    <row r="300" spans="1:10" ht="18" customHeight="1">
      <c r="A300" s="852" t="s">
        <v>131</v>
      </c>
      <c r="B300" s="853"/>
      <c r="C300" s="853"/>
      <c r="D300" s="853"/>
      <c r="E300" s="853"/>
      <c r="F300" s="853"/>
      <c r="G300" s="853"/>
      <c r="H300" s="853"/>
    </row>
    <row r="301" spans="1:10" ht="18" customHeight="1">
      <c r="A301" s="854" t="s">
        <v>329</v>
      </c>
      <c r="B301" s="853"/>
      <c r="C301" s="853"/>
      <c r="D301" s="853"/>
      <c r="E301" s="853"/>
      <c r="F301" s="853"/>
      <c r="G301" s="853"/>
      <c r="H301" s="853"/>
    </row>
    <row r="302" spans="1:10" ht="18" customHeight="1">
      <c r="A302" s="854" t="s">
        <v>330</v>
      </c>
      <c r="B302" s="853"/>
      <c r="C302" s="853"/>
      <c r="D302" s="855" t="s">
        <v>331</v>
      </c>
      <c r="E302" s="856">
        <v>5</v>
      </c>
      <c r="F302" s="853"/>
      <c r="G302" s="853"/>
      <c r="H302" s="853"/>
    </row>
    <row r="303" spans="1:10" ht="18" customHeight="1">
      <c r="A303" s="854" t="s">
        <v>332</v>
      </c>
      <c r="B303" s="853"/>
      <c r="C303" s="853"/>
      <c r="D303" s="855" t="s">
        <v>333</v>
      </c>
      <c r="E303" s="856">
        <v>4</v>
      </c>
      <c r="F303" s="853"/>
      <c r="G303" s="853"/>
      <c r="H303" s="853"/>
    </row>
    <row r="304" spans="1:10" ht="18" customHeight="1">
      <c r="A304" s="854" t="s">
        <v>334</v>
      </c>
      <c r="B304" s="853"/>
      <c r="C304" s="853"/>
      <c r="D304" s="853"/>
      <c r="E304" s="853"/>
      <c r="F304" s="853"/>
      <c r="G304" s="853"/>
      <c r="H304" s="853"/>
    </row>
    <row r="305" spans="1:8" ht="18" customHeight="1">
      <c r="A305" s="854" t="s">
        <v>335</v>
      </c>
      <c r="B305" s="853"/>
      <c r="C305" s="853"/>
      <c r="D305" s="857" t="str">
        <f t="array" ref="D305:G309">INDEX($A$300:$A$394,_xlfn.SEQUENCE(E302,E303,2))&amp;""</f>
        <v>朱绍启</v>
      </c>
      <c r="E305" s="857" t="str">
        <v>杨桂仙</v>
      </c>
      <c r="F305" s="857" t="str">
        <v>张国美</v>
      </c>
      <c r="G305" s="857" t="str">
        <v>何国栋</v>
      </c>
      <c r="H305" s="858"/>
    </row>
    <row r="306" spans="1:8" ht="18" customHeight="1">
      <c r="A306" s="854" t="s">
        <v>336</v>
      </c>
      <c r="B306" s="853"/>
      <c r="C306" s="853"/>
      <c r="D306" s="857" t="str">
        <v>吴琼芳</v>
      </c>
      <c r="E306" s="857" t="str">
        <v>吴秀琴</v>
      </c>
      <c r="F306" s="857" t="str">
        <v>赵学国</v>
      </c>
      <c r="G306" s="857" t="str">
        <v>马建昆</v>
      </c>
      <c r="H306" s="858"/>
    </row>
    <row r="307" spans="1:8" ht="18" customHeight="1">
      <c r="A307" s="854" t="s">
        <v>337</v>
      </c>
      <c r="B307" s="853"/>
      <c r="C307" s="853"/>
      <c r="D307" s="857" t="str">
        <v>张凤芝</v>
      </c>
      <c r="E307" s="857" t="str">
        <v>高五一</v>
      </c>
      <c r="F307" s="857" t="str">
        <v>付雪莲</v>
      </c>
      <c r="G307" s="857" t="str">
        <v>李为涛</v>
      </c>
      <c r="H307" s="858"/>
    </row>
    <row r="308" spans="1:8" ht="18" customHeight="1">
      <c r="A308" s="854" t="s">
        <v>338</v>
      </c>
      <c r="B308" s="853"/>
      <c r="C308" s="853"/>
      <c r="D308" s="857" t="str">
        <v>欧燕立</v>
      </c>
      <c r="E308" s="857" t="str">
        <v>周莉敏</v>
      </c>
      <c r="F308" s="857" t="str">
        <v>王建珊</v>
      </c>
      <c r="G308" s="857" t="str">
        <v>周蜀康</v>
      </c>
      <c r="H308" s="858"/>
    </row>
    <row r="309" spans="1:8" ht="18" customHeight="1">
      <c r="A309" s="854" t="s">
        <v>339</v>
      </c>
      <c r="B309" s="853"/>
      <c r="C309" s="853"/>
      <c r="D309" s="857" t="str">
        <v>覃兆烜</v>
      </c>
      <c r="E309" s="857" t="str">
        <v>张玉华</v>
      </c>
      <c r="F309" s="857" t="str">
        <v>陈华英</v>
      </c>
      <c r="G309" s="857" t="str">
        <v/>
      </c>
      <c r="H309" s="858"/>
    </row>
    <row r="310" spans="1:8" ht="18" customHeight="1">
      <c r="A310" s="854" t="s">
        <v>340</v>
      </c>
      <c r="B310" s="853"/>
      <c r="C310" s="853"/>
      <c r="D310" s="858"/>
      <c r="E310" s="858"/>
      <c r="F310" s="858"/>
      <c r="G310" s="858"/>
      <c r="H310" s="858"/>
    </row>
    <row r="311" spans="1:8" ht="18" customHeight="1">
      <c r="A311" s="854" t="s">
        <v>341</v>
      </c>
      <c r="B311" s="853"/>
      <c r="C311" s="853"/>
      <c r="D311" s="804" t="s">
        <v>342</v>
      </c>
      <c r="E311" s="858"/>
      <c r="F311" s="858"/>
      <c r="G311" s="858"/>
      <c r="H311" s="858"/>
    </row>
    <row r="312" spans="1:8" ht="18" customHeight="1">
      <c r="A312" s="854" t="s">
        <v>343</v>
      </c>
      <c r="B312" s="853"/>
      <c r="C312" s="853"/>
      <c r="D312" s="858"/>
      <c r="E312" s="858"/>
      <c r="F312" s="858"/>
      <c r="G312" s="858"/>
      <c r="H312" s="858"/>
    </row>
    <row r="313" spans="1:8" ht="18" customHeight="1">
      <c r="A313" s="854" t="s">
        <v>344</v>
      </c>
      <c r="B313" s="853"/>
      <c r="C313" s="853"/>
      <c r="D313" s="859"/>
      <c r="E313" s="858"/>
      <c r="F313" s="858"/>
      <c r="G313" s="858"/>
      <c r="H313" s="858"/>
    </row>
    <row r="314" spans="1:8" ht="18" customHeight="1">
      <c r="A314" s="854" t="s">
        <v>345</v>
      </c>
      <c r="B314" s="853"/>
      <c r="C314" s="853"/>
      <c r="D314" s="858"/>
      <c r="E314" s="858"/>
      <c r="F314" s="858"/>
      <c r="G314" s="858"/>
      <c r="H314" s="858"/>
    </row>
    <row r="315" spans="1:8" ht="18" customHeight="1">
      <c r="A315" s="854" t="s">
        <v>346</v>
      </c>
      <c r="B315" s="853"/>
      <c r="C315" s="853"/>
      <c r="D315" s="858"/>
      <c r="E315" s="858"/>
      <c r="F315" s="858"/>
      <c r="G315" s="858"/>
      <c r="H315" s="858"/>
    </row>
    <row r="316" spans="1:8" ht="18" customHeight="1">
      <c r="A316" s="854" t="s">
        <v>347</v>
      </c>
      <c r="B316" s="853"/>
      <c r="C316" s="853"/>
      <c r="D316" s="853"/>
      <c r="E316" s="853"/>
      <c r="F316" s="853"/>
      <c r="G316" s="853"/>
      <c r="H316" s="853"/>
    </row>
    <row r="317" spans="1:8" ht="18" customHeight="1">
      <c r="A317" s="854" t="s">
        <v>348</v>
      </c>
      <c r="B317" s="853"/>
      <c r="C317" s="853"/>
      <c r="D317" s="853"/>
      <c r="E317" s="853"/>
      <c r="F317" s="853"/>
      <c r="G317" s="853"/>
      <c r="H317" s="853"/>
    </row>
    <row r="318" spans="1:8" ht="18" customHeight="1">
      <c r="A318" s="854" t="s">
        <v>349</v>
      </c>
      <c r="B318" s="853"/>
      <c r="C318" s="853"/>
      <c r="D318" s="853"/>
      <c r="E318" s="853"/>
      <c r="F318" s="853"/>
      <c r="G318" s="853"/>
      <c r="H318" s="853"/>
    </row>
    <row r="319" spans="1:8" ht="18" customHeight="1">
      <c r="A319" s="854" t="s">
        <v>350</v>
      </c>
      <c r="B319" s="853"/>
      <c r="C319" s="853"/>
      <c r="D319" s="853"/>
      <c r="E319" s="853"/>
      <c r="F319" s="853"/>
      <c r="G319" s="853"/>
      <c r="H319" s="853"/>
    </row>
    <row r="321" spans="1:5" ht="18" customHeight="1">
      <c r="A321" s="742" t="s">
        <v>351</v>
      </c>
    </row>
    <row r="323" spans="1:5" ht="18" customHeight="1">
      <c r="B323" s="862" t="s">
        <v>352</v>
      </c>
    </row>
    <row r="325" spans="1:5" ht="18" customHeight="1">
      <c r="C325" s="826" t="s">
        <v>265</v>
      </c>
      <c r="D325" s="1" t="s">
        <v>231</v>
      </c>
      <c r="E325" s="1" t="s">
        <v>353</v>
      </c>
    </row>
    <row r="327" spans="1:5" ht="18" customHeight="1">
      <c r="C327" s="827" t="s">
        <v>354</v>
      </c>
      <c r="D327" s="1" t="s">
        <v>231</v>
      </c>
      <c r="E327" s="1" t="s">
        <v>355</v>
      </c>
    </row>
    <row r="329" spans="1:5" ht="18" customHeight="1">
      <c r="C329" s="863" t="s">
        <v>356</v>
      </c>
      <c r="D329" s="1" t="s">
        <v>240</v>
      </c>
      <c r="E329" s="1" t="s">
        <v>357</v>
      </c>
    </row>
    <row r="331" spans="1:5" ht="18" customHeight="1">
      <c r="C331" s="864" t="s">
        <v>358</v>
      </c>
      <c r="D331" s="1" t="s">
        <v>240</v>
      </c>
      <c r="E331" s="1" t="s">
        <v>359</v>
      </c>
    </row>
    <row r="333" spans="1:5" ht="18" customHeight="1">
      <c r="C333" s="847" t="s">
        <v>360</v>
      </c>
      <c r="D333" s="1" t="s">
        <v>240</v>
      </c>
      <c r="E333" s="1" t="s">
        <v>361</v>
      </c>
    </row>
    <row r="335" spans="1:5" ht="18" customHeight="1">
      <c r="B335" s="1" t="s">
        <v>326</v>
      </c>
    </row>
    <row r="336" spans="1:5" ht="18" customHeight="1">
      <c r="B336" s="1" t="s">
        <v>328</v>
      </c>
    </row>
    <row r="338" spans="1:10" ht="18" customHeight="1">
      <c r="A338" s="830" t="s">
        <v>362</v>
      </c>
      <c r="B338" s="830" t="s">
        <v>131</v>
      </c>
      <c r="C338" s="830" t="s">
        <v>363</v>
      </c>
      <c r="D338"/>
      <c r="E338" s="830" t="s">
        <v>362</v>
      </c>
      <c r="F338" s="830" t="s">
        <v>131</v>
      </c>
      <c r="G338" s="830" t="s">
        <v>363</v>
      </c>
    </row>
    <row r="339" spans="1:10" ht="18" customHeight="1">
      <c r="A339" s="865" t="s">
        <v>364</v>
      </c>
      <c r="B339" s="831" t="s">
        <v>341</v>
      </c>
      <c r="C339" s="831">
        <v>18</v>
      </c>
      <c r="D339"/>
      <c r="E339" s="866" t="str">
        <f t="array" ref="E339:G354">_xlfn.SORTBY(A339:C354,A339:A354,1,C339:C354,-1)</f>
        <v>高新区营销处</v>
      </c>
      <c r="F339" s="867" t="str">
        <v>付雪莲</v>
      </c>
      <c r="G339" s="867">
        <v>18</v>
      </c>
      <c r="J339" s="804" t="s">
        <v>365</v>
      </c>
    </row>
    <row r="340" spans="1:10" ht="18" customHeight="1">
      <c r="A340" s="865" t="s">
        <v>366</v>
      </c>
      <c r="B340" s="831" t="s">
        <v>340</v>
      </c>
      <c r="C340" s="831">
        <v>6</v>
      </c>
      <c r="D340"/>
      <c r="E340" s="866" t="str">
        <v>高新区营销处</v>
      </c>
      <c r="F340" s="867" t="str">
        <v>吴琼芳</v>
      </c>
      <c r="G340" s="867">
        <v>16</v>
      </c>
    </row>
    <row r="341" spans="1:10" ht="18" customHeight="1">
      <c r="A341" s="865" t="s">
        <v>366</v>
      </c>
      <c r="B341" s="831" t="s">
        <v>334</v>
      </c>
      <c r="C341" s="831">
        <v>11</v>
      </c>
      <c r="D341"/>
      <c r="E341" s="866" t="str">
        <v>高新区营销处</v>
      </c>
      <c r="F341" s="867" t="str">
        <v>周莉敏</v>
      </c>
      <c r="G341" s="867">
        <v>15</v>
      </c>
    </row>
    <row r="342" spans="1:10" ht="18" customHeight="1">
      <c r="A342" s="865" t="s">
        <v>367</v>
      </c>
      <c r="B342" s="831" t="s">
        <v>343</v>
      </c>
      <c r="C342" s="831">
        <v>15</v>
      </c>
      <c r="D342"/>
      <c r="E342" s="866" t="str">
        <v>高新区营销处</v>
      </c>
      <c r="F342" s="867" t="str">
        <v>马建昆</v>
      </c>
      <c r="G342" s="867">
        <v>14</v>
      </c>
    </row>
    <row r="343" spans="1:10" ht="18" customHeight="1">
      <c r="A343" s="865" t="s">
        <v>364</v>
      </c>
      <c r="B343" s="831" t="s">
        <v>338</v>
      </c>
      <c r="C343" s="831">
        <v>14</v>
      </c>
      <c r="D343"/>
      <c r="E343" s="866" t="str">
        <v>高新区营销处</v>
      </c>
      <c r="F343" s="867" t="str">
        <v>杨桂仙</v>
      </c>
      <c r="G343" s="867">
        <v>6</v>
      </c>
    </row>
    <row r="344" spans="1:10" ht="18" customHeight="1">
      <c r="A344" s="865" t="s">
        <v>366</v>
      </c>
      <c r="B344" s="831" t="s">
        <v>344</v>
      </c>
      <c r="C344" s="831">
        <v>18</v>
      </c>
      <c r="D344"/>
      <c r="E344" s="866" t="str">
        <v>老城区营销处</v>
      </c>
      <c r="F344" s="867" t="str">
        <v>李为涛</v>
      </c>
      <c r="G344" s="867">
        <v>15</v>
      </c>
    </row>
    <row r="345" spans="1:10" ht="18" customHeight="1">
      <c r="A345" s="865" t="s">
        <v>367</v>
      </c>
      <c r="B345" s="831" t="s">
        <v>346</v>
      </c>
      <c r="C345" s="831">
        <v>15</v>
      </c>
      <c r="D345"/>
      <c r="E345" s="866" t="str">
        <v>老城区营销处</v>
      </c>
      <c r="F345" s="867" t="str">
        <v>王建珊</v>
      </c>
      <c r="G345" s="867">
        <v>15</v>
      </c>
    </row>
    <row r="346" spans="1:10" ht="18" customHeight="1">
      <c r="A346" s="865" t="s">
        <v>364</v>
      </c>
      <c r="B346" s="831" t="s">
        <v>335</v>
      </c>
      <c r="C346" s="831">
        <v>16</v>
      </c>
      <c r="D346"/>
      <c r="E346" s="866" t="str">
        <v>老城区营销处</v>
      </c>
      <c r="F346" s="867" t="str">
        <v>吴秀琴</v>
      </c>
      <c r="G346" s="867">
        <v>9</v>
      </c>
    </row>
    <row r="347" spans="1:10" ht="18" customHeight="1">
      <c r="A347" s="865" t="s">
        <v>367</v>
      </c>
      <c r="B347" s="831" t="s">
        <v>336</v>
      </c>
      <c r="C347" s="831">
        <v>9</v>
      </c>
      <c r="D347"/>
      <c r="E347" s="866" t="str">
        <v>老城区营销处</v>
      </c>
      <c r="F347" s="867" t="str">
        <v>张凤芝</v>
      </c>
      <c r="G347" s="867">
        <v>7</v>
      </c>
    </row>
    <row r="348" spans="1:10" ht="18" customHeight="1">
      <c r="A348" s="865" t="s">
        <v>364</v>
      </c>
      <c r="B348" s="831" t="s">
        <v>330</v>
      </c>
      <c r="C348" s="831">
        <v>6</v>
      </c>
      <c r="D348"/>
      <c r="E348" s="866" t="str">
        <v>老城区营销处</v>
      </c>
      <c r="F348" s="867" t="str">
        <v>张国美</v>
      </c>
      <c r="G348" s="867">
        <v>6</v>
      </c>
    </row>
    <row r="349" spans="1:10" ht="18" customHeight="1">
      <c r="A349" s="865" t="s">
        <v>367</v>
      </c>
      <c r="B349" s="831" t="s">
        <v>339</v>
      </c>
      <c r="C349" s="831">
        <v>7</v>
      </c>
      <c r="D349"/>
      <c r="E349" s="868" t="str">
        <v>青年路营销中心</v>
      </c>
      <c r="F349" s="867" t="str">
        <v>欧燕立</v>
      </c>
      <c r="G349" s="867">
        <v>18</v>
      </c>
    </row>
    <row r="350" spans="1:10" ht="18" customHeight="1">
      <c r="A350" s="865" t="s">
        <v>367</v>
      </c>
      <c r="B350" s="831" t="s">
        <v>332</v>
      </c>
      <c r="C350" s="831">
        <v>6</v>
      </c>
      <c r="D350"/>
      <c r="E350" s="868" t="str">
        <v>青年路营销中心</v>
      </c>
      <c r="F350" s="867" t="str">
        <v>周蜀康</v>
      </c>
      <c r="G350" s="867">
        <v>17</v>
      </c>
    </row>
    <row r="351" spans="1:10" ht="18" customHeight="1">
      <c r="A351" s="865" t="s">
        <v>366</v>
      </c>
      <c r="B351" s="831" t="s">
        <v>337</v>
      </c>
      <c r="C351" s="831">
        <v>13</v>
      </c>
      <c r="D351"/>
      <c r="E351" s="868" t="str">
        <v>青年路营销中心</v>
      </c>
      <c r="F351" s="867" t="str">
        <v>朱绍启</v>
      </c>
      <c r="G351" s="867">
        <v>15</v>
      </c>
    </row>
    <row r="352" spans="1:10" ht="18" customHeight="1">
      <c r="A352" s="865" t="s">
        <v>364</v>
      </c>
      <c r="B352" s="831" t="s">
        <v>345</v>
      </c>
      <c r="C352" s="831">
        <v>15</v>
      </c>
      <c r="D352"/>
      <c r="E352" s="868" t="str">
        <v>青年路营销中心</v>
      </c>
      <c r="F352" s="867" t="str">
        <v>赵学国</v>
      </c>
      <c r="G352" s="867">
        <v>13</v>
      </c>
    </row>
    <row r="353" spans="1:8" ht="18" customHeight="1">
      <c r="A353" s="865" t="s">
        <v>366</v>
      </c>
      <c r="B353" s="831" t="s">
        <v>347</v>
      </c>
      <c r="C353" s="831">
        <v>17</v>
      </c>
      <c r="D353"/>
      <c r="E353" s="868" t="str">
        <v>青年路营销中心</v>
      </c>
      <c r="F353" s="867" t="str">
        <v>何国栋</v>
      </c>
      <c r="G353" s="867">
        <v>11</v>
      </c>
    </row>
    <row r="354" spans="1:8" ht="18" customHeight="1">
      <c r="A354" s="865" t="s">
        <v>366</v>
      </c>
      <c r="B354" s="831" t="s">
        <v>329</v>
      </c>
      <c r="C354" s="831">
        <v>15</v>
      </c>
      <c r="D354"/>
      <c r="E354" s="868" t="str">
        <v>青年路营销中心</v>
      </c>
      <c r="F354" s="867" t="str">
        <v>高五一</v>
      </c>
      <c r="G354" s="867">
        <v>6</v>
      </c>
    </row>
    <row r="356" spans="1:8" ht="18" customHeight="1">
      <c r="A356" s="1" t="s">
        <v>368</v>
      </c>
    </row>
    <row r="357" spans="1:8" ht="18" customHeight="1">
      <c r="A357" t="s">
        <v>369</v>
      </c>
      <c r="B357" t="s">
        <v>370</v>
      </c>
      <c r="C357"/>
    </row>
    <row r="358" spans="1:8" ht="18" customHeight="1">
      <c r="A358" s="869" t="s">
        <v>367</v>
      </c>
      <c r="B358" s="870">
        <v>52</v>
      </c>
      <c r="C358"/>
      <c r="H358" s="836"/>
    </row>
    <row r="359" spans="1:8" ht="18" customHeight="1">
      <c r="A359" s="869" t="s">
        <v>371</v>
      </c>
      <c r="B359" s="870">
        <v>52</v>
      </c>
      <c r="C359"/>
      <c r="D359" s="836"/>
      <c r="E359" s="836"/>
      <c r="F359" s="836"/>
      <c r="G359" s="836"/>
      <c r="H359" s="836"/>
    </row>
    <row r="360" spans="1:8" ht="18" customHeight="1">
      <c r="A360"/>
      <c r="B360"/>
      <c r="C360"/>
    </row>
    <row r="361" spans="1:8" s="740" customFormat="1" ht="18" customHeight="1">
      <c r="A361"/>
      <c r="B361"/>
      <c r="C361"/>
      <c r="D361"/>
      <c r="E361"/>
    </row>
    <row r="362" spans="1:8" s="740" customFormat="1" ht="18" customHeight="1">
      <c r="A362" s="742" t="s">
        <v>372</v>
      </c>
      <c r="B362"/>
      <c r="C362"/>
      <c r="D362"/>
      <c r="E362"/>
    </row>
    <row r="363" spans="1:8" s="740" customFormat="1" ht="18" customHeight="1">
      <c r="A363"/>
      <c r="B363"/>
      <c r="C363"/>
      <c r="D363"/>
      <c r="E363"/>
    </row>
    <row r="364" spans="1:8" s="740" customFormat="1" ht="18" customHeight="1">
      <c r="A364"/>
      <c r="B364"/>
      <c r="C364"/>
      <c r="D364"/>
      <c r="E364"/>
    </row>
    <row r="365" spans="1:8" s="740" customFormat="1" ht="18" customHeight="1">
      <c r="A365"/>
      <c r="B365"/>
      <c r="C365"/>
      <c r="D365"/>
      <c r="E365"/>
    </row>
    <row r="366" spans="1:8" s="740" customFormat="1" ht="18" customHeight="1">
      <c r="A366"/>
      <c r="B366"/>
      <c r="C366"/>
      <c r="D366"/>
      <c r="E366"/>
    </row>
    <row r="367" spans="1:8" s="740" customFormat="1" ht="18" customHeight="1">
      <c r="A367"/>
      <c r="B367"/>
      <c r="C367"/>
      <c r="D367"/>
      <c r="E367"/>
    </row>
    <row r="368" spans="1:8" s="740" customFormat="1" ht="18" customHeight="1">
      <c r="A368"/>
      <c r="B368"/>
      <c r="C368"/>
      <c r="D368"/>
      <c r="E368"/>
    </row>
    <row r="369" spans="1:5" s="740" customFormat="1" ht="18" customHeight="1">
      <c r="A369"/>
      <c r="B369"/>
      <c r="C369"/>
      <c r="D369"/>
      <c r="E369"/>
    </row>
    <row r="370" spans="1:5" s="740" customFormat="1" ht="18" customHeight="1">
      <c r="A370"/>
      <c r="B370"/>
      <c r="C370"/>
      <c r="D370"/>
      <c r="E370"/>
    </row>
    <row r="371" spans="1:5" s="740" customFormat="1" ht="18" customHeight="1">
      <c r="A371"/>
      <c r="B371"/>
      <c r="C371"/>
      <c r="D371"/>
      <c r="E371"/>
    </row>
    <row r="372" spans="1:5" s="740" customFormat="1" ht="18" customHeight="1">
      <c r="A372"/>
      <c r="B372"/>
      <c r="C372"/>
      <c r="D372"/>
      <c r="E372"/>
    </row>
    <row r="373" spans="1:5" s="741" customFormat="1" ht="18" customHeight="1">
      <c r="A373" s="871" t="s">
        <v>373</v>
      </c>
      <c r="B373" s="871"/>
      <c r="C373" s="871"/>
      <c r="D373" s="871"/>
      <c r="E373" s="871"/>
    </row>
    <row r="374" spans="1:5" s="741" customFormat="1" ht="18" customHeight="1">
      <c r="A374" s="871" t="s">
        <v>374</v>
      </c>
      <c r="B374" s="871"/>
      <c r="C374" s="871"/>
      <c r="D374" s="871"/>
      <c r="E374" s="871"/>
    </row>
    <row r="375" spans="1:5" s="741" customFormat="1" ht="18" customHeight="1">
      <c r="A375" s="871" t="s">
        <v>375</v>
      </c>
      <c r="B375" s="871"/>
      <c r="C375" s="871"/>
      <c r="D375" s="871"/>
      <c r="E375" s="871"/>
    </row>
    <row r="376" spans="1:5" s="741" customFormat="1" ht="18" customHeight="1">
      <c r="A376" s="871" t="s">
        <v>376</v>
      </c>
      <c r="B376" s="871"/>
      <c r="C376" s="871"/>
      <c r="D376" s="871"/>
      <c r="E376" s="871"/>
    </row>
    <row r="377" spans="1:5" s="741" customFormat="1" ht="18" customHeight="1">
      <c r="A377" s="871" t="s">
        <v>377</v>
      </c>
      <c r="B377" s="871"/>
      <c r="C377" s="871"/>
      <c r="D377" s="871"/>
      <c r="E377" s="871"/>
    </row>
    <row r="378" spans="1:5" s="741" customFormat="1" ht="18" customHeight="1">
      <c r="A378" s="871" t="s">
        <v>378</v>
      </c>
      <c r="B378" s="871"/>
      <c r="C378" s="871"/>
      <c r="D378" s="871"/>
      <c r="E378" s="871"/>
    </row>
    <row r="379" spans="1:5" s="741" customFormat="1" ht="18" customHeight="1">
      <c r="A379" s="871" t="s">
        <v>379</v>
      </c>
      <c r="B379" s="871"/>
      <c r="C379" s="871"/>
      <c r="D379" s="871"/>
      <c r="E379" s="871"/>
    </row>
    <row r="380" spans="1:5" s="741" customFormat="1" ht="18" customHeight="1">
      <c r="A380" s="871" t="s">
        <v>380</v>
      </c>
      <c r="B380" s="871"/>
      <c r="C380" s="871"/>
      <c r="D380" s="871"/>
      <c r="E380" s="871"/>
    </row>
    <row r="381" spans="1:5" s="741" customFormat="1" ht="18" customHeight="1">
      <c r="A381" s="871" t="s">
        <v>381</v>
      </c>
      <c r="B381" s="871"/>
      <c r="C381" s="871"/>
      <c r="D381" s="871"/>
      <c r="E381" s="871"/>
    </row>
    <row r="382" spans="1:5" s="741" customFormat="1" ht="18" customHeight="1">
      <c r="A382" s="871" t="s">
        <v>382</v>
      </c>
      <c r="B382" s="871"/>
      <c r="C382" s="871"/>
      <c r="D382" s="871"/>
      <c r="E382" s="871"/>
    </row>
    <row r="383" spans="1:5" s="741" customFormat="1" ht="18" customHeight="1">
      <c r="A383" s="871" t="s">
        <v>383</v>
      </c>
      <c r="B383" s="871"/>
      <c r="C383" s="871"/>
      <c r="D383" s="871"/>
      <c r="E383" s="871"/>
    </row>
    <row r="384" spans="1:5" s="741" customFormat="1" ht="18" customHeight="1">
      <c r="A384" s="871" t="s">
        <v>384</v>
      </c>
      <c r="B384" s="871"/>
      <c r="C384" s="871"/>
      <c r="D384" s="871"/>
      <c r="E384" s="871"/>
    </row>
    <row r="385" spans="1:5" s="741" customFormat="1" ht="18" customHeight="1">
      <c r="A385" s="871" t="s">
        <v>385</v>
      </c>
      <c r="B385" s="871"/>
      <c r="C385" s="871"/>
      <c r="D385" s="871"/>
      <c r="E385" s="871"/>
    </row>
    <row r="386" spans="1:5" s="741" customFormat="1" ht="18" customHeight="1">
      <c r="A386" s="871" t="s">
        <v>386</v>
      </c>
      <c r="B386" s="871"/>
      <c r="C386" s="871"/>
      <c r="D386" s="871"/>
      <c r="E386" s="871"/>
    </row>
    <row r="387" spans="1:5" s="741" customFormat="1" ht="18" customHeight="1">
      <c r="A387" s="871" t="s">
        <v>387</v>
      </c>
      <c r="B387" s="871"/>
      <c r="C387" s="871"/>
      <c r="D387" s="871"/>
      <c r="E387" s="871"/>
    </row>
    <row r="388" spans="1:5" s="741" customFormat="1" ht="18" customHeight="1">
      <c r="A388" s="871" t="s">
        <v>388</v>
      </c>
      <c r="B388" s="871"/>
      <c r="C388" s="871"/>
      <c r="D388" s="871"/>
      <c r="E388" s="871"/>
    </row>
    <row r="389" spans="1:5" s="741" customFormat="1" ht="18" customHeight="1">
      <c r="A389" s="871" t="s">
        <v>389</v>
      </c>
      <c r="B389" s="871"/>
      <c r="C389" s="871"/>
      <c r="D389" s="871"/>
      <c r="E389" s="871"/>
    </row>
    <row r="390" spans="1:5" s="741" customFormat="1" ht="18" customHeight="1">
      <c r="A390" s="871" t="s">
        <v>390</v>
      </c>
      <c r="B390" s="871"/>
      <c r="C390" s="871"/>
      <c r="D390" s="871"/>
      <c r="E390" s="871"/>
    </row>
    <row r="391" spans="1:5" s="741" customFormat="1" ht="18" customHeight="1">
      <c r="A391" s="871" t="s">
        <v>391</v>
      </c>
      <c r="B391" s="871"/>
      <c r="C391" s="871"/>
      <c r="D391" s="871"/>
      <c r="E391" s="871"/>
    </row>
    <row r="392" spans="1:5" s="741" customFormat="1" ht="18" customHeight="1">
      <c r="A392" s="871" t="s">
        <v>392</v>
      </c>
      <c r="B392" s="871"/>
      <c r="C392" s="871"/>
      <c r="D392" s="871"/>
      <c r="E392" s="871"/>
    </row>
    <row r="393" spans="1:5" s="741" customFormat="1" ht="18" customHeight="1">
      <c r="A393" s="871" t="s">
        <v>393</v>
      </c>
      <c r="B393" s="871"/>
      <c r="C393" s="871"/>
      <c r="D393" s="871"/>
      <c r="E393" s="871"/>
    </row>
    <row r="394" spans="1:5" s="741" customFormat="1" ht="18" customHeight="1">
      <c r="A394" s="871" t="s">
        <v>394</v>
      </c>
      <c r="B394" s="871"/>
      <c r="C394" s="871"/>
      <c r="D394" s="871"/>
      <c r="E394" s="871"/>
    </row>
    <row r="395" spans="1:5" s="741" customFormat="1" ht="18" customHeight="1">
      <c r="A395" s="871" t="s">
        <v>395</v>
      </c>
      <c r="B395" s="871"/>
      <c r="C395" s="871"/>
      <c r="D395" s="871"/>
      <c r="E395" s="871"/>
    </row>
    <row r="396" spans="1:5" s="741" customFormat="1" ht="18" customHeight="1">
      <c r="A396" s="871" t="s">
        <v>396</v>
      </c>
      <c r="B396" s="871"/>
      <c r="C396" s="871"/>
      <c r="D396" s="871"/>
      <c r="E396" s="871"/>
    </row>
    <row r="397" spans="1:5" s="741" customFormat="1" ht="18" customHeight="1">
      <c r="A397" s="871" t="s">
        <v>397</v>
      </c>
      <c r="B397" s="871"/>
      <c r="C397" s="871"/>
      <c r="D397" s="871"/>
      <c r="E397" s="871"/>
    </row>
    <row r="398" spans="1:5" s="741" customFormat="1" ht="18" customHeight="1">
      <c r="A398" s="871" t="s">
        <v>398</v>
      </c>
      <c r="B398" s="871"/>
      <c r="C398" s="871"/>
      <c r="D398" s="871"/>
      <c r="E398" s="871"/>
    </row>
    <row r="399" spans="1:5" s="741" customFormat="1" ht="18" customHeight="1">
      <c r="A399" s="871" t="s">
        <v>399</v>
      </c>
      <c r="B399" s="871"/>
      <c r="C399" s="871"/>
      <c r="D399" s="871"/>
      <c r="E399" s="871"/>
    </row>
    <row r="400" spans="1:5" s="740" customFormat="1" ht="18" customHeight="1">
      <c r="A400"/>
      <c r="B400"/>
      <c r="C400"/>
      <c r="D400"/>
      <c r="E400"/>
    </row>
    <row r="401" spans="1:5" s="740" customFormat="1" ht="18" customHeight="1">
      <c r="A401" s="742" t="s">
        <v>400</v>
      </c>
      <c r="B401"/>
      <c r="C401"/>
      <c r="D401"/>
      <c r="E401"/>
    </row>
    <row r="402" spans="1:5" s="741" customFormat="1" ht="18" customHeight="1">
      <c r="A402" s="871" t="s">
        <v>401</v>
      </c>
      <c r="B402" s="871"/>
      <c r="C402" s="871"/>
      <c r="D402" s="871"/>
      <c r="E402" s="871"/>
    </row>
    <row r="403" spans="1:5" s="741" customFormat="1" ht="18" customHeight="1">
      <c r="A403" s="871" t="s">
        <v>402</v>
      </c>
      <c r="B403" s="871"/>
      <c r="C403" s="871"/>
      <c r="D403" s="871"/>
      <c r="E403" s="871"/>
    </row>
    <row r="404" spans="1:5" s="741" customFormat="1" ht="18" customHeight="1">
      <c r="A404" s="871" t="s">
        <v>403</v>
      </c>
      <c r="B404" s="871"/>
      <c r="C404" s="871"/>
      <c r="D404" s="871"/>
      <c r="E404" s="871"/>
    </row>
    <row r="405" spans="1:5" s="741" customFormat="1" ht="18" customHeight="1">
      <c r="A405" s="871" t="s">
        <v>404</v>
      </c>
      <c r="B405" s="871"/>
      <c r="C405" s="871"/>
      <c r="D405" s="871"/>
      <c r="E405" s="871"/>
    </row>
    <row r="406" spans="1:5" s="741" customFormat="1" ht="18" customHeight="1">
      <c r="A406" s="871" t="s">
        <v>405</v>
      </c>
      <c r="B406" s="871"/>
      <c r="C406" s="871"/>
      <c r="D406" s="871"/>
      <c r="E406" s="871"/>
    </row>
    <row r="407" spans="1:5" s="741" customFormat="1" ht="18" customHeight="1">
      <c r="A407" s="871" t="s">
        <v>406</v>
      </c>
      <c r="B407" s="871"/>
      <c r="C407" s="871"/>
      <c r="D407" s="871"/>
      <c r="E407" s="871"/>
    </row>
    <row r="408" spans="1:5" s="741" customFormat="1" ht="18" customHeight="1">
      <c r="A408" s="871" t="s">
        <v>407</v>
      </c>
      <c r="B408" s="871"/>
      <c r="C408" s="871"/>
      <c r="D408" s="871"/>
      <c r="E408" s="871"/>
    </row>
    <row r="409" spans="1:5" s="741" customFormat="1" ht="18" customHeight="1">
      <c r="A409" s="871" t="s">
        <v>408</v>
      </c>
      <c r="B409" s="871"/>
      <c r="C409" s="871"/>
      <c r="D409" s="871"/>
      <c r="E409" s="871"/>
    </row>
    <row r="410" spans="1:5" s="741" customFormat="1" ht="18" customHeight="1">
      <c r="A410" s="871" t="s">
        <v>409</v>
      </c>
      <c r="B410" s="871"/>
      <c r="C410" s="871"/>
      <c r="D410" s="871"/>
      <c r="E410" s="871"/>
    </row>
    <row r="411" spans="1:5" s="741" customFormat="1" ht="18" customHeight="1">
      <c r="A411" s="871" t="s">
        <v>410</v>
      </c>
      <c r="B411" s="871"/>
      <c r="C411" s="871"/>
      <c r="D411" s="871"/>
      <c r="E411" s="871"/>
    </row>
    <row r="412" spans="1:5" s="741" customFormat="1" ht="18" customHeight="1">
      <c r="A412" s="871" t="s">
        <v>411</v>
      </c>
      <c r="B412" s="871"/>
      <c r="C412" s="871"/>
      <c r="D412" s="871"/>
      <c r="E412" s="871"/>
    </row>
    <row r="413" spans="1:5" s="741" customFormat="1" ht="18" customHeight="1">
      <c r="A413" s="871" t="s">
        <v>412</v>
      </c>
      <c r="B413" s="871"/>
      <c r="C413" s="871"/>
      <c r="D413" s="871"/>
      <c r="E413" s="871"/>
    </row>
    <row r="414" spans="1:5" s="741" customFormat="1" ht="18" customHeight="1">
      <c r="A414" s="871" t="s">
        <v>413</v>
      </c>
      <c r="B414" s="871"/>
      <c r="C414" s="871"/>
      <c r="D414" s="871"/>
      <c r="E414" s="871"/>
    </row>
    <row r="415" spans="1:5" s="741" customFormat="1" ht="18" customHeight="1">
      <c r="A415" s="871" t="s">
        <v>414</v>
      </c>
      <c r="B415" s="871"/>
      <c r="C415" s="871"/>
      <c r="D415" s="871"/>
      <c r="E415" s="871"/>
    </row>
    <row r="416" spans="1:5" s="741" customFormat="1" ht="18" customHeight="1">
      <c r="A416" s="871" t="s">
        <v>415</v>
      </c>
      <c r="B416" s="871"/>
      <c r="C416" s="871"/>
      <c r="D416" s="871"/>
      <c r="E416" s="871"/>
    </row>
    <row r="417" spans="1:5" s="741" customFormat="1" ht="18" customHeight="1">
      <c r="A417" s="871" t="s">
        <v>416</v>
      </c>
      <c r="B417" s="871"/>
      <c r="C417" s="871"/>
      <c r="D417" s="871"/>
      <c r="E417" s="871"/>
    </row>
    <row r="418" spans="1:5" s="741" customFormat="1" ht="18" customHeight="1">
      <c r="A418" s="871" t="s">
        <v>417</v>
      </c>
      <c r="B418" s="871"/>
      <c r="C418" s="871"/>
      <c r="D418" s="871"/>
      <c r="E418" s="871"/>
    </row>
    <row r="419" spans="1:5" s="741" customFormat="1" ht="18" customHeight="1">
      <c r="A419" s="871" t="s">
        <v>418</v>
      </c>
      <c r="B419" s="871"/>
      <c r="C419" s="871"/>
      <c r="D419" s="871"/>
      <c r="E419" s="871"/>
    </row>
    <row r="420" spans="1:5" s="741" customFormat="1" ht="18" customHeight="1">
      <c r="A420" s="871" t="s">
        <v>419</v>
      </c>
      <c r="B420" s="871"/>
      <c r="C420" s="871"/>
      <c r="D420" s="871"/>
      <c r="E420" s="871"/>
    </row>
    <row r="421" spans="1:5" s="741" customFormat="1" ht="18" customHeight="1">
      <c r="A421" s="871" t="s">
        <v>420</v>
      </c>
      <c r="B421" s="871"/>
      <c r="C421" s="871"/>
      <c r="D421" s="871"/>
      <c r="E421" s="871"/>
    </row>
    <row r="422" spans="1:5" s="741" customFormat="1" ht="18" customHeight="1">
      <c r="A422" s="871" t="s">
        <v>421</v>
      </c>
      <c r="B422" s="871"/>
      <c r="C422" s="871"/>
      <c r="D422" s="871"/>
      <c r="E422" s="871"/>
    </row>
    <row r="423" spans="1:5" s="741" customFormat="1" ht="18" customHeight="1">
      <c r="A423" s="871" t="s">
        <v>422</v>
      </c>
      <c r="B423" s="871"/>
      <c r="C423" s="871"/>
      <c r="D423" s="871"/>
      <c r="E423" s="871"/>
    </row>
    <row r="424" spans="1:5" s="741" customFormat="1" ht="18" customHeight="1">
      <c r="A424" s="871" t="s">
        <v>423</v>
      </c>
      <c r="B424" s="871"/>
      <c r="C424" s="871"/>
      <c r="D424" s="871"/>
      <c r="E424" s="871"/>
    </row>
    <row r="425" spans="1:5" s="741" customFormat="1" ht="18" customHeight="1">
      <c r="A425" s="871" t="s">
        <v>424</v>
      </c>
      <c r="B425" s="871"/>
      <c r="C425" s="871"/>
      <c r="D425" s="871"/>
      <c r="E425" s="871"/>
    </row>
    <row r="426" spans="1:5" s="741" customFormat="1" ht="18" customHeight="1">
      <c r="A426" s="871" t="s">
        <v>425</v>
      </c>
      <c r="B426" s="871"/>
      <c r="C426" s="871"/>
      <c r="D426" s="871"/>
      <c r="E426" s="871"/>
    </row>
    <row r="427" spans="1:5" s="740" customFormat="1" ht="18" customHeight="1">
      <c r="A427"/>
      <c r="B427"/>
      <c r="C427"/>
      <c r="D427"/>
      <c r="E427"/>
    </row>
    <row r="428" spans="1:5" s="740" customFormat="1" ht="18" customHeight="1">
      <c r="A428" s="742" t="s">
        <v>426</v>
      </c>
      <c r="B428"/>
      <c r="C428"/>
      <c r="D428"/>
      <c r="E428"/>
    </row>
    <row r="429" spans="1:5" s="741" customFormat="1" ht="18" customHeight="1">
      <c r="A429" s="871" t="s">
        <v>427</v>
      </c>
      <c r="B429" s="871"/>
      <c r="C429" s="871"/>
      <c r="D429" s="871"/>
      <c r="E429" s="871"/>
    </row>
    <row r="430" spans="1:5" s="741" customFormat="1" ht="18" customHeight="1">
      <c r="A430" s="871" t="s">
        <v>428</v>
      </c>
      <c r="B430" s="871"/>
      <c r="C430" s="871"/>
      <c r="D430" s="871"/>
      <c r="E430" s="871"/>
    </row>
    <row r="431" spans="1:5" s="741" customFormat="1" ht="18" customHeight="1">
      <c r="A431" s="871" t="s">
        <v>429</v>
      </c>
      <c r="B431" s="871"/>
      <c r="C431" s="871"/>
      <c r="D431" s="871"/>
      <c r="E431" s="871"/>
    </row>
    <row r="432" spans="1:5" s="741" customFormat="1" ht="18" customHeight="1">
      <c r="A432" s="871" t="s">
        <v>430</v>
      </c>
      <c r="B432" s="871"/>
      <c r="C432" s="871"/>
      <c r="D432" s="871"/>
      <c r="E432" s="871"/>
    </row>
    <row r="433" spans="1:5" s="741" customFormat="1" ht="18" customHeight="1">
      <c r="A433" s="871" t="s">
        <v>431</v>
      </c>
      <c r="B433" s="871"/>
      <c r="C433" s="871"/>
      <c r="D433" s="871"/>
      <c r="E433" s="871"/>
    </row>
    <row r="434" spans="1:5" s="741" customFormat="1" ht="18" customHeight="1">
      <c r="A434" s="871" t="s">
        <v>432</v>
      </c>
      <c r="B434" s="871"/>
      <c r="C434" s="871"/>
      <c r="D434" s="871"/>
      <c r="E434" s="871"/>
    </row>
    <row r="435" spans="1:5" s="741" customFormat="1" ht="18" customHeight="1">
      <c r="A435" s="871" t="s">
        <v>433</v>
      </c>
      <c r="B435" s="871"/>
      <c r="C435" s="871"/>
      <c r="D435" s="871"/>
      <c r="E435" s="871"/>
    </row>
    <row r="436" spans="1:5" s="741" customFormat="1" ht="18" customHeight="1">
      <c r="A436" s="871" t="s">
        <v>434</v>
      </c>
      <c r="B436" s="871"/>
      <c r="C436" s="871"/>
      <c r="D436" s="871"/>
      <c r="E436" s="871"/>
    </row>
    <row r="437" spans="1:5" s="741" customFormat="1" ht="18" customHeight="1">
      <c r="A437" s="871" t="s">
        <v>435</v>
      </c>
      <c r="B437" s="871"/>
      <c r="C437" s="871"/>
      <c r="D437" s="871"/>
      <c r="E437" s="871"/>
    </row>
    <row r="438" spans="1:5" s="741" customFormat="1" ht="18" customHeight="1">
      <c r="A438" s="871" t="s">
        <v>436</v>
      </c>
      <c r="B438" s="871"/>
      <c r="C438" s="871"/>
      <c r="D438" s="871"/>
      <c r="E438" s="871"/>
    </row>
    <row r="439" spans="1:5" s="741" customFormat="1" ht="18" customHeight="1">
      <c r="A439" s="871" t="s">
        <v>437</v>
      </c>
      <c r="B439" s="871"/>
      <c r="C439" s="871"/>
      <c r="D439" s="871"/>
      <c r="E439" s="871"/>
    </row>
    <row r="440" spans="1:5" s="741" customFormat="1" ht="18" customHeight="1">
      <c r="A440" s="871" t="s">
        <v>438</v>
      </c>
      <c r="B440" s="871"/>
      <c r="C440" s="871"/>
      <c r="D440" s="871"/>
      <c r="E440" s="871"/>
    </row>
    <row r="441" spans="1:5" s="741" customFormat="1" ht="18" customHeight="1">
      <c r="A441" s="871" t="s">
        <v>439</v>
      </c>
      <c r="B441" s="871"/>
      <c r="C441" s="871"/>
      <c r="D441" s="871"/>
      <c r="E441" s="871"/>
    </row>
    <row r="442" spans="1:5" s="741" customFormat="1" ht="18" customHeight="1">
      <c r="A442" s="871" t="s">
        <v>440</v>
      </c>
      <c r="B442" s="871"/>
      <c r="C442" s="871"/>
      <c r="D442" s="871"/>
      <c r="E442" s="871"/>
    </row>
    <row r="443" spans="1:5" s="740" customFormat="1" ht="18" customHeight="1">
      <c r="A443"/>
      <c r="B443"/>
      <c r="C443"/>
      <c r="D443"/>
      <c r="E443"/>
    </row>
    <row r="444" spans="1:5" s="740" customFormat="1" ht="18" customHeight="1">
      <c r="A444" s="742" t="s">
        <v>441</v>
      </c>
      <c r="B444"/>
      <c r="C444"/>
      <c r="D444"/>
      <c r="E444"/>
    </row>
    <row r="445" spans="1:5" s="741" customFormat="1" ht="18" customHeight="1">
      <c r="A445" s="871" t="s">
        <v>442</v>
      </c>
      <c r="B445" s="871"/>
      <c r="C445" s="871"/>
      <c r="D445" s="871"/>
      <c r="E445" s="871"/>
    </row>
    <row r="446" spans="1:5" s="741" customFormat="1" ht="18" customHeight="1">
      <c r="A446" s="871" t="s">
        <v>443</v>
      </c>
      <c r="B446" s="871"/>
      <c r="C446" s="871"/>
      <c r="D446" s="871"/>
      <c r="E446" s="871"/>
    </row>
    <row r="447" spans="1:5" s="741" customFormat="1" ht="18" customHeight="1">
      <c r="A447" s="871" t="s">
        <v>444</v>
      </c>
      <c r="B447" s="871"/>
      <c r="C447" s="871"/>
      <c r="D447" s="871"/>
      <c r="E447" s="871"/>
    </row>
    <row r="448" spans="1:5" s="741" customFormat="1" ht="18" customHeight="1">
      <c r="A448" s="871" t="s">
        <v>445</v>
      </c>
      <c r="B448" s="871"/>
      <c r="C448" s="871"/>
      <c r="D448" s="871"/>
      <c r="E448" s="871"/>
    </row>
    <row r="449" spans="1:5" s="741" customFormat="1" ht="18" customHeight="1">
      <c r="A449" s="871" t="s">
        <v>446</v>
      </c>
      <c r="B449" s="871"/>
      <c r="C449" s="871"/>
      <c r="D449" s="871"/>
      <c r="E449" s="871"/>
    </row>
    <row r="450" spans="1:5" s="741" customFormat="1" ht="18" customHeight="1">
      <c r="A450" s="871" t="s">
        <v>447</v>
      </c>
      <c r="B450" s="871"/>
      <c r="C450" s="871"/>
      <c r="D450" s="871"/>
      <c r="E450" s="871"/>
    </row>
    <row r="451" spans="1:5" s="741" customFormat="1" ht="18" customHeight="1">
      <c r="A451" s="871" t="s">
        <v>448</v>
      </c>
      <c r="B451" s="871"/>
      <c r="C451" s="871"/>
      <c r="D451" s="871"/>
      <c r="E451" s="871"/>
    </row>
    <row r="452" spans="1:5" s="741" customFormat="1" ht="18" customHeight="1">
      <c r="A452" s="871" t="s">
        <v>449</v>
      </c>
      <c r="B452" s="871"/>
      <c r="C452" s="871"/>
      <c r="D452" s="871"/>
      <c r="E452" s="871"/>
    </row>
    <row r="453" spans="1:5" s="741" customFormat="1" ht="18" customHeight="1">
      <c r="A453" s="871" t="s">
        <v>450</v>
      </c>
      <c r="B453" s="871"/>
      <c r="C453" s="871"/>
      <c r="D453" s="871"/>
      <c r="E453" s="871"/>
    </row>
    <row r="454" spans="1:5" s="741" customFormat="1" ht="18" customHeight="1">
      <c r="A454" s="871" t="s">
        <v>451</v>
      </c>
      <c r="B454" s="871"/>
      <c r="C454" s="871"/>
      <c r="D454" s="871"/>
      <c r="E454" s="871"/>
    </row>
    <row r="455" spans="1:5" s="741" customFormat="1" ht="18" customHeight="1">
      <c r="A455" s="871" t="s">
        <v>452</v>
      </c>
      <c r="B455" s="871"/>
      <c r="C455" s="871"/>
      <c r="D455" s="871"/>
      <c r="E455" s="871"/>
    </row>
    <row r="456" spans="1:5" s="741" customFormat="1" ht="18" customHeight="1">
      <c r="A456" s="871" t="s">
        <v>453</v>
      </c>
      <c r="B456" s="871"/>
      <c r="C456" s="871"/>
      <c r="D456" s="871"/>
      <c r="E456" s="871"/>
    </row>
    <row r="457" spans="1:5" s="741" customFormat="1" ht="18" customHeight="1">
      <c r="A457" s="871" t="s">
        <v>454</v>
      </c>
      <c r="B457" s="871"/>
      <c r="C457" s="871"/>
      <c r="D457" s="871"/>
      <c r="E457" s="871"/>
    </row>
    <row r="458" spans="1:5" s="741" customFormat="1" ht="18" customHeight="1">
      <c r="A458" s="871" t="s">
        <v>455</v>
      </c>
      <c r="B458" s="871"/>
      <c r="C458" s="871"/>
      <c r="D458" s="871"/>
      <c r="E458" s="871"/>
    </row>
    <row r="459" spans="1:5" s="741" customFormat="1" ht="18" customHeight="1">
      <c r="A459" s="871" t="s">
        <v>456</v>
      </c>
      <c r="B459" s="871"/>
      <c r="C459" s="871"/>
      <c r="D459" s="871"/>
      <c r="E459" s="871"/>
    </row>
    <row r="460" spans="1:5" s="741" customFormat="1" ht="18" customHeight="1">
      <c r="A460" s="871" t="s">
        <v>457</v>
      </c>
      <c r="B460" s="871"/>
      <c r="C460" s="871"/>
      <c r="D460" s="871"/>
      <c r="E460" s="871"/>
    </row>
    <row r="461" spans="1:5" s="741" customFormat="1" ht="18" customHeight="1">
      <c r="A461" s="871" t="s">
        <v>458</v>
      </c>
      <c r="B461" s="871"/>
      <c r="C461" s="871"/>
      <c r="D461" s="871"/>
      <c r="E461" s="871"/>
    </row>
    <row r="462" spans="1:5" s="741" customFormat="1" ht="18" customHeight="1">
      <c r="A462" s="871" t="s">
        <v>459</v>
      </c>
      <c r="B462" s="871"/>
      <c r="C462" s="871"/>
      <c r="D462" s="871"/>
      <c r="E462" s="871"/>
    </row>
    <row r="463" spans="1:5" s="740" customFormat="1" ht="18" customHeight="1">
      <c r="A463"/>
      <c r="B463"/>
      <c r="C463"/>
      <c r="D463"/>
      <c r="E463"/>
    </row>
    <row r="464" spans="1:5" s="740" customFormat="1" ht="18" customHeight="1">
      <c r="A464"/>
      <c r="B464"/>
      <c r="C464"/>
      <c r="D464"/>
      <c r="E464"/>
    </row>
    <row r="465" spans="1:5" s="740" customFormat="1" ht="18" customHeight="1">
      <c r="A465"/>
      <c r="B465"/>
      <c r="C465"/>
      <c r="D465"/>
      <c r="E465"/>
    </row>
    <row r="466" spans="1:5" s="740" customFormat="1" ht="18" customHeight="1">
      <c r="A466"/>
      <c r="B466"/>
      <c r="C466"/>
      <c r="D466"/>
      <c r="E466"/>
    </row>
    <row r="467" spans="1:5" s="740" customFormat="1" ht="18" customHeight="1">
      <c r="A467"/>
      <c r="B467"/>
      <c r="C467"/>
      <c r="D467"/>
      <c r="E467"/>
    </row>
    <row r="468" spans="1:5" s="740" customFormat="1" ht="18" customHeight="1">
      <c r="A468"/>
      <c r="B468"/>
      <c r="C468"/>
      <c r="D468"/>
      <c r="E468"/>
    </row>
    <row r="469" spans="1:5" s="740" customFormat="1" ht="18" customHeight="1">
      <c r="A469"/>
      <c r="B469"/>
      <c r="C469"/>
      <c r="D469"/>
      <c r="E469"/>
    </row>
    <row r="470" spans="1:5" s="740" customFormat="1" ht="18" customHeight="1">
      <c r="A470"/>
      <c r="B470"/>
      <c r="C470"/>
      <c r="D470"/>
      <c r="E470"/>
    </row>
    <row r="471" spans="1:5" s="740" customFormat="1" ht="18" customHeight="1">
      <c r="A471"/>
      <c r="B471"/>
      <c r="C471"/>
      <c r="D471"/>
      <c r="E471"/>
    </row>
    <row r="472" spans="1:5" s="740" customFormat="1" ht="18" customHeight="1">
      <c r="A472"/>
      <c r="B472"/>
      <c r="C472"/>
      <c r="D472"/>
      <c r="E472"/>
    </row>
    <row r="473" spans="1:5" s="740" customFormat="1" ht="18" customHeight="1">
      <c r="A473"/>
      <c r="B473"/>
      <c r="C473"/>
      <c r="D473"/>
      <c r="E473"/>
    </row>
    <row r="474" spans="1:5" s="741" customFormat="1" ht="18" customHeight="1">
      <c r="A474" s="871" t="s">
        <v>460</v>
      </c>
      <c r="B474" s="871"/>
      <c r="C474" s="871"/>
      <c r="D474" s="871"/>
      <c r="E474" s="871"/>
    </row>
    <row r="475" spans="1:5" s="741" customFormat="1" ht="18" customHeight="1">
      <c r="A475" s="871" t="s">
        <v>461</v>
      </c>
      <c r="B475" s="871"/>
      <c r="C475" s="871"/>
      <c r="D475" s="871"/>
      <c r="E475" s="871"/>
    </row>
    <row r="476" spans="1:5" s="741" customFormat="1" ht="18" customHeight="1">
      <c r="A476" s="871" t="s">
        <v>462</v>
      </c>
      <c r="B476" s="871"/>
      <c r="C476" s="871"/>
      <c r="D476" s="871"/>
      <c r="E476" s="871"/>
    </row>
    <row r="477" spans="1:5" s="741" customFormat="1" ht="18" customHeight="1">
      <c r="A477" s="871" t="s">
        <v>463</v>
      </c>
      <c r="B477" s="871"/>
      <c r="C477" s="871"/>
      <c r="D477" s="871"/>
      <c r="E477" s="871"/>
    </row>
    <row r="478" spans="1:5" s="741" customFormat="1" ht="18" customHeight="1">
      <c r="A478" s="871" t="s">
        <v>464</v>
      </c>
      <c r="B478" s="871"/>
      <c r="C478" s="871"/>
      <c r="D478" s="871"/>
      <c r="E478" s="871"/>
    </row>
    <row r="479" spans="1:5" s="741" customFormat="1" ht="18" customHeight="1">
      <c r="A479" s="871" t="s">
        <v>465</v>
      </c>
      <c r="B479" s="871"/>
      <c r="C479" s="871"/>
      <c r="D479" s="871"/>
      <c r="E479" s="871"/>
    </row>
    <row r="480" spans="1:5" s="741" customFormat="1" ht="18" customHeight="1">
      <c r="A480" s="871" t="s">
        <v>466</v>
      </c>
      <c r="B480" s="871"/>
      <c r="C480" s="871"/>
      <c r="D480" s="871"/>
      <c r="E480" s="871"/>
    </row>
    <row r="481" spans="1:5" s="741" customFormat="1" ht="18" customHeight="1">
      <c r="A481" s="871" t="s">
        <v>467</v>
      </c>
      <c r="B481" s="871"/>
      <c r="C481" s="871"/>
      <c r="D481" s="871"/>
      <c r="E481" s="871"/>
    </row>
    <row r="482" spans="1:5" s="741" customFormat="1" ht="18" customHeight="1">
      <c r="A482" s="871" t="s">
        <v>468</v>
      </c>
      <c r="B482" s="871"/>
      <c r="C482" s="871"/>
      <c r="D482" s="871"/>
      <c r="E482" s="871"/>
    </row>
    <row r="483" spans="1:5" s="741" customFormat="1" ht="18" customHeight="1">
      <c r="A483" s="871" t="s">
        <v>469</v>
      </c>
      <c r="B483" s="871"/>
      <c r="C483" s="871"/>
      <c r="D483" s="871"/>
      <c r="E483" s="871"/>
    </row>
    <row r="484" spans="1:5" s="741" customFormat="1" ht="18" customHeight="1">
      <c r="A484" s="871" t="s">
        <v>470</v>
      </c>
      <c r="B484" s="871"/>
      <c r="C484" s="871"/>
      <c r="D484" s="871"/>
      <c r="E484" s="871"/>
    </row>
    <row r="485" spans="1:5" s="741" customFormat="1" ht="18" customHeight="1">
      <c r="A485" s="871" t="s">
        <v>471</v>
      </c>
      <c r="B485" s="871"/>
      <c r="C485" s="871"/>
      <c r="D485" s="871"/>
      <c r="E485" s="871"/>
    </row>
    <row r="486" spans="1:5" s="741" customFormat="1" ht="18" customHeight="1">
      <c r="A486" s="871" t="s">
        <v>472</v>
      </c>
      <c r="B486" s="871"/>
      <c r="C486" s="871"/>
      <c r="D486" s="871"/>
      <c r="E486" s="871"/>
    </row>
    <row r="487" spans="1:5" s="741" customFormat="1" ht="18" customHeight="1">
      <c r="A487" s="871" t="s">
        <v>473</v>
      </c>
      <c r="B487" s="871"/>
      <c r="C487" s="871"/>
      <c r="D487" s="871"/>
      <c r="E487" s="871"/>
    </row>
    <row r="488" spans="1:5" s="740" customFormat="1" ht="18" customHeight="1">
      <c r="A488"/>
      <c r="B488"/>
      <c r="C488"/>
      <c r="D488"/>
      <c r="E488"/>
    </row>
    <row r="489" spans="1:5" s="740" customFormat="1" ht="18" customHeight="1">
      <c r="A489" s="742" t="s">
        <v>474</v>
      </c>
      <c r="B489"/>
      <c r="C489"/>
      <c r="D489"/>
      <c r="E489"/>
    </row>
    <row r="490" spans="1:5" s="741" customFormat="1" ht="18" customHeight="1">
      <c r="A490" s="871" t="s">
        <v>475</v>
      </c>
      <c r="B490" s="871"/>
      <c r="C490" s="871"/>
      <c r="D490" s="871"/>
      <c r="E490" s="871"/>
    </row>
    <row r="491" spans="1:5" s="741" customFormat="1" ht="18" customHeight="1">
      <c r="A491" s="871" t="s">
        <v>476</v>
      </c>
      <c r="B491" s="871"/>
      <c r="C491" s="871"/>
      <c r="D491" s="871"/>
      <c r="E491" s="871"/>
    </row>
    <row r="492" spans="1:5" s="741" customFormat="1" ht="18" customHeight="1">
      <c r="A492" s="871" t="s">
        <v>477</v>
      </c>
      <c r="B492" s="871"/>
      <c r="C492" s="871"/>
      <c r="D492" s="871"/>
      <c r="E492" s="871"/>
    </row>
    <row r="493" spans="1:5" s="741" customFormat="1" ht="18" customHeight="1">
      <c r="A493" s="871" t="s">
        <v>478</v>
      </c>
      <c r="B493" s="871"/>
      <c r="C493" s="871"/>
      <c r="D493" s="871"/>
      <c r="E493" s="871"/>
    </row>
    <row r="494" spans="1:5" s="741" customFormat="1" ht="18" customHeight="1">
      <c r="A494" s="871" t="s">
        <v>479</v>
      </c>
      <c r="B494" s="871"/>
      <c r="C494" s="871"/>
      <c r="D494" s="871"/>
      <c r="E494" s="871"/>
    </row>
    <row r="495" spans="1:5" s="741" customFormat="1" ht="18" customHeight="1">
      <c r="A495" s="871" t="s">
        <v>480</v>
      </c>
      <c r="B495" s="871"/>
      <c r="C495" s="871"/>
      <c r="D495" s="871"/>
      <c r="E495" s="871"/>
    </row>
    <row r="496" spans="1:5" s="741" customFormat="1" ht="18" customHeight="1">
      <c r="A496" s="871" t="s">
        <v>481</v>
      </c>
      <c r="B496" s="871"/>
      <c r="C496" s="871"/>
      <c r="D496" s="871"/>
      <c r="E496" s="871"/>
    </row>
    <row r="497" spans="1:5" s="741" customFormat="1" ht="18" customHeight="1">
      <c r="A497" s="871" t="s">
        <v>482</v>
      </c>
      <c r="B497" s="871"/>
      <c r="C497" s="871"/>
      <c r="D497" s="871"/>
      <c r="E497" s="871"/>
    </row>
    <row r="498" spans="1:5" s="741" customFormat="1" ht="18" customHeight="1">
      <c r="A498" s="871" t="s">
        <v>483</v>
      </c>
      <c r="B498" s="871"/>
      <c r="C498" s="871"/>
      <c r="D498" s="871"/>
      <c r="E498" s="871"/>
    </row>
    <row r="499" spans="1:5" s="741" customFormat="1" ht="18" customHeight="1">
      <c r="A499" s="871" t="s">
        <v>484</v>
      </c>
      <c r="B499" s="871"/>
      <c r="C499" s="871"/>
      <c r="D499" s="871"/>
      <c r="E499" s="871"/>
    </row>
    <row r="500" spans="1:5" s="741" customFormat="1" ht="18" customHeight="1">
      <c r="A500" s="871" t="s">
        <v>485</v>
      </c>
      <c r="B500" s="871"/>
      <c r="C500" s="871"/>
      <c r="D500" s="871"/>
      <c r="E500" s="871"/>
    </row>
    <row r="501" spans="1:5" s="741" customFormat="1" ht="18" customHeight="1">
      <c r="A501" s="871" t="s">
        <v>486</v>
      </c>
      <c r="B501" s="871"/>
      <c r="C501" s="871"/>
      <c r="D501" s="871"/>
      <c r="E501" s="871"/>
    </row>
    <row r="502" spans="1:5" s="741" customFormat="1" ht="18" customHeight="1">
      <c r="A502" s="871" t="s">
        <v>487</v>
      </c>
      <c r="B502" s="871"/>
      <c r="C502" s="871"/>
      <c r="D502" s="871"/>
      <c r="E502" s="871"/>
    </row>
    <row r="503" spans="1:5" s="741" customFormat="1" ht="18" customHeight="1">
      <c r="A503" s="871" t="s">
        <v>488</v>
      </c>
      <c r="B503" s="871"/>
      <c r="C503" s="871"/>
      <c r="D503" s="871"/>
      <c r="E503" s="871"/>
    </row>
    <row r="504" spans="1:5" s="741" customFormat="1" ht="18" customHeight="1">
      <c r="A504" s="871" t="s">
        <v>489</v>
      </c>
      <c r="B504" s="871"/>
      <c r="C504" s="871"/>
      <c r="D504" s="871"/>
      <c r="E504" s="871"/>
    </row>
    <row r="505" spans="1:5" s="741" customFormat="1" ht="18" customHeight="1">
      <c r="A505" s="871" t="s">
        <v>490</v>
      </c>
      <c r="B505" s="871"/>
      <c r="C505" s="871"/>
      <c r="D505" s="871"/>
      <c r="E505" s="871"/>
    </row>
    <row r="506" spans="1:5" s="741" customFormat="1" ht="18" customHeight="1">
      <c r="A506" s="871" t="s">
        <v>491</v>
      </c>
      <c r="B506" s="871"/>
      <c r="C506" s="871"/>
      <c r="D506" s="871"/>
      <c r="E506" s="871"/>
    </row>
    <row r="507" spans="1:5" s="741" customFormat="1" ht="18" customHeight="1">
      <c r="A507" s="871" t="s">
        <v>492</v>
      </c>
      <c r="B507" s="871"/>
      <c r="C507" s="871"/>
      <c r="D507" s="871"/>
      <c r="E507" s="871"/>
    </row>
    <row r="508" spans="1:5" s="741" customFormat="1" ht="18" customHeight="1">
      <c r="A508" s="871" t="s">
        <v>493</v>
      </c>
      <c r="B508" s="871"/>
      <c r="C508" s="871"/>
      <c r="D508" s="871"/>
      <c r="E508" s="871"/>
    </row>
    <row r="509" spans="1:5" s="741" customFormat="1" ht="18" customHeight="1">
      <c r="A509" s="871" t="s">
        <v>494</v>
      </c>
      <c r="B509" s="871"/>
      <c r="C509" s="871"/>
      <c r="D509" s="871"/>
      <c r="E509" s="871"/>
    </row>
    <row r="510" spans="1:5" s="741" customFormat="1" ht="18" customHeight="1">
      <c r="A510" s="871" t="s">
        <v>495</v>
      </c>
      <c r="B510" s="871"/>
      <c r="C510" s="871"/>
      <c r="D510" s="871"/>
      <c r="E510" s="871"/>
    </row>
    <row r="511" spans="1:5" s="741" customFormat="1" ht="18" customHeight="1">
      <c r="A511" s="871" t="s">
        <v>496</v>
      </c>
      <c r="B511" s="871"/>
      <c r="C511" s="871"/>
      <c r="D511" s="871"/>
      <c r="E511" s="871"/>
    </row>
    <row r="512" spans="1:5" s="741" customFormat="1" ht="18" customHeight="1">
      <c r="A512" s="871" t="s">
        <v>497</v>
      </c>
      <c r="B512" s="871"/>
      <c r="C512" s="871"/>
      <c r="D512" s="871"/>
      <c r="E512" s="871"/>
    </row>
    <row r="513" spans="1:5" s="741" customFormat="1" ht="18" customHeight="1">
      <c r="A513" s="871" t="s">
        <v>498</v>
      </c>
      <c r="B513" s="871"/>
      <c r="C513" s="871"/>
      <c r="D513" s="871"/>
      <c r="E513" s="871"/>
    </row>
    <row r="514" spans="1:5" s="741" customFormat="1" ht="18" customHeight="1">
      <c r="A514" s="871" t="s">
        <v>499</v>
      </c>
      <c r="B514" s="871"/>
      <c r="C514" s="871"/>
      <c r="D514" s="871"/>
      <c r="E514" s="871"/>
    </row>
    <row r="515" spans="1:5" s="741" customFormat="1" ht="18" customHeight="1">
      <c r="A515" s="871" t="s">
        <v>500</v>
      </c>
      <c r="B515" s="871"/>
      <c r="C515" s="871"/>
      <c r="D515" s="871"/>
      <c r="E515" s="871"/>
    </row>
    <row r="516" spans="1:5" s="741" customFormat="1" ht="18" customHeight="1">
      <c r="A516" s="871" t="s">
        <v>501</v>
      </c>
      <c r="B516" s="871"/>
      <c r="C516" s="871"/>
      <c r="D516" s="871"/>
      <c r="E516" s="871"/>
    </row>
    <row r="517" spans="1:5" s="741" customFormat="1" ht="18" customHeight="1">
      <c r="A517" s="871" t="s">
        <v>502</v>
      </c>
      <c r="B517" s="871"/>
      <c r="C517" s="871"/>
      <c r="D517" s="871"/>
      <c r="E517" s="871"/>
    </row>
    <row r="518" spans="1:5" s="741" customFormat="1" ht="18" customHeight="1">
      <c r="A518" s="871" t="s">
        <v>503</v>
      </c>
      <c r="B518" s="871"/>
      <c r="C518" s="871"/>
      <c r="D518" s="871"/>
      <c r="E518" s="871"/>
    </row>
    <row r="519" spans="1:5" s="741" customFormat="1" ht="18" customHeight="1">
      <c r="A519" s="871" t="s">
        <v>504</v>
      </c>
      <c r="B519" s="871"/>
      <c r="C519" s="871"/>
      <c r="D519" s="871"/>
      <c r="E519" s="871"/>
    </row>
    <row r="520" spans="1:5" s="741" customFormat="1" ht="18" customHeight="1">
      <c r="A520" s="871" t="s">
        <v>505</v>
      </c>
      <c r="B520" s="871"/>
      <c r="C520" s="871"/>
      <c r="D520" s="871"/>
      <c r="E520" s="871"/>
    </row>
    <row r="521" spans="1:5" s="741" customFormat="1" ht="18" customHeight="1">
      <c r="A521" s="871" t="s">
        <v>506</v>
      </c>
      <c r="B521" s="871"/>
      <c r="C521" s="871"/>
      <c r="D521" s="871"/>
      <c r="E521" s="871"/>
    </row>
    <row r="522" spans="1:5" s="741" customFormat="1" ht="18" customHeight="1">
      <c r="A522" s="871" t="s">
        <v>507</v>
      </c>
      <c r="B522" s="871"/>
      <c r="C522" s="871"/>
      <c r="D522" s="871"/>
      <c r="E522" s="871"/>
    </row>
    <row r="523" spans="1:5" s="740" customFormat="1" ht="18" customHeight="1">
      <c r="A523"/>
      <c r="B523"/>
      <c r="C523"/>
      <c r="D523"/>
      <c r="E523"/>
    </row>
    <row r="524" spans="1:5" s="740" customFormat="1" ht="18" customHeight="1">
      <c r="A524" s="742" t="s">
        <v>508</v>
      </c>
      <c r="B524"/>
      <c r="C524"/>
      <c r="D524"/>
      <c r="E524"/>
    </row>
    <row r="525" spans="1:5" s="741" customFormat="1" ht="18" customHeight="1">
      <c r="A525" s="871" t="s">
        <v>509</v>
      </c>
      <c r="B525" s="871"/>
      <c r="C525" s="871"/>
      <c r="D525" s="871"/>
      <c r="E525" s="871"/>
    </row>
    <row r="526" spans="1:5" s="741" customFormat="1" ht="18" customHeight="1">
      <c r="A526" s="871" t="s">
        <v>510</v>
      </c>
      <c r="B526" s="871"/>
      <c r="C526" s="871"/>
      <c r="D526" s="871"/>
      <c r="E526" s="871"/>
    </row>
    <row r="527" spans="1:5" s="741" customFormat="1" ht="18" customHeight="1">
      <c r="A527" s="871" t="s">
        <v>511</v>
      </c>
      <c r="B527" s="871"/>
      <c r="C527" s="871"/>
      <c r="D527" s="871"/>
      <c r="E527" s="871"/>
    </row>
    <row r="528" spans="1:5" s="741" customFormat="1" ht="18" customHeight="1">
      <c r="A528" s="871" t="s">
        <v>512</v>
      </c>
      <c r="B528" s="871"/>
      <c r="C528" s="871"/>
      <c r="D528" s="871"/>
      <c r="E528" s="871"/>
    </row>
    <row r="529" spans="1:5" s="740" customFormat="1" ht="18" customHeight="1">
      <c r="A529"/>
      <c r="B529"/>
      <c r="C529"/>
      <c r="D529"/>
      <c r="E529"/>
    </row>
    <row r="530" spans="1:5" s="740" customFormat="1" ht="18" customHeight="1">
      <c r="A530"/>
      <c r="B530"/>
      <c r="C530"/>
      <c r="D530"/>
      <c r="E530"/>
    </row>
    <row r="531" spans="1:5" s="740" customFormat="1" ht="18" customHeight="1">
      <c r="A531"/>
      <c r="B531"/>
      <c r="C531"/>
      <c r="D531"/>
      <c r="E531"/>
    </row>
    <row r="532" spans="1:5" s="740" customFormat="1" ht="18" customHeight="1">
      <c r="A532"/>
      <c r="B532"/>
      <c r="C532"/>
      <c r="D532"/>
      <c r="E532"/>
    </row>
    <row r="533" spans="1:5" s="740" customFormat="1" ht="18" customHeight="1">
      <c r="A533"/>
      <c r="B533"/>
      <c r="C533"/>
      <c r="D533"/>
      <c r="E533"/>
    </row>
    <row r="534" spans="1:5" s="740" customFormat="1" ht="18" customHeight="1">
      <c r="A534"/>
      <c r="B534"/>
      <c r="C534"/>
      <c r="D534"/>
      <c r="E534"/>
    </row>
    <row r="535" spans="1:5" s="740" customFormat="1" ht="18" customHeight="1">
      <c r="A535"/>
      <c r="B535"/>
      <c r="C535"/>
      <c r="D535"/>
      <c r="E535"/>
    </row>
    <row r="536" spans="1:5" s="740" customFormat="1" ht="18" customHeight="1">
      <c r="A536"/>
      <c r="B536"/>
      <c r="C536"/>
      <c r="D536"/>
      <c r="E536"/>
    </row>
    <row r="537" spans="1:5" s="740" customFormat="1" ht="18" customHeight="1">
      <c r="A537" t="s">
        <v>513</v>
      </c>
      <c r="B537"/>
      <c r="C537"/>
      <c r="D537"/>
      <c r="E537"/>
    </row>
    <row r="538" spans="1:5" s="740" customFormat="1" ht="18" customHeight="1">
      <c r="A538"/>
      <c r="B538"/>
      <c r="C538"/>
      <c r="D538"/>
      <c r="E538"/>
    </row>
    <row r="539" spans="1:5" s="740" customFormat="1" ht="18" customHeight="1">
      <c r="A539"/>
      <c r="B539"/>
      <c r="C539"/>
      <c r="D539"/>
      <c r="E539"/>
    </row>
    <row r="540" spans="1:5" s="740" customFormat="1" ht="18" customHeight="1">
      <c r="A540"/>
      <c r="B540"/>
      <c r="C540"/>
      <c r="D540"/>
      <c r="E540"/>
    </row>
    <row r="541" spans="1:5" s="740" customFormat="1" ht="18" customHeight="1">
      <c r="A541"/>
      <c r="B541"/>
      <c r="C541"/>
      <c r="D541"/>
      <c r="E541"/>
    </row>
    <row r="542" spans="1:5" s="740" customFormat="1" ht="18" customHeight="1">
      <c r="A542"/>
      <c r="B542"/>
      <c r="C542"/>
      <c r="D542"/>
      <c r="E542"/>
    </row>
    <row r="543" spans="1:5" s="740" customFormat="1" ht="18" customHeight="1">
      <c r="A543"/>
      <c r="B543"/>
      <c r="C543"/>
      <c r="D543"/>
      <c r="E543"/>
    </row>
    <row r="544" spans="1:5" s="740" customFormat="1" ht="18" customHeight="1">
      <c r="A544"/>
      <c r="B544"/>
      <c r="C544"/>
      <c r="D544"/>
      <c r="E544"/>
    </row>
    <row r="545" spans="1:5" s="741" customFormat="1" ht="18" customHeight="1">
      <c r="A545" s="871" t="s">
        <v>514</v>
      </c>
      <c r="B545" s="871"/>
      <c r="C545" s="871"/>
      <c r="D545" s="871"/>
      <c r="E545" s="871"/>
    </row>
    <row r="546" spans="1:5" s="741" customFormat="1" ht="18" customHeight="1">
      <c r="A546" s="871" t="s">
        <v>515</v>
      </c>
      <c r="B546" s="871"/>
      <c r="C546" s="871"/>
      <c r="D546" s="871"/>
      <c r="E546" s="871"/>
    </row>
    <row r="547" spans="1:5" s="741" customFormat="1" ht="18" customHeight="1">
      <c r="A547" s="871" t="s">
        <v>516</v>
      </c>
      <c r="B547" s="871"/>
      <c r="C547" s="871"/>
      <c r="D547" s="871"/>
      <c r="E547" s="871"/>
    </row>
    <row r="548" spans="1:5" s="741" customFormat="1" ht="18" customHeight="1">
      <c r="A548" s="871" t="s">
        <v>517</v>
      </c>
      <c r="B548" s="871"/>
      <c r="C548" s="871"/>
      <c r="D548" s="871"/>
      <c r="E548" s="871"/>
    </row>
    <row r="549" spans="1:5" s="741" customFormat="1" ht="18" customHeight="1">
      <c r="A549" s="871" t="s">
        <v>518</v>
      </c>
      <c r="B549" s="871"/>
      <c r="C549" s="871"/>
      <c r="D549" s="871"/>
      <c r="E549" s="871"/>
    </row>
    <row r="550" spans="1:5" s="741" customFormat="1" ht="18" customHeight="1">
      <c r="A550" s="871" t="s">
        <v>519</v>
      </c>
      <c r="B550" s="871"/>
      <c r="C550" s="871"/>
      <c r="D550" s="871"/>
      <c r="E550" s="871"/>
    </row>
    <row r="551" spans="1:5" s="741" customFormat="1" ht="18" customHeight="1">
      <c r="A551" s="871" t="s">
        <v>520</v>
      </c>
      <c r="B551" s="871"/>
      <c r="C551" s="871"/>
      <c r="D551" s="871"/>
      <c r="E551" s="871"/>
    </row>
    <row r="552" spans="1:5" s="741" customFormat="1" ht="18" customHeight="1">
      <c r="A552" s="871" t="s">
        <v>521</v>
      </c>
      <c r="B552" s="871"/>
      <c r="C552" s="871"/>
      <c r="D552" s="871"/>
      <c r="E552" s="871"/>
    </row>
    <row r="553" spans="1:5" s="741" customFormat="1" ht="18" customHeight="1">
      <c r="A553" s="871" t="s">
        <v>522</v>
      </c>
      <c r="B553" s="871"/>
      <c r="C553" s="871"/>
      <c r="D553" s="871"/>
      <c r="E553" s="871"/>
    </row>
    <row r="554" spans="1:5" s="741" customFormat="1" ht="18" customHeight="1">
      <c r="A554" s="871" t="s">
        <v>523</v>
      </c>
      <c r="B554" s="871"/>
      <c r="C554" s="871"/>
      <c r="D554" s="871"/>
      <c r="E554" s="871"/>
    </row>
    <row r="555" spans="1:5" s="741" customFormat="1" ht="18" customHeight="1">
      <c r="A555" s="871" t="s">
        <v>524</v>
      </c>
      <c r="B555" s="871"/>
      <c r="C555" s="871"/>
      <c r="D555" s="871"/>
      <c r="E555" s="871"/>
    </row>
    <row r="556" spans="1:5" s="741" customFormat="1" ht="18" customHeight="1">
      <c r="A556" s="871"/>
      <c r="B556" s="871"/>
      <c r="C556" s="871"/>
      <c r="D556" s="871"/>
      <c r="E556" s="871"/>
    </row>
    <row r="557" spans="1:5" s="741" customFormat="1" ht="18" customHeight="1">
      <c r="A557" s="871" t="s">
        <v>525</v>
      </c>
      <c r="B557" s="871"/>
      <c r="C557" s="871"/>
      <c r="D557" s="871"/>
      <c r="E557" s="871"/>
    </row>
    <row r="558" spans="1:5" s="741" customFormat="1" ht="18" customHeight="1">
      <c r="A558" s="871" t="s">
        <v>526</v>
      </c>
      <c r="B558" s="871"/>
      <c r="C558" s="871"/>
      <c r="D558" s="871"/>
      <c r="E558" s="871"/>
    </row>
    <row r="559" spans="1:5" s="741" customFormat="1" ht="18" customHeight="1">
      <c r="A559" s="871" t="s">
        <v>527</v>
      </c>
      <c r="B559" s="871"/>
      <c r="C559" s="871"/>
      <c r="D559" s="871"/>
      <c r="E559" s="871"/>
    </row>
    <row r="560" spans="1:5" s="740" customFormat="1" ht="18" customHeight="1">
      <c r="A560"/>
      <c r="B560"/>
      <c r="C560"/>
      <c r="D560"/>
      <c r="E560"/>
    </row>
    <row r="561" spans="1:5" s="740" customFormat="1" ht="18" customHeight="1">
      <c r="A561"/>
      <c r="B561"/>
      <c r="C561"/>
      <c r="D561"/>
      <c r="E561"/>
    </row>
    <row r="562" spans="1:5" s="740" customFormat="1" ht="18" customHeight="1">
      <c r="A562"/>
      <c r="B562"/>
      <c r="C562"/>
      <c r="D562"/>
      <c r="E562"/>
    </row>
    <row r="563" spans="1:5" s="740" customFormat="1" ht="18" customHeight="1">
      <c r="A563"/>
      <c r="B563"/>
      <c r="C563"/>
      <c r="D563"/>
      <c r="E563"/>
    </row>
    <row r="564" spans="1:5" s="740" customFormat="1" ht="18" customHeight="1">
      <c r="A564"/>
      <c r="B564"/>
      <c r="C564"/>
      <c r="D564"/>
      <c r="E564"/>
    </row>
    <row r="565" spans="1:5" s="740" customFormat="1" ht="18" customHeight="1">
      <c r="A565"/>
      <c r="B565"/>
      <c r="C565"/>
      <c r="D565"/>
      <c r="E565"/>
    </row>
    <row r="566" spans="1:5" s="740" customFormat="1" ht="18" customHeight="1">
      <c r="A566"/>
      <c r="B566"/>
      <c r="C566"/>
      <c r="D566"/>
      <c r="E566"/>
    </row>
    <row r="567" spans="1:5" s="741" customFormat="1" ht="18" customHeight="1">
      <c r="A567" s="871" t="s">
        <v>528</v>
      </c>
      <c r="B567" s="871"/>
      <c r="C567" s="871"/>
      <c r="D567" s="871"/>
      <c r="E567" s="871"/>
    </row>
    <row r="568" spans="1:5" s="741" customFormat="1" ht="18" customHeight="1">
      <c r="A568" s="871" t="s">
        <v>529</v>
      </c>
      <c r="B568" s="871"/>
      <c r="C568" s="871"/>
      <c r="D568" s="871"/>
      <c r="E568" s="871"/>
    </row>
    <row r="569" spans="1:5" s="741" customFormat="1" ht="18" customHeight="1">
      <c r="A569" s="871" t="s">
        <v>530</v>
      </c>
      <c r="B569" s="871"/>
      <c r="C569" s="871"/>
      <c r="D569" s="871"/>
      <c r="E569" s="871"/>
    </row>
    <row r="570" spans="1:5" s="741" customFormat="1" ht="18" customHeight="1">
      <c r="A570" s="871" t="s">
        <v>531</v>
      </c>
      <c r="B570" s="871"/>
      <c r="C570" s="871"/>
      <c r="D570" s="871"/>
      <c r="E570" s="871"/>
    </row>
    <row r="571" spans="1:5" s="741" customFormat="1" ht="18" customHeight="1">
      <c r="A571" s="871" t="s">
        <v>532</v>
      </c>
      <c r="B571" s="871"/>
      <c r="C571" s="871"/>
      <c r="D571" s="871"/>
      <c r="E571" s="871"/>
    </row>
    <row r="572" spans="1:5" s="741" customFormat="1" ht="18" customHeight="1">
      <c r="A572" s="871" t="s">
        <v>533</v>
      </c>
      <c r="B572" s="871"/>
      <c r="C572" s="871"/>
      <c r="D572" s="871"/>
      <c r="E572" s="871"/>
    </row>
    <row r="573" spans="1:5" s="741" customFormat="1" ht="18" customHeight="1">
      <c r="A573" s="871" t="s">
        <v>534</v>
      </c>
      <c r="B573" s="871"/>
      <c r="C573" s="871"/>
      <c r="D573" s="871"/>
      <c r="E573" s="871"/>
    </row>
    <row r="574" spans="1:5" s="741" customFormat="1" ht="18" customHeight="1">
      <c r="A574" s="871" t="s">
        <v>535</v>
      </c>
      <c r="B574" s="871"/>
      <c r="C574" s="871"/>
      <c r="D574" s="871"/>
      <c r="E574" s="871"/>
    </row>
    <row r="575" spans="1:5" s="741" customFormat="1" ht="18" customHeight="1">
      <c r="A575" s="871" t="s">
        <v>536</v>
      </c>
      <c r="B575" s="871"/>
      <c r="C575" s="871"/>
      <c r="D575" s="871"/>
      <c r="E575" s="871"/>
    </row>
    <row r="576" spans="1:5" s="741" customFormat="1" ht="18" customHeight="1">
      <c r="A576" s="871" t="s">
        <v>537</v>
      </c>
      <c r="B576" s="871"/>
      <c r="C576" s="871"/>
      <c r="D576" s="871"/>
      <c r="E576" s="871"/>
    </row>
    <row r="578" spans="1:7" ht="18" customHeight="1">
      <c r="A578" s="875" t="s">
        <v>2473</v>
      </c>
    </row>
    <row r="580" spans="1:7" ht="18" customHeight="1">
      <c r="A580" s="872" t="s">
        <v>538</v>
      </c>
      <c r="B580" s="872" t="s">
        <v>131</v>
      </c>
      <c r="C580" s="872" t="s">
        <v>539</v>
      </c>
      <c r="D580" s="872" t="s">
        <v>197</v>
      </c>
      <c r="F580" s="873" t="str">
        <f t="array" ref="F580:G584">IF({1,0},B580:B584,A580:A584)</f>
        <v>姓名</v>
      </c>
      <c r="G580" s="873" t="str">
        <v>学号</v>
      </c>
    </row>
    <row r="581" spans="1:7" ht="18" customHeight="1">
      <c r="A581" s="872">
        <v>1001</v>
      </c>
      <c r="B581" s="872" t="s">
        <v>540</v>
      </c>
      <c r="C581" s="872">
        <v>25</v>
      </c>
      <c r="D581" s="872" t="s">
        <v>541</v>
      </c>
      <c r="F581" s="873" t="str">
        <v>张三</v>
      </c>
      <c r="G581" s="873">
        <v>1001</v>
      </c>
    </row>
    <row r="582" spans="1:7" ht="18" customHeight="1">
      <c r="A582" s="872">
        <v>1002</v>
      </c>
      <c r="B582" s="872" t="s">
        <v>542</v>
      </c>
      <c r="C582" s="872">
        <v>36</v>
      </c>
      <c r="D582" s="872" t="s">
        <v>543</v>
      </c>
      <c r="F582" s="873" t="str">
        <v>李四</v>
      </c>
      <c r="G582" s="873">
        <v>1002</v>
      </c>
    </row>
    <row r="583" spans="1:7" ht="18" customHeight="1">
      <c r="A583" s="872">
        <v>1003</v>
      </c>
      <c r="B583" s="872" t="s">
        <v>544</v>
      </c>
      <c r="C583" s="872">
        <v>18</v>
      </c>
      <c r="D583" s="872" t="s">
        <v>545</v>
      </c>
      <c r="F583" s="873" t="str">
        <v>王五</v>
      </c>
      <c r="G583" s="873">
        <v>1003</v>
      </c>
    </row>
    <row r="584" spans="1:7" ht="18" customHeight="1">
      <c r="A584" s="872">
        <v>1004</v>
      </c>
      <c r="B584" s="872" t="s">
        <v>546</v>
      </c>
      <c r="C584" s="872">
        <v>28</v>
      </c>
      <c r="D584" s="872" t="s">
        <v>545</v>
      </c>
      <c r="F584" s="873" t="str">
        <v>王二</v>
      </c>
      <c r="G584" s="873">
        <v>1004</v>
      </c>
    </row>
    <row r="586" spans="1:7" ht="18" customHeight="1">
      <c r="A586" s="836" t="s">
        <v>547</v>
      </c>
    </row>
    <row r="587" spans="1:7" ht="18" customHeight="1">
      <c r="A587" s="1" t="s">
        <v>548</v>
      </c>
    </row>
    <row r="589" spans="1:7" ht="18" customHeight="1">
      <c r="A589" s="1" t="s">
        <v>549</v>
      </c>
    </row>
    <row r="591" spans="1:7" ht="18" customHeight="1">
      <c r="A591" s="1" t="s">
        <v>550</v>
      </c>
    </row>
    <row r="593" spans="1:1" ht="18" customHeight="1">
      <c r="A593" s="3" t="s">
        <v>551</v>
      </c>
    </row>
  </sheetData>
  <mergeCells count="17">
    <mergeCell ref="A133:B133"/>
    <mergeCell ref="C194:D194"/>
    <mergeCell ref="A29:A30"/>
    <mergeCell ref="A194:A195"/>
    <mergeCell ref="B194:B195"/>
    <mergeCell ref="C122:D122"/>
    <mergeCell ref="A129:B129"/>
    <mergeCell ref="A130:B130"/>
    <mergeCell ref="A131:B131"/>
    <mergeCell ref="A132:B132"/>
    <mergeCell ref="B29:C29"/>
    <mergeCell ref="D29:E29"/>
    <mergeCell ref="M108:M110"/>
    <mergeCell ref="M111:M113"/>
    <mergeCell ref="F29:G29"/>
    <mergeCell ref="H29:I29"/>
    <mergeCell ref="A105:C105"/>
  </mergeCells>
  <phoneticPr fontId="95" type="noConversion"/>
  <conditionalFormatting sqref="T231:T236 O229:R244">
    <cfRule type="expression" dxfId="35" priority="15">
      <formula>($O229=$G$2)*($F$6&lt;&gt;"")*($P229=$G$3)</formula>
    </cfRule>
    <cfRule type="expression" dxfId="34" priority="16">
      <formula>($O229=$G$2)*($F$6&lt;&gt;"")</formula>
    </cfRule>
  </conditionalFormatting>
  <conditionalFormatting sqref="O255:R264">
    <cfRule type="expression" dxfId="33" priority="10">
      <formula>($A259=$G$2)*($F$6&lt;&gt;"")*($B259=$G$3)</formula>
    </cfRule>
    <cfRule type="expression" dxfId="32" priority="11">
      <formula>($A259=$G$2)*($F$6&lt;&gt;"")</formula>
    </cfRule>
  </conditionalFormatting>
  <dataValidations count="3">
    <dataValidation type="list" allowBlank="1" showInputMessage="1" showErrorMessage="1" sqref="C196:C198" xr:uid="{00000000-0002-0000-0000-000000000000}">
      <formula1>$B$188:$D$188</formula1>
    </dataValidation>
    <dataValidation type="list" allowBlank="1" showInputMessage="1" showErrorMessage="1" sqref="U228" xr:uid="{00000000-0002-0000-0000-000001000000}">
      <formula1>$A$2:$A$4</formula1>
    </dataValidation>
    <dataValidation type="list" allowBlank="1" showInputMessage="1" showErrorMessage="1" sqref="D196:D198" xr:uid="{00000000-0002-0000-0000-000002000000}">
      <formula1>INDIRECT(C196)</formula1>
    </dataValidation>
  </dataValidations>
  <hyperlinks>
    <hyperlink ref="D280" location="textjoin" display="TEXTJOIN" xr:uid="{00000000-0004-0000-0000-000000000000}"/>
    <hyperlink ref="K265" location="filter" display="例如：" xr:uid="{00000000-0004-0000-0000-000001000000}"/>
  </hyperlinks>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8" tint="0.39994506668294322"/>
  </sheetPr>
  <dimension ref="B1:F71"/>
  <sheetViews>
    <sheetView showGridLines="0" topLeftCell="A31" workbookViewId="0">
      <selection activeCell="E9" sqref="E9"/>
    </sheetView>
  </sheetViews>
  <sheetFormatPr defaultColWidth="9" defaultRowHeight="14.25"/>
  <cols>
    <col min="1" max="1" width="23.375" style="1" customWidth="1"/>
    <col min="2" max="2" width="9" style="1"/>
    <col min="3" max="3" width="17.125" style="1" customWidth="1"/>
    <col min="4" max="4" width="19.25" style="1" customWidth="1"/>
    <col min="5" max="5" width="82.625" style="1" customWidth="1"/>
    <col min="6" max="6" width="47" style="1" customWidth="1"/>
    <col min="7" max="16384" width="9" style="1"/>
  </cols>
  <sheetData>
    <row r="1" spans="2:6" ht="23.25" customHeight="1">
      <c r="B1" s="1112" t="s">
        <v>552</v>
      </c>
      <c r="C1" s="1113"/>
      <c r="D1" s="729" t="s">
        <v>553</v>
      </c>
      <c r="E1" s="730" t="s">
        <v>554</v>
      </c>
      <c r="F1" s="731" t="s">
        <v>555</v>
      </c>
    </row>
    <row r="2" spans="2:6" ht="18" customHeight="1">
      <c r="B2" s="1114" t="s">
        <v>556</v>
      </c>
      <c r="C2" s="1117" t="s">
        <v>557</v>
      </c>
      <c r="D2" s="732" t="s">
        <v>2655</v>
      </c>
      <c r="E2" s="733" t="s">
        <v>2663</v>
      </c>
      <c r="F2" s="734" t="s">
        <v>558</v>
      </c>
    </row>
    <row r="3" spans="2:6" ht="18" customHeight="1">
      <c r="B3" s="1114"/>
      <c r="C3" s="1117"/>
      <c r="D3" s="732" t="s">
        <v>2654</v>
      </c>
      <c r="E3" s="733" t="s">
        <v>2664</v>
      </c>
      <c r="F3" s="734" t="s">
        <v>2652</v>
      </c>
    </row>
    <row r="4" spans="2:6" ht="18" customHeight="1">
      <c r="B4" s="1114"/>
      <c r="C4" s="1117"/>
      <c r="D4" s="732" t="s">
        <v>2643</v>
      </c>
      <c r="E4" s="733" t="s">
        <v>2665</v>
      </c>
      <c r="F4" s="734" t="s">
        <v>2651</v>
      </c>
    </row>
    <row r="5" spans="2:6" ht="18" customHeight="1">
      <c r="B5" s="1114"/>
      <c r="C5" s="1117"/>
      <c r="D5" s="732" t="s">
        <v>2653</v>
      </c>
      <c r="E5" s="733" t="s">
        <v>559</v>
      </c>
      <c r="F5" s="734" t="s">
        <v>2650</v>
      </c>
    </row>
    <row r="6" spans="2:6" ht="18" customHeight="1">
      <c r="B6" s="1114"/>
      <c r="C6" s="1117"/>
      <c r="D6" s="732" t="s">
        <v>561</v>
      </c>
      <c r="E6" s="733" t="s">
        <v>562</v>
      </c>
      <c r="F6" s="734" t="s">
        <v>563</v>
      </c>
    </row>
    <row r="7" spans="2:6" ht="18" customHeight="1">
      <c r="B7" s="1114"/>
      <c r="C7" s="1117"/>
      <c r="D7" s="732" t="s">
        <v>7</v>
      </c>
      <c r="E7" s="733" t="s">
        <v>564</v>
      </c>
      <c r="F7" s="734" t="s">
        <v>565</v>
      </c>
    </row>
    <row r="8" spans="2:6" ht="18" customHeight="1">
      <c r="B8" s="1114"/>
      <c r="C8" s="1117"/>
      <c r="D8" s="732" t="s">
        <v>566</v>
      </c>
      <c r="E8" s="733" t="s">
        <v>567</v>
      </c>
      <c r="F8" s="734" t="s">
        <v>568</v>
      </c>
    </row>
    <row r="9" spans="2:6" ht="18" customHeight="1">
      <c r="B9" s="1114"/>
      <c r="C9" s="1117"/>
      <c r="D9" s="732" t="s">
        <v>569</v>
      </c>
      <c r="E9" s="733" t="s">
        <v>212</v>
      </c>
      <c r="F9" s="734" t="s">
        <v>570</v>
      </c>
    </row>
    <row r="10" spans="2:6" ht="18" customHeight="1">
      <c r="B10" s="1114"/>
      <c r="C10" s="1117"/>
      <c r="D10" s="732" t="s">
        <v>571</v>
      </c>
      <c r="E10" s="733" t="s">
        <v>571</v>
      </c>
      <c r="F10" s="734" t="s">
        <v>572</v>
      </c>
    </row>
    <row r="11" spans="2:6" ht="18" customHeight="1">
      <c r="B11" s="1114"/>
      <c r="C11" s="1117"/>
      <c r="D11" s="732" t="s">
        <v>573</v>
      </c>
      <c r="E11" s="733" t="s">
        <v>573</v>
      </c>
      <c r="F11" s="734" t="s">
        <v>574</v>
      </c>
    </row>
    <row r="12" spans="2:6" ht="18" customHeight="1">
      <c r="B12" s="1114"/>
      <c r="C12" s="1117"/>
      <c r="D12" s="732" t="s">
        <v>575</v>
      </c>
      <c r="E12" s="733" t="s">
        <v>576</v>
      </c>
      <c r="F12" s="734" t="s">
        <v>577</v>
      </c>
    </row>
    <row r="13" spans="2:6" ht="18" customHeight="1">
      <c r="B13" s="1114"/>
      <c r="C13" s="1117"/>
      <c r="D13" s="732" t="s">
        <v>578</v>
      </c>
      <c r="E13" s="733" t="s">
        <v>579</v>
      </c>
      <c r="F13" s="734" t="s">
        <v>580</v>
      </c>
    </row>
    <row r="14" spans="2:6" ht="18" customHeight="1">
      <c r="B14" s="1114"/>
      <c r="C14" s="1117"/>
      <c r="D14" s="732" t="s">
        <v>2942</v>
      </c>
      <c r="E14" s="733" t="s">
        <v>2937</v>
      </c>
      <c r="F14" s="734" t="s">
        <v>2948</v>
      </c>
    </row>
    <row r="15" spans="2:6" ht="18" customHeight="1">
      <c r="B15" s="1114"/>
      <c r="C15" s="1117"/>
      <c r="D15" s="732" t="s">
        <v>581</v>
      </c>
      <c r="E15" s="733" t="s">
        <v>582</v>
      </c>
      <c r="F15" s="734" t="s">
        <v>583</v>
      </c>
    </row>
    <row r="16" spans="2:6" ht="18" customHeight="1">
      <c r="B16" s="1114"/>
      <c r="C16" s="1117"/>
      <c r="D16" s="732" t="s">
        <v>584</v>
      </c>
      <c r="E16" s="733" t="s">
        <v>585</v>
      </c>
      <c r="F16" s="734" t="s">
        <v>586</v>
      </c>
    </row>
    <row r="17" spans="2:6" ht="18" customHeight="1">
      <c r="B17" s="1114"/>
      <c r="C17" s="1117"/>
      <c r="D17" s="732" t="s">
        <v>587</v>
      </c>
      <c r="E17" s="733" t="s">
        <v>588</v>
      </c>
      <c r="F17" s="734" t="s">
        <v>589</v>
      </c>
    </row>
    <row r="18" spans="2:6" ht="18" customHeight="1">
      <c r="B18" s="1114"/>
      <c r="C18" s="1117"/>
      <c r="D18" s="732" t="s">
        <v>590</v>
      </c>
      <c r="E18" s="733" t="s">
        <v>591</v>
      </c>
      <c r="F18" s="734" t="s">
        <v>2816</v>
      </c>
    </row>
    <row r="19" spans="2:6" ht="18" customHeight="1">
      <c r="B19" s="1114"/>
      <c r="C19" s="1117"/>
      <c r="D19" s="732" t="s">
        <v>593</v>
      </c>
      <c r="E19" s="733" t="s">
        <v>594</v>
      </c>
      <c r="F19" s="734" t="s">
        <v>595</v>
      </c>
    </row>
    <row r="20" spans="2:6" ht="18" customHeight="1">
      <c r="B20" s="1114"/>
      <c r="C20" s="1117" t="s">
        <v>596</v>
      </c>
      <c r="D20" s="732" t="s">
        <v>2656</v>
      </c>
      <c r="E20" s="733" t="s">
        <v>2666</v>
      </c>
      <c r="F20" s="734" t="s">
        <v>597</v>
      </c>
    </row>
    <row r="21" spans="2:6" ht="18" customHeight="1">
      <c r="B21" s="1114"/>
      <c r="C21" s="1117"/>
      <c r="D21" s="732" t="s">
        <v>2767</v>
      </c>
      <c r="E21" s="733" t="s">
        <v>2769</v>
      </c>
      <c r="F21" s="734" t="s">
        <v>2770</v>
      </c>
    </row>
    <row r="22" spans="2:6" ht="18" customHeight="1">
      <c r="B22" s="1114"/>
      <c r="C22" s="1117"/>
      <c r="D22" s="732" t="s">
        <v>598</v>
      </c>
      <c r="E22" s="733" t="s">
        <v>599</v>
      </c>
      <c r="F22" s="734" t="s">
        <v>600</v>
      </c>
    </row>
    <row r="23" spans="2:6" ht="18" customHeight="1">
      <c r="B23" s="1114"/>
      <c r="C23" s="1117"/>
      <c r="D23" s="732" t="s">
        <v>601</v>
      </c>
      <c r="E23" s="733" t="s">
        <v>602</v>
      </c>
      <c r="F23" s="734" t="s">
        <v>603</v>
      </c>
    </row>
    <row r="24" spans="2:6" ht="18" customHeight="1">
      <c r="B24" s="1114"/>
      <c r="C24" s="1117"/>
      <c r="D24" s="732" t="s">
        <v>2657</v>
      </c>
      <c r="E24" s="733" t="s">
        <v>2667</v>
      </c>
      <c r="F24" s="734" t="s">
        <v>606</v>
      </c>
    </row>
    <row r="25" spans="2:6" ht="18" customHeight="1">
      <c r="B25" s="1114"/>
      <c r="C25" s="1117"/>
      <c r="D25" s="732" t="s">
        <v>607</v>
      </c>
      <c r="E25" s="733" t="s">
        <v>608</v>
      </c>
      <c r="F25" s="734" t="s">
        <v>609</v>
      </c>
    </row>
    <row r="26" spans="2:6" ht="18" customHeight="1">
      <c r="B26" s="1114"/>
      <c r="C26" s="1117"/>
      <c r="D26" s="732" t="s">
        <v>2658</v>
      </c>
      <c r="E26" s="733" t="s">
        <v>2668</v>
      </c>
      <c r="F26" s="734" t="s">
        <v>612</v>
      </c>
    </row>
    <row r="27" spans="2:6" ht="18" customHeight="1">
      <c r="B27" s="1114"/>
      <c r="C27" s="1117"/>
      <c r="D27" s="732" t="s">
        <v>613</v>
      </c>
      <c r="E27" s="733" t="s">
        <v>2979</v>
      </c>
      <c r="F27" s="734" t="s">
        <v>612</v>
      </c>
    </row>
    <row r="28" spans="2:6" ht="18" customHeight="1">
      <c r="B28" s="1114"/>
      <c r="C28" s="1117"/>
      <c r="D28" s="732" t="s">
        <v>615</v>
      </c>
      <c r="E28" s="733" t="s">
        <v>616</v>
      </c>
      <c r="F28" s="734" t="s">
        <v>617</v>
      </c>
    </row>
    <row r="29" spans="2:6" ht="18" customHeight="1">
      <c r="B29" s="1114"/>
      <c r="C29" s="1117"/>
      <c r="D29" s="732" t="s">
        <v>618</v>
      </c>
      <c r="E29" s="733" t="s">
        <v>619</v>
      </c>
      <c r="F29" s="734" t="s">
        <v>620</v>
      </c>
    </row>
    <row r="30" spans="2:6" ht="18" customHeight="1">
      <c r="B30" s="1114"/>
      <c r="C30" s="1117"/>
      <c r="D30" s="732" t="s">
        <v>621</v>
      </c>
      <c r="E30" s="733" t="s">
        <v>622</v>
      </c>
      <c r="F30" s="734" t="s">
        <v>623</v>
      </c>
    </row>
    <row r="31" spans="2:6" ht="18" customHeight="1">
      <c r="B31" s="1114"/>
      <c r="C31" s="1117"/>
      <c r="D31" s="732" t="s">
        <v>624</v>
      </c>
      <c r="E31" s="733" t="s">
        <v>625</v>
      </c>
      <c r="F31" s="734" t="s">
        <v>626</v>
      </c>
    </row>
    <row r="32" spans="2:6" ht="18" customHeight="1">
      <c r="B32" s="1114"/>
      <c r="C32" s="1117"/>
      <c r="D32" s="732" t="s">
        <v>627</v>
      </c>
      <c r="E32" s="733" t="s">
        <v>628</v>
      </c>
      <c r="F32" s="734" t="s">
        <v>629</v>
      </c>
    </row>
    <row r="33" spans="2:6" ht="18" customHeight="1">
      <c r="B33" s="1114"/>
      <c r="C33" s="1117"/>
      <c r="D33" s="732" t="s">
        <v>630</v>
      </c>
      <c r="E33" s="733" t="s">
        <v>631</v>
      </c>
      <c r="F33" s="734" t="s">
        <v>632</v>
      </c>
    </row>
    <row r="34" spans="2:6" ht="18" customHeight="1">
      <c r="B34" s="1114"/>
      <c r="C34" s="1117"/>
      <c r="D34" s="732" t="s">
        <v>633</v>
      </c>
      <c r="E34" s="733" t="s">
        <v>634</v>
      </c>
      <c r="F34" s="734" t="s">
        <v>635</v>
      </c>
    </row>
    <row r="35" spans="2:6" ht="18" customHeight="1">
      <c r="B35" s="1114"/>
      <c r="C35" s="1117" t="s">
        <v>636</v>
      </c>
      <c r="D35" s="732" t="s">
        <v>2659</v>
      </c>
      <c r="E35" s="733" t="s">
        <v>2669</v>
      </c>
      <c r="F35" s="734" t="s">
        <v>638</v>
      </c>
    </row>
    <row r="36" spans="2:6" ht="18" customHeight="1">
      <c r="B36" s="1114"/>
      <c r="C36" s="1117"/>
      <c r="D36" s="732" t="s">
        <v>2961</v>
      </c>
      <c r="E36" s="733" t="s">
        <v>2976</v>
      </c>
      <c r="F36" s="734" t="s">
        <v>2978</v>
      </c>
    </row>
    <row r="37" spans="2:6" ht="18" customHeight="1">
      <c r="B37" s="1114"/>
      <c r="C37" s="1117"/>
      <c r="D37" s="732" t="s">
        <v>2660</v>
      </c>
      <c r="E37" s="733" t="s">
        <v>2670</v>
      </c>
      <c r="F37" s="734" t="s">
        <v>640</v>
      </c>
    </row>
    <row r="38" spans="2:6" ht="18" customHeight="1">
      <c r="B38" s="1114"/>
      <c r="C38" s="1117"/>
      <c r="D38" s="732" t="s">
        <v>2661</v>
      </c>
      <c r="E38" s="733" t="s">
        <v>2671</v>
      </c>
      <c r="F38" s="734" t="s">
        <v>642</v>
      </c>
    </row>
    <row r="39" spans="2:6" ht="18" customHeight="1">
      <c r="B39" s="1114"/>
      <c r="C39" s="1117"/>
      <c r="D39" s="732" t="s">
        <v>643</v>
      </c>
      <c r="E39" s="733" t="s">
        <v>644</v>
      </c>
      <c r="F39" s="734" t="s">
        <v>645</v>
      </c>
    </row>
    <row r="40" spans="2:6" ht="18" customHeight="1">
      <c r="B40" s="1114"/>
      <c r="C40" s="1117"/>
      <c r="D40" s="732" t="s">
        <v>646</v>
      </c>
      <c r="E40" s="733" t="s">
        <v>647</v>
      </c>
      <c r="F40" s="734" t="s">
        <v>2590</v>
      </c>
    </row>
    <row r="41" spans="2:6" ht="18" customHeight="1">
      <c r="B41" s="1114"/>
      <c r="C41" s="1117"/>
      <c r="D41" s="732" t="s">
        <v>649</v>
      </c>
      <c r="E41" s="733" t="s">
        <v>650</v>
      </c>
      <c r="F41" s="734" t="s">
        <v>651</v>
      </c>
    </row>
    <row r="42" spans="2:6" ht="18" customHeight="1">
      <c r="B42" s="1114"/>
      <c r="C42" s="1117"/>
      <c r="D42" s="732" t="s">
        <v>652</v>
      </c>
      <c r="E42" s="733" t="s">
        <v>653</v>
      </c>
      <c r="F42" s="734" t="s">
        <v>654</v>
      </c>
    </row>
    <row r="43" spans="2:6" ht="18" customHeight="1">
      <c r="B43" s="1114"/>
      <c r="C43" s="1117" t="s">
        <v>43</v>
      </c>
      <c r="D43" s="732" t="s">
        <v>655</v>
      </c>
      <c r="E43" s="733" t="s">
        <v>656</v>
      </c>
      <c r="F43" s="734" t="s">
        <v>657</v>
      </c>
    </row>
    <row r="44" spans="2:6" ht="18" customHeight="1">
      <c r="B44" s="1114"/>
      <c r="C44" s="1117"/>
      <c r="D44" s="732" t="s">
        <v>176</v>
      </c>
      <c r="E44" s="733" t="s">
        <v>658</v>
      </c>
      <c r="F44" s="734" t="s">
        <v>659</v>
      </c>
    </row>
    <row r="45" spans="2:6" ht="18" customHeight="1">
      <c r="B45" s="1114"/>
      <c r="C45" s="1117"/>
      <c r="D45" s="732" t="s">
        <v>660</v>
      </c>
      <c r="E45" s="733" t="s">
        <v>660</v>
      </c>
      <c r="F45" s="734" t="s">
        <v>661</v>
      </c>
    </row>
    <row r="46" spans="2:6" ht="18" customHeight="1">
      <c r="B46" s="1114"/>
      <c r="C46" s="1117"/>
      <c r="D46" s="732" t="s">
        <v>662</v>
      </c>
      <c r="E46" s="733" t="s">
        <v>662</v>
      </c>
      <c r="F46" s="734" t="s">
        <v>663</v>
      </c>
    </row>
    <row r="47" spans="2:6" ht="18" customHeight="1">
      <c r="B47" s="1114"/>
      <c r="C47" s="1117"/>
      <c r="D47" s="732" t="s">
        <v>664</v>
      </c>
      <c r="E47" s="733" t="s">
        <v>665</v>
      </c>
      <c r="F47" s="734" t="s">
        <v>666</v>
      </c>
    </row>
    <row r="48" spans="2:6" ht="18" customHeight="1">
      <c r="B48" s="1114"/>
      <c r="C48" s="1117"/>
      <c r="D48" s="732" t="s">
        <v>667</v>
      </c>
      <c r="E48" s="733" t="s">
        <v>668</v>
      </c>
      <c r="F48" s="734" t="s">
        <v>669</v>
      </c>
    </row>
    <row r="49" spans="2:6" ht="18" customHeight="1">
      <c r="B49" s="1114"/>
      <c r="C49" s="1117"/>
      <c r="D49" s="732" t="s">
        <v>670</v>
      </c>
      <c r="E49" s="733" t="s">
        <v>671</v>
      </c>
      <c r="F49" s="734" t="s">
        <v>672</v>
      </c>
    </row>
    <row r="50" spans="2:6" ht="18" customHeight="1">
      <c r="B50" s="1114"/>
      <c r="C50" s="1117"/>
      <c r="D50" s="732" t="s">
        <v>673</v>
      </c>
      <c r="E50" s="733" t="s">
        <v>674</v>
      </c>
      <c r="F50" s="734" t="s">
        <v>675</v>
      </c>
    </row>
    <row r="51" spans="2:6" ht="18" customHeight="1">
      <c r="B51" s="1114"/>
      <c r="C51" s="1117"/>
      <c r="D51" s="732" t="s">
        <v>676</v>
      </c>
      <c r="E51" s="733" t="s">
        <v>677</v>
      </c>
      <c r="F51" s="734" t="s">
        <v>678</v>
      </c>
    </row>
    <row r="52" spans="2:6" ht="18" customHeight="1">
      <c r="B52" s="1114"/>
      <c r="C52" s="1117"/>
      <c r="D52" s="732" t="s">
        <v>679</v>
      </c>
      <c r="E52" s="733" t="s">
        <v>680</v>
      </c>
      <c r="F52" s="734" t="s">
        <v>681</v>
      </c>
    </row>
    <row r="53" spans="2:6" ht="18" customHeight="1">
      <c r="B53" s="1114"/>
      <c r="C53" s="1117" t="s">
        <v>682</v>
      </c>
      <c r="D53" s="732" t="s">
        <v>683</v>
      </c>
      <c r="E53" s="733" t="s">
        <v>684</v>
      </c>
      <c r="F53" s="734" t="s">
        <v>685</v>
      </c>
    </row>
    <row r="54" spans="2:6" ht="18" customHeight="1">
      <c r="B54" s="1114"/>
      <c r="C54" s="1117"/>
      <c r="D54" s="732" t="s">
        <v>686</v>
      </c>
      <c r="E54" s="733" t="s">
        <v>687</v>
      </c>
      <c r="F54" s="734" t="s">
        <v>688</v>
      </c>
    </row>
    <row r="55" spans="2:6" ht="18" customHeight="1">
      <c r="B55" s="1114"/>
      <c r="C55" s="1117"/>
      <c r="D55" s="732" t="s">
        <v>689</v>
      </c>
      <c r="E55" s="733" t="s">
        <v>690</v>
      </c>
      <c r="F55" s="734" t="s">
        <v>691</v>
      </c>
    </row>
    <row r="56" spans="2:6" ht="18" customHeight="1">
      <c r="B56" s="1114"/>
      <c r="C56" s="1117"/>
      <c r="D56" s="732" t="s">
        <v>692</v>
      </c>
      <c r="E56" s="733" t="s">
        <v>693</v>
      </c>
      <c r="F56" s="734" t="s">
        <v>694</v>
      </c>
    </row>
    <row r="57" spans="2:6" ht="18" customHeight="1">
      <c r="B57" s="1114"/>
      <c r="C57" s="1117"/>
      <c r="D57" s="732" t="s">
        <v>695</v>
      </c>
      <c r="E57" s="733" t="s">
        <v>696</v>
      </c>
      <c r="F57" s="734" t="s">
        <v>697</v>
      </c>
    </row>
    <row r="58" spans="2:6" ht="18" customHeight="1">
      <c r="B58" s="1114"/>
      <c r="C58" s="1117"/>
      <c r="D58" s="732" t="s">
        <v>2662</v>
      </c>
      <c r="E58" s="733" t="s">
        <v>699</v>
      </c>
      <c r="F58" s="734" t="s">
        <v>700</v>
      </c>
    </row>
    <row r="59" spans="2:6" ht="18" customHeight="1">
      <c r="B59" s="1114"/>
      <c r="C59" s="1117"/>
      <c r="D59" s="732" t="s">
        <v>701</v>
      </c>
      <c r="E59" s="733" t="s">
        <v>702</v>
      </c>
      <c r="F59" s="734" t="s">
        <v>703</v>
      </c>
    </row>
    <row r="60" spans="2:6" ht="18" customHeight="1">
      <c r="B60" s="1114"/>
      <c r="C60" s="1117"/>
      <c r="D60" s="732" t="s">
        <v>704</v>
      </c>
      <c r="E60" s="733" t="s">
        <v>705</v>
      </c>
      <c r="F60" s="734" t="s">
        <v>706</v>
      </c>
    </row>
    <row r="61" spans="2:6" ht="18" customHeight="1">
      <c r="B61" s="1114"/>
      <c r="C61" s="1117"/>
      <c r="D61" s="732" t="s">
        <v>707</v>
      </c>
      <c r="E61" s="733" t="s">
        <v>708</v>
      </c>
      <c r="F61" s="734" t="s">
        <v>709</v>
      </c>
    </row>
    <row r="62" spans="2:6" ht="18" customHeight="1">
      <c r="B62" s="1114"/>
      <c r="C62" s="1117"/>
      <c r="D62" s="732" t="s">
        <v>710</v>
      </c>
      <c r="E62" s="733" t="s">
        <v>711</v>
      </c>
      <c r="F62" s="734" t="s">
        <v>712</v>
      </c>
    </row>
    <row r="63" spans="2:6" ht="18" customHeight="1">
      <c r="B63" s="1114"/>
      <c r="C63" s="1117"/>
      <c r="D63" s="732" t="s">
        <v>713</v>
      </c>
      <c r="E63" s="733" t="s">
        <v>714</v>
      </c>
      <c r="F63" s="734" t="s">
        <v>715</v>
      </c>
    </row>
    <row r="64" spans="2:6" ht="18" customHeight="1">
      <c r="B64" s="1114"/>
      <c r="C64" s="1117"/>
      <c r="D64" s="732" t="s">
        <v>716</v>
      </c>
      <c r="E64" s="733" t="s">
        <v>717</v>
      </c>
      <c r="F64" s="734" t="s">
        <v>718</v>
      </c>
    </row>
    <row r="65" spans="2:6" ht="18" customHeight="1">
      <c r="B65" s="1114" t="s">
        <v>719</v>
      </c>
      <c r="C65" s="1117"/>
      <c r="D65" s="732" t="s">
        <v>720</v>
      </c>
      <c r="E65" s="733" t="s">
        <v>721</v>
      </c>
      <c r="F65" s="734" t="s">
        <v>722</v>
      </c>
    </row>
    <row r="66" spans="2:6" ht="18" customHeight="1">
      <c r="B66" s="1114"/>
      <c r="C66" s="1117"/>
      <c r="D66" s="732" t="s">
        <v>723</v>
      </c>
      <c r="E66" s="733" t="s">
        <v>724</v>
      </c>
      <c r="F66" s="734" t="s">
        <v>725</v>
      </c>
    </row>
    <row r="67" spans="2:6" ht="18" customHeight="1">
      <c r="B67" s="1114"/>
      <c r="C67" s="1117"/>
      <c r="D67" s="732" t="s">
        <v>726</v>
      </c>
      <c r="E67" s="733" t="s">
        <v>727</v>
      </c>
      <c r="F67" s="734" t="s">
        <v>728</v>
      </c>
    </row>
    <row r="68" spans="2:6" ht="18" customHeight="1">
      <c r="B68" s="1114"/>
      <c r="C68" s="1117"/>
      <c r="D68" s="732" t="s">
        <v>729</v>
      </c>
      <c r="E68" s="733" t="s">
        <v>730</v>
      </c>
      <c r="F68" s="734" t="s">
        <v>731</v>
      </c>
    </row>
    <row r="69" spans="2:6" ht="18" customHeight="1">
      <c r="B69" s="1114"/>
      <c r="C69" s="1117"/>
      <c r="D69" s="732" t="s">
        <v>732</v>
      </c>
      <c r="E69" s="733" t="s">
        <v>733</v>
      </c>
      <c r="F69" s="734" t="s">
        <v>734</v>
      </c>
    </row>
    <row r="70" spans="2:6" ht="18" customHeight="1">
      <c r="B70" s="1115"/>
      <c r="C70" s="1118"/>
      <c r="D70" s="732" t="s">
        <v>735</v>
      </c>
      <c r="E70" s="735" t="s">
        <v>736</v>
      </c>
      <c r="F70" s="736" t="s">
        <v>737</v>
      </c>
    </row>
    <row r="71" spans="2:6" ht="18" customHeight="1">
      <c r="B71" s="1116"/>
      <c r="C71" s="1119"/>
      <c r="D71" s="737" t="s">
        <v>738</v>
      </c>
      <c r="E71" s="738" t="s">
        <v>2980</v>
      </c>
      <c r="F71" s="739" t="s">
        <v>740</v>
      </c>
    </row>
  </sheetData>
  <mergeCells count="8">
    <mergeCell ref="B1:C1"/>
    <mergeCell ref="B2:B64"/>
    <mergeCell ref="B65:B71"/>
    <mergeCell ref="C2:C19"/>
    <mergeCell ref="C20:C34"/>
    <mergeCell ref="C35:C42"/>
    <mergeCell ref="C43:C52"/>
    <mergeCell ref="C53:C71"/>
  </mergeCells>
  <phoneticPr fontId="95" type="noConversion"/>
  <hyperlinks>
    <hyperlink ref="D65" location="INDIRECT" display="/=INDIRECT()" xr:uid="{00000000-0004-0000-0100-000000000000}"/>
    <hyperlink ref="D2" location="abs" display="/=abs()" xr:uid="{00000000-0004-0000-0100-000001000000}"/>
    <hyperlink ref="D3" location="int" display="/=int()" xr:uid="{00000000-0004-0000-0100-000002000000}"/>
    <hyperlink ref="D5" location="round" display="/=round()" xr:uid="{00000000-0004-0000-0100-000003000000}"/>
    <hyperlink ref="D6" location="RANK.EQ" display="/=RANK.EQ()" xr:uid="{00000000-0004-0000-0100-000004000000}"/>
    <hyperlink ref="D7" location="RANDBETWEEN" display="/=RANDBETWEEN()" xr:uid="{00000000-0004-0000-0100-000005000000}"/>
    <hyperlink ref="D8" location="VALUE" display="/=VALUE()" xr:uid="{00000000-0004-0000-0100-000006000000}"/>
    <hyperlink ref="D9" location="TEXT" display="/=TEXT()" xr:uid="{00000000-0004-0000-0100-000007000000}"/>
    <hyperlink ref="D10" location="TRUE_" display="/=TRUE" xr:uid="{00000000-0004-0000-0100-000008000000}"/>
    <hyperlink ref="D11" location="FALSE_" display="/=FALSE" xr:uid="{00000000-0004-0000-0100-000009000000}"/>
    <hyperlink ref="D12" location="COUNT" display="/=COUNT()" xr:uid="{00000000-0004-0000-0100-00000A000000}"/>
    <hyperlink ref="D13" location="COUNTA" display="/=COUNTA()" xr:uid="{00000000-0004-0000-0100-00000B000000}"/>
    <hyperlink ref="D15" location="SUM" display="/=SUM()" xr:uid="{00000000-0004-0000-0100-00000C000000}"/>
    <hyperlink ref="D16" location="CHOOSE" display="/=CHOOSE()" xr:uid="{00000000-0004-0000-0100-00000D000000}"/>
    <hyperlink ref="D17" location="AVERAGE" display="/=AVERAGE()" xr:uid="{00000000-0004-0000-0100-00000E000000}"/>
    <hyperlink ref="D18" location="N" display="/=N()" xr:uid="{00000000-0004-0000-0100-00000F000000}"/>
    <hyperlink ref="D19" location="SQRT" display="/=SQRT()" xr:uid="{00000000-0004-0000-0100-000010000000}"/>
    <hyperlink ref="D20" location="if" display="/=if()" xr:uid="{00000000-0004-0000-0100-000011000000}"/>
    <hyperlink ref="D22" location="IFERROR" display="/=IFERROR()" xr:uid="{00000000-0004-0000-0100-000012000000}"/>
    <hyperlink ref="D23" location="SUMPRODUCT" display="/=SUMPRODUCT()" xr:uid="{00000000-0004-0000-0100-000013000000}"/>
    <hyperlink ref="D24" location="sumif" display="/=sumif()" xr:uid="{00000000-0004-0000-0100-000014000000}"/>
    <hyperlink ref="D25" location="COUNTIFS" display="/=SUMIFS()" xr:uid="{00000000-0004-0000-0100-000015000000}"/>
    <hyperlink ref="D26" location="countif" display="/=countif()" xr:uid="{00000000-0004-0000-0100-000016000000}"/>
    <hyperlink ref="D27" location="COUNTIFS" display="/=COUNTIFS()" xr:uid="{00000000-0004-0000-0100-000017000000}"/>
    <hyperlink ref="D28" location="DATEDIF" display="/=DATEDIF()" xr:uid="{00000000-0004-0000-0100-000018000000}"/>
    <hyperlink ref="D29" location="ISEVEN" display="/=ISEVEN()" xr:uid="{00000000-0004-0000-0100-000019000000}"/>
    <hyperlink ref="D30" location="ISODD" display="/=ISODD()" xr:uid="{00000000-0004-0000-0100-00001A000000}"/>
    <hyperlink ref="D31" location="ISERROR" display="/=ISERROR()" xr:uid="{00000000-0004-0000-0100-00001B000000}"/>
    <hyperlink ref="D32" location="AND" display="/=AND()" xr:uid="{00000000-0004-0000-0100-00001C000000}"/>
    <hyperlink ref="D33" location="OR" display="/=OR()" xr:uid="{00000000-0004-0000-0100-00001D000000}"/>
    <hyperlink ref="D34" location="NOT" display="/=NOT()" xr:uid="{00000000-0004-0000-0100-00001E000000}"/>
    <hyperlink ref="D35" location="vlookup" display="/=vlookup()" xr:uid="{00000000-0004-0000-0100-00001F000000}"/>
    <hyperlink ref="D37" location="match" display="/=match()" xr:uid="{00000000-0004-0000-0100-000020000000}"/>
    <hyperlink ref="D38" location="index" display="/=index()" xr:uid="{00000000-0004-0000-0100-000021000000}"/>
    <hyperlink ref="D39" location="LOOKUP" display="/=LOOKUP()" xr:uid="{00000000-0004-0000-0100-000022000000}"/>
    <hyperlink ref="D40" location="LOOKUP" display="/=FIND()" xr:uid="{00000000-0004-0000-0100-000023000000}"/>
    <hyperlink ref="D41" location="SEARCH" display="/=SEARCH()" xr:uid="{00000000-0004-0000-0100-000024000000}"/>
    <hyperlink ref="D42" location="OFFSET" display="/=OFFSET()" xr:uid="{00000000-0004-0000-0100-000025000000}"/>
    <hyperlink ref="D43" location="NETWORKDAYS" display="/=NETWORKDAYS()" xr:uid="{00000000-0004-0000-0100-000026000000}"/>
    <hyperlink ref="D44" location="DATE" display="/=DATE()" xr:uid="{00000000-0004-0000-0100-000027000000}"/>
    <hyperlink ref="D45" location="TODAY" display="/=TODAY()" xr:uid="{00000000-0004-0000-0100-000028000000}"/>
    <hyperlink ref="D46" location="NOW" display="/=NOW()" xr:uid="{00000000-0004-0000-0100-000029000000}"/>
    <hyperlink ref="D47" location="YEAR" display="/=YEAR()" xr:uid="{00000000-0004-0000-0100-00002A000000}"/>
    <hyperlink ref="D48" location="MONTH" display="/=MONTH()" xr:uid="{00000000-0004-0000-0100-00002B000000}"/>
    <hyperlink ref="D49" location="DAY" display="/=DAY()" xr:uid="{00000000-0004-0000-0100-00002C000000}"/>
    <hyperlink ref="D50" location="HOUR" display="/=HOUR()" xr:uid="{00000000-0004-0000-0100-00002D000000}"/>
    <hyperlink ref="D51" location="MINUTE" display="/=MINUTE()" xr:uid="{00000000-0004-0000-0100-00002E000000}"/>
    <hyperlink ref="D52" location="SECOND" display="/=SECOND()" xr:uid="{00000000-0004-0000-0100-00002F000000}"/>
    <hyperlink ref="D53" location="ROW" display="/=ROW()" xr:uid="{00000000-0004-0000-0100-000030000000}"/>
    <hyperlink ref="D54" location="COLUMN" display="/=COLUMN()" xr:uid="{00000000-0004-0000-0100-000031000000}"/>
    <hyperlink ref="D55" location="MAX" display="/=MAX()" xr:uid="{00000000-0004-0000-0100-000032000000}"/>
    <hyperlink ref="D56" location="MIN" display="/=MIN()" xr:uid="{00000000-0004-0000-0100-000033000000}"/>
    <hyperlink ref="D57" location="REPLACE" display="/=REPLACE()" xr:uid="{00000000-0004-0000-0100-000034000000}"/>
    <hyperlink ref="D58" location="len" display="/=len()" xr:uid="{00000000-0004-0000-0100-000035000000}"/>
    <hyperlink ref="D59" location="LEFT" display="/=LEFT()" xr:uid="{00000000-0004-0000-0100-000036000000}"/>
    <hyperlink ref="D60" location="RIGHT" display="/=RIGHT()" xr:uid="{00000000-0004-0000-0100-000037000000}"/>
    <hyperlink ref="D61" location="MID" display="/=MID()" xr:uid="{00000000-0004-0000-0100-000038000000}"/>
    <hyperlink ref="D62" location="SMALL" display="/=SMALL()" xr:uid="{00000000-0004-0000-0100-000039000000}"/>
    <hyperlink ref="D63" location="LARGE" display="/=LARGE()" xr:uid="{00000000-0004-0000-0100-00003A000000}"/>
    <hyperlink ref="D64" location="HYPERLINK" display="/=HYPERLINK()" xr:uid="{00000000-0004-0000-0100-00003B000000}"/>
    <hyperlink ref="D67" location="FILTER" display="/=FILTER()" xr:uid="{00000000-0004-0000-0100-00003C000000}"/>
    <hyperlink ref="D68" location="SORTBY" display="/=SORTBY(）" xr:uid="{00000000-0004-0000-0100-00003D000000}"/>
    <hyperlink ref="D69" location="SEQUENCE" display="/=SEQUENCE()" xr:uid="{00000000-0004-0000-0100-00003E000000}"/>
    <hyperlink ref="D70" location="SUBSTITUTE" display="/=SUBSTITUTE()" xr:uid="{00000000-0004-0000-0100-00003F000000}"/>
    <hyperlink ref="D71" location="TEXTJOIN" display="/=TEXTJOIN()" xr:uid="{00000000-0004-0000-0100-000040000000}"/>
    <hyperlink ref="D66" location="UNIQUE" display="/=UNIQUE()" xr:uid="{00000000-0004-0000-0100-000041000000}"/>
    <hyperlink ref="D4" location="ROUNDUP" display="/=ROUNDUP()" xr:uid="{3C5495EC-28C9-41A0-834A-7C76F106A5CE}"/>
    <hyperlink ref="D21" location="IFS" display="/=IFS()" xr:uid="{85FD3745-5A72-4FCF-A41E-EC9EB0D80BA3}"/>
    <hyperlink ref="D14" location="FREQUENCY" display="/=FREQUENCY() " xr:uid="{0AF859A7-B339-474E-AFA8-0433C345A350}"/>
    <hyperlink ref="D36" location="XLOOKUP" display="/=XLOOKUP()" xr:uid="{21B6E74C-5663-4078-A3A7-98C6AF62855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2" tint="-0.249977111117893"/>
  </sheetPr>
  <dimension ref="A1:AJ629"/>
  <sheetViews>
    <sheetView topLeftCell="A316" workbookViewId="0">
      <selection activeCell="A330" sqref="A330"/>
    </sheetView>
  </sheetViews>
  <sheetFormatPr defaultColWidth="9" defaultRowHeight="18" customHeight="1"/>
  <cols>
    <col min="1" max="1" width="18.625" style="654" customWidth="1"/>
    <col min="2" max="2" width="60.375" style="654" customWidth="1"/>
    <col min="3" max="3" width="39.625" style="654" customWidth="1"/>
    <col min="4" max="4" width="15.375" style="654" customWidth="1"/>
    <col min="5" max="8" width="9" style="654"/>
    <col min="9" max="9" width="10.25" style="654" customWidth="1"/>
    <col min="10" max="10" width="10.75" style="654" customWidth="1"/>
    <col min="11" max="11" width="9" style="654"/>
    <col min="12" max="13" width="10.25" style="654" customWidth="1"/>
    <col min="14" max="15" width="9" style="654"/>
    <col min="16" max="16" width="9.75" style="654" customWidth="1"/>
    <col min="17" max="18" width="9" style="654"/>
    <col min="19" max="19" width="12.25" style="654" customWidth="1"/>
    <col min="20" max="16384" width="9" style="654"/>
  </cols>
  <sheetData>
    <row r="1" spans="1:11" ht="18" customHeight="1">
      <c r="A1" s="655" t="s">
        <v>553</v>
      </c>
      <c r="B1" s="655" t="s">
        <v>741</v>
      </c>
      <c r="C1" s="655" t="s">
        <v>555</v>
      </c>
    </row>
    <row r="3" spans="1:11" ht="18" customHeight="1">
      <c r="A3" s="656" t="s">
        <v>1</v>
      </c>
      <c r="B3" s="657" t="s">
        <v>742</v>
      </c>
      <c r="C3" s="657" t="s">
        <v>558</v>
      </c>
      <c r="D3" s="657"/>
      <c r="E3" s="657"/>
      <c r="F3" s="658"/>
      <c r="I3" s="675" t="s">
        <v>254</v>
      </c>
      <c r="J3" s="676" t="s">
        <v>743</v>
      </c>
      <c r="K3" s="677" t="s">
        <v>744</v>
      </c>
    </row>
    <row r="4" spans="1:11" ht="18" customHeight="1">
      <c r="A4" s="659"/>
      <c r="F4" s="660"/>
      <c r="I4" s="678">
        <v>-1.25</v>
      </c>
      <c r="J4" s="679" t="s">
        <v>558</v>
      </c>
      <c r="K4" s="680">
        <f>ABS(I4)</f>
        <v>1.25</v>
      </c>
    </row>
    <row r="5" spans="1:11" ht="18" customHeight="1">
      <c r="A5" s="659"/>
      <c r="B5" s="661" t="s">
        <v>745</v>
      </c>
      <c r="C5" s="654" t="s">
        <v>746</v>
      </c>
      <c r="D5" s="654" t="s">
        <v>747</v>
      </c>
      <c r="F5" s="660"/>
      <c r="I5" s="681">
        <v>1.25</v>
      </c>
      <c r="J5" s="682" t="s">
        <v>748</v>
      </c>
      <c r="K5" s="683">
        <f>INT(I5)</f>
        <v>1</v>
      </c>
    </row>
    <row r="6" spans="1:11" ht="18" customHeight="1">
      <c r="A6" s="662"/>
      <c r="B6" s="663"/>
      <c r="C6" s="663"/>
      <c r="D6" s="663"/>
      <c r="E6" s="663"/>
      <c r="F6" s="664"/>
      <c r="I6" s="684">
        <v>1.25</v>
      </c>
      <c r="J6" s="685" t="s">
        <v>560</v>
      </c>
      <c r="K6" s="686">
        <f>ROUND(I6,1)</f>
        <v>1.3</v>
      </c>
    </row>
    <row r="7" spans="1:11" ht="18" customHeight="1">
      <c r="I7" s="681">
        <v>4</v>
      </c>
      <c r="J7" s="682" t="s">
        <v>749</v>
      </c>
      <c r="K7" s="683">
        <f>SQRT(I7)</f>
        <v>2</v>
      </c>
    </row>
    <row r="8" spans="1:11" ht="18" customHeight="1">
      <c r="A8" s="656" t="s">
        <v>3</v>
      </c>
      <c r="B8" s="657" t="s">
        <v>750</v>
      </c>
      <c r="C8" s="657" t="s">
        <v>751</v>
      </c>
      <c r="D8" s="657"/>
      <c r="E8" s="657"/>
      <c r="F8" s="658"/>
    </row>
    <row r="9" spans="1:11" ht="18" customHeight="1">
      <c r="A9" s="659"/>
      <c r="F9" s="660"/>
    </row>
    <row r="10" spans="1:11" ht="18" customHeight="1">
      <c r="A10" s="659"/>
      <c r="B10" s="661" t="s">
        <v>745</v>
      </c>
      <c r="C10" s="654" t="s">
        <v>746</v>
      </c>
      <c r="D10" s="654" t="s">
        <v>752</v>
      </c>
      <c r="F10" s="660"/>
    </row>
    <row r="11" spans="1:11" ht="18" customHeight="1">
      <c r="A11" s="662"/>
      <c r="B11" s="663"/>
      <c r="C11" s="663"/>
      <c r="D11" s="663"/>
      <c r="E11" s="663"/>
      <c r="F11" s="664"/>
    </row>
    <row r="14" spans="1:11" ht="18" customHeight="1">
      <c r="A14" s="656" t="s">
        <v>5</v>
      </c>
      <c r="B14" s="657" t="s">
        <v>753</v>
      </c>
      <c r="C14" s="657" t="s">
        <v>560</v>
      </c>
      <c r="D14" s="657"/>
      <c r="E14" s="657"/>
      <c r="F14" s="658"/>
    </row>
    <row r="15" spans="1:11" ht="18" customHeight="1">
      <c r="A15" s="659"/>
      <c r="F15" s="660"/>
    </row>
    <row r="16" spans="1:11" ht="18" customHeight="1">
      <c r="A16" s="659"/>
      <c r="B16" s="661" t="s">
        <v>745</v>
      </c>
      <c r="C16" s="654" t="s">
        <v>746</v>
      </c>
      <c r="D16" s="654" t="s">
        <v>754</v>
      </c>
      <c r="F16" s="660"/>
    </row>
    <row r="17" spans="1:15" ht="18" customHeight="1">
      <c r="A17" s="659"/>
      <c r="F17" s="660"/>
    </row>
    <row r="18" spans="1:15" ht="18" customHeight="1">
      <c r="A18" s="662"/>
      <c r="B18" s="665" t="s">
        <v>755</v>
      </c>
      <c r="C18" s="663" t="s">
        <v>746</v>
      </c>
      <c r="D18" s="663" t="s">
        <v>756</v>
      </c>
      <c r="E18" s="663"/>
      <c r="F18" s="664"/>
    </row>
    <row r="21" spans="1:15" ht="18" customHeight="1">
      <c r="A21" s="656" t="s">
        <v>593</v>
      </c>
      <c r="B21" s="657" t="s">
        <v>757</v>
      </c>
      <c r="C21" s="657" t="s">
        <v>595</v>
      </c>
      <c r="D21" s="657"/>
      <c r="E21" s="657"/>
      <c r="F21" s="657"/>
      <c r="G21" s="657"/>
      <c r="H21" s="658"/>
    </row>
    <row r="22" spans="1:15" ht="18" customHeight="1">
      <c r="A22" s="666"/>
      <c r="B22" s="667"/>
      <c r="C22" s="667"/>
      <c r="H22" s="660"/>
    </row>
    <row r="23" spans="1:15" ht="18" customHeight="1">
      <c r="A23" s="666"/>
      <c r="B23" s="661" t="s">
        <v>745</v>
      </c>
      <c r="C23" s="654" t="s">
        <v>746</v>
      </c>
      <c r="D23" s="654" t="s">
        <v>758</v>
      </c>
      <c r="H23" s="660"/>
    </row>
    <row r="24" spans="1:15" ht="18" customHeight="1">
      <c r="A24" s="668"/>
      <c r="B24" s="669"/>
      <c r="C24" s="669"/>
      <c r="D24" s="663" t="s">
        <v>759</v>
      </c>
      <c r="E24" s="663"/>
      <c r="F24" s="663"/>
      <c r="G24" s="663"/>
      <c r="H24" s="664"/>
    </row>
    <row r="25" spans="1:15" ht="18" customHeight="1">
      <c r="A25" s="670"/>
      <c r="B25" s="667"/>
      <c r="C25" s="667"/>
    </row>
    <row r="26" spans="1:15" ht="18" customHeight="1">
      <c r="A26" s="670"/>
      <c r="B26" s="667"/>
      <c r="C26" s="667"/>
    </row>
    <row r="27" spans="1:15" ht="18" customHeight="1">
      <c r="A27" s="656" t="s">
        <v>561</v>
      </c>
      <c r="B27" s="657" t="s">
        <v>760</v>
      </c>
      <c r="C27" s="657" t="s">
        <v>761</v>
      </c>
      <c r="D27" s="657"/>
      <c r="E27" s="657"/>
      <c r="F27" s="657"/>
      <c r="G27" s="657"/>
      <c r="H27" s="657"/>
      <c r="I27" s="657"/>
      <c r="J27" s="657"/>
      <c r="K27" s="657"/>
      <c r="L27" s="658"/>
      <c r="N27" s="687" t="s">
        <v>762</v>
      </c>
      <c r="O27" s="688" t="s">
        <v>763</v>
      </c>
    </row>
    <row r="28" spans="1:15" ht="18" customHeight="1">
      <c r="A28" s="659"/>
      <c r="D28" s="654" t="s">
        <v>764</v>
      </c>
      <c r="L28" s="660"/>
      <c r="N28" s="689">
        <v>0.2</v>
      </c>
      <c r="O28" s="690">
        <f>_xlfn.RANK.EQ(N28,$N$28:$N$33,1)</f>
        <v>2</v>
      </c>
    </row>
    <row r="29" spans="1:15" ht="18" customHeight="1">
      <c r="A29" s="659"/>
      <c r="B29" s="661" t="s">
        <v>745</v>
      </c>
      <c r="C29" s="654" t="s">
        <v>746</v>
      </c>
      <c r="L29" s="660"/>
      <c r="N29" s="689">
        <v>0.3</v>
      </c>
      <c r="O29" s="690">
        <f t="shared" ref="O29:O33" si="0">_xlfn.RANK.EQ(N29,$N$28:$N$33,1)</f>
        <v>4</v>
      </c>
    </row>
    <row r="30" spans="1:15" ht="18" customHeight="1">
      <c r="A30" s="659"/>
      <c r="D30" s="654" t="s">
        <v>765</v>
      </c>
      <c r="L30" s="660"/>
      <c r="N30" s="689">
        <v>0.2</v>
      </c>
      <c r="O30" s="690">
        <f t="shared" si="0"/>
        <v>2</v>
      </c>
    </row>
    <row r="31" spans="1:15" ht="18" customHeight="1">
      <c r="A31" s="659"/>
      <c r="B31" s="671" t="s">
        <v>766</v>
      </c>
      <c r="C31" s="654" t="s">
        <v>746</v>
      </c>
      <c r="L31" s="660"/>
      <c r="N31" s="689">
        <v>0.1</v>
      </c>
      <c r="O31" s="690">
        <f t="shared" si="0"/>
        <v>1</v>
      </c>
    </row>
    <row r="32" spans="1:15" ht="18" customHeight="1">
      <c r="A32" s="659"/>
      <c r="D32" s="654" t="s">
        <v>767</v>
      </c>
      <c r="L32" s="660"/>
      <c r="N32" s="689">
        <v>0.5</v>
      </c>
      <c r="O32" s="690">
        <f t="shared" si="0"/>
        <v>5</v>
      </c>
    </row>
    <row r="33" spans="1:15" ht="18" customHeight="1">
      <c r="A33" s="659"/>
      <c r="B33" s="672" t="s">
        <v>768</v>
      </c>
      <c r="C33" s="654" t="s">
        <v>769</v>
      </c>
      <c r="L33" s="660"/>
      <c r="N33" s="691">
        <v>0.6</v>
      </c>
      <c r="O33" s="692">
        <f t="shared" si="0"/>
        <v>6</v>
      </c>
    </row>
    <row r="34" spans="1:15" ht="18" customHeight="1">
      <c r="A34" s="659"/>
      <c r="L34" s="660"/>
    </row>
    <row r="35" spans="1:15" ht="18" customHeight="1">
      <c r="A35" s="659"/>
      <c r="B35" s="654" t="s">
        <v>770</v>
      </c>
      <c r="L35" s="660"/>
    </row>
    <row r="36" spans="1:15" ht="18" customHeight="1">
      <c r="A36" s="662"/>
      <c r="B36" s="663" t="s">
        <v>771</v>
      </c>
      <c r="C36" s="663"/>
      <c r="D36" s="663"/>
      <c r="E36" s="663"/>
      <c r="F36" s="663"/>
      <c r="G36" s="663"/>
      <c r="H36" s="663"/>
      <c r="I36" s="663"/>
      <c r="J36" s="663"/>
      <c r="K36" s="663"/>
      <c r="L36" s="664"/>
    </row>
    <row r="39" spans="1:15" ht="18" customHeight="1">
      <c r="A39" s="656" t="s">
        <v>7</v>
      </c>
      <c r="B39" s="657" t="s">
        <v>564</v>
      </c>
      <c r="C39" s="657" t="s">
        <v>772</v>
      </c>
      <c r="D39" s="657"/>
      <c r="E39" s="657"/>
      <c r="F39" s="657"/>
      <c r="G39" s="658"/>
      <c r="I39" s="654" t="s">
        <v>773</v>
      </c>
      <c r="J39" s="654" t="s">
        <v>774</v>
      </c>
    </row>
    <row r="40" spans="1:15" ht="18" customHeight="1">
      <c r="A40" s="659"/>
      <c r="D40" s="654" t="s">
        <v>775</v>
      </c>
      <c r="G40" s="660"/>
      <c r="I40" s="654">
        <v>99</v>
      </c>
      <c r="J40" s="654">
        <v>11</v>
      </c>
    </row>
    <row r="41" spans="1:15" ht="18" customHeight="1">
      <c r="A41" s="659"/>
      <c r="B41" s="654" t="s">
        <v>776</v>
      </c>
      <c r="C41" s="654" t="s">
        <v>746</v>
      </c>
      <c r="G41" s="660"/>
    </row>
    <row r="42" spans="1:15" ht="18" customHeight="1">
      <c r="A42" s="659"/>
      <c r="D42" s="654" t="s">
        <v>777</v>
      </c>
      <c r="G42" s="660"/>
      <c r="I42" s="654" t="s">
        <v>778</v>
      </c>
      <c r="J42" s="693">
        <f ca="1">RANDBETWEEN(J40,I40)</f>
        <v>74</v>
      </c>
    </row>
    <row r="43" spans="1:15" ht="18" customHeight="1">
      <c r="A43" s="662"/>
      <c r="B43" s="663" t="s">
        <v>779</v>
      </c>
      <c r="C43" s="663" t="s">
        <v>746</v>
      </c>
      <c r="D43" s="663"/>
      <c r="E43" s="663"/>
      <c r="F43" s="663"/>
      <c r="G43" s="664"/>
    </row>
    <row r="46" spans="1:15" ht="18" customHeight="1">
      <c r="A46" s="656" t="s">
        <v>566</v>
      </c>
      <c r="B46" s="657" t="s">
        <v>567</v>
      </c>
      <c r="C46" s="657" t="s">
        <v>780</v>
      </c>
      <c r="D46" s="657"/>
      <c r="E46" s="657"/>
      <c r="F46" s="657"/>
      <c r="G46" s="657"/>
      <c r="H46" s="658"/>
      <c r="J46" s="654" t="s">
        <v>781</v>
      </c>
      <c r="K46" s="654" t="s">
        <v>254</v>
      </c>
    </row>
    <row r="47" spans="1:15" ht="18" customHeight="1">
      <c r="A47" s="659"/>
      <c r="H47" s="660"/>
      <c r="J47" s="694">
        <v>20.5</v>
      </c>
      <c r="K47" s="654">
        <f>VALUE(J47)</f>
        <v>20.5</v>
      </c>
    </row>
    <row r="48" spans="1:15" ht="18" customHeight="1">
      <c r="A48" s="662"/>
      <c r="B48" s="663" t="s">
        <v>782</v>
      </c>
      <c r="C48" s="663" t="s">
        <v>783</v>
      </c>
      <c r="D48" s="663" t="s">
        <v>784</v>
      </c>
      <c r="E48" s="663"/>
      <c r="F48" s="663"/>
      <c r="G48" s="663"/>
      <c r="H48" s="664"/>
    </row>
    <row r="51" spans="1:13" ht="18" customHeight="1">
      <c r="A51" s="656" t="s">
        <v>569</v>
      </c>
      <c r="B51" s="657" t="s">
        <v>212</v>
      </c>
      <c r="C51" s="657" t="s">
        <v>570</v>
      </c>
      <c r="D51" s="657"/>
      <c r="E51" s="657"/>
      <c r="F51" s="657"/>
      <c r="G51" s="657"/>
      <c r="H51" s="658"/>
      <c r="J51" s="654" t="s">
        <v>781</v>
      </c>
      <c r="K51" s="654" t="s">
        <v>785</v>
      </c>
    </row>
    <row r="52" spans="1:13" ht="18" customHeight="1">
      <c r="A52" s="659"/>
      <c r="H52" s="660"/>
      <c r="J52" s="693">
        <v>45.2</v>
      </c>
      <c r="K52" s="693" t="str">
        <f>TEXT(J52,"0.00")</f>
        <v>45.20</v>
      </c>
    </row>
    <row r="53" spans="1:13" ht="18" customHeight="1">
      <c r="A53" s="659"/>
      <c r="B53" s="654" t="s">
        <v>786</v>
      </c>
      <c r="C53" s="654" t="s">
        <v>783</v>
      </c>
      <c r="D53" s="654" t="s">
        <v>787</v>
      </c>
      <c r="H53" s="660"/>
    </row>
    <row r="54" spans="1:13" ht="18" customHeight="1">
      <c r="A54" s="659"/>
      <c r="H54" s="660"/>
    </row>
    <row r="55" spans="1:13" ht="18" customHeight="1">
      <c r="A55" s="662"/>
      <c r="B55" s="663" t="s">
        <v>788</v>
      </c>
      <c r="C55" s="663" t="s">
        <v>783</v>
      </c>
      <c r="D55" s="663" t="s">
        <v>789</v>
      </c>
      <c r="E55" s="663"/>
      <c r="F55" s="663"/>
      <c r="G55" s="663"/>
      <c r="H55" s="664"/>
    </row>
    <row r="58" spans="1:13" ht="18" customHeight="1">
      <c r="A58" s="656" t="s">
        <v>571</v>
      </c>
      <c r="B58" s="657" t="s">
        <v>571</v>
      </c>
      <c r="C58" s="658" t="s">
        <v>790</v>
      </c>
    </row>
    <row r="59" spans="1:13" ht="18" customHeight="1">
      <c r="A59" s="659"/>
      <c r="C59" s="660"/>
    </row>
    <row r="60" spans="1:13" ht="18" customHeight="1">
      <c r="A60" s="673" t="s">
        <v>573</v>
      </c>
      <c r="B60" s="663" t="s">
        <v>573</v>
      </c>
      <c r="C60" s="664" t="s">
        <v>791</v>
      </c>
    </row>
    <row r="62" spans="1:13" ht="18" customHeight="1">
      <c r="L62" s="695" t="s">
        <v>792</v>
      </c>
      <c r="M62" s="693">
        <f>COUNT(L62:L68)</f>
        <v>4</v>
      </c>
    </row>
    <row r="63" spans="1:13" ht="18" customHeight="1">
      <c r="A63" s="656" t="s">
        <v>575</v>
      </c>
      <c r="B63" s="657" t="s">
        <v>793</v>
      </c>
      <c r="C63" s="657" t="s">
        <v>794</v>
      </c>
      <c r="D63" s="657"/>
      <c r="E63" s="657"/>
      <c r="F63" s="657"/>
      <c r="G63" s="657"/>
      <c r="H63" s="657"/>
      <c r="I63" s="657"/>
      <c r="J63" s="658"/>
      <c r="L63" s="696">
        <v>451</v>
      </c>
    </row>
    <row r="64" spans="1:13" ht="18" customHeight="1">
      <c r="A64" s="674" t="s">
        <v>578</v>
      </c>
      <c r="B64" s="654" t="s">
        <v>795</v>
      </c>
      <c r="C64" s="654" t="s">
        <v>580</v>
      </c>
      <c r="J64" s="660"/>
      <c r="L64" s="696"/>
      <c r="M64" s="693">
        <f>COUNTA(L62:L68)</f>
        <v>5</v>
      </c>
    </row>
    <row r="65" spans="1:14" ht="18" customHeight="1">
      <c r="A65" s="659"/>
      <c r="J65" s="660"/>
      <c r="L65" s="696">
        <v>42</v>
      </c>
    </row>
    <row r="66" spans="1:14" ht="18" customHeight="1">
      <c r="A66" s="659"/>
      <c r="B66" s="654" t="s">
        <v>796</v>
      </c>
      <c r="C66" s="654" t="s">
        <v>783</v>
      </c>
      <c r="D66" s="654" t="s">
        <v>797</v>
      </c>
      <c r="J66" s="660"/>
      <c r="L66" s="696">
        <v>24</v>
      </c>
    </row>
    <row r="67" spans="1:14" ht="18" customHeight="1">
      <c r="A67" s="659"/>
      <c r="J67" s="660"/>
      <c r="L67" s="696"/>
    </row>
    <row r="68" spans="1:14" ht="18" customHeight="1">
      <c r="A68" s="662"/>
      <c r="B68" s="663" t="s">
        <v>798</v>
      </c>
      <c r="C68" s="663" t="s">
        <v>769</v>
      </c>
      <c r="D68" s="663" t="s">
        <v>799</v>
      </c>
      <c r="E68" s="663"/>
      <c r="F68" s="663"/>
      <c r="G68" s="663"/>
      <c r="H68" s="663"/>
      <c r="I68" s="663"/>
      <c r="J68" s="664"/>
      <c r="L68" s="699">
        <v>402</v>
      </c>
    </row>
    <row r="71" spans="1:14" ht="18" customHeight="1">
      <c r="A71" s="656" t="s">
        <v>610</v>
      </c>
      <c r="B71" s="697" t="s">
        <v>611</v>
      </c>
      <c r="C71" s="697" t="s">
        <v>612</v>
      </c>
      <c r="D71" s="657"/>
      <c r="E71" s="657"/>
      <c r="F71" s="657"/>
      <c r="G71" s="657"/>
      <c r="H71" s="657"/>
      <c r="I71" s="657"/>
      <c r="J71" s="657"/>
      <c r="K71" s="657"/>
      <c r="L71" s="657"/>
      <c r="M71" s="658"/>
    </row>
    <row r="72" spans="1:14" ht="18" customHeight="1">
      <c r="A72" s="666"/>
      <c r="B72" s="667"/>
      <c r="C72" s="667"/>
      <c r="M72" s="660"/>
    </row>
    <row r="73" spans="1:14" ht="18" customHeight="1">
      <c r="A73" s="666"/>
      <c r="B73" s="667" t="s">
        <v>800</v>
      </c>
      <c r="C73" s="654" t="s">
        <v>783</v>
      </c>
      <c r="D73" s="654" t="s">
        <v>801</v>
      </c>
      <c r="M73" s="660"/>
    </row>
    <row r="74" spans="1:14" ht="18" customHeight="1">
      <c r="A74" s="666"/>
      <c r="B74" s="667"/>
      <c r="C74" s="667"/>
      <c r="M74" s="660"/>
    </row>
    <row r="75" spans="1:14" ht="18" customHeight="1">
      <c r="A75" s="668"/>
      <c r="B75" s="669" t="s">
        <v>802</v>
      </c>
      <c r="C75" s="663" t="s">
        <v>783</v>
      </c>
      <c r="D75" s="663" t="s">
        <v>803</v>
      </c>
      <c r="E75" s="663"/>
      <c r="F75" s="663"/>
      <c r="G75" s="663"/>
      <c r="H75" s="663"/>
      <c r="I75" s="663"/>
      <c r="J75" s="663"/>
      <c r="K75" s="663"/>
      <c r="L75" s="663"/>
      <c r="M75" s="664"/>
    </row>
    <row r="76" spans="1:14" ht="18" customHeight="1">
      <c r="A76" s="670"/>
      <c r="B76" s="667"/>
      <c r="C76" s="667"/>
    </row>
    <row r="77" spans="1:14" ht="18" customHeight="1">
      <c r="A77" s="670"/>
      <c r="B77" s="667"/>
      <c r="C77" s="667"/>
    </row>
    <row r="78" spans="1:14" ht="18" customHeight="1">
      <c r="A78" s="656" t="s">
        <v>613</v>
      </c>
      <c r="B78" s="697" t="s">
        <v>614</v>
      </c>
      <c r="C78" s="697" t="s">
        <v>804</v>
      </c>
      <c r="D78" s="657"/>
      <c r="E78" s="657"/>
      <c r="F78" s="657"/>
      <c r="G78" s="657"/>
      <c r="H78" s="657"/>
      <c r="I78" s="657"/>
      <c r="J78" s="658"/>
      <c r="L78" s="695" t="s">
        <v>792</v>
      </c>
      <c r="M78" s="654" t="s">
        <v>805</v>
      </c>
      <c r="N78" s="654" t="s">
        <v>806</v>
      </c>
    </row>
    <row r="79" spans="1:14" ht="18" customHeight="1">
      <c r="A79" s="666"/>
      <c r="B79" s="667"/>
      <c r="C79" s="667"/>
      <c r="J79" s="660"/>
      <c r="L79" s="696">
        <v>451</v>
      </c>
      <c r="M79" s="693">
        <f>COUNTIF(L79:L84,"&gt;50")</f>
        <v>2</v>
      </c>
      <c r="N79" s="693">
        <f>COUNTIFS(L79:L84,"&gt;50",L79:L84,"&lt;450")</f>
        <v>1</v>
      </c>
    </row>
    <row r="80" spans="1:14" ht="18" customHeight="1">
      <c r="A80" s="666"/>
      <c r="B80" s="667" t="s">
        <v>807</v>
      </c>
      <c r="C80" s="654" t="s">
        <v>783</v>
      </c>
      <c r="D80" s="654" t="s">
        <v>808</v>
      </c>
      <c r="J80" s="660"/>
      <c r="L80" s="696"/>
    </row>
    <row r="81" spans="1:17" ht="18" customHeight="1">
      <c r="A81" s="666"/>
      <c r="B81" s="667"/>
      <c r="C81" s="667"/>
      <c r="J81" s="660"/>
      <c r="L81" s="696">
        <v>42</v>
      </c>
      <c r="M81" s="693">
        <f>COUNTIF(L79:L84,"&gt;"&amp;50)</f>
        <v>2</v>
      </c>
    </row>
    <row r="82" spans="1:17" ht="18" customHeight="1">
      <c r="A82" s="666"/>
      <c r="B82" s="667" t="s">
        <v>809</v>
      </c>
      <c r="C82" s="654" t="s">
        <v>783</v>
      </c>
      <c r="D82" s="654" t="s">
        <v>810</v>
      </c>
      <c r="J82" s="660"/>
      <c r="L82" s="696">
        <v>24</v>
      </c>
    </row>
    <row r="83" spans="1:17" ht="18" customHeight="1">
      <c r="A83" s="666"/>
      <c r="B83" s="667"/>
      <c r="C83" s="667"/>
      <c r="J83" s="660"/>
      <c r="L83" s="696"/>
    </row>
    <row r="84" spans="1:17" ht="18" customHeight="1">
      <c r="A84" s="668"/>
      <c r="B84" s="669" t="s">
        <v>811</v>
      </c>
      <c r="C84" s="663" t="s">
        <v>769</v>
      </c>
      <c r="D84" s="663" t="s">
        <v>812</v>
      </c>
      <c r="E84" s="663"/>
      <c r="F84" s="663"/>
      <c r="G84" s="663"/>
      <c r="H84" s="663"/>
      <c r="I84" s="663"/>
      <c r="J84" s="664"/>
      <c r="L84" s="699">
        <v>402</v>
      </c>
    </row>
    <row r="85" spans="1:17" ht="18" customHeight="1">
      <c r="A85" s="670"/>
      <c r="B85" s="667"/>
      <c r="C85" s="667"/>
    </row>
    <row r="86" spans="1:17" ht="18" customHeight="1">
      <c r="N86" s="654" t="s">
        <v>792</v>
      </c>
    </row>
    <row r="87" spans="1:17" ht="18" customHeight="1">
      <c r="A87" s="656" t="s">
        <v>581</v>
      </c>
      <c r="B87" s="657" t="s">
        <v>813</v>
      </c>
      <c r="C87" s="657" t="s">
        <v>583</v>
      </c>
      <c r="D87" s="657"/>
      <c r="E87" s="657"/>
      <c r="F87" s="657"/>
      <c r="G87" s="657"/>
      <c r="H87" s="657"/>
      <c r="I87" s="657"/>
      <c r="J87" s="657"/>
      <c r="K87" s="657"/>
      <c r="L87" s="658"/>
      <c r="N87" s="654">
        <v>1</v>
      </c>
    </row>
    <row r="88" spans="1:17" ht="18" customHeight="1">
      <c r="A88" s="659"/>
      <c r="L88" s="660"/>
      <c r="N88" s="654">
        <v>4</v>
      </c>
    </row>
    <row r="89" spans="1:17" ht="18" customHeight="1">
      <c r="A89" s="659"/>
      <c r="B89" s="654" t="s">
        <v>814</v>
      </c>
      <c r="C89" s="654" t="s">
        <v>783</v>
      </c>
      <c r="D89" s="654" t="s">
        <v>815</v>
      </c>
      <c r="L89" s="660"/>
      <c r="N89" s="654">
        <v>5</v>
      </c>
    </row>
    <row r="90" spans="1:17" ht="18" customHeight="1">
      <c r="A90" s="659"/>
      <c r="L90" s="660"/>
      <c r="N90" s="654">
        <v>7</v>
      </c>
    </row>
    <row r="91" spans="1:17" ht="18" customHeight="1">
      <c r="A91" s="662"/>
      <c r="B91" s="663" t="s">
        <v>816</v>
      </c>
      <c r="C91" s="663" t="s">
        <v>769</v>
      </c>
      <c r="D91" s="663" t="s">
        <v>817</v>
      </c>
      <c r="E91" s="663"/>
      <c r="F91" s="663"/>
      <c r="G91" s="663"/>
      <c r="H91" s="663"/>
      <c r="I91" s="663"/>
      <c r="J91" s="663"/>
      <c r="K91" s="663"/>
      <c r="L91" s="664"/>
      <c r="N91" s="654">
        <v>6</v>
      </c>
    </row>
    <row r="94" spans="1:17" ht="18" customHeight="1">
      <c r="A94" s="656" t="s">
        <v>604</v>
      </c>
      <c r="B94" s="657" t="s">
        <v>605</v>
      </c>
      <c r="C94" s="657" t="s">
        <v>606</v>
      </c>
      <c r="D94" s="657"/>
      <c r="E94" s="657"/>
      <c r="F94" s="657"/>
      <c r="G94" s="657"/>
      <c r="H94" s="657"/>
      <c r="I94" s="657"/>
      <c r="J94" s="657"/>
      <c r="K94" s="657"/>
      <c r="L94" s="658"/>
      <c r="N94" s="700" t="s">
        <v>792</v>
      </c>
      <c r="O94" s="654" t="s">
        <v>818</v>
      </c>
      <c r="P94" s="654" t="s">
        <v>819</v>
      </c>
      <c r="Q94" s="654" t="s">
        <v>820</v>
      </c>
    </row>
    <row r="95" spans="1:17" ht="18" customHeight="1">
      <c r="A95" s="659"/>
      <c r="L95" s="660"/>
      <c r="N95" s="701">
        <v>1</v>
      </c>
      <c r="O95" s="693">
        <f>SUM(N95:N99)</f>
        <v>23</v>
      </c>
      <c r="P95" s="693">
        <f>SUMIF(N95:N99,"&gt;4")</f>
        <v>18</v>
      </c>
      <c r="Q95" s="693">
        <f>SUMIFS(N95:N99,N95:N99,"&gt;4",N95:N99,"&lt;7")</f>
        <v>11</v>
      </c>
    </row>
    <row r="96" spans="1:17" ht="18" customHeight="1">
      <c r="A96" s="659"/>
      <c r="B96" s="654" t="s">
        <v>800</v>
      </c>
      <c r="C96" s="654" t="s">
        <v>783</v>
      </c>
      <c r="D96" s="654" t="s">
        <v>821</v>
      </c>
      <c r="L96" s="660"/>
      <c r="N96" s="701">
        <v>4</v>
      </c>
    </row>
    <row r="97" spans="1:16" ht="18" customHeight="1">
      <c r="A97" s="659"/>
      <c r="L97" s="660"/>
      <c r="N97" s="701">
        <v>5</v>
      </c>
    </row>
    <row r="98" spans="1:16" ht="18" customHeight="1">
      <c r="A98" s="659"/>
      <c r="B98" s="654" t="s">
        <v>802</v>
      </c>
      <c r="C98" s="654" t="s">
        <v>783</v>
      </c>
      <c r="D98" s="654" t="s">
        <v>822</v>
      </c>
      <c r="L98" s="660"/>
      <c r="N98" s="701">
        <v>7</v>
      </c>
    </row>
    <row r="99" spans="1:16" ht="18" customHeight="1">
      <c r="A99" s="659"/>
      <c r="L99" s="660"/>
      <c r="N99" s="702">
        <v>6</v>
      </c>
    </row>
    <row r="100" spans="1:16" ht="18" customHeight="1">
      <c r="A100" s="662"/>
      <c r="B100" s="663" t="s">
        <v>823</v>
      </c>
      <c r="C100" s="663" t="s">
        <v>769</v>
      </c>
      <c r="D100" s="663" t="s">
        <v>824</v>
      </c>
      <c r="E100" s="663"/>
      <c r="F100" s="663"/>
      <c r="G100" s="663"/>
      <c r="H100" s="663"/>
      <c r="I100" s="663"/>
      <c r="J100" s="663"/>
      <c r="K100" s="663"/>
      <c r="L100" s="664"/>
    </row>
    <row r="103" spans="1:16" ht="18" customHeight="1">
      <c r="A103" s="656" t="s">
        <v>607</v>
      </c>
      <c r="B103" s="657" t="s">
        <v>608</v>
      </c>
      <c r="C103" s="657" t="s">
        <v>609</v>
      </c>
      <c r="D103" s="657"/>
      <c r="E103" s="657"/>
      <c r="F103" s="657"/>
      <c r="G103" s="657"/>
      <c r="H103" s="657"/>
      <c r="I103" s="657"/>
      <c r="J103" s="657"/>
      <c r="K103" s="657"/>
      <c r="L103" s="657"/>
      <c r="M103" s="657"/>
      <c r="N103" s="657"/>
      <c r="O103" s="657"/>
      <c r="P103" s="658"/>
    </row>
    <row r="104" spans="1:16" ht="18" customHeight="1">
      <c r="A104" s="659"/>
      <c r="P104" s="660"/>
    </row>
    <row r="105" spans="1:16" ht="18" customHeight="1">
      <c r="A105" s="659"/>
      <c r="B105" s="654" t="s">
        <v>825</v>
      </c>
      <c r="C105" s="654" t="s">
        <v>783</v>
      </c>
      <c r="D105" s="654" t="s">
        <v>826</v>
      </c>
      <c r="P105" s="660"/>
    </row>
    <row r="106" spans="1:16" ht="18" customHeight="1">
      <c r="A106" s="659"/>
      <c r="P106" s="660"/>
    </row>
    <row r="107" spans="1:16" ht="18" customHeight="1">
      <c r="A107" s="659"/>
      <c r="B107" s="654" t="s">
        <v>807</v>
      </c>
      <c r="C107" s="654" t="s">
        <v>783</v>
      </c>
      <c r="D107" s="654" t="s">
        <v>827</v>
      </c>
      <c r="P107" s="660"/>
    </row>
    <row r="108" spans="1:16" ht="18" customHeight="1">
      <c r="A108" s="659"/>
      <c r="P108" s="660"/>
    </row>
    <row r="109" spans="1:16" ht="18" customHeight="1">
      <c r="A109" s="659"/>
      <c r="B109" s="654" t="s">
        <v>809</v>
      </c>
      <c r="C109" s="654" t="s">
        <v>783</v>
      </c>
      <c r="D109" s="698" t="s">
        <v>828</v>
      </c>
      <c r="P109" s="660"/>
    </row>
    <row r="110" spans="1:16" ht="18" customHeight="1">
      <c r="A110" s="659"/>
      <c r="P110" s="660"/>
    </row>
    <row r="111" spans="1:16" ht="18" customHeight="1">
      <c r="A111" s="662"/>
      <c r="B111" s="663" t="s">
        <v>829</v>
      </c>
      <c r="C111" s="663" t="s">
        <v>769</v>
      </c>
      <c r="D111" s="663" t="s">
        <v>830</v>
      </c>
      <c r="E111" s="663"/>
      <c r="F111" s="663"/>
      <c r="G111" s="663"/>
      <c r="H111" s="663"/>
      <c r="I111" s="663"/>
      <c r="J111" s="663"/>
      <c r="K111" s="663"/>
      <c r="L111" s="663"/>
      <c r="M111" s="663"/>
      <c r="N111" s="663"/>
      <c r="O111" s="663"/>
      <c r="P111" s="664"/>
    </row>
    <row r="114" spans="1:27" ht="18" customHeight="1">
      <c r="A114" s="656" t="s">
        <v>584</v>
      </c>
      <c r="B114" s="657" t="s">
        <v>585</v>
      </c>
      <c r="C114" s="657" t="s">
        <v>586</v>
      </c>
      <c r="D114" s="657" t="s">
        <v>831</v>
      </c>
      <c r="E114" s="657"/>
      <c r="F114" s="657"/>
      <c r="G114" s="657"/>
      <c r="H114" s="657"/>
      <c r="I114" s="657"/>
      <c r="J114" s="657"/>
      <c r="K114" s="657"/>
      <c r="L114" s="657"/>
      <c r="M114" s="657"/>
      <c r="N114" s="657"/>
      <c r="O114" s="657"/>
      <c r="P114" s="657"/>
      <c r="Q114" s="657"/>
      <c r="R114" s="657"/>
      <c r="S114" s="657"/>
      <c r="T114" s="657"/>
      <c r="U114" s="658"/>
      <c r="W114" s="687" t="s">
        <v>832</v>
      </c>
      <c r="X114" s="688" t="s">
        <v>72</v>
      </c>
      <c r="Z114" s="654" t="s">
        <v>72</v>
      </c>
      <c r="AA114" s="654" t="s">
        <v>832</v>
      </c>
    </row>
    <row r="115" spans="1:27" ht="18" customHeight="1">
      <c r="A115" s="659"/>
      <c r="U115" s="660"/>
      <c r="W115" s="689">
        <v>1</v>
      </c>
      <c r="X115" s="690" t="s">
        <v>61</v>
      </c>
      <c r="Z115" s="654" t="s">
        <v>64</v>
      </c>
      <c r="AA115" s="693">
        <f>VLOOKUP(Z115,CHOOSE({1,2},X114:X118,W114:W118),2,FALSE)</f>
        <v>3</v>
      </c>
    </row>
    <row r="116" spans="1:27" ht="18" customHeight="1">
      <c r="A116" s="659"/>
      <c r="B116" s="654" t="s">
        <v>833</v>
      </c>
      <c r="C116" s="654" t="s">
        <v>783</v>
      </c>
      <c r="D116" s="654" t="s">
        <v>834</v>
      </c>
      <c r="U116" s="660"/>
      <c r="W116" s="689">
        <v>2</v>
      </c>
      <c r="X116" s="690" t="s">
        <v>62</v>
      </c>
    </row>
    <row r="117" spans="1:27" ht="18" customHeight="1">
      <c r="A117" s="659"/>
      <c r="U117" s="660"/>
      <c r="W117" s="689">
        <v>2</v>
      </c>
      <c r="X117" s="690" t="s">
        <v>63</v>
      </c>
    </row>
    <row r="118" spans="1:27" ht="18" customHeight="1">
      <c r="A118" s="659"/>
      <c r="B118" s="654" t="s">
        <v>835</v>
      </c>
      <c r="C118" s="654" t="s">
        <v>783</v>
      </c>
      <c r="D118" s="654" t="s">
        <v>836</v>
      </c>
      <c r="U118" s="660"/>
      <c r="W118" s="691">
        <v>3</v>
      </c>
      <c r="X118" s="692" t="s">
        <v>64</v>
      </c>
    </row>
    <row r="119" spans="1:27" ht="18" customHeight="1">
      <c r="A119" s="659"/>
      <c r="D119" s="654" t="s">
        <v>837</v>
      </c>
      <c r="U119" s="660"/>
    </row>
    <row r="120" spans="1:27" ht="18" customHeight="1">
      <c r="A120" s="662"/>
      <c r="B120" s="663"/>
      <c r="C120" s="663"/>
      <c r="D120" s="663" t="s">
        <v>838</v>
      </c>
      <c r="E120" s="663"/>
      <c r="F120" s="663"/>
      <c r="G120" s="663"/>
      <c r="H120" s="663"/>
      <c r="I120" s="663"/>
      <c r="J120" s="663"/>
      <c r="K120" s="663"/>
      <c r="L120" s="663"/>
      <c r="M120" s="663"/>
      <c r="N120" s="663"/>
      <c r="O120" s="663"/>
      <c r="P120" s="663"/>
      <c r="Q120" s="663"/>
      <c r="R120" s="663"/>
      <c r="S120" s="663"/>
      <c r="T120" s="663"/>
      <c r="U120" s="664"/>
    </row>
    <row r="123" spans="1:27" ht="18" customHeight="1">
      <c r="A123" s="656" t="s">
        <v>587</v>
      </c>
      <c r="B123" s="657" t="s">
        <v>588</v>
      </c>
      <c r="C123" s="657" t="s">
        <v>589</v>
      </c>
      <c r="D123" s="657"/>
      <c r="E123" s="657"/>
      <c r="F123" s="657"/>
      <c r="G123" s="657"/>
      <c r="H123" s="657"/>
      <c r="I123" s="657"/>
      <c r="J123" s="658"/>
      <c r="L123" s="700" t="s">
        <v>832</v>
      </c>
      <c r="M123" s="654" t="s">
        <v>839</v>
      </c>
    </row>
    <row r="124" spans="1:27" ht="18" customHeight="1">
      <c r="A124" s="659"/>
      <c r="J124" s="660"/>
      <c r="L124" s="701">
        <v>1</v>
      </c>
      <c r="M124" s="693">
        <f>AVERAGE(L124:L127)</f>
        <v>2</v>
      </c>
    </row>
    <row r="125" spans="1:27" ht="18" customHeight="1">
      <c r="A125" s="659"/>
      <c r="B125" s="654" t="s">
        <v>814</v>
      </c>
      <c r="C125" s="654" t="s">
        <v>783</v>
      </c>
      <c r="D125" s="654" t="s">
        <v>840</v>
      </c>
      <c r="J125" s="660"/>
      <c r="L125" s="701">
        <v>2</v>
      </c>
    </row>
    <row r="126" spans="1:27" ht="18" customHeight="1">
      <c r="A126" s="659"/>
      <c r="J126" s="660"/>
      <c r="L126" s="701">
        <v>2</v>
      </c>
    </row>
    <row r="127" spans="1:27" ht="18" customHeight="1">
      <c r="A127" s="662"/>
      <c r="B127" s="663" t="s">
        <v>841</v>
      </c>
      <c r="C127" s="663" t="s">
        <v>769</v>
      </c>
      <c r="D127" s="663" t="s">
        <v>842</v>
      </c>
      <c r="E127" s="663"/>
      <c r="F127" s="663"/>
      <c r="G127" s="663"/>
      <c r="H127" s="663"/>
      <c r="I127" s="663"/>
      <c r="J127" s="664"/>
      <c r="L127" s="702">
        <v>3</v>
      </c>
    </row>
    <row r="130" spans="1:11" ht="18" customHeight="1">
      <c r="A130" s="656" t="s">
        <v>590</v>
      </c>
      <c r="B130" s="657" t="s">
        <v>591</v>
      </c>
      <c r="C130" s="657" t="s">
        <v>592</v>
      </c>
      <c r="D130" s="657" t="s">
        <v>843</v>
      </c>
      <c r="E130" s="658"/>
      <c r="G130" s="687" t="s">
        <v>844</v>
      </c>
      <c r="H130" s="688" t="s">
        <v>845</v>
      </c>
    </row>
    <row r="131" spans="1:11" ht="18" customHeight="1">
      <c r="A131" s="659"/>
      <c r="E131" s="660"/>
      <c r="G131" s="689">
        <v>12</v>
      </c>
      <c r="H131" s="690">
        <f>N(G131)</f>
        <v>12</v>
      </c>
    </row>
    <row r="132" spans="1:11" ht="18" customHeight="1">
      <c r="A132" s="659"/>
      <c r="B132" s="654" t="s">
        <v>786</v>
      </c>
      <c r="C132" s="654" t="s">
        <v>783</v>
      </c>
      <c r="E132" s="660"/>
      <c r="G132" s="689">
        <f>M124</f>
        <v>2</v>
      </c>
      <c r="H132" s="690">
        <f t="shared" ref="H132:H137" si="1">N(G132)</f>
        <v>2</v>
      </c>
    </row>
    <row r="133" spans="1:11" ht="18" customHeight="1">
      <c r="A133" s="659"/>
      <c r="E133" s="660"/>
      <c r="G133" s="703">
        <v>44197</v>
      </c>
      <c r="H133" s="690">
        <f t="shared" si="1"/>
        <v>44197</v>
      </c>
    </row>
    <row r="134" spans="1:11" ht="18" customHeight="1">
      <c r="A134" s="659"/>
      <c r="C134" s="654" t="s">
        <v>846</v>
      </c>
      <c r="D134" s="654" t="s">
        <v>847</v>
      </c>
      <c r="E134" s="660"/>
      <c r="G134" s="689" t="b">
        <v>1</v>
      </c>
      <c r="H134" s="690">
        <f t="shared" si="1"/>
        <v>1</v>
      </c>
    </row>
    <row r="135" spans="1:11" ht="18" customHeight="1">
      <c r="A135" s="659"/>
      <c r="C135" s="654" t="s">
        <v>848</v>
      </c>
      <c r="D135" s="654" t="s">
        <v>849</v>
      </c>
      <c r="E135" s="660"/>
      <c r="G135" s="689" t="b">
        <v>0</v>
      </c>
      <c r="H135" s="690">
        <f t="shared" si="1"/>
        <v>0</v>
      </c>
    </row>
    <row r="136" spans="1:11" ht="18" customHeight="1">
      <c r="A136" s="659"/>
      <c r="C136" s="654" t="s">
        <v>850</v>
      </c>
      <c r="D136" s="654" t="s">
        <v>851</v>
      </c>
      <c r="E136" s="660"/>
      <c r="G136" s="689" t="e">
        <v>#DIV/0!</v>
      </c>
      <c r="H136" s="690" t="e">
        <f t="shared" si="1"/>
        <v>#DIV/0!</v>
      </c>
    </row>
    <row r="137" spans="1:11" ht="18" customHeight="1">
      <c r="A137" s="659"/>
      <c r="C137" s="654" t="b">
        <v>1</v>
      </c>
      <c r="D137" s="654">
        <v>1</v>
      </c>
      <c r="E137" s="660"/>
      <c r="G137" s="691" t="s">
        <v>814</v>
      </c>
      <c r="H137" s="692">
        <f t="shared" si="1"/>
        <v>0</v>
      </c>
    </row>
    <row r="138" spans="1:11" ht="18" customHeight="1">
      <c r="A138" s="659"/>
      <c r="B138" s="1031" t="s">
        <v>2817</v>
      </c>
      <c r="C138" s="654" t="b">
        <v>0</v>
      </c>
      <c r="D138" s="654">
        <v>0</v>
      </c>
      <c r="E138" s="660"/>
    </row>
    <row r="139" spans="1:11" ht="18" customHeight="1">
      <c r="A139" s="659"/>
      <c r="C139" s="654" t="s">
        <v>852</v>
      </c>
      <c r="D139" s="654" t="s">
        <v>853</v>
      </c>
      <c r="E139" s="660"/>
    </row>
    <row r="140" spans="1:11" ht="18" customHeight="1">
      <c r="A140" s="662"/>
      <c r="B140" s="663"/>
      <c r="C140" s="663" t="s">
        <v>854</v>
      </c>
      <c r="D140" s="663">
        <v>0</v>
      </c>
      <c r="E140" s="664"/>
    </row>
    <row r="143" spans="1:11" ht="18" customHeight="1">
      <c r="A143" s="656" t="s">
        <v>16</v>
      </c>
      <c r="B143" s="657" t="s">
        <v>855</v>
      </c>
      <c r="C143" s="657" t="s">
        <v>856</v>
      </c>
      <c r="D143" s="657"/>
      <c r="E143" s="657"/>
      <c r="F143" s="657"/>
      <c r="G143" s="657"/>
      <c r="H143" s="658"/>
      <c r="J143" s="700" t="s">
        <v>832</v>
      </c>
      <c r="K143" s="654" t="s">
        <v>857</v>
      </c>
    </row>
    <row r="144" spans="1:11" ht="18" customHeight="1">
      <c r="A144" s="659"/>
      <c r="H144" s="660"/>
      <c r="J144" s="701">
        <v>1</v>
      </c>
    </row>
    <row r="145" spans="1:11" ht="18" customHeight="1">
      <c r="A145" s="659"/>
      <c r="B145" s="654" t="s">
        <v>858</v>
      </c>
      <c r="C145" s="654" t="s">
        <v>231</v>
      </c>
      <c r="D145" s="654" t="s">
        <v>859</v>
      </c>
      <c r="H145" s="660"/>
      <c r="J145" s="701">
        <v>2</v>
      </c>
      <c r="K145" s="693" t="str">
        <f>IF(SUM(J144:J147)&gt;5,"大于","小于")</f>
        <v>大于</v>
      </c>
    </row>
    <row r="146" spans="1:11" ht="18" customHeight="1">
      <c r="A146" s="659"/>
      <c r="H146" s="660"/>
      <c r="J146" s="701">
        <v>2</v>
      </c>
    </row>
    <row r="147" spans="1:11" ht="18" customHeight="1">
      <c r="A147" s="659"/>
      <c r="B147" s="654" t="s">
        <v>860</v>
      </c>
      <c r="C147" s="654" t="s">
        <v>231</v>
      </c>
      <c r="D147" s="654" t="s">
        <v>861</v>
      </c>
      <c r="H147" s="660"/>
      <c r="J147" s="702">
        <v>3</v>
      </c>
    </row>
    <row r="148" spans="1:11" ht="18" customHeight="1">
      <c r="A148" s="659"/>
      <c r="H148" s="660"/>
    </row>
    <row r="149" spans="1:11" ht="18" customHeight="1">
      <c r="A149" s="662"/>
      <c r="B149" s="663" t="s">
        <v>862</v>
      </c>
      <c r="C149" s="663" t="s">
        <v>240</v>
      </c>
      <c r="D149" s="663" t="s">
        <v>863</v>
      </c>
      <c r="E149" s="663"/>
      <c r="F149" s="663"/>
      <c r="G149" s="663"/>
      <c r="H149" s="664"/>
    </row>
    <row r="152" spans="1:11" ht="18" customHeight="1">
      <c r="A152" s="656" t="s">
        <v>598</v>
      </c>
      <c r="B152" s="657" t="s">
        <v>599</v>
      </c>
      <c r="C152" s="657" t="s">
        <v>600</v>
      </c>
      <c r="D152" s="657"/>
      <c r="E152" s="657"/>
      <c r="F152" s="657"/>
      <c r="G152" s="657"/>
      <c r="H152" s="658"/>
    </row>
    <row r="153" spans="1:11" ht="18" customHeight="1">
      <c r="A153" s="659"/>
      <c r="H153" s="660"/>
    </row>
    <row r="154" spans="1:11" ht="18" customHeight="1">
      <c r="A154" s="659"/>
      <c r="B154" s="654" t="s">
        <v>786</v>
      </c>
      <c r="C154" s="654" t="s">
        <v>746</v>
      </c>
      <c r="D154" s="654" t="s">
        <v>864</v>
      </c>
      <c r="H154" s="660"/>
      <c r="J154" s="654" t="e">
        <f>1/0</f>
        <v>#DIV/0!</v>
      </c>
    </row>
    <row r="155" spans="1:11" ht="18" customHeight="1">
      <c r="A155" s="659"/>
      <c r="H155" s="660"/>
      <c r="J155" s="693" t="str">
        <f>IFERROR(J154,"错误")</f>
        <v>错误</v>
      </c>
    </row>
    <row r="156" spans="1:11" ht="18" customHeight="1">
      <c r="A156" s="659"/>
      <c r="B156" s="654" t="s">
        <v>865</v>
      </c>
      <c r="C156" s="654" t="s">
        <v>746</v>
      </c>
      <c r="D156" s="654" t="s">
        <v>866</v>
      </c>
      <c r="H156" s="660"/>
    </row>
    <row r="157" spans="1:11" ht="18" customHeight="1">
      <c r="A157" s="659"/>
      <c r="H157" s="660"/>
    </row>
    <row r="158" spans="1:11" ht="18" customHeight="1">
      <c r="A158" s="662"/>
      <c r="B158" s="663"/>
      <c r="C158" s="663" t="s">
        <v>867</v>
      </c>
      <c r="D158" s="663"/>
      <c r="E158" s="663"/>
      <c r="F158" s="663"/>
      <c r="G158" s="663"/>
      <c r="H158" s="664"/>
    </row>
    <row r="161" spans="1:18" ht="18" customHeight="1">
      <c r="A161" s="656" t="s">
        <v>601</v>
      </c>
      <c r="B161" s="657" t="s">
        <v>602</v>
      </c>
      <c r="C161" s="657" t="s">
        <v>603</v>
      </c>
      <c r="D161" s="657"/>
      <c r="E161" s="657"/>
      <c r="F161" s="657"/>
      <c r="G161" s="657"/>
      <c r="H161" s="657"/>
      <c r="I161" s="657"/>
      <c r="J161" s="657"/>
      <c r="K161" s="657"/>
      <c r="L161" s="657"/>
      <c r="M161" s="658"/>
      <c r="O161" s="700" t="s">
        <v>832</v>
      </c>
      <c r="P161" s="654" t="s">
        <v>868</v>
      </c>
    </row>
    <row r="162" spans="1:18" ht="18" customHeight="1">
      <c r="A162" s="659"/>
      <c r="M162" s="660"/>
      <c r="O162" s="701">
        <v>1</v>
      </c>
      <c r="P162" s="693">
        <f>SUMPRODUCT(O162:O166)</f>
        <v>12</v>
      </c>
      <c r="R162" s="654" t="s">
        <v>869</v>
      </c>
    </row>
    <row r="163" spans="1:18" ht="18" customHeight="1">
      <c r="A163" s="659"/>
      <c r="B163" s="654" t="s">
        <v>870</v>
      </c>
      <c r="C163" s="654" t="s">
        <v>231</v>
      </c>
      <c r="D163" s="654" t="s">
        <v>871</v>
      </c>
      <c r="M163" s="660"/>
      <c r="O163" s="701">
        <v>2</v>
      </c>
    </row>
    <row r="164" spans="1:18" ht="18" customHeight="1">
      <c r="A164" s="659"/>
      <c r="M164" s="660"/>
      <c r="O164" s="701">
        <v>2</v>
      </c>
    </row>
    <row r="165" spans="1:18" ht="18" customHeight="1">
      <c r="A165" s="659"/>
      <c r="B165" s="654" t="s">
        <v>872</v>
      </c>
      <c r="C165" s="654" t="s">
        <v>240</v>
      </c>
      <c r="D165" s="654" t="s">
        <v>873</v>
      </c>
      <c r="M165" s="660"/>
      <c r="O165" s="701">
        <v>3</v>
      </c>
    </row>
    <row r="166" spans="1:18" ht="18" customHeight="1">
      <c r="A166" s="662"/>
      <c r="B166" s="663"/>
      <c r="C166" s="663"/>
      <c r="D166" s="663" t="s">
        <v>874</v>
      </c>
      <c r="E166" s="663"/>
      <c r="F166" s="663"/>
      <c r="G166" s="663"/>
      <c r="H166" s="663"/>
      <c r="I166" s="663"/>
      <c r="J166" s="663"/>
      <c r="K166" s="663"/>
      <c r="L166" s="663"/>
      <c r="M166" s="664"/>
      <c r="O166" s="702">
        <v>4</v>
      </c>
    </row>
    <row r="169" spans="1:18" ht="18" customHeight="1">
      <c r="A169" s="656" t="s">
        <v>615</v>
      </c>
      <c r="B169" s="657" t="s">
        <v>616</v>
      </c>
      <c r="C169" s="657" t="s">
        <v>617</v>
      </c>
      <c r="D169" s="657"/>
      <c r="E169" s="657"/>
      <c r="F169" s="657"/>
      <c r="G169" s="657"/>
      <c r="H169" s="657"/>
      <c r="I169" s="657"/>
      <c r="J169" s="657"/>
      <c r="K169" s="658"/>
    </row>
    <row r="170" spans="1:18" ht="18" customHeight="1">
      <c r="A170" s="659"/>
      <c r="K170" s="660"/>
    </row>
    <row r="171" spans="1:18" ht="18" customHeight="1">
      <c r="A171" s="659"/>
      <c r="B171" s="654" t="s">
        <v>875</v>
      </c>
      <c r="C171" s="654" t="s">
        <v>231</v>
      </c>
      <c r="D171" s="654" t="s">
        <v>876</v>
      </c>
      <c r="K171" s="660"/>
    </row>
    <row r="172" spans="1:18" ht="18" customHeight="1">
      <c r="A172" s="659"/>
      <c r="K172" s="660"/>
    </row>
    <row r="173" spans="1:18" ht="18" customHeight="1">
      <c r="A173" s="659"/>
      <c r="B173" s="654" t="s">
        <v>877</v>
      </c>
      <c r="C173" s="654" t="s">
        <v>231</v>
      </c>
      <c r="D173" s="654" t="s">
        <v>878</v>
      </c>
      <c r="K173" s="660"/>
      <c r="M173" s="704">
        <v>44562</v>
      </c>
      <c r="O173" s="704">
        <v>44197</v>
      </c>
    </row>
    <row r="174" spans="1:18" ht="18" customHeight="1">
      <c r="A174" s="659"/>
      <c r="K174" s="660"/>
    </row>
    <row r="175" spans="1:18" ht="18" customHeight="1">
      <c r="A175" s="659"/>
      <c r="B175" s="654" t="s">
        <v>879</v>
      </c>
      <c r="C175" s="654" t="s">
        <v>231</v>
      </c>
      <c r="D175" s="654" t="s">
        <v>880</v>
      </c>
      <c r="K175" s="660"/>
      <c r="M175" s="693">
        <f>DATEDIF(O173,M173,"d")</f>
        <v>365</v>
      </c>
    </row>
    <row r="176" spans="1:18" ht="18" customHeight="1">
      <c r="A176" s="659"/>
      <c r="D176" s="654" t="s">
        <v>881</v>
      </c>
      <c r="E176" s="654" t="s">
        <v>882</v>
      </c>
      <c r="K176" s="660"/>
    </row>
    <row r="177" spans="1:13" ht="18" customHeight="1">
      <c r="A177" s="659"/>
      <c r="D177" s="654" t="s">
        <v>883</v>
      </c>
      <c r="E177" s="654" t="s">
        <v>884</v>
      </c>
      <c r="K177" s="660"/>
    </row>
    <row r="178" spans="1:13" ht="18" customHeight="1">
      <c r="A178" s="659"/>
      <c r="D178" s="654" t="s">
        <v>885</v>
      </c>
      <c r="E178" s="654" t="s">
        <v>886</v>
      </c>
      <c r="K178" s="660"/>
    </row>
    <row r="179" spans="1:13" ht="18" customHeight="1">
      <c r="A179" s="659"/>
      <c r="D179" s="654" t="s">
        <v>887</v>
      </c>
      <c r="E179" s="654" t="s">
        <v>888</v>
      </c>
      <c r="K179" s="660"/>
    </row>
    <row r="180" spans="1:13" ht="18" customHeight="1">
      <c r="A180" s="659"/>
      <c r="D180" s="654" t="s">
        <v>889</v>
      </c>
      <c r="E180" s="654" t="s">
        <v>890</v>
      </c>
      <c r="K180" s="660"/>
    </row>
    <row r="181" spans="1:13" ht="18" customHeight="1">
      <c r="A181" s="662"/>
      <c r="B181" s="663"/>
      <c r="C181" s="663"/>
      <c r="D181" s="663" t="s">
        <v>891</v>
      </c>
      <c r="E181" s="663" t="s">
        <v>892</v>
      </c>
      <c r="F181" s="663"/>
      <c r="G181" s="663"/>
      <c r="H181" s="663"/>
      <c r="I181" s="663"/>
      <c r="J181" s="663"/>
      <c r="K181" s="664"/>
    </row>
    <row r="183" spans="1:13" ht="18" customHeight="1">
      <c r="K183" s="687" t="s">
        <v>254</v>
      </c>
      <c r="L183" s="705" t="s">
        <v>893</v>
      </c>
      <c r="M183" s="688" t="s">
        <v>894</v>
      </c>
    </row>
    <row r="184" spans="1:13" ht="18" customHeight="1">
      <c r="A184" s="656" t="s">
        <v>618</v>
      </c>
      <c r="B184" s="657" t="s">
        <v>619</v>
      </c>
      <c r="C184" s="657" t="s">
        <v>620</v>
      </c>
      <c r="D184" s="657"/>
      <c r="E184" s="657"/>
      <c r="F184" s="657"/>
      <c r="G184" s="657"/>
      <c r="H184" s="657"/>
      <c r="I184" s="658"/>
      <c r="K184" s="689">
        <v>1</v>
      </c>
      <c r="L184" s="706" t="b">
        <f>ISEVEN(K184)</f>
        <v>0</v>
      </c>
      <c r="M184" s="690" t="b">
        <f>ISODD(K184)</f>
        <v>1</v>
      </c>
    </row>
    <row r="185" spans="1:13" ht="18" customHeight="1">
      <c r="A185" s="659"/>
      <c r="I185" s="660"/>
      <c r="K185" s="689">
        <v>-2</v>
      </c>
      <c r="L185" s="706" t="b">
        <f>ISEVEN(K185)</f>
        <v>1</v>
      </c>
      <c r="M185" s="690" t="b">
        <f t="shared" ref="M185:M189" si="2">ISODD(K185)</f>
        <v>0</v>
      </c>
    </row>
    <row r="186" spans="1:13" ht="18" customHeight="1">
      <c r="A186" s="659"/>
      <c r="B186" s="654" t="s">
        <v>745</v>
      </c>
      <c r="C186" s="654" t="s">
        <v>783</v>
      </c>
      <c r="D186" s="654" t="s">
        <v>895</v>
      </c>
      <c r="I186" s="660"/>
      <c r="K186" s="689">
        <v>6</v>
      </c>
      <c r="L186" s="706" t="b">
        <f>ISEVEN(K186)</f>
        <v>1</v>
      </c>
      <c r="M186" s="690" t="b">
        <f t="shared" si="2"/>
        <v>0</v>
      </c>
    </row>
    <row r="187" spans="1:13" ht="18" customHeight="1">
      <c r="A187" s="662"/>
      <c r="B187" s="663"/>
      <c r="C187" s="663"/>
      <c r="D187" s="663" t="s">
        <v>896</v>
      </c>
      <c r="E187" s="663"/>
      <c r="F187" s="663"/>
      <c r="G187" s="663"/>
      <c r="H187" s="663"/>
      <c r="I187" s="664"/>
      <c r="K187" s="689">
        <v>0.56000000000000005</v>
      </c>
      <c r="L187" s="706" t="b">
        <f t="shared" ref="L187:L189" si="3">ISEVEN(K187)</f>
        <v>1</v>
      </c>
      <c r="M187" s="690" t="b">
        <f t="shared" si="2"/>
        <v>0</v>
      </c>
    </row>
    <row r="188" spans="1:13" ht="18" customHeight="1">
      <c r="K188" s="689">
        <v>-1</v>
      </c>
      <c r="L188" s="706" t="b">
        <f t="shared" si="3"/>
        <v>0</v>
      </c>
      <c r="M188" s="690" t="b">
        <f t="shared" si="2"/>
        <v>1</v>
      </c>
    </row>
    <row r="189" spans="1:13" ht="18" customHeight="1">
      <c r="K189" s="691">
        <v>-0.56000000000000005</v>
      </c>
      <c r="L189" s="707" t="b">
        <f t="shared" si="3"/>
        <v>1</v>
      </c>
      <c r="M189" s="692" t="b">
        <f t="shared" si="2"/>
        <v>0</v>
      </c>
    </row>
    <row r="190" spans="1:13" ht="18" customHeight="1">
      <c r="A190" s="656" t="s">
        <v>621</v>
      </c>
      <c r="B190" s="657" t="s">
        <v>622</v>
      </c>
      <c r="C190" s="657" t="s">
        <v>623</v>
      </c>
      <c r="D190" s="657"/>
      <c r="E190" s="657"/>
      <c r="F190" s="657"/>
      <c r="G190" s="657"/>
      <c r="H190" s="657"/>
      <c r="I190" s="658"/>
    </row>
    <row r="191" spans="1:13" ht="18" customHeight="1">
      <c r="A191" s="659"/>
      <c r="I191" s="660"/>
    </row>
    <row r="192" spans="1:13" ht="18" customHeight="1">
      <c r="A192" s="659"/>
      <c r="B192" s="654" t="s">
        <v>745</v>
      </c>
      <c r="C192" s="654" t="s">
        <v>783</v>
      </c>
      <c r="D192" s="654" t="s">
        <v>895</v>
      </c>
      <c r="I192" s="660"/>
    </row>
    <row r="193" spans="1:17" ht="18" customHeight="1">
      <c r="A193" s="662"/>
      <c r="B193" s="663"/>
      <c r="C193" s="663"/>
      <c r="D193" s="663" t="s">
        <v>896</v>
      </c>
      <c r="E193" s="663"/>
      <c r="F193" s="663"/>
      <c r="G193" s="663"/>
      <c r="H193" s="663"/>
      <c r="I193" s="664"/>
    </row>
    <row r="195" spans="1:17" ht="18" customHeight="1">
      <c r="A195" s="656" t="s">
        <v>624</v>
      </c>
      <c r="B195" s="657" t="s">
        <v>625</v>
      </c>
      <c r="C195" s="657" t="s">
        <v>626</v>
      </c>
      <c r="D195" s="657"/>
      <c r="E195" s="657"/>
      <c r="F195" s="657"/>
      <c r="G195" s="657"/>
      <c r="H195" s="657"/>
      <c r="I195" s="657"/>
      <c r="J195" s="657"/>
      <c r="K195" s="657"/>
      <c r="L195" s="657"/>
      <c r="M195" s="657"/>
      <c r="N195" s="657"/>
      <c r="O195" s="658"/>
      <c r="Q195" s="654" t="e">
        <f>1/0</f>
        <v>#DIV/0!</v>
      </c>
    </row>
    <row r="196" spans="1:17" ht="18" customHeight="1">
      <c r="A196" s="659"/>
      <c r="O196" s="660"/>
    </row>
    <row r="197" spans="1:17" ht="18" customHeight="1">
      <c r="A197" s="659"/>
      <c r="B197" s="654" t="s">
        <v>786</v>
      </c>
      <c r="C197" s="654" t="s">
        <v>783</v>
      </c>
      <c r="D197" s="654" t="s">
        <v>897</v>
      </c>
      <c r="O197" s="660"/>
      <c r="Q197" s="693" t="b">
        <f>ISERROR(Q195)</f>
        <v>1</v>
      </c>
    </row>
    <row r="198" spans="1:17" ht="18" customHeight="1">
      <c r="A198" s="659"/>
      <c r="D198" s="654" t="s">
        <v>553</v>
      </c>
      <c r="E198" s="654" t="s">
        <v>898</v>
      </c>
      <c r="O198" s="660"/>
    </row>
    <row r="199" spans="1:17" ht="18" customHeight="1">
      <c r="A199" s="659"/>
      <c r="D199" s="654" t="s">
        <v>899</v>
      </c>
      <c r="E199" s="654" t="s">
        <v>900</v>
      </c>
      <c r="O199" s="660"/>
    </row>
    <row r="200" spans="1:17" ht="18" customHeight="1">
      <c r="A200" s="659"/>
      <c r="D200" s="654" t="s">
        <v>901</v>
      </c>
      <c r="E200" s="654" t="s">
        <v>902</v>
      </c>
      <c r="O200" s="660"/>
    </row>
    <row r="201" spans="1:17" ht="18" customHeight="1">
      <c r="A201" s="659"/>
      <c r="D201" s="654" t="s">
        <v>903</v>
      </c>
      <c r="E201" s="654" t="s">
        <v>904</v>
      </c>
      <c r="O201" s="660"/>
    </row>
    <row r="202" spans="1:17" ht="18" customHeight="1">
      <c r="A202" s="659"/>
      <c r="D202" s="654" t="s">
        <v>905</v>
      </c>
      <c r="E202" s="654" t="s">
        <v>906</v>
      </c>
      <c r="O202" s="660"/>
    </row>
    <row r="203" spans="1:17" ht="18" customHeight="1">
      <c r="A203" s="659"/>
      <c r="D203" s="654" t="s">
        <v>907</v>
      </c>
      <c r="E203" s="654" t="s">
        <v>908</v>
      </c>
      <c r="O203" s="660"/>
    </row>
    <row r="204" spans="1:17" ht="18" customHeight="1">
      <c r="A204" s="659"/>
      <c r="D204" s="654" t="s">
        <v>909</v>
      </c>
      <c r="E204" s="654" t="s">
        <v>910</v>
      </c>
      <c r="O204" s="660"/>
    </row>
    <row r="205" spans="1:17" ht="18" customHeight="1">
      <c r="A205" s="659"/>
      <c r="D205" s="654" t="s">
        <v>911</v>
      </c>
      <c r="E205" s="654" t="s">
        <v>912</v>
      </c>
      <c r="O205" s="660"/>
    </row>
    <row r="206" spans="1:17" ht="18" customHeight="1">
      <c r="A206" s="659"/>
      <c r="D206" s="654" t="s">
        <v>913</v>
      </c>
      <c r="E206" s="654" t="s">
        <v>914</v>
      </c>
      <c r="O206" s="660"/>
    </row>
    <row r="207" spans="1:17" ht="18" customHeight="1">
      <c r="A207" s="662"/>
      <c r="B207" s="663"/>
      <c r="C207" s="663"/>
      <c r="D207" s="663" t="s">
        <v>915</v>
      </c>
      <c r="E207" s="663" t="s">
        <v>916</v>
      </c>
      <c r="F207" s="663"/>
      <c r="G207" s="663"/>
      <c r="H207" s="663"/>
      <c r="I207" s="663"/>
      <c r="J207" s="663"/>
      <c r="K207" s="663"/>
      <c r="L207" s="663"/>
      <c r="M207" s="663"/>
      <c r="N207" s="663"/>
      <c r="O207" s="664"/>
    </row>
    <row r="209" spans="1:20" ht="18" customHeight="1">
      <c r="D209" s="654" t="s">
        <v>917</v>
      </c>
    </row>
    <row r="210" spans="1:20" ht="18" customHeight="1">
      <c r="A210" s="656" t="s">
        <v>627</v>
      </c>
      <c r="B210" s="657" t="s">
        <v>628</v>
      </c>
      <c r="C210" s="657" t="s">
        <v>629</v>
      </c>
      <c r="D210" s="657"/>
      <c r="E210" s="657"/>
      <c r="F210" s="657"/>
      <c r="G210" s="657"/>
      <c r="H210" s="657"/>
      <c r="I210" s="657"/>
      <c r="J210" s="658"/>
      <c r="L210" s="654" t="s">
        <v>61</v>
      </c>
      <c r="M210" s="654" t="s">
        <v>62</v>
      </c>
    </row>
    <row r="211" spans="1:20" ht="18" customHeight="1">
      <c r="A211" s="708" t="s">
        <v>630</v>
      </c>
      <c r="B211" s="654" t="s">
        <v>631</v>
      </c>
      <c r="C211" s="654" t="s">
        <v>632</v>
      </c>
      <c r="J211" s="660"/>
      <c r="L211" s="654">
        <v>4</v>
      </c>
      <c r="M211" s="654">
        <v>5</v>
      </c>
    </row>
    <row r="212" spans="1:20" ht="18" customHeight="1">
      <c r="A212" s="659"/>
      <c r="J212" s="660"/>
    </row>
    <row r="213" spans="1:20" ht="18" customHeight="1">
      <c r="A213" s="659"/>
      <c r="B213" s="654" t="s">
        <v>918</v>
      </c>
      <c r="C213" s="654" t="s">
        <v>783</v>
      </c>
      <c r="D213" s="654" t="s">
        <v>919</v>
      </c>
      <c r="J213" s="660"/>
      <c r="L213" s="693" t="b">
        <f>AND(L211&gt;0,M211&gt;L211)</f>
        <v>1</v>
      </c>
      <c r="M213" s="693" t="b">
        <f>AND(L211&gt;5,M211&gt;L211)</f>
        <v>0</v>
      </c>
    </row>
    <row r="214" spans="1:20" ht="18" customHeight="1">
      <c r="A214" s="659"/>
      <c r="J214" s="660"/>
    </row>
    <row r="215" spans="1:20" ht="18" customHeight="1">
      <c r="A215" s="662"/>
      <c r="B215" s="663" t="s">
        <v>920</v>
      </c>
      <c r="C215" s="663" t="s">
        <v>240</v>
      </c>
      <c r="D215" s="663" t="s">
        <v>921</v>
      </c>
      <c r="E215" s="663"/>
      <c r="F215" s="663"/>
      <c r="G215" s="663"/>
      <c r="H215" s="663"/>
      <c r="I215" s="663"/>
      <c r="J215" s="664"/>
      <c r="M215" s="693" t="b">
        <f>OR(L211&gt;5,M211&gt;L211)</f>
        <v>1</v>
      </c>
    </row>
    <row r="218" spans="1:20" ht="18" customHeight="1">
      <c r="A218" s="656" t="s">
        <v>633</v>
      </c>
      <c r="B218" s="657" t="s">
        <v>634</v>
      </c>
      <c r="C218" s="657" t="s">
        <v>635</v>
      </c>
      <c r="D218" s="657"/>
      <c r="E218" s="657"/>
      <c r="F218" s="657"/>
      <c r="G218" s="657"/>
      <c r="H218" s="657"/>
      <c r="I218" s="657"/>
      <c r="J218" s="658"/>
      <c r="L218" s="693" t="b">
        <f>NOT(L213)</f>
        <v>0</v>
      </c>
      <c r="M218" s="693" t="b">
        <f>NOT(M213)</f>
        <v>1</v>
      </c>
    </row>
    <row r="219" spans="1:20" ht="18" customHeight="1">
      <c r="A219" s="659"/>
      <c r="J219" s="660"/>
    </row>
    <row r="220" spans="1:20" ht="18" customHeight="1">
      <c r="A220" s="659"/>
      <c r="B220" s="654" t="s">
        <v>922</v>
      </c>
      <c r="C220" s="654" t="s">
        <v>783</v>
      </c>
      <c r="D220" s="654" t="s">
        <v>923</v>
      </c>
      <c r="J220" s="660"/>
      <c r="M220" s="693" t="b">
        <f>NOT(M215)</f>
        <v>0</v>
      </c>
    </row>
    <row r="221" spans="1:20" ht="18" customHeight="1">
      <c r="A221" s="662"/>
      <c r="B221" s="663"/>
      <c r="C221" s="663"/>
      <c r="D221" s="663" t="s">
        <v>924</v>
      </c>
      <c r="E221" s="663"/>
      <c r="F221" s="663"/>
      <c r="G221" s="663"/>
      <c r="H221" s="663"/>
      <c r="I221" s="663"/>
      <c r="J221" s="664"/>
    </row>
    <row r="224" spans="1:20" ht="18" customHeight="1">
      <c r="A224" s="656" t="s">
        <v>71</v>
      </c>
      <c r="B224" s="657" t="s">
        <v>637</v>
      </c>
      <c r="C224" s="657" t="s">
        <v>638</v>
      </c>
      <c r="D224" s="657"/>
      <c r="E224" s="657"/>
      <c r="F224" s="657"/>
      <c r="G224" s="657"/>
      <c r="H224" s="657"/>
      <c r="I224" s="657"/>
      <c r="J224" s="657"/>
      <c r="K224" s="657"/>
      <c r="L224" s="657"/>
      <c r="M224" s="657"/>
      <c r="N224" s="658"/>
      <c r="P224" s="710" t="s">
        <v>925</v>
      </c>
      <c r="Q224" s="718" t="s">
        <v>926</v>
      </c>
      <c r="S224" s="654" t="s">
        <v>925</v>
      </c>
      <c r="T224" s="654" t="s">
        <v>926</v>
      </c>
    </row>
    <row r="225" spans="1:20" ht="18" customHeight="1">
      <c r="A225" s="659"/>
      <c r="N225" s="660"/>
      <c r="P225" s="711">
        <v>1</v>
      </c>
      <c r="Q225" s="719" t="s">
        <v>65</v>
      </c>
      <c r="S225" s="654">
        <v>3</v>
      </c>
      <c r="T225" s="654" t="str">
        <f>VLOOKUP(S225,P224:Q228,2,FALSE)</f>
        <v>e</v>
      </c>
    </row>
    <row r="226" spans="1:20" ht="18" customHeight="1">
      <c r="A226" s="659"/>
      <c r="B226" s="654" t="s">
        <v>927</v>
      </c>
      <c r="C226" s="654" t="s">
        <v>783</v>
      </c>
      <c r="D226" s="654" t="s">
        <v>928</v>
      </c>
      <c r="N226" s="660"/>
      <c r="P226" s="712">
        <v>2</v>
      </c>
      <c r="Q226" s="720" t="s">
        <v>929</v>
      </c>
    </row>
    <row r="227" spans="1:20" ht="18" customHeight="1">
      <c r="A227" s="659"/>
      <c r="N227" s="660"/>
      <c r="P227" s="711">
        <v>3</v>
      </c>
      <c r="Q227" s="719" t="s">
        <v>66</v>
      </c>
    </row>
    <row r="228" spans="1:20" ht="18" customHeight="1">
      <c r="A228" s="659"/>
      <c r="B228" s="654" t="s">
        <v>930</v>
      </c>
      <c r="C228" s="654" t="s">
        <v>783</v>
      </c>
      <c r="D228" s="654" t="s">
        <v>931</v>
      </c>
      <c r="N228" s="660"/>
      <c r="P228" s="713">
        <v>4</v>
      </c>
      <c r="Q228" s="721" t="s">
        <v>63</v>
      </c>
    </row>
    <row r="229" spans="1:20" ht="18" customHeight="1">
      <c r="A229" s="659"/>
      <c r="N229" s="660"/>
    </row>
    <row r="230" spans="1:20" ht="18" customHeight="1">
      <c r="A230" s="659"/>
      <c r="B230" s="654" t="s">
        <v>932</v>
      </c>
      <c r="C230" s="654" t="s">
        <v>783</v>
      </c>
      <c r="D230" s="654" t="s">
        <v>933</v>
      </c>
      <c r="N230" s="660"/>
    </row>
    <row r="231" spans="1:20" ht="18" customHeight="1">
      <c r="A231" s="659"/>
      <c r="N231" s="660"/>
    </row>
    <row r="232" spans="1:20" ht="18" customHeight="1">
      <c r="A232" s="659"/>
      <c r="B232" s="654" t="s">
        <v>934</v>
      </c>
      <c r="C232" s="654" t="s">
        <v>240</v>
      </c>
      <c r="D232" s="654" t="s">
        <v>935</v>
      </c>
      <c r="N232" s="660"/>
    </row>
    <row r="233" spans="1:20" ht="18" customHeight="1">
      <c r="A233" s="659"/>
      <c r="D233" s="654" t="s">
        <v>936</v>
      </c>
      <c r="N233" s="660"/>
    </row>
    <row r="234" spans="1:20" ht="18" customHeight="1">
      <c r="A234" s="662"/>
      <c r="B234" s="663"/>
      <c r="C234" s="663"/>
      <c r="D234" s="663" t="s">
        <v>937</v>
      </c>
      <c r="E234" s="663"/>
      <c r="F234" s="663"/>
      <c r="G234" s="663"/>
      <c r="H234" s="663"/>
      <c r="I234" s="663"/>
      <c r="J234" s="663"/>
      <c r="K234" s="663"/>
      <c r="L234" s="663"/>
      <c r="M234" s="663"/>
      <c r="N234" s="664"/>
    </row>
    <row r="237" spans="1:20" ht="18" customHeight="1">
      <c r="A237" s="656" t="s">
        <v>73</v>
      </c>
      <c r="B237" s="657" t="s">
        <v>639</v>
      </c>
      <c r="C237" s="657" t="s">
        <v>640</v>
      </c>
      <c r="D237" s="657"/>
      <c r="E237" s="657"/>
      <c r="F237" s="657"/>
      <c r="G237" s="657"/>
      <c r="H237" s="657"/>
      <c r="I237" s="657"/>
      <c r="J237" s="657"/>
      <c r="K237" s="657"/>
      <c r="L237" s="657"/>
      <c r="M237" s="657"/>
      <c r="N237" s="658"/>
      <c r="P237" s="714" t="s">
        <v>938</v>
      </c>
      <c r="R237" s="654" t="s">
        <v>926</v>
      </c>
      <c r="S237" s="654" t="s">
        <v>939</v>
      </c>
    </row>
    <row r="238" spans="1:20" ht="18" customHeight="1">
      <c r="A238" s="659"/>
      <c r="N238" s="660"/>
      <c r="P238" s="715" t="s">
        <v>926</v>
      </c>
      <c r="R238" s="654" t="s">
        <v>66</v>
      </c>
      <c r="S238" s="654">
        <f>MATCH(R238,P238:P242,0)</f>
        <v>4</v>
      </c>
    </row>
    <row r="239" spans="1:20" ht="18" customHeight="1">
      <c r="A239" s="659"/>
      <c r="B239" s="654" t="s">
        <v>927</v>
      </c>
      <c r="C239" s="654" t="s">
        <v>783</v>
      </c>
      <c r="D239" s="654" t="s">
        <v>940</v>
      </c>
      <c r="N239" s="660"/>
      <c r="P239" s="716" t="s">
        <v>65</v>
      </c>
    </row>
    <row r="240" spans="1:20" ht="18" customHeight="1">
      <c r="A240" s="659"/>
      <c r="N240" s="660"/>
      <c r="P240" s="715" t="s">
        <v>929</v>
      </c>
    </row>
    <row r="241" spans="1:33" ht="18" customHeight="1">
      <c r="A241" s="659"/>
      <c r="B241" s="654" t="s">
        <v>941</v>
      </c>
      <c r="C241" s="654" t="s">
        <v>783</v>
      </c>
      <c r="D241" s="654" t="s">
        <v>942</v>
      </c>
      <c r="N241" s="660"/>
      <c r="P241" s="716" t="s">
        <v>66</v>
      </c>
    </row>
    <row r="242" spans="1:33" ht="18" customHeight="1">
      <c r="A242" s="659"/>
      <c r="N242" s="660"/>
      <c r="P242" s="717" t="s">
        <v>63</v>
      </c>
    </row>
    <row r="243" spans="1:33" ht="18" customHeight="1">
      <c r="A243" s="662"/>
      <c r="B243" s="663" t="s">
        <v>943</v>
      </c>
      <c r="C243" s="663" t="s">
        <v>240</v>
      </c>
      <c r="D243" s="663" t="s">
        <v>944</v>
      </c>
      <c r="E243" s="663"/>
      <c r="F243" s="663"/>
      <c r="G243" s="663"/>
      <c r="H243" s="663"/>
      <c r="I243" s="663"/>
      <c r="J243" s="663"/>
      <c r="K243" s="663"/>
      <c r="L243" s="663"/>
      <c r="M243" s="663"/>
      <c r="N243" s="664"/>
    </row>
    <row r="246" spans="1:33" ht="18" customHeight="1">
      <c r="A246" s="656" t="s">
        <v>74</v>
      </c>
      <c r="B246" s="657" t="s">
        <v>641</v>
      </c>
      <c r="C246" s="657" t="s">
        <v>642</v>
      </c>
      <c r="D246" s="657" t="s">
        <v>945</v>
      </c>
      <c r="E246" s="657"/>
      <c r="F246" s="657"/>
      <c r="G246" s="657"/>
      <c r="H246" s="657"/>
      <c r="I246" s="657"/>
      <c r="J246" s="657"/>
      <c r="K246" s="657"/>
      <c r="L246" s="657"/>
      <c r="M246" s="657"/>
      <c r="N246" s="657"/>
      <c r="O246" s="657"/>
      <c r="P246" s="657"/>
      <c r="Q246" s="657"/>
      <c r="R246" s="657"/>
      <c r="S246" s="657"/>
      <c r="T246" s="657"/>
      <c r="U246" s="657"/>
      <c r="V246" s="657"/>
      <c r="W246" s="657"/>
      <c r="X246" s="657"/>
      <c r="Y246" s="657"/>
      <c r="Z246" s="657"/>
      <c r="AA246" s="657"/>
      <c r="AB246" s="657"/>
      <c r="AC246" s="657"/>
      <c r="AD246" s="657"/>
      <c r="AE246" s="657"/>
      <c r="AF246" s="657"/>
      <c r="AG246" s="658"/>
    </row>
    <row r="247" spans="1:33" ht="18" customHeight="1">
      <c r="A247" s="659"/>
      <c r="AG247" s="660"/>
    </row>
    <row r="248" spans="1:33" ht="18" customHeight="1">
      <c r="A248" s="659"/>
      <c r="B248" s="654" t="s">
        <v>230</v>
      </c>
      <c r="C248" s="654" t="s">
        <v>783</v>
      </c>
      <c r="D248" s="654" t="s">
        <v>946</v>
      </c>
      <c r="AG248" s="660"/>
    </row>
    <row r="249" spans="1:33" ht="18" customHeight="1">
      <c r="A249" s="659"/>
      <c r="AG249" s="660"/>
    </row>
    <row r="250" spans="1:33" ht="18" customHeight="1">
      <c r="A250" s="659"/>
      <c r="B250" s="654" t="s">
        <v>947</v>
      </c>
      <c r="C250" s="654" t="s">
        <v>783</v>
      </c>
      <c r="D250" s="654" t="s">
        <v>948</v>
      </c>
      <c r="V250" s="700" t="s">
        <v>938</v>
      </c>
      <c r="X250" s="654" t="str">
        <f t="array" ref="X250">INDEX(V251:V255,3,)</f>
        <v>sw</v>
      </c>
      <c r="AG250" s="660"/>
    </row>
    <row r="251" spans="1:33" ht="18" customHeight="1">
      <c r="A251" s="659"/>
      <c r="V251" s="701" t="s">
        <v>926</v>
      </c>
      <c r="AG251" s="660"/>
    </row>
    <row r="252" spans="1:33" ht="18" customHeight="1">
      <c r="A252" s="659"/>
      <c r="B252" s="654" t="s">
        <v>949</v>
      </c>
      <c r="C252" s="654" t="s">
        <v>240</v>
      </c>
      <c r="D252" s="654" t="s">
        <v>950</v>
      </c>
      <c r="V252" s="701" t="s">
        <v>65</v>
      </c>
      <c r="AG252" s="660"/>
    </row>
    <row r="253" spans="1:33" ht="18" customHeight="1">
      <c r="A253" s="659"/>
      <c r="V253" s="701" t="s">
        <v>929</v>
      </c>
      <c r="AG253" s="660"/>
    </row>
    <row r="254" spans="1:33" ht="18" customHeight="1">
      <c r="A254" s="659"/>
      <c r="V254" s="701" t="s">
        <v>66</v>
      </c>
      <c r="AG254" s="660"/>
    </row>
    <row r="255" spans="1:33" ht="18" customHeight="1">
      <c r="A255" s="709"/>
      <c r="B255" s="654" t="s">
        <v>951</v>
      </c>
      <c r="C255" s="654" t="s">
        <v>952</v>
      </c>
      <c r="D255" s="654" t="s">
        <v>953</v>
      </c>
      <c r="V255" s="702" t="s">
        <v>63</v>
      </c>
      <c r="AG255" s="660"/>
    </row>
    <row r="256" spans="1:33" ht="18" customHeight="1">
      <c r="A256" s="659"/>
      <c r="AG256" s="660"/>
    </row>
    <row r="257" spans="1:33" ht="18" customHeight="1">
      <c r="A257" s="659"/>
      <c r="B257" s="654" t="s">
        <v>954</v>
      </c>
      <c r="C257" s="654" t="s">
        <v>783</v>
      </c>
      <c r="D257" s="654" t="s">
        <v>955</v>
      </c>
      <c r="AG257" s="660"/>
    </row>
    <row r="258" spans="1:33" ht="18" customHeight="1">
      <c r="A258" s="659"/>
      <c r="AG258" s="660"/>
    </row>
    <row r="259" spans="1:33" ht="18" customHeight="1">
      <c r="A259" s="659"/>
      <c r="B259" s="654" t="s">
        <v>947</v>
      </c>
      <c r="C259" s="654" t="s">
        <v>783</v>
      </c>
      <c r="D259" s="654" t="s">
        <v>956</v>
      </c>
      <c r="AG259" s="660"/>
    </row>
    <row r="260" spans="1:33" ht="18" customHeight="1">
      <c r="A260" s="659"/>
      <c r="AG260" s="660"/>
    </row>
    <row r="261" spans="1:33" ht="18" customHeight="1">
      <c r="A261" s="659"/>
      <c r="B261" s="654" t="s">
        <v>949</v>
      </c>
      <c r="C261" s="654" t="s">
        <v>240</v>
      </c>
      <c r="D261" s="654" t="s">
        <v>957</v>
      </c>
      <c r="AG261" s="660"/>
    </row>
    <row r="262" spans="1:33" ht="18" customHeight="1">
      <c r="A262" s="659"/>
      <c r="AG262" s="660"/>
    </row>
    <row r="263" spans="1:33" ht="18" customHeight="1">
      <c r="A263" s="659"/>
      <c r="B263" s="654" t="s">
        <v>958</v>
      </c>
      <c r="C263" s="654" t="s">
        <v>240</v>
      </c>
      <c r="D263" s="654" t="s">
        <v>959</v>
      </c>
      <c r="AG263" s="660"/>
    </row>
    <row r="264" spans="1:33" ht="18" customHeight="1">
      <c r="A264" s="659"/>
      <c r="D264" s="654" t="s">
        <v>960</v>
      </c>
      <c r="AG264" s="660"/>
    </row>
    <row r="265" spans="1:33" ht="18" customHeight="1">
      <c r="A265" s="659"/>
      <c r="D265" s="654" t="s">
        <v>961</v>
      </c>
      <c r="AG265" s="660"/>
    </row>
    <row r="266" spans="1:33" ht="18" customHeight="1">
      <c r="A266" s="659"/>
      <c r="D266" s="654" t="s">
        <v>962</v>
      </c>
      <c r="AG266" s="660"/>
    </row>
    <row r="267" spans="1:33" ht="18" customHeight="1">
      <c r="A267" s="659"/>
      <c r="D267" s="654" t="s">
        <v>963</v>
      </c>
      <c r="AG267" s="660"/>
    </row>
    <row r="268" spans="1:33" ht="18" customHeight="1">
      <c r="A268" s="659"/>
      <c r="D268" s="654" t="s">
        <v>964</v>
      </c>
      <c r="AG268" s="660"/>
    </row>
    <row r="269" spans="1:33" ht="18" customHeight="1">
      <c r="A269" s="659"/>
      <c r="D269" s="654" t="s">
        <v>965</v>
      </c>
      <c r="AG269" s="660"/>
    </row>
    <row r="270" spans="1:33" ht="18" customHeight="1">
      <c r="A270" s="659"/>
      <c r="D270" s="654" t="s">
        <v>966</v>
      </c>
      <c r="AG270" s="660"/>
    </row>
    <row r="271" spans="1:33" ht="18" customHeight="1">
      <c r="A271" s="659"/>
      <c r="D271" s="654" t="s">
        <v>967</v>
      </c>
      <c r="AG271" s="660"/>
    </row>
    <row r="272" spans="1:33" ht="18" customHeight="1">
      <c r="A272" s="659"/>
      <c r="D272" s="654" t="s">
        <v>968</v>
      </c>
      <c r="AG272" s="660"/>
    </row>
    <row r="273" spans="1:33" ht="18" customHeight="1">
      <c r="A273" s="662"/>
      <c r="B273" s="663"/>
      <c r="C273" s="663"/>
      <c r="D273" s="663" t="s">
        <v>969</v>
      </c>
      <c r="E273" s="663"/>
      <c r="F273" s="663"/>
      <c r="G273" s="663"/>
      <c r="H273" s="663"/>
      <c r="I273" s="663"/>
      <c r="J273" s="663"/>
      <c r="K273" s="663"/>
      <c r="L273" s="663"/>
      <c r="M273" s="663"/>
      <c r="N273" s="663"/>
      <c r="O273" s="663"/>
      <c r="P273" s="663"/>
      <c r="Q273" s="663"/>
      <c r="R273" s="663"/>
      <c r="S273" s="663"/>
      <c r="T273" s="663"/>
      <c r="U273" s="663"/>
      <c r="V273" s="663"/>
      <c r="W273" s="663"/>
      <c r="X273" s="663"/>
      <c r="Y273" s="663"/>
      <c r="Z273" s="663"/>
      <c r="AA273" s="663"/>
      <c r="AB273" s="663"/>
      <c r="AC273" s="663"/>
      <c r="AD273" s="663"/>
      <c r="AE273" s="663"/>
      <c r="AF273" s="663"/>
      <c r="AG273" s="664"/>
    </row>
    <row r="276" spans="1:33" ht="18" customHeight="1">
      <c r="A276" s="656" t="s">
        <v>643</v>
      </c>
      <c r="B276" s="657" t="s">
        <v>644</v>
      </c>
      <c r="C276" s="657" t="s">
        <v>645</v>
      </c>
      <c r="D276" s="657" t="s">
        <v>970</v>
      </c>
      <c r="E276" s="657"/>
      <c r="F276" s="657"/>
      <c r="G276" s="657"/>
      <c r="H276" s="657"/>
      <c r="I276" s="657"/>
      <c r="J276" s="657"/>
      <c r="K276" s="657"/>
      <c r="L276" s="657"/>
      <c r="M276" s="657"/>
      <c r="N276" s="657"/>
      <c r="O276" s="657"/>
      <c r="P276" s="658"/>
      <c r="R276" s="687" t="s">
        <v>832</v>
      </c>
      <c r="S276" s="688" t="s">
        <v>72</v>
      </c>
      <c r="U276" s="654" t="s">
        <v>72</v>
      </c>
      <c r="V276" s="654" t="s">
        <v>832</v>
      </c>
    </row>
    <row r="277" spans="1:33" ht="18" customHeight="1">
      <c r="A277" s="659"/>
      <c r="P277" s="660"/>
      <c r="R277" s="689">
        <v>1</v>
      </c>
      <c r="S277" s="690" t="s">
        <v>61</v>
      </c>
      <c r="U277" s="654" t="s">
        <v>63</v>
      </c>
      <c r="V277" s="654">
        <f>LOOKUP(U277,S277:S280,R277:R280)</f>
        <v>2</v>
      </c>
    </row>
    <row r="278" spans="1:33" ht="18" customHeight="1">
      <c r="A278" s="659"/>
      <c r="B278" s="654" t="s">
        <v>927</v>
      </c>
      <c r="C278" s="654" t="s">
        <v>783</v>
      </c>
      <c r="D278" s="654" t="s">
        <v>971</v>
      </c>
      <c r="P278" s="660"/>
      <c r="R278" s="689">
        <v>2</v>
      </c>
      <c r="S278" s="690" t="s">
        <v>62</v>
      </c>
    </row>
    <row r="279" spans="1:33" ht="18" customHeight="1">
      <c r="A279" s="659"/>
      <c r="P279" s="660"/>
      <c r="R279" s="689">
        <v>2</v>
      </c>
      <c r="S279" s="690" t="s">
        <v>63</v>
      </c>
    </row>
    <row r="280" spans="1:33" ht="18" customHeight="1">
      <c r="A280" s="659"/>
      <c r="B280" s="654" t="s">
        <v>972</v>
      </c>
      <c r="C280" s="654" t="s">
        <v>783</v>
      </c>
      <c r="D280" s="654" t="s">
        <v>973</v>
      </c>
      <c r="P280" s="660"/>
      <c r="R280" s="691">
        <v>3</v>
      </c>
      <c r="S280" s="692" t="s">
        <v>64</v>
      </c>
    </row>
    <row r="281" spans="1:33" ht="18" customHeight="1">
      <c r="A281" s="659"/>
      <c r="P281" s="660"/>
    </row>
    <row r="282" spans="1:33" ht="18" customHeight="1">
      <c r="A282" s="659"/>
      <c r="B282" s="654" t="s">
        <v>974</v>
      </c>
      <c r="C282" s="654" t="s">
        <v>240</v>
      </c>
      <c r="D282" s="654" t="s">
        <v>975</v>
      </c>
      <c r="P282" s="660"/>
    </row>
    <row r="283" spans="1:33" ht="18" customHeight="1">
      <c r="A283" s="659"/>
      <c r="D283" s="654" t="s">
        <v>976</v>
      </c>
      <c r="P283" s="660"/>
    </row>
    <row r="284" spans="1:33" ht="18" customHeight="1">
      <c r="A284" s="659"/>
      <c r="D284" s="654" t="s">
        <v>977</v>
      </c>
      <c r="P284" s="660"/>
    </row>
    <row r="285" spans="1:33" ht="18" customHeight="1">
      <c r="A285" s="659"/>
      <c r="D285" s="654" t="s">
        <v>978</v>
      </c>
      <c r="P285" s="660"/>
    </row>
    <row r="286" spans="1:33" ht="18" customHeight="1">
      <c r="A286" s="659"/>
      <c r="D286" s="654" t="s">
        <v>979</v>
      </c>
      <c r="P286" s="660"/>
    </row>
    <row r="287" spans="1:33" ht="18" customHeight="1">
      <c r="A287" s="659"/>
      <c r="P287" s="660"/>
    </row>
    <row r="288" spans="1:33" ht="18" customHeight="1">
      <c r="A288" s="659"/>
      <c r="B288" s="654" t="s">
        <v>980</v>
      </c>
      <c r="D288" s="654" t="s">
        <v>945</v>
      </c>
      <c r="P288" s="660"/>
    </row>
    <row r="289" spans="1:20" ht="18" customHeight="1">
      <c r="A289" s="659"/>
      <c r="P289" s="660"/>
    </row>
    <row r="290" spans="1:20" ht="18" customHeight="1">
      <c r="A290" s="659"/>
      <c r="B290" s="654" t="s">
        <v>927</v>
      </c>
      <c r="C290" s="654" t="s">
        <v>783</v>
      </c>
      <c r="D290" s="654" t="s">
        <v>981</v>
      </c>
      <c r="P290" s="660"/>
    </row>
    <row r="291" spans="1:20" ht="18" customHeight="1">
      <c r="A291" s="659"/>
      <c r="P291" s="660"/>
    </row>
    <row r="292" spans="1:20" ht="18" customHeight="1">
      <c r="A292" s="659"/>
      <c r="B292" s="654" t="s">
        <v>230</v>
      </c>
      <c r="C292" s="654" t="s">
        <v>783</v>
      </c>
      <c r="D292" s="654" t="s">
        <v>982</v>
      </c>
      <c r="P292" s="660"/>
    </row>
    <row r="293" spans="1:20" ht="18" customHeight="1">
      <c r="A293" s="659"/>
      <c r="D293" s="654" t="s">
        <v>983</v>
      </c>
      <c r="P293" s="660"/>
    </row>
    <row r="294" spans="1:20" ht="18" customHeight="1">
      <c r="A294" s="662"/>
      <c r="B294" s="663"/>
      <c r="C294" s="663"/>
      <c r="D294" s="663" t="s">
        <v>984</v>
      </c>
      <c r="E294" s="663"/>
      <c r="F294" s="663"/>
      <c r="G294" s="663"/>
      <c r="H294" s="663"/>
      <c r="I294" s="663"/>
      <c r="J294" s="663"/>
      <c r="K294" s="663"/>
      <c r="L294" s="663"/>
      <c r="M294" s="663"/>
      <c r="N294" s="663"/>
      <c r="O294" s="663"/>
      <c r="P294" s="664"/>
    </row>
    <row r="296" spans="1:20" ht="18" customHeight="1">
      <c r="R296" s="700" t="s">
        <v>938</v>
      </c>
      <c r="S296" s="654" t="s">
        <v>985</v>
      </c>
      <c r="T296" s="654" t="s">
        <v>986</v>
      </c>
    </row>
    <row r="297" spans="1:20" ht="18" customHeight="1">
      <c r="A297" s="656" t="s">
        <v>646</v>
      </c>
      <c r="B297" s="657" t="s">
        <v>647</v>
      </c>
      <c r="C297" s="657" t="s">
        <v>648</v>
      </c>
      <c r="D297" s="657"/>
      <c r="E297" s="657"/>
      <c r="F297" s="657"/>
      <c r="G297" s="657"/>
      <c r="H297" s="657"/>
      <c r="I297" s="657"/>
      <c r="J297" s="657"/>
      <c r="K297" s="657"/>
      <c r="L297" s="657"/>
      <c r="M297" s="657"/>
      <c r="N297" s="657"/>
      <c r="O297" s="657"/>
      <c r="P297" s="658"/>
      <c r="R297" s="701" t="s">
        <v>987</v>
      </c>
      <c r="S297" s="654">
        <f>FIND("a6",R297)</f>
        <v>2</v>
      </c>
      <c r="T297" s="654">
        <f>SEARCH("a6",R297)</f>
        <v>2</v>
      </c>
    </row>
    <row r="298" spans="1:20" ht="18" customHeight="1">
      <c r="A298" s="674" t="s">
        <v>649</v>
      </c>
      <c r="B298" s="654" t="s">
        <v>650</v>
      </c>
      <c r="C298" s="654" t="s">
        <v>651</v>
      </c>
      <c r="P298" s="660"/>
      <c r="R298" s="701" t="s">
        <v>988</v>
      </c>
      <c r="S298" s="654">
        <f t="shared" ref="S298:S301" si="4">FIND("a6",R298)</f>
        <v>1</v>
      </c>
      <c r="T298" s="654">
        <f t="shared" ref="T298:T301" si="5">SEARCH("a6",R298)</f>
        <v>1</v>
      </c>
    </row>
    <row r="299" spans="1:20" ht="18" customHeight="1">
      <c r="A299" s="659"/>
      <c r="P299" s="660"/>
      <c r="R299" s="701" t="s">
        <v>989</v>
      </c>
      <c r="S299" s="654" t="e">
        <f t="shared" si="4"/>
        <v>#VALUE!</v>
      </c>
      <c r="T299" s="654" t="e">
        <f t="shared" si="5"/>
        <v>#VALUE!</v>
      </c>
    </row>
    <row r="300" spans="1:20" ht="18" customHeight="1">
      <c r="A300" s="659"/>
      <c r="B300" s="654" t="s">
        <v>990</v>
      </c>
      <c r="C300" s="654" t="s">
        <v>783</v>
      </c>
      <c r="D300" s="654" t="s">
        <v>991</v>
      </c>
      <c r="P300" s="660"/>
      <c r="R300" s="701" t="s">
        <v>992</v>
      </c>
      <c r="S300" s="654" t="e">
        <f t="shared" si="4"/>
        <v>#VALUE!</v>
      </c>
      <c r="T300" s="654">
        <f t="shared" si="5"/>
        <v>1</v>
      </c>
    </row>
    <row r="301" spans="1:20" ht="18" customHeight="1">
      <c r="A301" s="659"/>
      <c r="P301" s="660"/>
      <c r="R301" s="702" t="s">
        <v>993</v>
      </c>
      <c r="S301" s="654" t="e">
        <f t="shared" si="4"/>
        <v>#VALUE!</v>
      </c>
      <c r="T301" s="654" t="e">
        <f t="shared" si="5"/>
        <v>#VALUE!</v>
      </c>
    </row>
    <row r="302" spans="1:20" ht="18" customHeight="1">
      <c r="A302" s="659"/>
      <c r="B302" s="654" t="s">
        <v>994</v>
      </c>
      <c r="C302" s="654" t="s">
        <v>783</v>
      </c>
      <c r="D302" s="654" t="s">
        <v>995</v>
      </c>
      <c r="P302" s="660"/>
    </row>
    <row r="303" spans="1:20" ht="18" customHeight="1">
      <c r="A303" s="659"/>
      <c r="P303" s="660"/>
    </row>
    <row r="304" spans="1:20" ht="18" customHeight="1">
      <c r="A304" s="659"/>
      <c r="B304" s="654" t="s">
        <v>996</v>
      </c>
      <c r="C304" s="654" t="s">
        <v>769</v>
      </c>
      <c r="D304" s="654" t="s">
        <v>997</v>
      </c>
      <c r="P304" s="660"/>
    </row>
    <row r="305" spans="1:19" ht="18" customHeight="1">
      <c r="A305" s="659"/>
      <c r="D305" s="654" t="s">
        <v>998</v>
      </c>
      <c r="P305" s="660"/>
    </row>
    <row r="306" spans="1:19" ht="18" customHeight="1">
      <c r="A306" s="659"/>
      <c r="D306" s="654" t="s">
        <v>999</v>
      </c>
      <c r="P306" s="660"/>
    </row>
    <row r="307" spans="1:19" ht="18" customHeight="1">
      <c r="A307" s="659"/>
      <c r="D307" s="654" t="s">
        <v>1000</v>
      </c>
      <c r="P307" s="660"/>
    </row>
    <row r="308" spans="1:19" ht="18" customHeight="1">
      <c r="A308" s="659"/>
      <c r="D308" s="654" t="s">
        <v>1001</v>
      </c>
      <c r="P308" s="660"/>
    </row>
    <row r="309" spans="1:19" ht="18" customHeight="1">
      <c r="A309" s="659"/>
      <c r="D309" s="654" t="s">
        <v>1002</v>
      </c>
      <c r="P309" s="660"/>
    </row>
    <row r="310" spans="1:19" ht="18" customHeight="1">
      <c r="A310" s="659"/>
      <c r="D310" s="654" t="s">
        <v>1003</v>
      </c>
      <c r="P310" s="660"/>
    </row>
    <row r="311" spans="1:19" ht="18" customHeight="1">
      <c r="A311" s="662"/>
      <c r="B311" s="663"/>
      <c r="C311" s="663"/>
      <c r="D311" s="663" t="s">
        <v>1004</v>
      </c>
      <c r="E311" s="663"/>
      <c r="F311" s="663"/>
      <c r="G311" s="663"/>
      <c r="H311" s="663"/>
      <c r="I311" s="663"/>
      <c r="J311" s="663"/>
      <c r="K311" s="663"/>
      <c r="L311" s="663"/>
      <c r="M311" s="663"/>
      <c r="N311" s="663"/>
      <c r="O311" s="663"/>
      <c r="P311" s="664"/>
    </row>
    <row r="314" spans="1:19" ht="18" customHeight="1">
      <c r="A314" s="656" t="s">
        <v>652</v>
      </c>
      <c r="B314" s="657" t="s">
        <v>653</v>
      </c>
      <c r="C314" s="657" t="s">
        <v>654</v>
      </c>
      <c r="D314" s="657"/>
      <c r="E314" s="657"/>
      <c r="F314" s="657"/>
      <c r="G314" s="657"/>
      <c r="H314" s="657"/>
      <c r="I314" s="657"/>
      <c r="J314" s="657"/>
      <c r="K314" s="657"/>
      <c r="L314" s="657"/>
      <c r="M314" s="657"/>
      <c r="N314" s="657"/>
      <c r="O314" s="658"/>
      <c r="Q314" s="722"/>
      <c r="R314" s="722"/>
      <c r="S314" s="722"/>
    </row>
    <row r="315" spans="1:19" ht="18" customHeight="1">
      <c r="A315" s="659"/>
      <c r="O315" s="660"/>
      <c r="Q315" s="723">
        <v>1</v>
      </c>
      <c r="R315" s="723">
        <v>4</v>
      </c>
      <c r="S315" s="723">
        <v>9</v>
      </c>
    </row>
    <row r="316" spans="1:19" ht="18" customHeight="1">
      <c r="A316" s="659"/>
      <c r="B316" s="654" t="s">
        <v>954</v>
      </c>
      <c r="C316" s="654" t="s">
        <v>783</v>
      </c>
      <c r="D316" s="654" t="s">
        <v>1005</v>
      </c>
      <c r="O316" s="660"/>
      <c r="Q316" s="724">
        <v>2</v>
      </c>
      <c r="R316" s="724">
        <v>3</v>
      </c>
      <c r="S316" s="724">
        <v>8</v>
      </c>
    </row>
    <row r="317" spans="1:19" ht="18" customHeight="1">
      <c r="A317" s="659"/>
      <c r="O317" s="660"/>
      <c r="Q317" s="725">
        <v>5</v>
      </c>
      <c r="R317" s="725">
        <v>6</v>
      </c>
      <c r="S317" s="725">
        <v>7</v>
      </c>
    </row>
    <row r="318" spans="1:19" ht="18" customHeight="1">
      <c r="A318" s="659"/>
      <c r="B318" s="654" t="s">
        <v>318</v>
      </c>
      <c r="C318" s="654" t="s">
        <v>783</v>
      </c>
      <c r="D318" s="654" t="s">
        <v>1006</v>
      </c>
      <c r="O318" s="660"/>
    </row>
    <row r="319" spans="1:19" ht="18" customHeight="1">
      <c r="A319" s="659"/>
      <c r="O319" s="660"/>
      <c r="Q319" s="693">
        <f ca="1">OFFSET(Q315,1,2)</f>
        <v>8</v>
      </c>
    </row>
    <row r="320" spans="1:19" ht="18" customHeight="1">
      <c r="A320" s="659"/>
      <c r="B320" s="654" t="s">
        <v>1007</v>
      </c>
      <c r="C320" s="654" t="s">
        <v>783</v>
      </c>
      <c r="D320" s="654" t="s">
        <v>1008</v>
      </c>
      <c r="O320" s="660"/>
    </row>
    <row r="321" spans="1:15" ht="18" customHeight="1">
      <c r="A321" s="659"/>
      <c r="O321" s="660"/>
    </row>
    <row r="322" spans="1:15" ht="18" customHeight="1">
      <c r="A322" s="659"/>
      <c r="B322" s="654" t="s">
        <v>1009</v>
      </c>
      <c r="C322" s="654" t="s">
        <v>769</v>
      </c>
      <c r="D322" s="654" t="s">
        <v>1010</v>
      </c>
      <c r="O322" s="660"/>
    </row>
    <row r="323" spans="1:15" ht="18" customHeight="1">
      <c r="A323" s="659"/>
      <c r="O323" s="660"/>
    </row>
    <row r="324" spans="1:15" ht="18" customHeight="1">
      <c r="A324" s="659"/>
      <c r="B324" s="654" t="s">
        <v>1011</v>
      </c>
      <c r="C324" s="654" t="s">
        <v>769</v>
      </c>
      <c r="D324" s="654" t="s">
        <v>1012</v>
      </c>
      <c r="O324" s="660"/>
    </row>
    <row r="325" spans="1:15" ht="18" customHeight="1">
      <c r="A325" s="659"/>
      <c r="D325" s="654" t="s">
        <v>1013</v>
      </c>
      <c r="O325" s="660"/>
    </row>
    <row r="326" spans="1:15" ht="18" customHeight="1">
      <c r="A326" s="659"/>
      <c r="D326" s="654" t="s">
        <v>1014</v>
      </c>
      <c r="O326" s="660"/>
    </row>
    <row r="327" spans="1:15" ht="18" customHeight="1">
      <c r="A327" s="662"/>
      <c r="B327" s="663"/>
      <c r="C327" s="663"/>
      <c r="D327" s="663" t="s">
        <v>1015</v>
      </c>
      <c r="E327" s="663"/>
      <c r="F327" s="663"/>
      <c r="G327" s="663"/>
      <c r="H327" s="663"/>
      <c r="I327" s="663"/>
      <c r="J327" s="663"/>
      <c r="K327" s="663"/>
      <c r="L327" s="663"/>
      <c r="M327" s="663"/>
      <c r="N327" s="663"/>
      <c r="O327" s="664"/>
    </row>
    <row r="330" spans="1:15" ht="18" customHeight="1">
      <c r="A330" s="656" t="s">
        <v>655</v>
      </c>
      <c r="B330" s="657" t="s">
        <v>656</v>
      </c>
      <c r="C330" s="657" t="s">
        <v>657</v>
      </c>
      <c r="D330" s="657"/>
      <c r="E330" s="657"/>
      <c r="F330" s="657"/>
      <c r="G330" s="657"/>
      <c r="H330" s="657"/>
      <c r="I330" s="658"/>
      <c r="K330" s="704">
        <v>44197</v>
      </c>
      <c r="M330" s="704">
        <v>44562</v>
      </c>
    </row>
    <row r="331" spans="1:15" ht="18" customHeight="1">
      <c r="A331" s="659"/>
      <c r="I331" s="660"/>
    </row>
    <row r="332" spans="1:15" ht="18" customHeight="1">
      <c r="A332" s="659"/>
      <c r="B332" s="654" t="s">
        <v>875</v>
      </c>
      <c r="C332" s="654" t="s">
        <v>783</v>
      </c>
      <c r="D332" s="654" t="s">
        <v>1016</v>
      </c>
      <c r="I332" s="660"/>
      <c r="K332" s="693">
        <f>NETWORKDAYS(K330,M330)</f>
        <v>261</v>
      </c>
    </row>
    <row r="333" spans="1:15" ht="18" customHeight="1">
      <c r="A333" s="659"/>
      <c r="I333" s="660"/>
    </row>
    <row r="334" spans="1:15" ht="18" customHeight="1">
      <c r="A334" s="659"/>
      <c r="B334" s="654" t="s">
        <v>877</v>
      </c>
      <c r="C334" s="654" t="s">
        <v>783</v>
      </c>
      <c r="D334" s="654" t="s">
        <v>1017</v>
      </c>
      <c r="I334" s="660"/>
    </row>
    <row r="335" spans="1:15" ht="18" customHeight="1">
      <c r="A335" s="659"/>
      <c r="I335" s="660"/>
    </row>
    <row r="336" spans="1:15" ht="18" customHeight="1">
      <c r="A336" s="659"/>
      <c r="B336" s="654" t="s">
        <v>1018</v>
      </c>
      <c r="C336" s="654" t="s">
        <v>769</v>
      </c>
      <c r="D336" s="654" t="s">
        <v>1019</v>
      </c>
      <c r="I336" s="660"/>
    </row>
    <row r="337" spans="1:25" ht="18" customHeight="1">
      <c r="A337" s="662"/>
      <c r="B337" s="663"/>
      <c r="C337" s="663"/>
      <c r="D337" s="663" t="s">
        <v>1020</v>
      </c>
      <c r="E337" s="663"/>
      <c r="F337" s="663"/>
      <c r="G337" s="663"/>
      <c r="H337" s="663"/>
      <c r="I337" s="664"/>
    </row>
    <row r="340" spans="1:25" ht="18" customHeight="1">
      <c r="A340" s="656" t="s">
        <v>176</v>
      </c>
      <c r="B340" s="657" t="s">
        <v>658</v>
      </c>
      <c r="C340" s="657" t="s">
        <v>659</v>
      </c>
      <c r="D340" s="657"/>
      <c r="E340" s="657"/>
      <c r="F340" s="657"/>
      <c r="G340" s="657"/>
      <c r="H340" s="657"/>
      <c r="I340" s="657"/>
      <c r="J340" s="657"/>
      <c r="K340" s="657"/>
      <c r="L340" s="657"/>
      <c r="M340" s="657"/>
      <c r="N340" s="657"/>
      <c r="O340" s="657"/>
      <c r="P340" s="657"/>
      <c r="Q340" s="657"/>
      <c r="R340" s="657"/>
      <c r="S340" s="657"/>
      <c r="T340" s="657"/>
      <c r="U340" s="658"/>
      <c r="W340" s="654" t="s">
        <v>1021</v>
      </c>
      <c r="X340" s="654" t="s">
        <v>1022</v>
      </c>
      <c r="Y340" s="654" t="s">
        <v>1023</v>
      </c>
    </row>
    <row r="341" spans="1:25" ht="18" customHeight="1">
      <c r="A341" s="659"/>
      <c r="U341" s="660"/>
      <c r="W341" s="654">
        <v>2021</v>
      </c>
      <c r="X341" s="654">
        <v>2</v>
      </c>
      <c r="Y341" s="654">
        <v>1</v>
      </c>
    </row>
    <row r="342" spans="1:25" ht="18" customHeight="1">
      <c r="A342" s="659"/>
      <c r="B342" s="654" t="s">
        <v>1024</v>
      </c>
      <c r="C342" s="654" t="s">
        <v>783</v>
      </c>
      <c r="D342" s="654" t="s">
        <v>1025</v>
      </c>
      <c r="U342" s="660"/>
    </row>
    <row r="343" spans="1:25" ht="18" customHeight="1">
      <c r="A343" s="659"/>
      <c r="U343" s="660"/>
      <c r="W343" s="726">
        <f>DATE(W341,X341,Y341)</f>
        <v>44228</v>
      </c>
    </row>
    <row r="344" spans="1:25" ht="18" customHeight="1">
      <c r="A344" s="659"/>
      <c r="B344" s="654" t="s">
        <v>1026</v>
      </c>
      <c r="C344" s="654" t="s">
        <v>783</v>
      </c>
      <c r="D344" s="654" t="s">
        <v>1027</v>
      </c>
      <c r="U344" s="660"/>
    </row>
    <row r="345" spans="1:25" ht="18" customHeight="1">
      <c r="A345" s="659"/>
      <c r="U345" s="660"/>
    </row>
    <row r="346" spans="1:25" ht="18" customHeight="1">
      <c r="A346" s="659"/>
      <c r="B346" s="654" t="s">
        <v>1028</v>
      </c>
      <c r="C346" s="654" t="s">
        <v>783</v>
      </c>
      <c r="D346" s="654" t="s">
        <v>1029</v>
      </c>
      <c r="U346" s="660"/>
    </row>
    <row r="347" spans="1:25" ht="18" customHeight="1">
      <c r="A347" s="659"/>
      <c r="D347" s="654" t="s">
        <v>1030</v>
      </c>
      <c r="U347" s="660"/>
    </row>
    <row r="348" spans="1:25" ht="18" customHeight="1">
      <c r="A348" s="662"/>
      <c r="B348" s="663"/>
      <c r="C348" s="663"/>
      <c r="D348" s="663" t="s">
        <v>1031</v>
      </c>
      <c r="E348" s="663"/>
      <c r="F348" s="663"/>
      <c r="G348" s="663"/>
      <c r="H348" s="663"/>
      <c r="I348" s="663"/>
      <c r="J348" s="663"/>
      <c r="K348" s="663"/>
      <c r="L348" s="663"/>
      <c r="M348" s="663"/>
      <c r="N348" s="663"/>
      <c r="O348" s="663"/>
      <c r="P348" s="663"/>
      <c r="Q348" s="663"/>
      <c r="R348" s="663"/>
      <c r="S348" s="663"/>
      <c r="T348" s="663"/>
      <c r="U348" s="664"/>
    </row>
    <row r="351" spans="1:25" ht="18" customHeight="1">
      <c r="A351" s="656" t="s">
        <v>660</v>
      </c>
      <c r="B351" s="657" t="s">
        <v>660</v>
      </c>
      <c r="C351" s="657" t="s">
        <v>661</v>
      </c>
      <c r="D351" s="657"/>
      <c r="E351" s="657"/>
      <c r="F351" s="657"/>
      <c r="G351" s="657"/>
      <c r="H351" s="657"/>
      <c r="I351" s="657"/>
      <c r="J351" s="657"/>
      <c r="K351" s="657"/>
      <c r="L351" s="658"/>
    </row>
    <row r="352" spans="1:25" ht="18" customHeight="1">
      <c r="A352" s="659"/>
      <c r="L352" s="660"/>
    </row>
    <row r="353" spans="1:16" ht="18" customHeight="1">
      <c r="A353" s="662"/>
      <c r="B353" s="663" t="s">
        <v>1032</v>
      </c>
      <c r="C353" s="663"/>
      <c r="D353" s="663"/>
      <c r="E353" s="663"/>
      <c r="F353" s="663"/>
      <c r="G353" s="663"/>
      <c r="H353" s="663"/>
      <c r="I353" s="663"/>
      <c r="J353" s="663"/>
      <c r="K353" s="663"/>
      <c r="L353" s="664"/>
    </row>
    <row r="356" spans="1:16" ht="18" customHeight="1">
      <c r="A356" s="656" t="s">
        <v>662</v>
      </c>
      <c r="B356" s="657" t="s">
        <v>662</v>
      </c>
      <c r="C356" s="657" t="s">
        <v>663</v>
      </c>
      <c r="D356" s="657"/>
      <c r="E356" s="657"/>
      <c r="F356" s="657"/>
      <c r="G356" s="657"/>
      <c r="H356" s="657"/>
      <c r="I356" s="657"/>
      <c r="J356" s="657"/>
      <c r="K356" s="657"/>
      <c r="L356" s="658"/>
    </row>
    <row r="357" spans="1:16" ht="18" customHeight="1">
      <c r="A357" s="659"/>
      <c r="L357" s="660"/>
    </row>
    <row r="358" spans="1:16" ht="18" customHeight="1">
      <c r="A358" s="662"/>
      <c r="B358" s="663" t="s">
        <v>1033</v>
      </c>
      <c r="C358" s="663"/>
      <c r="D358" s="663"/>
      <c r="E358" s="663"/>
      <c r="F358" s="663"/>
      <c r="G358" s="663"/>
      <c r="H358" s="663"/>
      <c r="I358" s="663"/>
      <c r="J358" s="663"/>
      <c r="K358" s="663"/>
      <c r="L358" s="664"/>
    </row>
    <row r="361" spans="1:16" ht="18" customHeight="1">
      <c r="A361" s="656" t="s">
        <v>664</v>
      </c>
      <c r="B361" s="657" t="s">
        <v>665</v>
      </c>
      <c r="C361" s="657" t="s">
        <v>666</v>
      </c>
      <c r="D361" s="657"/>
      <c r="E361" s="657"/>
      <c r="F361" s="657"/>
      <c r="G361" s="657"/>
      <c r="H361" s="657"/>
      <c r="I361" s="657"/>
      <c r="J361" s="657"/>
      <c r="K361" s="657"/>
      <c r="L361" s="658"/>
      <c r="N361" s="704">
        <f>W343</f>
        <v>44228</v>
      </c>
      <c r="P361" s="654">
        <f>YEAR(N361)</f>
        <v>2021</v>
      </c>
    </row>
    <row r="362" spans="1:16" ht="18" customHeight="1">
      <c r="A362" s="659"/>
      <c r="L362" s="660"/>
    </row>
    <row r="363" spans="1:16" ht="18" customHeight="1">
      <c r="A363" s="662"/>
      <c r="B363" s="663" t="s">
        <v>1034</v>
      </c>
      <c r="C363" s="663" t="s">
        <v>783</v>
      </c>
      <c r="D363" s="663" t="s">
        <v>1035</v>
      </c>
      <c r="E363" s="663"/>
      <c r="F363" s="663"/>
      <c r="G363" s="663"/>
      <c r="H363" s="663"/>
      <c r="I363" s="663"/>
      <c r="J363" s="663"/>
      <c r="K363" s="663"/>
      <c r="L363" s="664"/>
    </row>
    <row r="366" spans="1:16" ht="18" customHeight="1">
      <c r="A366" s="656" t="s">
        <v>667</v>
      </c>
      <c r="B366" s="657" t="s">
        <v>668</v>
      </c>
      <c r="C366" s="657" t="s">
        <v>669</v>
      </c>
      <c r="D366" s="657"/>
      <c r="E366" s="657"/>
      <c r="F366" s="657"/>
      <c r="G366" s="657"/>
      <c r="H366" s="657"/>
      <c r="I366" s="657"/>
      <c r="J366" s="657"/>
      <c r="K366" s="657"/>
      <c r="L366" s="658"/>
      <c r="P366" s="693">
        <f>MONTH(N361)</f>
        <v>2</v>
      </c>
    </row>
    <row r="367" spans="1:16" ht="18" customHeight="1">
      <c r="A367" s="659"/>
      <c r="L367" s="660"/>
    </row>
    <row r="368" spans="1:16" ht="18" customHeight="1">
      <c r="A368" s="662"/>
      <c r="B368" s="663" t="s">
        <v>1034</v>
      </c>
      <c r="C368" s="663" t="s">
        <v>783</v>
      </c>
      <c r="D368" s="663" t="s">
        <v>1036</v>
      </c>
      <c r="E368" s="663"/>
      <c r="F368" s="663"/>
      <c r="G368" s="663"/>
      <c r="H368" s="663"/>
      <c r="I368" s="663"/>
      <c r="J368" s="663"/>
      <c r="K368" s="663"/>
      <c r="L368" s="664"/>
    </row>
    <row r="371" spans="1:24" ht="18" customHeight="1">
      <c r="A371" s="656" t="s">
        <v>670</v>
      </c>
      <c r="B371" s="657" t="s">
        <v>671</v>
      </c>
      <c r="C371" s="657" t="s">
        <v>672</v>
      </c>
      <c r="D371" s="657"/>
      <c r="E371" s="657"/>
      <c r="F371" s="657"/>
      <c r="G371" s="657"/>
      <c r="H371" s="657"/>
      <c r="I371" s="657"/>
      <c r="J371" s="657"/>
      <c r="K371" s="657"/>
      <c r="L371" s="658"/>
      <c r="P371" s="693">
        <f>DAY(N361)</f>
        <v>1</v>
      </c>
    </row>
    <row r="372" spans="1:24" ht="18" customHeight="1">
      <c r="A372" s="659"/>
      <c r="L372" s="660"/>
    </row>
    <row r="373" spans="1:24" ht="18" customHeight="1">
      <c r="A373" s="662"/>
      <c r="B373" s="663" t="s">
        <v>1034</v>
      </c>
      <c r="C373" s="663" t="s">
        <v>783</v>
      </c>
      <c r="D373" s="663" t="s">
        <v>1037</v>
      </c>
      <c r="E373" s="663"/>
      <c r="F373" s="663"/>
      <c r="G373" s="663"/>
      <c r="H373" s="663"/>
      <c r="I373" s="663"/>
      <c r="J373" s="663"/>
      <c r="K373" s="663"/>
      <c r="L373" s="664"/>
    </row>
    <row r="376" spans="1:24" ht="18" customHeight="1">
      <c r="A376" s="656" t="s">
        <v>673</v>
      </c>
      <c r="B376" s="657" t="s">
        <v>674</v>
      </c>
      <c r="C376" s="657" t="s">
        <v>675</v>
      </c>
      <c r="D376" s="657"/>
      <c r="E376" s="657"/>
      <c r="F376" s="657"/>
      <c r="G376" s="657"/>
      <c r="H376" s="657"/>
      <c r="I376" s="657"/>
      <c r="J376" s="657"/>
      <c r="K376" s="657"/>
      <c r="L376" s="657"/>
      <c r="M376" s="657"/>
      <c r="N376" s="657"/>
      <c r="O376" s="657"/>
      <c r="P376" s="657"/>
      <c r="Q376" s="657"/>
      <c r="R376" s="657"/>
      <c r="S376" s="657"/>
      <c r="T376" s="657"/>
      <c r="U376" s="658"/>
      <c r="X376" s="727">
        <v>0.601064814814815</v>
      </c>
    </row>
    <row r="377" spans="1:24" ht="18" customHeight="1">
      <c r="A377" s="659"/>
      <c r="U377" s="660"/>
    </row>
    <row r="378" spans="1:24" ht="18" customHeight="1">
      <c r="A378" s="659"/>
      <c r="B378" s="654" t="s">
        <v>1034</v>
      </c>
      <c r="C378" s="654" t="s">
        <v>783</v>
      </c>
      <c r="D378" s="654" t="s">
        <v>1038</v>
      </c>
      <c r="U378" s="660"/>
      <c r="X378" s="693">
        <f>HOUR(X376)</f>
        <v>14</v>
      </c>
    </row>
    <row r="379" spans="1:24" ht="18" customHeight="1">
      <c r="A379" s="662"/>
      <c r="B379" s="663"/>
      <c r="C379" s="663"/>
      <c r="D379" s="663" t="s">
        <v>1039</v>
      </c>
      <c r="E379" s="663"/>
      <c r="F379" s="663"/>
      <c r="G379" s="663"/>
      <c r="H379" s="663"/>
      <c r="I379" s="663"/>
      <c r="J379" s="663"/>
      <c r="K379" s="663"/>
      <c r="L379" s="663"/>
      <c r="M379" s="663"/>
      <c r="N379" s="663"/>
      <c r="O379" s="663"/>
      <c r="P379" s="663"/>
      <c r="Q379" s="663"/>
      <c r="R379" s="663"/>
      <c r="S379" s="663"/>
      <c r="T379" s="663"/>
      <c r="U379" s="664"/>
    </row>
    <row r="382" spans="1:24" ht="18" customHeight="1">
      <c r="A382" s="656" t="s">
        <v>676</v>
      </c>
      <c r="B382" s="657" t="s">
        <v>677</v>
      </c>
      <c r="C382" s="657" t="s">
        <v>678</v>
      </c>
      <c r="D382" s="657"/>
      <c r="E382" s="657"/>
      <c r="F382" s="657"/>
      <c r="G382" s="657"/>
      <c r="H382" s="657"/>
      <c r="I382" s="657"/>
      <c r="J382" s="657"/>
      <c r="K382" s="657"/>
      <c r="L382" s="657"/>
      <c r="M382" s="657"/>
      <c r="N382" s="657"/>
      <c r="O382" s="657"/>
      <c r="P382" s="657"/>
      <c r="Q382" s="657"/>
      <c r="R382" s="657"/>
      <c r="S382" s="657"/>
      <c r="T382" s="657"/>
      <c r="U382" s="657"/>
      <c r="V382" s="658"/>
      <c r="X382" s="693">
        <f>MINUTE(X376)</f>
        <v>25</v>
      </c>
    </row>
    <row r="383" spans="1:24" ht="18" customHeight="1">
      <c r="A383" s="659"/>
      <c r="V383" s="660"/>
    </row>
    <row r="384" spans="1:24" ht="18" customHeight="1">
      <c r="A384" s="662"/>
      <c r="B384" s="663" t="s">
        <v>1034</v>
      </c>
      <c r="C384" s="663" t="s">
        <v>783</v>
      </c>
      <c r="D384" s="663" t="s">
        <v>1040</v>
      </c>
      <c r="E384" s="663"/>
      <c r="F384" s="663"/>
      <c r="G384" s="663"/>
      <c r="H384" s="663"/>
      <c r="I384" s="663"/>
      <c r="J384" s="663"/>
      <c r="K384" s="663"/>
      <c r="L384" s="663"/>
      <c r="M384" s="663"/>
      <c r="N384" s="663"/>
      <c r="O384" s="663"/>
      <c r="P384" s="663"/>
      <c r="Q384" s="663"/>
      <c r="R384" s="663"/>
      <c r="S384" s="663"/>
      <c r="T384" s="663"/>
      <c r="U384" s="663"/>
      <c r="V384" s="664"/>
    </row>
    <row r="387" spans="1:24" ht="18" customHeight="1">
      <c r="A387" s="656" t="s">
        <v>679</v>
      </c>
      <c r="B387" s="657" t="s">
        <v>680</v>
      </c>
      <c r="C387" s="657" t="s">
        <v>681</v>
      </c>
      <c r="D387" s="657"/>
      <c r="E387" s="657"/>
      <c r="F387" s="657"/>
      <c r="G387" s="657"/>
      <c r="H387" s="657"/>
      <c r="I387" s="657"/>
      <c r="J387" s="657"/>
      <c r="K387" s="657"/>
      <c r="L387" s="657"/>
      <c r="M387" s="657"/>
      <c r="N387" s="657"/>
      <c r="O387" s="657"/>
      <c r="P387" s="657"/>
      <c r="Q387" s="657"/>
      <c r="R387" s="657"/>
      <c r="S387" s="657"/>
      <c r="T387" s="657"/>
      <c r="U387" s="657"/>
      <c r="V387" s="658"/>
      <c r="X387" s="693">
        <f>SECOND(X376)</f>
        <v>32</v>
      </c>
    </row>
    <row r="388" spans="1:24" ht="18" customHeight="1">
      <c r="A388" s="659"/>
      <c r="V388" s="660"/>
    </row>
    <row r="389" spans="1:24" ht="18" customHeight="1">
      <c r="A389" s="662"/>
      <c r="B389" s="663" t="s">
        <v>1034</v>
      </c>
      <c r="C389" s="663" t="s">
        <v>783</v>
      </c>
      <c r="D389" s="663" t="s">
        <v>1041</v>
      </c>
      <c r="E389" s="663"/>
      <c r="F389" s="663"/>
      <c r="G389" s="663"/>
      <c r="H389" s="663"/>
      <c r="I389" s="663"/>
      <c r="J389" s="663"/>
      <c r="K389" s="663"/>
      <c r="L389" s="663"/>
      <c r="M389" s="663"/>
      <c r="N389" s="663"/>
      <c r="O389" s="663"/>
      <c r="P389" s="663"/>
      <c r="Q389" s="663"/>
      <c r="R389" s="663"/>
      <c r="S389" s="663"/>
      <c r="T389" s="663"/>
      <c r="U389" s="663"/>
      <c r="V389" s="664"/>
    </row>
    <row r="392" spans="1:24" ht="18" customHeight="1">
      <c r="A392" s="656" t="s">
        <v>683</v>
      </c>
      <c r="B392" s="657" t="s">
        <v>1042</v>
      </c>
      <c r="C392" s="657" t="s">
        <v>685</v>
      </c>
      <c r="D392" s="657"/>
      <c r="E392" s="657"/>
      <c r="F392" s="657"/>
      <c r="G392" s="657"/>
      <c r="H392" s="657"/>
      <c r="I392" s="657"/>
      <c r="J392" s="657"/>
      <c r="K392" s="657"/>
      <c r="L392" s="657"/>
      <c r="M392" s="657"/>
      <c r="N392" s="658"/>
      <c r="Q392" s="693">
        <f>ROW(A1)</f>
        <v>1</v>
      </c>
    </row>
    <row r="393" spans="1:24" ht="18" customHeight="1">
      <c r="A393" s="659"/>
      <c r="N393" s="660"/>
    </row>
    <row r="394" spans="1:24" ht="18" customHeight="1">
      <c r="A394" s="659"/>
      <c r="B394" s="654" t="s">
        <v>1043</v>
      </c>
      <c r="C394" s="654" t="s">
        <v>769</v>
      </c>
      <c r="D394" s="654" t="s">
        <v>1044</v>
      </c>
      <c r="N394" s="660"/>
    </row>
    <row r="395" spans="1:24" ht="18" customHeight="1">
      <c r="A395" s="659"/>
      <c r="D395" s="654" t="s">
        <v>1045</v>
      </c>
      <c r="N395" s="660"/>
    </row>
    <row r="396" spans="1:24" ht="18" customHeight="1">
      <c r="A396" s="659"/>
      <c r="D396" s="654" t="s">
        <v>1046</v>
      </c>
      <c r="N396" s="660"/>
    </row>
    <row r="397" spans="1:24" ht="18" customHeight="1">
      <c r="A397" s="662"/>
      <c r="B397" s="663"/>
      <c r="C397" s="663"/>
      <c r="D397" s="663" t="s">
        <v>1047</v>
      </c>
      <c r="E397" s="663"/>
      <c r="F397" s="663"/>
      <c r="G397" s="663"/>
      <c r="H397" s="663"/>
      <c r="I397" s="663"/>
      <c r="J397" s="663"/>
      <c r="K397" s="663"/>
      <c r="L397" s="663"/>
      <c r="M397" s="663"/>
      <c r="N397" s="664"/>
    </row>
    <row r="400" spans="1:24" ht="18" customHeight="1">
      <c r="A400" s="656" t="s">
        <v>686</v>
      </c>
      <c r="B400" s="657" t="s">
        <v>1048</v>
      </c>
      <c r="C400" s="657" t="s">
        <v>688</v>
      </c>
      <c r="D400" s="657"/>
      <c r="E400" s="657"/>
      <c r="F400" s="657"/>
      <c r="G400" s="657"/>
      <c r="H400" s="657"/>
      <c r="I400" s="657"/>
      <c r="J400" s="657"/>
      <c r="K400" s="657"/>
      <c r="L400" s="657"/>
      <c r="M400" s="657"/>
      <c r="N400" s="657"/>
      <c r="O400" s="657"/>
      <c r="P400" s="657"/>
      <c r="Q400" s="657"/>
      <c r="R400" s="658"/>
    </row>
    <row r="401" spans="1:20" ht="18" customHeight="1">
      <c r="A401" s="659"/>
      <c r="R401" s="660"/>
      <c r="T401" s="693">
        <f>COLUMN(B3)</f>
        <v>2</v>
      </c>
    </row>
    <row r="402" spans="1:20" ht="18" customHeight="1">
      <c r="A402" s="659"/>
      <c r="B402" s="654" t="s">
        <v>1043</v>
      </c>
      <c r="C402" s="654" t="s">
        <v>769</v>
      </c>
      <c r="D402" s="654" t="s">
        <v>1049</v>
      </c>
      <c r="R402" s="660"/>
    </row>
    <row r="403" spans="1:20" ht="18" customHeight="1">
      <c r="A403" s="659"/>
      <c r="D403" s="654" t="s">
        <v>1050</v>
      </c>
      <c r="R403" s="660"/>
    </row>
    <row r="404" spans="1:20" ht="18" customHeight="1">
      <c r="A404" s="659"/>
      <c r="D404" s="654" t="s">
        <v>1051</v>
      </c>
      <c r="R404" s="660"/>
    </row>
    <row r="405" spans="1:20" ht="18" customHeight="1">
      <c r="A405" s="659"/>
      <c r="D405" s="654" t="s">
        <v>1052</v>
      </c>
      <c r="R405" s="660"/>
    </row>
    <row r="406" spans="1:20" ht="18" customHeight="1">
      <c r="A406" s="662"/>
      <c r="B406" s="663"/>
      <c r="C406" s="663"/>
      <c r="D406" s="663" t="s">
        <v>1053</v>
      </c>
      <c r="E406" s="663"/>
      <c r="F406" s="663"/>
      <c r="G406" s="663"/>
      <c r="H406" s="663"/>
      <c r="I406" s="663"/>
      <c r="J406" s="663"/>
      <c r="K406" s="663"/>
      <c r="L406" s="663"/>
      <c r="M406" s="663"/>
      <c r="N406" s="663"/>
      <c r="O406" s="663"/>
      <c r="P406" s="663"/>
      <c r="Q406" s="663"/>
      <c r="R406" s="664"/>
    </row>
    <row r="409" spans="1:20" ht="18" customHeight="1">
      <c r="A409" s="656" t="s">
        <v>689</v>
      </c>
      <c r="B409" s="657" t="s">
        <v>690</v>
      </c>
      <c r="C409" s="657" t="s">
        <v>1054</v>
      </c>
      <c r="D409" s="657"/>
      <c r="E409" s="657"/>
      <c r="F409" s="657"/>
      <c r="G409" s="657"/>
      <c r="H409" s="658"/>
    </row>
    <row r="410" spans="1:20" ht="18" customHeight="1">
      <c r="A410" s="659"/>
      <c r="H410" s="660"/>
      <c r="J410" s="700" t="s">
        <v>832</v>
      </c>
      <c r="K410" s="700" t="s">
        <v>1055</v>
      </c>
      <c r="L410" s="700" t="s">
        <v>1056</v>
      </c>
    </row>
    <row r="411" spans="1:20" ht="18" customHeight="1">
      <c r="A411" s="659"/>
      <c r="B411" s="654" t="s">
        <v>814</v>
      </c>
      <c r="C411" s="654" t="s">
        <v>783</v>
      </c>
      <c r="D411" s="654" t="s">
        <v>1057</v>
      </c>
      <c r="H411" s="660"/>
      <c r="J411" s="701">
        <v>1</v>
      </c>
      <c r="K411" s="693">
        <f>MAX(J411:J414)</f>
        <v>3</v>
      </c>
      <c r="L411" s="693">
        <f>MIN(J411:J414)</f>
        <v>1</v>
      </c>
    </row>
    <row r="412" spans="1:20" ht="18" customHeight="1">
      <c r="A412" s="659"/>
      <c r="H412" s="660"/>
      <c r="J412" s="701">
        <v>2</v>
      </c>
    </row>
    <row r="413" spans="1:20" ht="18" customHeight="1">
      <c r="A413" s="662"/>
      <c r="B413" s="663" t="s">
        <v>816</v>
      </c>
      <c r="C413" s="663" t="s">
        <v>769</v>
      </c>
      <c r="D413" s="663" t="s">
        <v>1058</v>
      </c>
      <c r="E413" s="663"/>
      <c r="F413" s="663"/>
      <c r="G413" s="663"/>
      <c r="H413" s="664"/>
      <c r="J413" s="701">
        <v>2</v>
      </c>
    </row>
    <row r="414" spans="1:20" ht="18" customHeight="1">
      <c r="J414" s="702">
        <v>3</v>
      </c>
    </row>
    <row r="416" spans="1:20" ht="18" customHeight="1">
      <c r="A416" s="656" t="s">
        <v>692</v>
      </c>
      <c r="B416" s="657" t="s">
        <v>693</v>
      </c>
      <c r="C416" s="657" t="s">
        <v>1059</v>
      </c>
      <c r="D416" s="657"/>
      <c r="E416" s="657"/>
      <c r="F416" s="657"/>
      <c r="G416" s="657"/>
      <c r="H416" s="658"/>
    </row>
    <row r="417" spans="1:17" ht="18" customHeight="1">
      <c r="A417" s="659"/>
      <c r="H417" s="660"/>
    </row>
    <row r="418" spans="1:17" ht="18" customHeight="1">
      <c r="A418" s="659"/>
      <c r="B418" s="654" t="s">
        <v>814</v>
      </c>
      <c r="C418" s="654" t="s">
        <v>783</v>
      </c>
      <c r="D418" s="654" t="s">
        <v>1057</v>
      </c>
      <c r="H418" s="660"/>
    </row>
    <row r="419" spans="1:17" ht="18" customHeight="1">
      <c r="A419" s="659"/>
      <c r="H419" s="660"/>
    </row>
    <row r="420" spans="1:17" ht="18" customHeight="1">
      <c r="A420" s="662"/>
      <c r="B420" s="663" t="s">
        <v>816</v>
      </c>
      <c r="C420" s="663" t="s">
        <v>769</v>
      </c>
      <c r="D420" s="663" t="s">
        <v>1058</v>
      </c>
      <c r="E420" s="663"/>
      <c r="F420" s="663"/>
      <c r="G420" s="663"/>
      <c r="H420" s="664"/>
    </row>
    <row r="423" spans="1:17" ht="18" customHeight="1">
      <c r="A423" s="656" t="s">
        <v>698</v>
      </c>
      <c r="B423" s="657" t="s">
        <v>699</v>
      </c>
      <c r="C423" s="657" t="s">
        <v>700</v>
      </c>
      <c r="D423" s="657"/>
      <c r="E423" s="657"/>
      <c r="F423" s="657"/>
      <c r="G423" s="657"/>
      <c r="H423" s="657"/>
      <c r="I423" s="657"/>
      <c r="J423" s="657"/>
      <c r="K423" s="657"/>
      <c r="L423" s="657"/>
      <c r="M423" s="657"/>
      <c r="N423" s="657"/>
      <c r="O423" s="657"/>
      <c r="P423" s="657"/>
      <c r="Q423" s="658"/>
    </row>
    <row r="424" spans="1:17" ht="18" customHeight="1">
      <c r="A424" s="659"/>
      <c r="Q424" s="660"/>
    </row>
    <row r="425" spans="1:17" ht="18" customHeight="1">
      <c r="A425" s="659"/>
      <c r="B425" s="654" t="s">
        <v>782</v>
      </c>
      <c r="C425" s="654" t="s">
        <v>783</v>
      </c>
      <c r="D425" s="654" t="s">
        <v>1060</v>
      </c>
      <c r="K425" s="693">
        <f>LEN(D425)</f>
        <v>23</v>
      </c>
      <c r="Q425" s="660"/>
    </row>
    <row r="426" spans="1:17" ht="18" customHeight="1">
      <c r="A426" s="659"/>
      <c r="D426" s="654" t="s">
        <v>1061</v>
      </c>
      <c r="Q426" s="660"/>
    </row>
    <row r="427" spans="1:17" ht="18" customHeight="1">
      <c r="A427" s="659"/>
      <c r="D427" s="654" t="s">
        <v>1062</v>
      </c>
      <c r="Q427" s="660"/>
    </row>
    <row r="428" spans="1:17" ht="18" customHeight="1">
      <c r="A428" s="659"/>
      <c r="D428" s="654" t="s">
        <v>1063</v>
      </c>
      <c r="Q428" s="660"/>
    </row>
    <row r="429" spans="1:17" ht="18" customHeight="1">
      <c r="A429" s="659"/>
      <c r="D429" s="654" t="s">
        <v>1064</v>
      </c>
      <c r="Q429" s="660"/>
    </row>
    <row r="430" spans="1:17" ht="18" customHeight="1">
      <c r="A430" s="659"/>
      <c r="D430" s="654" t="s">
        <v>1065</v>
      </c>
      <c r="Q430" s="660"/>
    </row>
    <row r="431" spans="1:17" ht="18" customHeight="1">
      <c r="A431" s="662"/>
      <c r="B431" s="663"/>
      <c r="C431" s="663"/>
      <c r="D431" s="663" t="s">
        <v>1066</v>
      </c>
      <c r="E431" s="663"/>
      <c r="F431" s="663"/>
      <c r="G431" s="663"/>
      <c r="H431" s="663"/>
      <c r="I431" s="663"/>
      <c r="J431" s="663"/>
      <c r="K431" s="663"/>
      <c r="L431" s="663"/>
      <c r="M431" s="663"/>
      <c r="N431" s="663"/>
      <c r="O431" s="663"/>
      <c r="P431" s="663"/>
      <c r="Q431" s="664"/>
    </row>
    <row r="434" spans="1:13" ht="18" customHeight="1">
      <c r="A434" s="656" t="s">
        <v>701</v>
      </c>
      <c r="B434" s="657" t="s">
        <v>702</v>
      </c>
      <c r="C434" s="657" t="s">
        <v>703</v>
      </c>
      <c r="D434" s="657"/>
      <c r="E434" s="657"/>
      <c r="F434" s="657"/>
      <c r="G434" s="657"/>
      <c r="H434" s="658"/>
      <c r="J434" s="700"/>
    </row>
    <row r="435" spans="1:13" ht="18" customHeight="1">
      <c r="A435" s="674" t="s">
        <v>704</v>
      </c>
      <c r="B435" s="654" t="s">
        <v>705</v>
      </c>
      <c r="C435" s="654" t="s">
        <v>706</v>
      </c>
      <c r="H435" s="660"/>
      <c r="J435" s="701" t="s">
        <v>1067</v>
      </c>
    </row>
    <row r="436" spans="1:13" ht="18" customHeight="1">
      <c r="A436" s="659"/>
      <c r="H436" s="660"/>
      <c r="J436" s="701" t="s">
        <v>1068</v>
      </c>
      <c r="L436" s="693" t="str">
        <f>LEFT(J435,5)</f>
        <v>zhrmg</v>
      </c>
    </row>
    <row r="437" spans="1:13" ht="18" customHeight="1">
      <c r="A437" s="659"/>
      <c r="B437" s="654" t="s">
        <v>782</v>
      </c>
      <c r="C437" s="654" t="s">
        <v>783</v>
      </c>
      <c r="D437" s="654" t="s">
        <v>1069</v>
      </c>
      <c r="H437" s="660"/>
      <c r="J437" s="701" t="s">
        <v>1070</v>
      </c>
      <c r="L437" s="693" t="str">
        <f>RIGHT(J435,5)</f>
        <v>ghgws</v>
      </c>
    </row>
    <row r="438" spans="1:13" ht="18" customHeight="1">
      <c r="A438" s="659"/>
      <c r="H438" s="660"/>
      <c r="J438" s="702" t="s">
        <v>1071</v>
      </c>
      <c r="L438" s="693" t="str">
        <f>MID(J435,2,5)</f>
        <v>hrmgh</v>
      </c>
    </row>
    <row r="439" spans="1:13" ht="18" customHeight="1">
      <c r="A439" s="659"/>
      <c r="B439" s="654" t="s">
        <v>1072</v>
      </c>
      <c r="C439" s="654" t="s">
        <v>769</v>
      </c>
      <c r="D439" s="654" t="s">
        <v>1073</v>
      </c>
      <c r="H439" s="660"/>
    </row>
    <row r="440" spans="1:13" ht="18" customHeight="1">
      <c r="A440" s="659"/>
      <c r="D440" s="654" t="s">
        <v>1074</v>
      </c>
      <c r="H440" s="660"/>
    </row>
    <row r="441" spans="1:13" ht="18" customHeight="1">
      <c r="A441" s="659"/>
      <c r="D441" s="654" t="s">
        <v>1075</v>
      </c>
      <c r="H441" s="660"/>
    </row>
    <row r="442" spans="1:13" ht="18" customHeight="1">
      <c r="A442" s="662"/>
      <c r="B442" s="663"/>
      <c r="C442" s="663"/>
      <c r="D442" s="663" t="s">
        <v>1076</v>
      </c>
      <c r="E442" s="663"/>
      <c r="F442" s="663"/>
      <c r="G442" s="663"/>
      <c r="H442" s="664"/>
    </row>
    <row r="445" spans="1:13" ht="18" customHeight="1">
      <c r="A445" s="656" t="s">
        <v>707</v>
      </c>
      <c r="B445" s="657" t="s">
        <v>708</v>
      </c>
      <c r="C445" s="657" t="s">
        <v>709</v>
      </c>
      <c r="D445" s="657"/>
      <c r="E445" s="657"/>
      <c r="F445" s="657"/>
      <c r="G445" s="657"/>
      <c r="H445" s="657"/>
      <c r="I445" s="657"/>
      <c r="J445" s="657"/>
      <c r="K445" s="657"/>
      <c r="L445" s="657"/>
      <c r="M445" s="658"/>
    </row>
    <row r="446" spans="1:13" ht="18" customHeight="1">
      <c r="A446" s="659"/>
      <c r="M446" s="660"/>
    </row>
    <row r="447" spans="1:13" ht="18" customHeight="1">
      <c r="A447" s="659"/>
      <c r="B447" s="654" t="s">
        <v>782</v>
      </c>
      <c r="C447" s="654" t="s">
        <v>783</v>
      </c>
      <c r="D447" s="654" t="s">
        <v>1077</v>
      </c>
      <c r="M447" s="660"/>
    </row>
    <row r="448" spans="1:13" ht="18" customHeight="1">
      <c r="A448" s="659"/>
      <c r="M448" s="660"/>
    </row>
    <row r="449" spans="1:15" ht="18" customHeight="1">
      <c r="A449" s="659"/>
      <c r="B449" s="654" t="s">
        <v>1078</v>
      </c>
      <c r="C449" s="654" t="s">
        <v>783</v>
      </c>
      <c r="D449" s="654" t="s">
        <v>1079</v>
      </c>
      <c r="M449" s="660"/>
    </row>
    <row r="450" spans="1:15" ht="18" customHeight="1">
      <c r="A450" s="659"/>
      <c r="M450" s="660"/>
    </row>
    <row r="451" spans="1:15" ht="18" customHeight="1">
      <c r="A451" s="659"/>
      <c r="B451" s="654" t="s">
        <v>1080</v>
      </c>
      <c r="C451" s="654" t="s">
        <v>783</v>
      </c>
      <c r="D451" s="654" t="s">
        <v>1081</v>
      </c>
      <c r="M451" s="660"/>
    </row>
    <row r="452" spans="1:15" ht="18" customHeight="1">
      <c r="A452" s="659"/>
      <c r="D452" s="654" t="s">
        <v>1082</v>
      </c>
      <c r="M452" s="660"/>
    </row>
    <row r="453" spans="1:15" ht="18" customHeight="1">
      <c r="A453" s="659"/>
      <c r="D453" s="654" t="s">
        <v>1083</v>
      </c>
      <c r="M453" s="660"/>
    </row>
    <row r="454" spans="1:15" ht="18" customHeight="1">
      <c r="A454" s="659"/>
      <c r="D454" s="654" t="s">
        <v>1084</v>
      </c>
      <c r="M454" s="660"/>
    </row>
    <row r="455" spans="1:15" ht="18" customHeight="1">
      <c r="A455" s="659"/>
      <c r="D455" s="654" t="s">
        <v>1085</v>
      </c>
      <c r="M455" s="660"/>
    </row>
    <row r="456" spans="1:15" ht="18" customHeight="1">
      <c r="A456" s="662"/>
      <c r="B456" s="663"/>
      <c r="C456" s="663"/>
      <c r="D456" s="663" t="s">
        <v>1086</v>
      </c>
      <c r="E456" s="663"/>
      <c r="F456" s="663"/>
      <c r="G456" s="663"/>
      <c r="H456" s="663"/>
      <c r="I456" s="663"/>
      <c r="J456" s="663"/>
      <c r="K456" s="663"/>
      <c r="L456" s="663"/>
      <c r="M456" s="664"/>
    </row>
    <row r="459" spans="1:15" ht="18" customHeight="1">
      <c r="A459" s="656" t="s">
        <v>710</v>
      </c>
      <c r="B459" s="657" t="s">
        <v>711</v>
      </c>
      <c r="C459" s="657" t="s">
        <v>712</v>
      </c>
      <c r="D459" s="657"/>
      <c r="E459" s="657"/>
      <c r="F459" s="657"/>
      <c r="G459" s="657"/>
      <c r="H459" s="657"/>
      <c r="I459" s="657"/>
      <c r="J459" s="657"/>
      <c r="K459" s="658"/>
      <c r="M459" s="700" t="s">
        <v>265</v>
      </c>
      <c r="N459" s="700" t="s">
        <v>1087</v>
      </c>
      <c r="O459" s="700" t="s">
        <v>1088</v>
      </c>
    </row>
    <row r="460" spans="1:15" ht="18" customHeight="1">
      <c r="A460" s="674" t="s">
        <v>713</v>
      </c>
      <c r="B460" s="654" t="s">
        <v>714</v>
      </c>
      <c r="C460" s="654" t="s">
        <v>715</v>
      </c>
      <c r="K460" s="660"/>
      <c r="M460" s="701">
        <v>4</v>
      </c>
      <c r="N460" s="693">
        <f>SMALL(M460:M468,3)</f>
        <v>7</v>
      </c>
      <c r="O460" s="693">
        <f>LARGE(M460:M468,3)</f>
        <v>72</v>
      </c>
    </row>
    <row r="461" spans="1:15" ht="18" customHeight="1">
      <c r="A461" s="659"/>
      <c r="K461" s="660"/>
      <c r="M461" s="701">
        <v>2</v>
      </c>
    </row>
    <row r="462" spans="1:15" ht="18" customHeight="1">
      <c r="A462" s="659"/>
      <c r="B462" s="654" t="s">
        <v>230</v>
      </c>
      <c r="C462" s="654" t="s">
        <v>783</v>
      </c>
      <c r="D462" s="654" t="s">
        <v>1089</v>
      </c>
      <c r="K462" s="660"/>
      <c r="M462" s="701">
        <v>8</v>
      </c>
    </row>
    <row r="463" spans="1:15" ht="18" customHeight="1">
      <c r="A463" s="659"/>
      <c r="K463" s="660"/>
      <c r="M463" s="701">
        <v>83</v>
      </c>
    </row>
    <row r="464" spans="1:15" ht="18" customHeight="1">
      <c r="A464" s="659"/>
      <c r="B464" s="654" t="s">
        <v>1090</v>
      </c>
      <c r="C464" s="654" t="s">
        <v>783</v>
      </c>
      <c r="D464" s="654" t="s">
        <v>1091</v>
      </c>
      <c r="K464" s="660"/>
      <c r="M464" s="701">
        <v>8</v>
      </c>
    </row>
    <row r="465" spans="1:36" ht="18" customHeight="1">
      <c r="A465" s="659"/>
      <c r="D465" s="654" t="s">
        <v>1092</v>
      </c>
      <c r="K465" s="660"/>
      <c r="M465" s="701">
        <v>73</v>
      </c>
    </row>
    <row r="466" spans="1:36" ht="18" customHeight="1">
      <c r="A466" s="659"/>
      <c r="D466" s="654" t="s">
        <v>1093</v>
      </c>
      <c r="K466" s="660"/>
      <c r="M466" s="701">
        <v>48</v>
      </c>
    </row>
    <row r="467" spans="1:36" ht="18" customHeight="1">
      <c r="A467" s="659"/>
      <c r="D467" s="654" t="s">
        <v>1094</v>
      </c>
      <c r="K467" s="660"/>
      <c r="M467" s="701">
        <v>72</v>
      </c>
    </row>
    <row r="468" spans="1:36" ht="18" customHeight="1">
      <c r="A468" s="662"/>
      <c r="B468" s="663"/>
      <c r="C468" s="663"/>
      <c r="D468" s="663" t="s">
        <v>1095</v>
      </c>
      <c r="E468" s="663"/>
      <c r="F468" s="663"/>
      <c r="G468" s="663"/>
      <c r="H468" s="663"/>
      <c r="I468" s="663"/>
      <c r="J468" s="663"/>
      <c r="K468" s="664"/>
      <c r="M468" s="702">
        <v>7</v>
      </c>
    </row>
    <row r="471" spans="1:36" ht="18" customHeight="1">
      <c r="A471" s="656" t="s">
        <v>716</v>
      </c>
      <c r="B471" s="657" t="s">
        <v>1096</v>
      </c>
      <c r="C471" s="657" t="s">
        <v>718</v>
      </c>
      <c r="D471" s="657"/>
      <c r="E471" s="657"/>
      <c r="F471" s="657"/>
      <c r="G471" s="657"/>
      <c r="H471" s="657"/>
      <c r="I471" s="657"/>
      <c r="J471" s="657"/>
      <c r="K471" s="657"/>
      <c r="L471" s="657"/>
      <c r="M471" s="657"/>
      <c r="N471" s="657"/>
      <c r="O471" s="657"/>
      <c r="P471" s="657"/>
      <c r="Q471" s="657"/>
      <c r="R471" s="657"/>
      <c r="S471" s="657"/>
      <c r="T471" s="657"/>
      <c r="U471" s="657"/>
      <c r="V471" s="657"/>
      <c r="W471" s="657"/>
      <c r="X471" s="657"/>
      <c r="Y471" s="657"/>
      <c r="Z471" s="657"/>
      <c r="AA471" s="657"/>
      <c r="AB471" s="657"/>
      <c r="AC471" s="657"/>
      <c r="AD471" s="657"/>
      <c r="AE471" s="657"/>
      <c r="AF471" s="657"/>
      <c r="AG471" s="657"/>
      <c r="AH471" s="657"/>
      <c r="AI471" s="657"/>
      <c r="AJ471" s="658"/>
    </row>
    <row r="472" spans="1:36" ht="18" customHeight="1">
      <c r="A472" s="659"/>
      <c r="AJ472" s="660"/>
    </row>
    <row r="473" spans="1:36" ht="18" customHeight="1">
      <c r="A473" s="659"/>
      <c r="B473" s="654" t="s">
        <v>1097</v>
      </c>
      <c r="C473" s="654" t="s">
        <v>783</v>
      </c>
      <c r="D473" s="654" t="s">
        <v>1098</v>
      </c>
      <c r="AJ473" s="660"/>
    </row>
    <row r="474" spans="1:36" ht="18" customHeight="1">
      <c r="A474" s="659"/>
      <c r="AJ474" s="660"/>
    </row>
    <row r="475" spans="1:36" ht="18" customHeight="1">
      <c r="A475" s="659"/>
      <c r="B475" s="654" t="s">
        <v>1099</v>
      </c>
      <c r="C475" s="654" t="s">
        <v>769</v>
      </c>
      <c r="D475" s="654" t="s">
        <v>1100</v>
      </c>
      <c r="AJ475" s="660"/>
    </row>
    <row r="476" spans="1:36" ht="18" customHeight="1">
      <c r="A476" s="659"/>
      <c r="AJ476" s="660"/>
    </row>
    <row r="477" spans="1:36" ht="18" customHeight="1">
      <c r="A477" s="659"/>
      <c r="D477" s="654" t="s">
        <v>1101</v>
      </c>
      <c r="AJ477" s="660"/>
    </row>
    <row r="478" spans="1:36" ht="18" customHeight="1">
      <c r="A478" s="659"/>
      <c r="D478" s="654" t="s">
        <v>1102</v>
      </c>
      <c r="AJ478" s="660"/>
    </row>
    <row r="479" spans="1:36" ht="18" customHeight="1">
      <c r="A479" s="659"/>
      <c r="D479" s="654" t="s">
        <v>1103</v>
      </c>
      <c r="AJ479" s="660"/>
    </row>
    <row r="480" spans="1:36" ht="18" customHeight="1">
      <c r="A480" s="659"/>
      <c r="D480" s="654" t="s">
        <v>1104</v>
      </c>
      <c r="AJ480" s="660"/>
    </row>
    <row r="481" spans="1:36" ht="18" customHeight="1">
      <c r="A481" s="662"/>
      <c r="B481" s="663"/>
      <c r="C481" s="663"/>
      <c r="D481" s="663" t="s">
        <v>1105</v>
      </c>
      <c r="E481" s="663"/>
      <c r="F481" s="663"/>
      <c r="G481" s="663"/>
      <c r="H481" s="663"/>
      <c r="I481" s="663"/>
      <c r="J481" s="663"/>
      <c r="K481" s="663"/>
      <c r="L481" s="663"/>
      <c r="M481" s="663"/>
      <c r="N481" s="663"/>
      <c r="O481" s="663"/>
      <c r="P481" s="663"/>
      <c r="Q481" s="663"/>
      <c r="R481" s="663"/>
      <c r="S481" s="663"/>
      <c r="T481" s="663"/>
      <c r="U481" s="663"/>
      <c r="V481" s="663"/>
      <c r="W481" s="663"/>
      <c r="X481" s="663"/>
      <c r="Y481" s="663"/>
      <c r="Z481" s="663"/>
      <c r="AA481" s="663"/>
      <c r="AB481" s="663"/>
      <c r="AC481" s="663"/>
      <c r="AD481" s="663"/>
      <c r="AE481" s="663"/>
      <c r="AF481" s="663"/>
      <c r="AG481" s="663"/>
      <c r="AH481" s="663"/>
      <c r="AI481" s="663"/>
      <c r="AJ481" s="664"/>
    </row>
    <row r="484" spans="1:36" ht="18" customHeight="1">
      <c r="A484" s="656" t="s">
        <v>720</v>
      </c>
      <c r="B484" s="657" t="s">
        <v>721</v>
      </c>
      <c r="C484" s="657" t="s">
        <v>722</v>
      </c>
      <c r="D484" s="657"/>
      <c r="E484" s="657"/>
      <c r="F484" s="657"/>
      <c r="G484" s="657"/>
      <c r="H484" s="657"/>
      <c r="I484" s="657"/>
      <c r="J484" s="657"/>
      <c r="K484" s="657"/>
      <c r="L484" s="657"/>
      <c r="M484" s="657"/>
      <c r="N484" s="657"/>
      <c r="O484" s="657"/>
      <c r="P484" s="657"/>
      <c r="Q484" s="657"/>
      <c r="R484" s="657"/>
      <c r="S484" s="658"/>
      <c r="U484" s="728"/>
    </row>
    <row r="485" spans="1:36" ht="18" customHeight="1">
      <c r="A485" s="659"/>
      <c r="S485" s="660"/>
    </row>
    <row r="486" spans="1:36" ht="18" customHeight="1">
      <c r="A486" s="659"/>
      <c r="B486" s="654" t="s">
        <v>1106</v>
      </c>
      <c r="C486" s="654" t="s">
        <v>783</v>
      </c>
      <c r="D486" s="654" t="s">
        <v>1107</v>
      </c>
      <c r="S486" s="660"/>
    </row>
    <row r="487" spans="1:36" ht="18" customHeight="1">
      <c r="A487" s="659"/>
      <c r="S487" s="660"/>
    </row>
    <row r="488" spans="1:36" ht="18" customHeight="1">
      <c r="A488" s="659"/>
      <c r="B488" s="654" t="s">
        <v>1108</v>
      </c>
      <c r="C488" s="654" t="s">
        <v>769</v>
      </c>
      <c r="D488" s="654" t="s">
        <v>1109</v>
      </c>
      <c r="S488" s="660"/>
    </row>
    <row r="489" spans="1:36" ht="18" customHeight="1">
      <c r="A489" s="659"/>
      <c r="D489" s="654" t="s">
        <v>1110</v>
      </c>
      <c r="S489" s="660"/>
    </row>
    <row r="490" spans="1:36" ht="18" customHeight="1">
      <c r="A490" s="659"/>
      <c r="D490" s="654" t="s">
        <v>1111</v>
      </c>
      <c r="S490" s="660"/>
    </row>
    <row r="491" spans="1:36" ht="18" customHeight="1">
      <c r="A491" s="659"/>
      <c r="D491" s="654" t="s">
        <v>1112</v>
      </c>
      <c r="S491" s="660"/>
    </row>
    <row r="492" spans="1:36" ht="18" customHeight="1">
      <c r="A492" s="662"/>
      <c r="B492" s="663"/>
      <c r="C492" s="663"/>
      <c r="D492" s="663" t="s">
        <v>1113</v>
      </c>
      <c r="E492" s="663"/>
      <c r="F492" s="663"/>
      <c r="G492" s="663"/>
      <c r="H492" s="663"/>
      <c r="I492" s="663"/>
      <c r="J492" s="663"/>
      <c r="K492" s="663"/>
      <c r="L492" s="663"/>
      <c r="M492" s="663"/>
      <c r="N492" s="663"/>
      <c r="O492" s="663"/>
      <c r="P492" s="663"/>
      <c r="Q492" s="663"/>
      <c r="R492" s="663"/>
      <c r="S492" s="664"/>
    </row>
    <row r="495" spans="1:36" ht="18" customHeight="1">
      <c r="A495" s="656" t="s">
        <v>723</v>
      </c>
      <c r="B495" s="657" t="s">
        <v>724</v>
      </c>
      <c r="C495" s="657" t="s">
        <v>725</v>
      </c>
      <c r="D495" s="657"/>
      <c r="E495" s="657"/>
      <c r="F495" s="657"/>
      <c r="G495" s="657"/>
      <c r="H495" s="657"/>
      <c r="I495" s="657"/>
      <c r="J495" s="657"/>
      <c r="K495" s="657"/>
      <c r="L495" s="657"/>
      <c r="M495" s="657"/>
      <c r="N495" s="657"/>
      <c r="O495" s="657"/>
      <c r="P495" s="657"/>
      <c r="Q495" s="657"/>
      <c r="R495" s="657"/>
      <c r="S495" s="657"/>
      <c r="T495" s="657"/>
      <c r="U495" s="657"/>
      <c r="V495" s="657"/>
      <c r="W495" s="657"/>
      <c r="X495" s="657"/>
      <c r="Y495" s="657"/>
      <c r="Z495" s="658"/>
    </row>
    <row r="496" spans="1:36" ht="18" customHeight="1">
      <c r="A496" s="659"/>
      <c r="Z496" s="660"/>
    </row>
    <row r="497" spans="1:26" ht="18" customHeight="1">
      <c r="A497" s="659"/>
      <c r="B497" s="654" t="s">
        <v>230</v>
      </c>
      <c r="C497" s="654" t="s">
        <v>783</v>
      </c>
      <c r="D497" s="654" t="s">
        <v>232</v>
      </c>
      <c r="R497" s="728"/>
      <c r="Z497" s="660"/>
    </row>
    <row r="498" spans="1:26" ht="18" customHeight="1">
      <c r="A498" s="659"/>
      <c r="Z498" s="660"/>
    </row>
    <row r="499" spans="1:26" ht="18" customHeight="1">
      <c r="A499" s="659"/>
      <c r="B499" s="654" t="s">
        <v>239</v>
      </c>
      <c r="C499" s="654" t="s">
        <v>769</v>
      </c>
      <c r="D499" s="654" t="s">
        <v>1114</v>
      </c>
      <c r="Z499" s="660"/>
    </row>
    <row r="500" spans="1:26" ht="18" customHeight="1">
      <c r="A500" s="659"/>
      <c r="Z500" s="660"/>
    </row>
    <row r="501" spans="1:26" ht="18" customHeight="1">
      <c r="A501" s="659"/>
      <c r="B501" s="654" t="s">
        <v>249</v>
      </c>
      <c r="C501" s="654" t="s">
        <v>769</v>
      </c>
      <c r="D501" s="654" t="s">
        <v>1115</v>
      </c>
      <c r="Z501" s="660"/>
    </row>
    <row r="502" spans="1:26" ht="18" customHeight="1">
      <c r="A502" s="659"/>
      <c r="D502" s="654" t="s">
        <v>1116</v>
      </c>
      <c r="Z502" s="660"/>
    </row>
    <row r="503" spans="1:26" ht="18" customHeight="1">
      <c r="A503" s="659"/>
      <c r="D503" s="654" t="s">
        <v>1117</v>
      </c>
      <c r="Z503" s="660"/>
    </row>
    <row r="504" spans="1:26" ht="18" customHeight="1">
      <c r="A504" s="662"/>
      <c r="B504" s="663"/>
      <c r="C504" s="663"/>
      <c r="D504" s="663" t="s">
        <v>1118</v>
      </c>
      <c r="E504" s="663"/>
      <c r="F504" s="663"/>
      <c r="G504" s="663"/>
      <c r="H504" s="663"/>
      <c r="I504" s="663"/>
      <c r="J504" s="663"/>
      <c r="K504" s="663"/>
      <c r="L504" s="663"/>
      <c r="M504" s="663"/>
      <c r="N504" s="663"/>
      <c r="O504" s="663"/>
      <c r="P504" s="663"/>
      <c r="Q504" s="663"/>
      <c r="R504" s="663"/>
      <c r="S504" s="663"/>
      <c r="T504" s="663"/>
      <c r="U504" s="663"/>
      <c r="V504" s="663"/>
      <c r="W504" s="663"/>
      <c r="X504" s="663"/>
      <c r="Y504" s="663"/>
      <c r="Z504" s="664"/>
    </row>
    <row r="507" spans="1:26" ht="18" customHeight="1">
      <c r="A507" s="656" t="s">
        <v>726</v>
      </c>
      <c r="B507" s="657" t="s">
        <v>1119</v>
      </c>
      <c r="C507" s="657" t="s">
        <v>728</v>
      </c>
      <c r="D507" s="657" t="s">
        <v>1120</v>
      </c>
      <c r="E507" s="657"/>
      <c r="F507" s="657"/>
      <c r="G507" s="657"/>
      <c r="H507" s="657"/>
      <c r="I507" s="658"/>
    </row>
    <row r="508" spans="1:26" ht="18" customHeight="1">
      <c r="A508" s="659"/>
      <c r="I508" s="660"/>
    </row>
    <row r="509" spans="1:26" ht="18" customHeight="1">
      <c r="A509" s="659"/>
      <c r="B509" s="654" t="s">
        <v>230</v>
      </c>
      <c r="C509" s="654" t="s">
        <v>783</v>
      </c>
      <c r="D509" s="654" t="s">
        <v>1121</v>
      </c>
      <c r="I509" s="660"/>
      <c r="K509" s="728"/>
    </row>
    <row r="510" spans="1:26" ht="18" customHeight="1">
      <c r="A510" s="659"/>
      <c r="I510" s="660"/>
    </row>
    <row r="511" spans="1:26" ht="18" customHeight="1">
      <c r="A511" s="659"/>
      <c r="B511" s="654" t="s">
        <v>1122</v>
      </c>
      <c r="C511" s="654" t="s">
        <v>783</v>
      </c>
      <c r="D511" s="654" t="s">
        <v>1123</v>
      </c>
      <c r="I511" s="660"/>
    </row>
    <row r="512" spans="1:26" ht="18" customHeight="1">
      <c r="A512" s="659"/>
      <c r="I512" s="660"/>
    </row>
    <row r="513" spans="1:9" ht="18" customHeight="1">
      <c r="A513" s="662"/>
      <c r="B513" s="663" t="s">
        <v>1124</v>
      </c>
      <c r="C513" s="663" t="s">
        <v>769</v>
      </c>
      <c r="D513" s="663" t="s">
        <v>1125</v>
      </c>
      <c r="E513" s="663"/>
      <c r="F513" s="663"/>
      <c r="G513" s="663"/>
      <c r="H513" s="663"/>
      <c r="I513" s="664"/>
    </row>
    <row r="517" spans="1:9" ht="18" customHeight="1">
      <c r="A517" s="656" t="s">
        <v>729</v>
      </c>
      <c r="B517" s="657" t="s">
        <v>1126</v>
      </c>
      <c r="C517" s="657" t="s">
        <v>731</v>
      </c>
      <c r="D517" s="657"/>
      <c r="E517" s="657"/>
      <c r="F517" s="657"/>
      <c r="G517" s="657"/>
      <c r="H517" s="657"/>
      <c r="I517" s="658"/>
    </row>
    <row r="518" spans="1:9" ht="18" customHeight="1">
      <c r="A518" s="659"/>
      <c r="I518" s="660"/>
    </row>
    <row r="519" spans="1:9" ht="18" customHeight="1">
      <c r="A519" s="659"/>
      <c r="B519" s="654" t="s">
        <v>230</v>
      </c>
      <c r="C519" s="654" t="s">
        <v>783</v>
      </c>
      <c r="D519" s="654" t="s">
        <v>353</v>
      </c>
      <c r="I519" s="660"/>
    </row>
    <row r="520" spans="1:9" ht="18" customHeight="1">
      <c r="A520" s="659"/>
      <c r="I520" s="660"/>
    </row>
    <row r="521" spans="1:9" ht="18" customHeight="1">
      <c r="A521" s="659"/>
      <c r="B521" s="654" t="s">
        <v>354</v>
      </c>
      <c r="C521" s="654" t="s">
        <v>783</v>
      </c>
      <c r="D521" s="654" t="s">
        <v>359</v>
      </c>
      <c r="I521" s="660"/>
    </row>
    <row r="522" spans="1:9" ht="18" customHeight="1">
      <c r="A522" s="659"/>
      <c r="I522" s="660"/>
    </row>
    <row r="523" spans="1:9" ht="18" customHeight="1">
      <c r="A523" s="659"/>
      <c r="B523" s="654" t="s">
        <v>356</v>
      </c>
      <c r="C523" s="654" t="s">
        <v>769</v>
      </c>
      <c r="D523" s="654" t="s">
        <v>1127</v>
      </c>
      <c r="I523" s="660"/>
    </row>
    <row r="524" spans="1:9" ht="18" customHeight="1">
      <c r="A524" s="659"/>
      <c r="I524" s="660"/>
    </row>
    <row r="525" spans="1:9" ht="18" customHeight="1">
      <c r="A525" s="659"/>
      <c r="B525" s="654" t="s">
        <v>358</v>
      </c>
      <c r="C525" s="654" t="s">
        <v>769</v>
      </c>
      <c r="D525" s="654" t="s">
        <v>359</v>
      </c>
      <c r="I525" s="660"/>
    </row>
    <row r="526" spans="1:9" ht="18" customHeight="1">
      <c r="A526" s="659"/>
      <c r="I526" s="660"/>
    </row>
    <row r="527" spans="1:9" ht="18" customHeight="1">
      <c r="A527" s="662"/>
      <c r="B527" s="663" t="s">
        <v>360</v>
      </c>
      <c r="C527" s="663" t="s">
        <v>769</v>
      </c>
      <c r="D527" s="663" t="s">
        <v>361</v>
      </c>
      <c r="E527" s="663"/>
      <c r="F527" s="663"/>
      <c r="G527" s="663"/>
      <c r="H527" s="663"/>
      <c r="I527" s="664"/>
    </row>
    <row r="530" spans="1:20" ht="18" customHeight="1">
      <c r="A530" s="656" t="s">
        <v>732</v>
      </c>
      <c r="B530" s="657" t="s">
        <v>733</v>
      </c>
      <c r="C530" s="657" t="s">
        <v>734</v>
      </c>
      <c r="D530" s="657"/>
      <c r="E530" s="657"/>
      <c r="F530" s="657"/>
      <c r="G530" s="657"/>
      <c r="H530" s="657"/>
      <c r="I530" s="657"/>
      <c r="J530" s="657"/>
      <c r="K530" s="657"/>
      <c r="L530" s="657"/>
      <c r="M530" s="657"/>
      <c r="N530" s="657"/>
      <c r="O530" s="657"/>
      <c r="P530" s="657"/>
      <c r="Q530" s="657"/>
      <c r="R530" s="657"/>
      <c r="S530" s="657"/>
      <c r="T530" s="658"/>
    </row>
    <row r="531" spans="1:20" ht="18" customHeight="1">
      <c r="A531" s="659"/>
      <c r="T531" s="660"/>
    </row>
    <row r="532" spans="1:20" ht="18" customHeight="1">
      <c r="A532" s="659"/>
      <c r="B532" s="654" t="s">
        <v>318</v>
      </c>
      <c r="C532" s="654" t="s">
        <v>783</v>
      </c>
      <c r="D532" s="654" t="s">
        <v>319</v>
      </c>
      <c r="T532" s="660"/>
    </row>
    <row r="533" spans="1:20" ht="18" customHeight="1">
      <c r="A533" s="659"/>
      <c r="T533" s="660"/>
    </row>
    <row r="534" spans="1:20" ht="18" customHeight="1">
      <c r="A534" s="659"/>
      <c r="B534" s="654" t="s">
        <v>1128</v>
      </c>
      <c r="C534" s="654" t="s">
        <v>783</v>
      </c>
      <c r="D534" s="654" t="s">
        <v>1129</v>
      </c>
      <c r="T534" s="660"/>
    </row>
    <row r="535" spans="1:20" ht="18" customHeight="1">
      <c r="A535" s="659"/>
      <c r="T535" s="660"/>
    </row>
    <row r="536" spans="1:20" ht="18" customHeight="1">
      <c r="A536" s="659"/>
      <c r="B536" s="654" t="s">
        <v>1130</v>
      </c>
      <c r="C536" s="654" t="s">
        <v>769</v>
      </c>
      <c r="D536" s="654" t="s">
        <v>1131</v>
      </c>
      <c r="T536" s="660"/>
    </row>
    <row r="537" spans="1:20" ht="18" customHeight="1">
      <c r="A537" s="659"/>
      <c r="T537" s="660"/>
    </row>
    <row r="538" spans="1:20" ht="18" customHeight="1">
      <c r="A538" s="659"/>
      <c r="B538" s="654" t="s">
        <v>1132</v>
      </c>
      <c r="C538" s="654" t="s">
        <v>769</v>
      </c>
      <c r="D538" s="654" t="s">
        <v>1133</v>
      </c>
      <c r="T538" s="660"/>
    </row>
    <row r="539" spans="1:20" ht="18" customHeight="1">
      <c r="A539" s="659"/>
      <c r="D539" s="654" t="s">
        <v>1134</v>
      </c>
      <c r="T539" s="660"/>
    </row>
    <row r="540" spans="1:20" ht="18" customHeight="1">
      <c r="A540" s="659"/>
      <c r="D540" s="654" t="s">
        <v>1135</v>
      </c>
      <c r="T540" s="660"/>
    </row>
    <row r="541" spans="1:20" ht="18" customHeight="1">
      <c r="A541" s="659"/>
      <c r="D541" s="654" t="s">
        <v>1118</v>
      </c>
      <c r="T541" s="660"/>
    </row>
    <row r="542" spans="1:20" ht="18" customHeight="1">
      <c r="A542" s="662"/>
      <c r="B542" s="663"/>
      <c r="C542" s="663"/>
      <c r="D542" s="663" t="s">
        <v>1136</v>
      </c>
      <c r="E542" s="663"/>
      <c r="F542" s="663"/>
      <c r="G542" s="663"/>
      <c r="H542" s="663"/>
      <c r="I542" s="663"/>
      <c r="J542" s="663"/>
      <c r="K542" s="663"/>
      <c r="L542" s="663"/>
      <c r="M542" s="663"/>
      <c r="N542" s="663"/>
      <c r="O542" s="663"/>
      <c r="P542" s="663"/>
      <c r="Q542" s="663"/>
      <c r="R542" s="663"/>
      <c r="S542" s="663"/>
      <c r="T542" s="664"/>
    </row>
    <row r="545" spans="1:19" ht="18" customHeight="1">
      <c r="A545" s="656" t="s">
        <v>735</v>
      </c>
      <c r="B545" s="657" t="s">
        <v>736</v>
      </c>
      <c r="C545" s="657" t="s">
        <v>737</v>
      </c>
      <c r="D545" s="657"/>
      <c r="E545" s="657"/>
      <c r="F545" s="657"/>
      <c r="G545" s="657"/>
      <c r="H545" s="657"/>
      <c r="I545" s="657"/>
      <c r="J545" s="657"/>
      <c r="K545" s="657"/>
      <c r="L545" s="657"/>
      <c r="M545" s="657"/>
      <c r="N545" s="657"/>
      <c r="O545" s="657"/>
      <c r="P545" s="657"/>
      <c r="Q545" s="657"/>
      <c r="R545" s="658"/>
      <c r="S545" s="658"/>
    </row>
    <row r="546" spans="1:19" ht="18" customHeight="1">
      <c r="A546" s="659"/>
      <c r="R546" s="660"/>
      <c r="S546" s="660"/>
    </row>
    <row r="547" spans="1:19" ht="18" customHeight="1">
      <c r="A547" s="659"/>
      <c r="B547" s="654" t="s">
        <v>782</v>
      </c>
      <c r="C547" s="654" t="s">
        <v>783</v>
      </c>
      <c r="D547" s="654" t="s">
        <v>1137</v>
      </c>
      <c r="R547" s="660"/>
      <c r="S547" s="660"/>
    </row>
    <row r="548" spans="1:19" ht="18" customHeight="1">
      <c r="A548" s="659"/>
      <c r="R548" s="660"/>
      <c r="S548" s="660"/>
    </row>
    <row r="549" spans="1:19" ht="18" customHeight="1">
      <c r="A549" s="659"/>
      <c r="B549" s="654" t="s">
        <v>1138</v>
      </c>
      <c r="C549" s="654" t="s">
        <v>783</v>
      </c>
      <c r="D549" s="654" t="s">
        <v>1139</v>
      </c>
      <c r="R549" s="660"/>
      <c r="S549" s="660"/>
    </row>
    <row r="550" spans="1:19" ht="18" customHeight="1">
      <c r="A550" s="659"/>
      <c r="R550" s="660"/>
      <c r="S550" s="660"/>
    </row>
    <row r="551" spans="1:19" ht="18" customHeight="1">
      <c r="A551" s="659"/>
      <c r="B551" s="654" t="s">
        <v>1140</v>
      </c>
      <c r="C551" s="654" t="s">
        <v>783</v>
      </c>
      <c r="D551" s="654" t="s">
        <v>1141</v>
      </c>
      <c r="R551" s="660"/>
      <c r="S551" s="660"/>
    </row>
    <row r="552" spans="1:19" ht="18" customHeight="1">
      <c r="A552" s="659"/>
      <c r="R552" s="660"/>
      <c r="S552" s="660"/>
    </row>
    <row r="553" spans="1:19" ht="18" customHeight="1">
      <c r="A553" s="662"/>
      <c r="B553" s="663" t="s">
        <v>1142</v>
      </c>
      <c r="C553" s="663" t="s">
        <v>769</v>
      </c>
      <c r="D553" s="663" t="s">
        <v>1143</v>
      </c>
      <c r="E553" s="663"/>
      <c r="F553" s="663"/>
      <c r="G553" s="663"/>
      <c r="H553" s="663"/>
      <c r="I553" s="663"/>
      <c r="J553" s="663"/>
      <c r="K553" s="663"/>
      <c r="L553" s="663"/>
      <c r="M553" s="663"/>
      <c r="N553" s="663"/>
      <c r="O553" s="663"/>
      <c r="P553" s="663"/>
      <c r="Q553" s="663"/>
      <c r="R553" s="664"/>
      <c r="S553" s="660"/>
    </row>
    <row r="554" spans="1:19" ht="18" customHeight="1">
      <c r="A554" s="659"/>
      <c r="S554" s="660"/>
    </row>
    <row r="555" spans="1:19" ht="18" customHeight="1">
      <c r="A555" s="659"/>
      <c r="S555" s="660"/>
    </row>
    <row r="556" spans="1:19" ht="18" customHeight="1">
      <c r="A556" s="656" t="s">
        <v>695</v>
      </c>
      <c r="B556" s="657" t="s">
        <v>696</v>
      </c>
      <c r="C556" s="657" t="s">
        <v>1144</v>
      </c>
      <c r="D556" s="657"/>
      <c r="E556" s="657"/>
      <c r="F556" s="657"/>
      <c r="G556" s="657"/>
      <c r="H556" s="657"/>
      <c r="I556" s="657"/>
      <c r="J556" s="657"/>
      <c r="K556" s="657"/>
      <c r="L556" s="657"/>
      <c r="M556" s="658"/>
      <c r="S556" s="660"/>
    </row>
    <row r="557" spans="1:19" ht="18" customHeight="1">
      <c r="A557" s="659"/>
      <c r="M557" s="660"/>
      <c r="S557" s="660"/>
    </row>
    <row r="558" spans="1:19" ht="18" customHeight="1">
      <c r="A558" s="659"/>
      <c r="B558" s="654" t="s">
        <v>1138</v>
      </c>
      <c r="C558" s="654" t="s">
        <v>783</v>
      </c>
      <c r="D558" s="654" t="s">
        <v>1145</v>
      </c>
      <c r="M558" s="660"/>
      <c r="S558" s="660"/>
    </row>
    <row r="559" spans="1:19" ht="18" customHeight="1">
      <c r="A559" s="659"/>
      <c r="M559" s="660"/>
      <c r="S559" s="660"/>
    </row>
    <row r="560" spans="1:19" ht="18" customHeight="1">
      <c r="A560" s="659"/>
      <c r="B560" s="654" t="s">
        <v>1146</v>
      </c>
      <c r="C560" s="654" t="s">
        <v>783</v>
      </c>
      <c r="D560" s="654" t="s">
        <v>1147</v>
      </c>
      <c r="M560" s="660"/>
      <c r="S560" s="660"/>
    </row>
    <row r="561" spans="1:19" ht="18" customHeight="1">
      <c r="A561" s="659"/>
      <c r="M561" s="660"/>
      <c r="S561" s="660"/>
    </row>
    <row r="562" spans="1:19" ht="18" customHeight="1">
      <c r="A562" s="659"/>
      <c r="B562" s="654" t="s">
        <v>1080</v>
      </c>
      <c r="C562" s="654" t="s">
        <v>783</v>
      </c>
      <c r="D562" s="654" t="s">
        <v>1148</v>
      </c>
      <c r="M562" s="660"/>
      <c r="S562" s="660"/>
    </row>
    <row r="563" spans="1:19" ht="18" customHeight="1">
      <c r="A563" s="659"/>
      <c r="M563" s="660"/>
      <c r="S563" s="660"/>
    </row>
    <row r="564" spans="1:19" ht="18" customHeight="1">
      <c r="A564" s="659"/>
      <c r="B564" s="654" t="s">
        <v>1140</v>
      </c>
      <c r="C564" s="654" t="s">
        <v>783</v>
      </c>
      <c r="D564" s="654" t="s">
        <v>1149</v>
      </c>
      <c r="M564" s="660"/>
      <c r="S564" s="660"/>
    </row>
    <row r="565" spans="1:19" ht="18" customHeight="1">
      <c r="A565" s="659"/>
      <c r="M565" s="660"/>
      <c r="S565" s="660"/>
    </row>
    <row r="566" spans="1:19" ht="18" customHeight="1">
      <c r="A566" s="662"/>
      <c r="B566" s="663"/>
      <c r="C566" s="663" t="s">
        <v>1150</v>
      </c>
      <c r="D566" s="663"/>
      <c r="E566" s="663"/>
      <c r="F566" s="663"/>
      <c r="G566" s="663"/>
      <c r="H566" s="663"/>
      <c r="I566" s="663"/>
      <c r="J566" s="663"/>
      <c r="K566" s="663"/>
      <c r="L566" s="663"/>
      <c r="M566" s="664"/>
      <c r="N566" s="663"/>
      <c r="O566" s="663"/>
      <c r="P566" s="663"/>
      <c r="Q566" s="663"/>
      <c r="R566" s="663"/>
      <c r="S566" s="664"/>
    </row>
    <row r="569" spans="1:19" ht="18" customHeight="1">
      <c r="A569" s="656" t="s">
        <v>738</v>
      </c>
      <c r="B569" s="657" t="s">
        <v>739</v>
      </c>
      <c r="C569" s="657" t="s">
        <v>740</v>
      </c>
      <c r="D569" s="657"/>
      <c r="E569" s="657"/>
      <c r="F569" s="657"/>
      <c r="G569" s="657"/>
      <c r="H569" s="657"/>
      <c r="I569" s="657"/>
      <c r="J569" s="657"/>
      <c r="K569" s="657"/>
      <c r="L569" s="657"/>
      <c r="M569" s="657"/>
      <c r="N569" s="657"/>
      <c r="O569" s="657"/>
      <c r="P569" s="657"/>
      <c r="Q569" s="657"/>
      <c r="R569" s="658"/>
    </row>
    <row r="570" spans="1:19" ht="18" customHeight="1">
      <c r="A570" s="659"/>
      <c r="R570" s="660"/>
    </row>
    <row r="571" spans="1:19" ht="18" customHeight="1">
      <c r="A571" s="659"/>
      <c r="B571" s="654" t="s">
        <v>303</v>
      </c>
      <c r="C571" s="654" t="s">
        <v>2646</v>
      </c>
      <c r="D571" s="654" t="s">
        <v>1151</v>
      </c>
      <c r="R571" s="660"/>
    </row>
    <row r="572" spans="1:19" ht="18" customHeight="1">
      <c r="A572" s="659"/>
      <c r="R572" s="660"/>
    </row>
    <row r="573" spans="1:19" ht="18" customHeight="1">
      <c r="A573" s="659"/>
      <c r="B573" s="654" t="s">
        <v>305</v>
      </c>
      <c r="C573" s="654" t="s">
        <v>783</v>
      </c>
      <c r="D573" s="654" t="s">
        <v>306</v>
      </c>
      <c r="R573" s="660"/>
    </row>
    <row r="574" spans="1:19" ht="18" customHeight="1">
      <c r="A574" s="659"/>
      <c r="R574" s="660"/>
    </row>
    <row r="575" spans="1:19" ht="18" customHeight="1">
      <c r="A575" s="659"/>
      <c r="B575" s="654" t="s">
        <v>307</v>
      </c>
      <c r="C575" s="654" t="s">
        <v>783</v>
      </c>
      <c r="D575" s="654" t="s">
        <v>308</v>
      </c>
      <c r="R575" s="660"/>
    </row>
    <row r="576" spans="1:19" ht="18" customHeight="1">
      <c r="A576" s="659"/>
      <c r="R576" s="660"/>
    </row>
    <row r="577" spans="1:18" ht="18" customHeight="1">
      <c r="A577" s="662"/>
      <c r="B577" s="663" t="s">
        <v>1152</v>
      </c>
      <c r="C577" s="663" t="s">
        <v>769</v>
      </c>
      <c r="D577" s="663" t="s">
        <v>1153</v>
      </c>
      <c r="E577" s="663"/>
      <c r="F577" s="663"/>
      <c r="G577" s="663"/>
      <c r="H577" s="663"/>
      <c r="I577" s="663"/>
      <c r="J577" s="663"/>
      <c r="K577" s="663"/>
      <c r="L577" s="663"/>
      <c r="M577" s="663"/>
      <c r="N577" s="663"/>
      <c r="O577" s="663"/>
      <c r="P577" s="663"/>
      <c r="Q577" s="663"/>
      <c r="R577" s="664"/>
    </row>
    <row r="579" spans="1:18" ht="18" customHeight="1" thickBot="1"/>
    <row r="580" spans="1:18" ht="18" customHeight="1">
      <c r="A580" s="960" t="s">
        <v>2643</v>
      </c>
      <c r="B580" s="657" t="s">
        <v>2644</v>
      </c>
      <c r="C580" s="657" t="s">
        <v>2649</v>
      </c>
      <c r="D580" s="657"/>
      <c r="E580" s="657"/>
      <c r="F580" s="657"/>
      <c r="G580" s="657"/>
      <c r="H580" s="658"/>
      <c r="J580" s="654">
        <v>1.2</v>
      </c>
      <c r="K580" s="654">
        <f>ROUNDUP(J580,)</f>
        <v>2</v>
      </c>
    </row>
    <row r="581" spans="1:18" ht="18" customHeight="1">
      <c r="A581" s="659"/>
      <c r="B581" s="959"/>
      <c r="C581" s="959"/>
      <c r="D581" s="959"/>
      <c r="E581" s="959"/>
      <c r="F581" s="959"/>
      <c r="G581" s="959"/>
      <c r="H581" s="660"/>
      <c r="J581" s="654">
        <v>-1.2</v>
      </c>
      <c r="K581" s="654">
        <f>ROUNDUP(J581,)</f>
        <v>-2</v>
      </c>
    </row>
    <row r="582" spans="1:18" ht="18" customHeight="1">
      <c r="A582" s="659"/>
      <c r="B582" s="959" t="s">
        <v>2645</v>
      </c>
      <c r="C582" s="959" t="s">
        <v>783</v>
      </c>
      <c r="D582" s="959" t="s">
        <v>2647</v>
      </c>
      <c r="E582" s="959"/>
      <c r="F582" s="959"/>
      <c r="G582" s="959"/>
      <c r="H582" s="660"/>
    </row>
    <row r="583" spans="1:18" ht="18" customHeight="1">
      <c r="A583" s="659"/>
      <c r="B583" s="959"/>
      <c r="C583" s="959"/>
      <c r="D583" s="959"/>
      <c r="E583" s="959"/>
      <c r="F583" s="959"/>
      <c r="G583" s="959"/>
      <c r="H583" s="660"/>
    </row>
    <row r="584" spans="1:18" ht="18" customHeight="1">
      <c r="A584" s="659"/>
      <c r="B584" s="959" t="s">
        <v>755</v>
      </c>
      <c r="C584" s="959" t="s">
        <v>783</v>
      </c>
      <c r="D584" s="959" t="s">
        <v>2648</v>
      </c>
      <c r="E584" s="959"/>
      <c r="F584" s="959"/>
      <c r="G584" s="959"/>
      <c r="H584" s="660"/>
    </row>
    <row r="585" spans="1:18" ht="18" customHeight="1" thickBot="1">
      <c r="A585" s="662"/>
      <c r="B585" s="663"/>
      <c r="C585" s="663"/>
      <c r="D585" s="663"/>
      <c r="E585" s="663"/>
      <c r="F585" s="663"/>
      <c r="G585" s="663"/>
      <c r="H585" s="664"/>
    </row>
    <row r="587" spans="1:18" ht="18" customHeight="1" thickBot="1"/>
    <row r="588" spans="1:18" ht="18" customHeight="1">
      <c r="A588" s="960" t="s">
        <v>2767</v>
      </c>
      <c r="B588" s="657" t="s">
        <v>2768</v>
      </c>
      <c r="C588" s="657" t="s">
        <v>2771</v>
      </c>
      <c r="D588" s="657"/>
      <c r="E588" s="657"/>
      <c r="F588" s="657"/>
      <c r="G588" s="657"/>
      <c r="H588" s="657"/>
      <c r="I588" s="657"/>
      <c r="J588" s="657"/>
      <c r="K588" s="657"/>
      <c r="L588" s="657"/>
      <c r="M588" s="658"/>
    </row>
    <row r="589" spans="1:18" ht="18" customHeight="1">
      <c r="A589" s="659"/>
      <c r="B589" s="959"/>
      <c r="C589" s="959"/>
      <c r="D589" s="959"/>
      <c r="E589" s="959"/>
      <c r="F589" s="959"/>
      <c r="G589" s="959"/>
      <c r="H589" s="959"/>
      <c r="I589" s="959"/>
      <c r="J589" s="959"/>
      <c r="K589" s="959"/>
      <c r="L589" s="959"/>
      <c r="M589" s="660"/>
    </row>
    <row r="590" spans="1:18" ht="18" customHeight="1">
      <c r="A590" s="659"/>
      <c r="B590" s="959" t="s">
        <v>2772</v>
      </c>
      <c r="C590" s="959" t="s">
        <v>783</v>
      </c>
      <c r="D590" s="959" t="s">
        <v>2776</v>
      </c>
      <c r="E590" s="959"/>
      <c r="F590" s="959"/>
      <c r="G590" s="959"/>
      <c r="H590" s="959"/>
      <c r="I590" s="959"/>
      <c r="J590" s="959"/>
      <c r="K590" s="959"/>
      <c r="L590" s="959"/>
      <c r="M590" s="660"/>
    </row>
    <row r="591" spans="1:18" ht="18" customHeight="1">
      <c r="A591" s="659"/>
      <c r="B591" s="959"/>
      <c r="C591" s="959"/>
      <c r="D591" s="959"/>
      <c r="E591" s="959"/>
      <c r="F591" s="959"/>
      <c r="G591" s="959"/>
      <c r="H591" s="959"/>
      <c r="I591" s="959"/>
      <c r="J591" s="959"/>
      <c r="K591" s="959"/>
      <c r="L591" s="959"/>
      <c r="M591" s="660"/>
    </row>
    <row r="592" spans="1:18" ht="18" customHeight="1">
      <c r="A592" s="659"/>
      <c r="B592" s="959" t="s">
        <v>2773</v>
      </c>
      <c r="C592" s="959" t="s">
        <v>783</v>
      </c>
      <c r="D592" s="959" t="s">
        <v>2777</v>
      </c>
      <c r="E592" s="959"/>
      <c r="F592" s="959"/>
      <c r="G592" s="959"/>
      <c r="H592" s="959"/>
      <c r="I592" s="959"/>
      <c r="J592" s="959"/>
      <c r="K592" s="959"/>
      <c r="L592" s="959"/>
      <c r="M592" s="660"/>
    </row>
    <row r="593" spans="1:18" ht="18" customHeight="1">
      <c r="A593" s="659"/>
      <c r="B593" s="959"/>
      <c r="C593" s="959"/>
      <c r="D593" s="959"/>
      <c r="E593" s="959"/>
      <c r="F593" s="959"/>
      <c r="G593" s="959"/>
      <c r="H593" s="959"/>
      <c r="I593" s="959"/>
      <c r="J593" s="959"/>
      <c r="K593" s="959"/>
      <c r="L593" s="959"/>
      <c r="M593" s="660"/>
    </row>
    <row r="594" spans="1:18" ht="18" customHeight="1">
      <c r="A594" s="659"/>
      <c r="B594" s="959" t="s">
        <v>2774</v>
      </c>
      <c r="C594" s="959" t="s">
        <v>2779</v>
      </c>
      <c r="D594" s="959" t="s">
        <v>2776</v>
      </c>
      <c r="E594" s="959"/>
      <c r="F594" s="959"/>
      <c r="G594" s="959"/>
      <c r="H594" s="959"/>
      <c r="I594" s="959"/>
      <c r="J594" s="959"/>
      <c r="K594" s="959"/>
      <c r="L594" s="959"/>
      <c r="M594" s="660"/>
    </row>
    <row r="595" spans="1:18" ht="18" customHeight="1">
      <c r="A595" s="659"/>
      <c r="B595" s="959"/>
      <c r="C595" s="959"/>
      <c r="D595" s="959"/>
      <c r="E595" s="959"/>
      <c r="F595" s="959"/>
      <c r="G595" s="959"/>
      <c r="H595" s="959"/>
      <c r="I595" s="959"/>
      <c r="J595" s="959"/>
      <c r="K595" s="959"/>
      <c r="L595" s="959"/>
      <c r="M595" s="660"/>
    </row>
    <row r="596" spans="1:18" ht="18" customHeight="1">
      <c r="A596" s="659"/>
      <c r="B596" s="959" t="s">
        <v>2775</v>
      </c>
      <c r="C596" s="959" t="s">
        <v>2779</v>
      </c>
      <c r="D596" s="959" t="s">
        <v>2778</v>
      </c>
      <c r="E596" s="959"/>
      <c r="F596" s="959"/>
      <c r="G596" s="959"/>
      <c r="H596" s="959"/>
      <c r="I596" s="959"/>
      <c r="J596" s="959"/>
      <c r="K596" s="959"/>
      <c r="L596" s="959"/>
      <c r="M596" s="660"/>
    </row>
    <row r="597" spans="1:18" ht="18" customHeight="1">
      <c r="A597" s="659"/>
      <c r="B597" s="959"/>
      <c r="C597" s="959"/>
      <c r="D597" s="959"/>
      <c r="E597" s="959"/>
      <c r="F597" s="959"/>
      <c r="G597" s="959"/>
      <c r="H597" s="959"/>
      <c r="I597" s="959"/>
      <c r="J597" s="959"/>
      <c r="K597" s="959"/>
      <c r="L597" s="959"/>
      <c r="M597" s="660"/>
    </row>
    <row r="598" spans="1:18" ht="18" customHeight="1" thickBot="1">
      <c r="A598" s="662"/>
      <c r="B598" s="663"/>
      <c r="C598" s="663"/>
      <c r="D598" s="663"/>
      <c r="E598" s="663"/>
      <c r="F598" s="663"/>
      <c r="G598" s="663"/>
      <c r="H598" s="663"/>
      <c r="I598" s="663"/>
      <c r="J598" s="663"/>
      <c r="K598" s="663"/>
      <c r="L598" s="663"/>
      <c r="M598" s="664"/>
    </row>
    <row r="600" spans="1:18" ht="18" customHeight="1" thickBot="1"/>
    <row r="601" spans="1:18" ht="18" customHeight="1">
      <c r="A601" s="960" t="s">
        <v>2943</v>
      </c>
      <c r="B601" s="657" t="s">
        <v>2938</v>
      </c>
      <c r="C601" s="657" t="s">
        <v>2941</v>
      </c>
      <c r="D601" s="657"/>
      <c r="E601" s="657"/>
      <c r="F601" s="977"/>
      <c r="G601" s="657"/>
      <c r="H601" s="657"/>
      <c r="I601" s="657"/>
      <c r="J601" s="657"/>
      <c r="K601" s="657"/>
      <c r="L601" s="657"/>
      <c r="M601" s="657"/>
      <c r="N601" s="657"/>
      <c r="O601" s="657"/>
      <c r="P601" s="657"/>
      <c r="Q601" s="657"/>
      <c r="R601" s="658"/>
    </row>
    <row r="602" spans="1:18" ht="18" customHeight="1">
      <c r="A602" s="257"/>
      <c r="B602" s="946"/>
      <c r="C602" s="946"/>
      <c r="D602" s="946"/>
      <c r="E602" s="946"/>
      <c r="F602" s="946"/>
      <c r="G602" s="959"/>
      <c r="H602" s="959"/>
      <c r="I602" s="959"/>
      <c r="J602" s="959"/>
      <c r="K602" s="959"/>
      <c r="L602" s="959"/>
      <c r="M602" s="959"/>
      <c r="N602" s="959"/>
      <c r="O602" s="959"/>
      <c r="P602" s="959"/>
      <c r="Q602" s="959"/>
      <c r="R602" s="660"/>
    </row>
    <row r="603" spans="1:18" ht="18" customHeight="1">
      <c r="A603" s="659"/>
      <c r="B603" s="959" t="s">
        <v>2944</v>
      </c>
      <c r="C603" s="959" t="s">
        <v>2646</v>
      </c>
      <c r="D603" s="959" t="s">
        <v>2945</v>
      </c>
      <c r="E603" s="959"/>
      <c r="F603" s="959"/>
      <c r="G603" s="959"/>
      <c r="H603" s="959"/>
      <c r="I603" s="959"/>
      <c r="J603" s="959"/>
      <c r="K603" s="959"/>
      <c r="L603" s="959"/>
      <c r="M603" s="959"/>
      <c r="N603" s="959"/>
      <c r="O603" s="959"/>
      <c r="P603" s="959"/>
      <c r="Q603" s="959"/>
      <c r="R603" s="660"/>
    </row>
    <row r="604" spans="1:18" ht="18" customHeight="1">
      <c r="A604" s="659"/>
      <c r="B604" s="959"/>
      <c r="C604" s="959"/>
      <c r="D604" s="959"/>
      <c r="E604" s="959"/>
      <c r="F604" s="959"/>
      <c r="G604" s="959"/>
      <c r="H604" s="959"/>
      <c r="I604" s="959"/>
      <c r="J604" s="959"/>
      <c r="K604" s="959"/>
      <c r="L604" s="959"/>
      <c r="M604" s="959"/>
      <c r="N604" s="959"/>
      <c r="O604" s="959"/>
      <c r="P604" s="959"/>
      <c r="Q604" s="959"/>
      <c r="R604" s="660"/>
    </row>
    <row r="605" spans="1:18" ht="18" customHeight="1">
      <c r="A605" s="659"/>
      <c r="B605" s="959" t="s">
        <v>2946</v>
      </c>
      <c r="C605" s="959" t="s">
        <v>2646</v>
      </c>
      <c r="D605" s="959" t="s">
        <v>2947</v>
      </c>
      <c r="E605" s="959"/>
      <c r="F605" s="959"/>
      <c r="G605" s="959"/>
      <c r="H605" s="959"/>
      <c r="I605" s="959"/>
      <c r="J605" s="959"/>
      <c r="K605" s="959"/>
      <c r="L605" s="959"/>
      <c r="M605" s="959"/>
      <c r="N605" s="959"/>
      <c r="O605" s="959"/>
      <c r="P605" s="959"/>
      <c r="Q605" s="959"/>
      <c r="R605" s="660"/>
    </row>
    <row r="606" spans="1:18" ht="18" customHeight="1">
      <c r="A606" s="659"/>
      <c r="B606" s="959"/>
      <c r="C606" s="959"/>
      <c r="D606" s="959"/>
      <c r="E606" s="959"/>
      <c r="F606" s="959"/>
      <c r="G606" s="959"/>
      <c r="H606" s="959"/>
      <c r="I606" s="959"/>
      <c r="J606" s="959"/>
      <c r="K606" s="959"/>
      <c r="L606" s="959"/>
      <c r="M606" s="959"/>
      <c r="N606" s="959"/>
      <c r="O606" s="959"/>
      <c r="P606" s="959"/>
      <c r="Q606" s="959"/>
      <c r="R606" s="660"/>
    </row>
    <row r="607" spans="1:18" ht="18" customHeight="1">
      <c r="A607" s="659"/>
      <c r="B607" s="959"/>
      <c r="C607" s="959"/>
      <c r="D607" s="959"/>
      <c r="E607" s="959"/>
      <c r="F607" s="959"/>
      <c r="G607" s="959"/>
      <c r="H607" s="959"/>
      <c r="I607" s="959"/>
      <c r="J607" s="959"/>
      <c r="K607" s="959"/>
      <c r="L607" s="959"/>
      <c r="M607" s="959"/>
      <c r="N607" s="959"/>
      <c r="O607" s="959"/>
      <c r="P607" s="959"/>
      <c r="Q607" s="959"/>
      <c r="R607" s="660"/>
    </row>
    <row r="608" spans="1:18" ht="18" customHeight="1">
      <c r="A608" s="659"/>
      <c r="B608" s="959"/>
      <c r="C608" s="959"/>
      <c r="D608" s="959"/>
      <c r="E608" s="959"/>
      <c r="F608" s="959"/>
      <c r="G608" s="959"/>
      <c r="H608" s="959"/>
      <c r="I608" s="959"/>
      <c r="J608" s="959"/>
      <c r="K608" s="959"/>
      <c r="L608" s="959"/>
      <c r="M608" s="959"/>
      <c r="N608" s="959"/>
      <c r="O608" s="959"/>
      <c r="P608" s="959"/>
      <c r="Q608" s="959"/>
      <c r="R608" s="660"/>
    </row>
    <row r="609" spans="1:18" ht="18" customHeight="1">
      <c r="A609" s="659"/>
      <c r="B609" s="959"/>
      <c r="C609" s="959"/>
      <c r="D609" s="959"/>
      <c r="E609" s="959"/>
      <c r="F609" s="959"/>
      <c r="G609" s="959"/>
      <c r="H609" s="959"/>
      <c r="I609" s="959"/>
      <c r="J609" s="959"/>
      <c r="K609" s="959"/>
      <c r="L609" s="959"/>
      <c r="M609" s="959"/>
      <c r="N609" s="959"/>
      <c r="O609" s="959"/>
      <c r="P609" s="959"/>
      <c r="Q609" s="959"/>
      <c r="R609" s="660"/>
    </row>
    <row r="610" spans="1:18" ht="18" customHeight="1">
      <c r="A610" s="659"/>
      <c r="B610" s="959"/>
      <c r="C610" s="959"/>
      <c r="D610" s="959"/>
      <c r="E610" s="959"/>
      <c r="F610" s="959"/>
      <c r="G610" s="959"/>
      <c r="H610" s="959"/>
      <c r="I610" s="959"/>
      <c r="J610" s="959"/>
      <c r="K610" s="959"/>
      <c r="L610" s="959"/>
      <c r="M610" s="959"/>
      <c r="N610" s="959"/>
      <c r="O610" s="959"/>
      <c r="P610" s="959"/>
      <c r="Q610" s="959"/>
      <c r="R610" s="660"/>
    </row>
    <row r="611" spans="1:18" ht="18" customHeight="1">
      <c r="A611" s="659"/>
      <c r="B611" s="959"/>
      <c r="C611" s="959"/>
      <c r="D611" s="959"/>
      <c r="E611" s="959"/>
      <c r="F611" s="959"/>
      <c r="G611" s="959"/>
      <c r="H611" s="959"/>
      <c r="I611" s="959"/>
      <c r="J611" s="959"/>
      <c r="K611" s="959"/>
      <c r="L611" s="959"/>
      <c r="M611" s="959"/>
      <c r="N611" s="959"/>
      <c r="O611" s="959"/>
      <c r="P611" s="959"/>
      <c r="Q611" s="959"/>
      <c r="R611" s="660"/>
    </row>
    <row r="612" spans="1:18" ht="18" customHeight="1" thickBot="1">
      <c r="A612" s="662"/>
      <c r="B612" s="663"/>
      <c r="C612" s="663"/>
      <c r="D612" s="663"/>
      <c r="E612" s="663"/>
      <c r="F612" s="663"/>
      <c r="G612" s="663"/>
      <c r="H612" s="663"/>
      <c r="I612" s="663"/>
      <c r="J612" s="663"/>
      <c r="K612" s="663"/>
      <c r="L612" s="663"/>
      <c r="M612" s="663"/>
      <c r="N612" s="663"/>
      <c r="O612" s="663"/>
      <c r="P612" s="663"/>
      <c r="Q612" s="663"/>
      <c r="R612" s="664"/>
    </row>
    <row r="614" spans="1:18" ht="18" customHeight="1" thickBot="1"/>
    <row r="615" spans="1:18" ht="18" customHeight="1">
      <c r="A615" s="960" t="s">
        <v>2961</v>
      </c>
      <c r="B615" s="657" t="s">
        <v>2960</v>
      </c>
      <c r="C615" s="657"/>
      <c r="D615" s="657" t="s">
        <v>2977</v>
      </c>
      <c r="E615" s="657"/>
      <c r="F615" s="657"/>
      <c r="G615" s="657"/>
      <c r="H615" s="657"/>
      <c r="I615" s="657"/>
      <c r="J615" s="657"/>
      <c r="K615" s="658"/>
    </row>
    <row r="616" spans="1:18" ht="18" customHeight="1">
      <c r="A616" s="659"/>
      <c r="B616" s="959"/>
      <c r="C616" s="959"/>
      <c r="D616" s="959"/>
      <c r="E616" s="959"/>
      <c r="F616" s="959"/>
      <c r="G616" s="959"/>
      <c r="H616" s="959"/>
      <c r="I616" s="959"/>
      <c r="J616" s="959"/>
      <c r="K616" s="660"/>
    </row>
    <row r="617" spans="1:18" ht="18" customHeight="1">
      <c r="A617" s="659"/>
      <c r="B617" s="959" t="s">
        <v>2962</v>
      </c>
      <c r="C617" s="959" t="s">
        <v>2964</v>
      </c>
      <c r="D617" s="959" t="s">
        <v>2965</v>
      </c>
      <c r="E617" s="959"/>
      <c r="F617" s="959"/>
      <c r="G617" s="959"/>
      <c r="H617" s="959"/>
      <c r="I617" s="959"/>
      <c r="J617" s="959"/>
      <c r="K617" s="660"/>
    </row>
    <row r="618" spans="1:18" ht="18" customHeight="1">
      <c r="A618" s="659"/>
      <c r="B618" s="959"/>
      <c r="C618" s="959"/>
      <c r="D618" s="959"/>
      <c r="E618" s="959"/>
      <c r="F618" s="959"/>
      <c r="G618" s="959"/>
      <c r="H618" s="959"/>
      <c r="I618" s="959"/>
      <c r="J618" s="959"/>
      <c r="K618" s="660"/>
    </row>
    <row r="619" spans="1:18" ht="18" customHeight="1">
      <c r="A619" s="659"/>
      <c r="B619" s="959" t="s">
        <v>2966</v>
      </c>
      <c r="C619" s="1090" t="s">
        <v>231</v>
      </c>
      <c r="D619" s="959" t="s">
        <v>2967</v>
      </c>
      <c r="E619" s="959"/>
      <c r="F619" s="959"/>
      <c r="G619" s="959"/>
      <c r="H619" s="959"/>
      <c r="I619" s="959"/>
      <c r="J619" s="959"/>
      <c r="K619" s="660"/>
    </row>
    <row r="620" spans="1:18" ht="18" customHeight="1">
      <c r="A620" s="659"/>
      <c r="B620" s="959"/>
      <c r="C620" s="959"/>
      <c r="D620" s="959"/>
      <c r="E620" s="959"/>
      <c r="F620" s="959"/>
      <c r="G620" s="959"/>
      <c r="H620" s="959"/>
      <c r="I620" s="959"/>
      <c r="J620" s="959"/>
      <c r="K620" s="660"/>
    </row>
    <row r="621" spans="1:18" ht="18" customHeight="1">
      <c r="A621" s="659"/>
      <c r="B621" s="959" t="s">
        <v>2968</v>
      </c>
      <c r="C621" s="959" t="s">
        <v>2963</v>
      </c>
      <c r="D621" s="959" t="s">
        <v>2969</v>
      </c>
      <c r="E621" s="959"/>
      <c r="F621" s="959"/>
      <c r="G621" s="959"/>
      <c r="H621" s="959"/>
      <c r="I621" s="959"/>
      <c r="J621" s="959"/>
      <c r="K621" s="660"/>
    </row>
    <row r="622" spans="1:18" ht="18" customHeight="1">
      <c r="A622" s="659"/>
      <c r="B622" s="959"/>
      <c r="C622" s="959"/>
      <c r="D622" s="959"/>
      <c r="E622" s="959"/>
      <c r="F622" s="959"/>
      <c r="G622" s="959"/>
      <c r="H622" s="959"/>
      <c r="I622" s="959"/>
      <c r="J622" s="959"/>
      <c r="K622" s="660"/>
    </row>
    <row r="623" spans="1:18" ht="18" customHeight="1">
      <c r="A623" s="659"/>
      <c r="B623" s="959" t="s">
        <v>2971</v>
      </c>
      <c r="C623" s="959" t="s">
        <v>2779</v>
      </c>
      <c r="D623" s="959" t="s">
        <v>2970</v>
      </c>
      <c r="E623" s="959"/>
      <c r="F623" s="959"/>
      <c r="G623" s="959"/>
      <c r="H623" s="959"/>
      <c r="I623" s="959"/>
      <c r="J623" s="959"/>
      <c r="K623" s="660"/>
    </row>
    <row r="624" spans="1:18" ht="18" customHeight="1">
      <c r="A624" s="659"/>
      <c r="B624" s="959"/>
      <c r="C624" s="959"/>
      <c r="D624" s="959"/>
      <c r="E624" s="959"/>
      <c r="F624" s="959"/>
      <c r="G624" s="959"/>
      <c r="H624" s="959"/>
      <c r="I624" s="959"/>
      <c r="J624" s="959"/>
      <c r="K624" s="660"/>
    </row>
    <row r="625" spans="1:11" ht="18" customHeight="1">
      <c r="A625" s="659"/>
      <c r="B625" s="959" t="s">
        <v>2972</v>
      </c>
      <c r="C625" s="959" t="s">
        <v>2779</v>
      </c>
      <c r="D625" s="1091" t="s">
        <v>2974</v>
      </c>
      <c r="E625" s="959"/>
      <c r="F625" s="959"/>
      <c r="G625" s="959"/>
      <c r="H625" s="959"/>
      <c r="I625" s="959"/>
      <c r="J625" s="959"/>
      <c r="K625" s="660"/>
    </row>
    <row r="626" spans="1:11" ht="18" customHeight="1">
      <c r="A626" s="659"/>
      <c r="B626" s="959"/>
      <c r="C626" s="959"/>
      <c r="D626" s="959"/>
      <c r="E626" s="959"/>
      <c r="F626" s="959"/>
      <c r="G626" s="959"/>
      <c r="H626" s="959"/>
      <c r="I626" s="959"/>
      <c r="J626" s="959"/>
      <c r="K626" s="660"/>
    </row>
    <row r="627" spans="1:11" ht="18" customHeight="1">
      <c r="A627" s="659"/>
      <c r="B627" s="959" t="s">
        <v>2973</v>
      </c>
      <c r="C627" s="959" t="s">
        <v>2779</v>
      </c>
      <c r="D627" s="959" t="s">
        <v>2975</v>
      </c>
      <c r="E627" s="959"/>
      <c r="F627" s="959"/>
      <c r="G627" s="959"/>
      <c r="H627" s="959"/>
      <c r="I627" s="959"/>
      <c r="J627" s="959"/>
      <c r="K627" s="660"/>
    </row>
    <row r="628" spans="1:11" ht="18" customHeight="1">
      <c r="A628" s="659"/>
      <c r="B628" s="959"/>
      <c r="C628" s="959"/>
      <c r="D628" s="959"/>
      <c r="E628" s="959"/>
      <c r="F628" s="959"/>
      <c r="G628" s="959"/>
      <c r="H628" s="959"/>
      <c r="I628" s="959"/>
      <c r="J628" s="959"/>
      <c r="K628" s="660"/>
    </row>
    <row r="629" spans="1:11" ht="18" customHeight="1" thickBot="1">
      <c r="A629" s="662"/>
      <c r="B629" s="663"/>
      <c r="C629" s="663"/>
      <c r="D629" s="663"/>
      <c r="E629" s="663"/>
      <c r="F629" s="663"/>
      <c r="G629" s="663"/>
      <c r="H629" s="663"/>
      <c r="I629" s="663"/>
      <c r="J629" s="663"/>
      <c r="K629" s="664"/>
    </row>
  </sheetData>
  <phoneticPr fontId="95" type="noConversion"/>
  <hyperlinks>
    <hyperlink ref="A569" location="例_textjoin" display="/=TEXTJOIN()" xr:uid="{00000000-0004-0000-0200-000000000000}"/>
    <hyperlink ref="A545" location="例_SUBSTITUTE" display="/=SUBSTITUTE()" xr:uid="{00000000-0004-0000-0200-000001000000}"/>
    <hyperlink ref="A507" location="例_filter" display="/=FILTER()" xr:uid="{00000000-0004-0000-0200-000002000000}"/>
    <hyperlink ref="A495" location="例_UNIQUE" display="/=UNIQUE()" xr:uid="{00000000-0004-0000-0200-000003000000}"/>
    <hyperlink ref="A484" location="讲_INDIRECT" display="/=INDIRECT()" xr:uid="{00000000-0004-0000-0200-000004000000}"/>
    <hyperlink ref="A114" location="choose_例子" display="/=CHOOSE()" xr:uid="{669D0F31-6DDD-48CB-80E4-7A99487A121C}"/>
    <hyperlink ref="A601" location="例_FREQUENCY" display="/=FREQUENCY() " xr:uid="{0AE5629A-8F97-4033-A324-626F88502EE3}"/>
  </hyperlink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tabColor theme="9" tint="0.39994506668294322"/>
  </sheetPr>
  <dimension ref="B1:AE1696"/>
  <sheetViews>
    <sheetView tabSelected="1" topLeftCell="A1679" zoomScaleNormal="100" workbookViewId="0">
      <selection activeCell="C1699" sqref="C1699"/>
    </sheetView>
  </sheetViews>
  <sheetFormatPr defaultColWidth="9" defaultRowHeight="18.95" customHeight="1"/>
  <cols>
    <col min="1" max="1" width="9" style="1"/>
    <col min="2" max="2" width="26.875" style="1" customWidth="1"/>
    <col min="3" max="3" width="15.625" style="1" customWidth="1"/>
    <col min="4" max="4" width="31.25" style="1" customWidth="1"/>
    <col min="5" max="5" width="21.375" style="1" customWidth="1"/>
    <col min="6" max="6" width="12.5" style="1" customWidth="1"/>
    <col min="7" max="7" width="11.375" style="1" customWidth="1"/>
    <col min="8" max="8" width="29.625" style="1" bestFit="1" customWidth="1"/>
    <col min="9" max="9" width="11.625" style="1" customWidth="1"/>
    <col min="10" max="10" width="11.25" style="1" customWidth="1"/>
    <col min="11" max="11" width="9.75" style="1" bestFit="1" customWidth="1"/>
    <col min="12" max="13" width="13.125" style="1" bestFit="1" customWidth="1"/>
    <col min="14" max="14" width="9.625" style="1" customWidth="1"/>
    <col min="15" max="15" width="10" style="1" customWidth="1"/>
    <col min="16" max="16" width="11.375" style="1" customWidth="1"/>
    <col min="17" max="17" width="9.125" style="1" customWidth="1"/>
    <col min="18" max="18" width="10.5" style="1" customWidth="1"/>
    <col min="19" max="19" width="11.625" style="1" customWidth="1"/>
    <col min="20" max="20" width="9.625" style="1" customWidth="1"/>
    <col min="21" max="21" width="9.125" style="1" customWidth="1"/>
    <col min="22" max="22" width="9.625" style="1" customWidth="1"/>
    <col min="23" max="16384" width="9" style="1"/>
  </cols>
  <sheetData>
    <row r="1" spans="2:20" ht="18.95" customHeight="1">
      <c r="B1" s="281" t="s">
        <v>1154</v>
      </c>
      <c r="C1" s="282" t="s">
        <v>131</v>
      </c>
      <c r="D1" s="282" t="s">
        <v>43</v>
      </c>
      <c r="E1" s="282" t="s">
        <v>1155</v>
      </c>
      <c r="F1" s="282" t="s">
        <v>44</v>
      </c>
      <c r="G1" s="282" t="s">
        <v>45</v>
      </c>
      <c r="H1" s="282" t="s">
        <v>46</v>
      </c>
      <c r="I1" s="282"/>
      <c r="J1" s="282"/>
      <c r="K1" s="282"/>
      <c r="L1" s="282"/>
      <c r="M1" s="282"/>
      <c r="N1" s="312" t="s">
        <v>131</v>
      </c>
      <c r="O1" s="312" t="s">
        <v>43</v>
      </c>
      <c r="P1" s="312" t="s">
        <v>1155</v>
      </c>
      <c r="Q1" s="312" t="s">
        <v>44</v>
      </c>
      <c r="R1" s="312" t="s">
        <v>45</v>
      </c>
      <c r="S1" s="312" t="s">
        <v>46</v>
      </c>
      <c r="T1" s="325"/>
    </row>
    <row r="2" spans="2:20" ht="18.95" customHeight="1">
      <c r="B2" s="283" t="str">
        <f>C2&amp;COUNTIF($C$2:C2,C2)</f>
        <v>张三1</v>
      </c>
      <c r="C2" s="105" t="s">
        <v>540</v>
      </c>
      <c r="D2" s="284">
        <v>44199</v>
      </c>
      <c r="E2" s="105" t="s">
        <v>1156</v>
      </c>
      <c r="F2" s="105">
        <v>3</v>
      </c>
      <c r="G2" s="105">
        <v>1</v>
      </c>
      <c r="H2" s="105">
        <f t="shared" ref="H2:H11" si="0">F2*G2</f>
        <v>3</v>
      </c>
      <c r="I2" s="105"/>
      <c r="J2" s="105"/>
      <c r="K2" s="105"/>
      <c r="L2" s="105"/>
      <c r="M2" s="105"/>
      <c r="N2" s="313" t="s">
        <v>542</v>
      </c>
      <c r="O2" s="314">
        <f t="array" ref="O2">IFERROR(INDEX(D:D,SMALL(IF($C$1:$C$11=$N$2,ROW($1:$11),4^8),ROW(C1))),"")</f>
        <v>44200</v>
      </c>
      <c r="P2" s="314" t="str">
        <f t="array" ref="P2">IFERROR(INDEX(E:E,SMALL(IF($C$1:$C$11=$N$2,ROW($1:$11),4^8),ROW(D1))),"")</f>
        <v>钢笔</v>
      </c>
      <c r="Q2" s="328">
        <f t="array" ref="Q2">IFERROR(INDEX(F:F,SMALL(IF($C$1:$C$11=$N$2,ROW($1:$11),4^8),ROW(E1))),"")</f>
        <v>2</v>
      </c>
      <c r="R2" s="328">
        <f t="array" ref="R2">IFERROR(INDEX(G:G,SMALL(IF($C$1:$C$11=$N$2,ROW($1:$11),4^8),ROW(F1))),"")</f>
        <v>5</v>
      </c>
      <c r="S2" s="328">
        <f t="array" ref="S2">IFERROR(INDEX(H:H,SMALL(IF($C$1:$C$11=$N$2,ROW($1:$11),4^8),ROW(G1))),"")</f>
        <v>10</v>
      </c>
      <c r="T2" s="326"/>
    </row>
    <row r="3" spans="2:20" ht="18.95" customHeight="1">
      <c r="B3" s="283" t="str">
        <f>C3&amp;COUNTIF($C$2:C3,C3)</f>
        <v>李四1</v>
      </c>
      <c r="C3" s="105" t="s">
        <v>542</v>
      </c>
      <c r="D3" s="284">
        <v>44200</v>
      </c>
      <c r="E3" s="105" t="s">
        <v>1157</v>
      </c>
      <c r="F3" s="105">
        <v>2</v>
      </c>
      <c r="G3" s="105">
        <v>5</v>
      </c>
      <c r="H3" s="105">
        <f t="shared" si="0"/>
        <v>10</v>
      </c>
      <c r="I3" s="105"/>
      <c r="J3" s="105"/>
      <c r="K3" s="105"/>
      <c r="L3" s="105" t="s">
        <v>1158</v>
      </c>
      <c r="M3" s="105"/>
      <c r="N3" s="315"/>
      <c r="O3" s="314">
        <f t="array" ref="O3">IFERROR(INDEX(D:D,SMALL(IF($C$1:$C$11=$N$2,ROW($1:$11),4^8),ROW(C2))),"")</f>
        <v>44200</v>
      </c>
      <c r="P3" s="314" t="str">
        <f t="array" ref="P3">IFERROR(INDEX(E:E,SMALL(IF($C$1:$C$11=$N$2,ROW($1:$11),4^8),ROW(D2))),"")</f>
        <v>铅笔</v>
      </c>
      <c r="Q3" s="328">
        <f t="array" ref="Q3">IFERROR(INDEX(F:F,SMALL(IF($C$1:$C$11=$N$2,ROW($1:$11),4^8),ROW(E2))),"")</f>
        <v>4</v>
      </c>
      <c r="R3" s="328">
        <f t="array" ref="R3">IFERROR(INDEX(G:G,SMALL(IF($C$1:$C$11=$N$2,ROW($1:$11),4^8),ROW(F2))),"")</f>
        <v>1</v>
      </c>
      <c r="S3" s="328">
        <f t="array" ref="S3">IFERROR(INDEX(H:H,SMALL(IF($C$1:$C$11=$N$2,ROW($1:$11),4^8),ROW(G2))),"")</f>
        <v>4</v>
      </c>
      <c r="T3" s="326"/>
    </row>
    <row r="4" spans="2:20" ht="18.95" customHeight="1">
      <c r="B4" s="283" t="str">
        <f>C4&amp;COUNTIF($C$2:C4,C4)</f>
        <v>王五1</v>
      </c>
      <c r="C4" s="105" t="s">
        <v>544</v>
      </c>
      <c r="D4" s="284">
        <v>44201</v>
      </c>
      <c r="E4" s="105" t="s">
        <v>1159</v>
      </c>
      <c r="F4" s="105">
        <v>1</v>
      </c>
      <c r="G4" s="105">
        <v>10</v>
      </c>
      <c r="H4" s="105">
        <f t="shared" si="0"/>
        <v>10</v>
      </c>
      <c r="I4" s="105"/>
      <c r="J4" s="105"/>
      <c r="K4" s="105"/>
      <c r="L4" s="105"/>
      <c r="M4" s="105"/>
      <c r="N4" s="315"/>
      <c r="O4" s="314">
        <f t="array" ref="O4">IFERROR(INDEX(D:D,SMALL(IF($C$1:$C$11=$N$2,ROW($1:$11),4^8),ROW(C3))),"")</f>
        <v>44200</v>
      </c>
      <c r="P4" s="314" t="str">
        <f t="array" ref="P4">IFERROR(INDEX(E:E,SMALL(IF($C$1:$C$11=$N$2,ROW($1:$11),4^8),ROW(D3))),"")</f>
        <v>文具盒</v>
      </c>
      <c r="Q4" s="328">
        <f t="array" ref="Q4">IFERROR(INDEX(F:F,SMALL(IF($C$1:$C$11=$N$2,ROW($1:$11),4^8),ROW(E3))),"")</f>
        <v>12</v>
      </c>
      <c r="R4" s="328">
        <f t="array" ref="R4">IFERROR(INDEX(G:G,SMALL(IF($C$1:$C$11=$N$2,ROW($1:$11),4^8),ROW(F3))),"")</f>
        <v>1</v>
      </c>
      <c r="S4" s="328">
        <f t="array" ref="S4">IFERROR(INDEX(H:H,SMALL(IF($C$1:$C$11=$N$2,ROW($1:$11),4^8),ROW(G3))),"")</f>
        <v>12</v>
      </c>
      <c r="T4" s="326"/>
    </row>
    <row r="5" spans="2:20" ht="18.95" customHeight="1">
      <c r="B5" s="283" t="str">
        <f>C5&amp;COUNTIF($C$2:C5,C5)</f>
        <v>张三2</v>
      </c>
      <c r="C5" s="105" t="s">
        <v>540</v>
      </c>
      <c r="D5" s="284">
        <v>44199</v>
      </c>
      <c r="E5" s="105" t="s">
        <v>1160</v>
      </c>
      <c r="F5" s="105">
        <v>5</v>
      </c>
      <c r="G5" s="105">
        <v>0.5</v>
      </c>
      <c r="H5" s="105">
        <f t="shared" si="0"/>
        <v>2.5</v>
      </c>
      <c r="I5" s="105"/>
      <c r="J5" s="105"/>
      <c r="K5" s="105"/>
      <c r="L5" s="105" t="s">
        <v>1161</v>
      </c>
      <c r="M5" s="105"/>
      <c r="N5" s="315"/>
      <c r="O5" s="314">
        <f t="array" ref="O5">IFERROR(INDEX(D:D,SMALL(IF($C$1:$C$11=$N$2,ROW($1:$11),4^8),ROW(C4))),"")</f>
        <v>44201</v>
      </c>
      <c r="P5" s="314" t="str">
        <f t="array" ref="P5">IFERROR(INDEX(E:E,SMALL(IF($C$1:$C$11=$N$2,ROW($1:$11),4^8),ROW(D4))),"")</f>
        <v>钢笔</v>
      </c>
      <c r="Q5" s="328">
        <f t="array" ref="Q5">IFERROR(INDEX(F:F,SMALL(IF($C$1:$C$11=$N$2,ROW($1:$11),4^8),ROW(E4))),"")</f>
        <v>5</v>
      </c>
      <c r="R5" s="328">
        <f t="array" ref="R5">IFERROR(INDEX(G:G,SMALL(IF($C$1:$C$11=$N$2,ROW($1:$11),4^8),ROW(F4))),"")</f>
        <v>5</v>
      </c>
      <c r="S5" s="328">
        <f t="array" ref="S5">IFERROR(INDEX(H:H,SMALL(IF($C$1:$C$11=$N$2,ROW($1:$11),4^8),ROW(G4))),"")</f>
        <v>25</v>
      </c>
      <c r="T5" s="326"/>
    </row>
    <row r="6" spans="2:20" ht="18.95" customHeight="1">
      <c r="B6" s="283" t="str">
        <f>C6&amp;COUNTIF($C$2:C6,C6)</f>
        <v>李四2</v>
      </c>
      <c r="C6" s="105" t="s">
        <v>542</v>
      </c>
      <c r="D6" s="284">
        <v>44200</v>
      </c>
      <c r="E6" s="105" t="s">
        <v>1156</v>
      </c>
      <c r="F6" s="105">
        <v>4</v>
      </c>
      <c r="G6" s="105">
        <v>1</v>
      </c>
      <c r="H6" s="105">
        <f t="shared" si="0"/>
        <v>4</v>
      </c>
      <c r="I6" s="105"/>
      <c r="J6" s="105"/>
      <c r="K6" s="105"/>
      <c r="L6" s="105"/>
      <c r="M6" s="105"/>
      <c r="N6" s="315"/>
      <c r="O6" s="316">
        <f t="array" ref="O6">IFERROR(INDEX(D:D,SMALL(IF($C$1:$C$11=$N$2,ROW($1:$11),4^8),ROW(C5))),"")</f>
        <v>0</v>
      </c>
      <c r="P6" s="317">
        <f t="array" ref="P6">IFERROR(INDEX(E:E,SMALL(IF($C$1:$C$11=$N$2,ROW($1:$11),4^8),ROW(D5))),"")</f>
        <v>0</v>
      </c>
      <c r="Q6" s="317">
        <f t="array" ref="Q6">IFERROR(INDEX(F:F,SMALL(IF($C$1:$C$11=$N$2,ROW($1:$11),4^8),ROW(E5))),"")</f>
        <v>0</v>
      </c>
      <c r="R6" s="317">
        <f t="array" ref="R6">IFERROR(INDEX(G:G,SMALL(IF($C$1:$C$11=$N$2,ROW($1:$11),4^8),ROW(F5))),"")</f>
        <v>0</v>
      </c>
      <c r="S6" s="317">
        <f t="array" ref="S6">IFERROR(INDEX(H:H,SMALL(IF($C$1:$C$11=$N$2,ROW($1:$11),4^8),ROW(G5))),"")</f>
        <v>0</v>
      </c>
      <c r="T6" s="326"/>
    </row>
    <row r="7" spans="2:20" ht="18.95" customHeight="1">
      <c r="B7" s="283" t="str">
        <f>C7&amp;COUNTIF($C$2:C7,C7)</f>
        <v>王五2</v>
      </c>
      <c r="C7" s="105" t="s">
        <v>544</v>
      </c>
      <c r="D7" s="284">
        <v>44201</v>
      </c>
      <c r="E7" s="105" t="s">
        <v>1157</v>
      </c>
      <c r="F7" s="105">
        <v>5</v>
      </c>
      <c r="G7" s="105">
        <v>5</v>
      </c>
      <c r="H7" s="105">
        <f t="shared" si="0"/>
        <v>25</v>
      </c>
      <c r="I7" s="105"/>
      <c r="J7" s="105"/>
      <c r="K7" s="105"/>
      <c r="L7" s="105"/>
      <c r="M7" s="105"/>
      <c r="N7" s="315"/>
      <c r="O7" s="316">
        <f t="array" ref="O7">IFERROR(INDEX(D:D,SMALL(IF($C$1:$C$11=$N$2,ROW($1:$11),4^8),ROW(C6))),"")</f>
        <v>0</v>
      </c>
      <c r="P7" s="317">
        <f t="array" ref="P7">IFERROR(INDEX(E:E,SMALL(IF($C$1:$C$11=$N$2,ROW($1:$11),4^8),ROW(D6))),"")</f>
        <v>0</v>
      </c>
      <c r="Q7" s="317">
        <f t="array" ref="Q7">IFERROR(INDEX(F:F,SMALL(IF($C$1:$C$11=$N$2,ROW($1:$11),4^8),ROW(E6))),"")</f>
        <v>0</v>
      </c>
      <c r="R7" s="317">
        <f t="array" ref="R7">IFERROR(INDEX(G:G,SMALL(IF($C$1:$C$11=$N$2,ROW($1:$11),4^8),ROW(F6))),"")</f>
        <v>0</v>
      </c>
      <c r="S7" s="317">
        <f t="array" ref="S7">IFERROR(INDEX(H:H,SMALL(IF($C$1:$C$11=$N$2,ROW($1:$11),4^8),ROW(G6))),"")</f>
        <v>0</v>
      </c>
      <c r="T7" s="326"/>
    </row>
    <row r="8" spans="2:20" ht="18.95" customHeight="1">
      <c r="B8" s="283" t="str">
        <f>C8&amp;COUNTIF($C$2:C8,C8)</f>
        <v>张三3</v>
      </c>
      <c r="C8" s="105" t="s">
        <v>540</v>
      </c>
      <c r="D8" s="284">
        <v>44199</v>
      </c>
      <c r="E8" s="105" t="s">
        <v>1162</v>
      </c>
      <c r="F8" s="105">
        <v>10</v>
      </c>
      <c r="G8" s="105">
        <v>0.5</v>
      </c>
      <c r="H8" s="105">
        <f t="shared" si="0"/>
        <v>5</v>
      </c>
      <c r="I8" s="105"/>
      <c r="J8" s="105"/>
      <c r="K8" s="105"/>
      <c r="L8" s="105"/>
      <c r="M8" s="105"/>
      <c r="N8" s="105"/>
      <c r="O8" s="105"/>
      <c r="P8" s="105"/>
      <c r="Q8" s="329"/>
      <c r="R8" s="329"/>
      <c r="S8" s="329"/>
      <c r="T8" s="326"/>
    </row>
    <row r="9" spans="2:20" ht="18.95" customHeight="1">
      <c r="B9" s="283" t="str">
        <f>C9&amp;COUNTIF($C$2:C9,C9)</f>
        <v>李四3</v>
      </c>
      <c r="C9" s="105" t="s">
        <v>542</v>
      </c>
      <c r="D9" s="284">
        <v>44200</v>
      </c>
      <c r="E9" s="105" t="s">
        <v>1163</v>
      </c>
      <c r="F9" s="105">
        <v>12</v>
      </c>
      <c r="G9" s="105">
        <v>1</v>
      </c>
      <c r="H9" s="105">
        <f t="shared" si="0"/>
        <v>12</v>
      </c>
      <c r="I9" s="105"/>
      <c r="J9" s="105"/>
      <c r="K9" s="105"/>
      <c r="L9" s="105"/>
      <c r="M9" s="105"/>
      <c r="N9" s="105"/>
      <c r="O9" s="105"/>
      <c r="P9" s="105"/>
      <c r="Q9" s="105"/>
      <c r="R9" s="105"/>
      <c r="S9" s="105"/>
      <c r="T9" s="326"/>
    </row>
    <row r="10" spans="2:20" ht="18.95" customHeight="1">
      <c r="B10" s="283" t="str">
        <f>C10&amp;COUNTIF($C$2:C10,C10)</f>
        <v>王五3</v>
      </c>
      <c r="C10" s="105" t="s">
        <v>544</v>
      </c>
      <c r="D10" s="284">
        <v>44201</v>
      </c>
      <c r="E10" s="105" t="s">
        <v>1156</v>
      </c>
      <c r="F10" s="105">
        <v>1</v>
      </c>
      <c r="G10" s="105">
        <v>1</v>
      </c>
      <c r="H10" s="105">
        <f t="shared" si="0"/>
        <v>1</v>
      </c>
      <c r="I10" s="105"/>
      <c r="J10" s="105"/>
      <c r="K10" s="105"/>
      <c r="L10" s="105"/>
      <c r="M10" s="105"/>
      <c r="N10" s="105"/>
      <c r="O10" s="284"/>
      <c r="P10" s="284"/>
      <c r="Q10" s="105"/>
      <c r="R10" s="105"/>
      <c r="S10" s="105"/>
      <c r="T10" s="326"/>
    </row>
    <row r="11" spans="2:20" ht="18.95" customHeight="1">
      <c r="B11" s="283" t="str">
        <f>C11&amp;COUNTIF($C$2:C11,C11)</f>
        <v>李四4</v>
      </c>
      <c r="C11" s="105" t="s">
        <v>542</v>
      </c>
      <c r="D11" s="284">
        <v>44201</v>
      </c>
      <c r="E11" s="105" t="s">
        <v>1157</v>
      </c>
      <c r="F11" s="105">
        <v>5</v>
      </c>
      <c r="G11" s="105">
        <v>5</v>
      </c>
      <c r="H11" s="105">
        <f t="shared" si="0"/>
        <v>25</v>
      </c>
      <c r="I11" s="105"/>
      <c r="J11" s="105"/>
      <c r="K11" s="105"/>
      <c r="L11" s="105"/>
      <c r="M11" s="105"/>
      <c r="N11" s="105"/>
      <c r="O11" s="284"/>
      <c r="P11" s="105"/>
      <c r="Q11" s="105"/>
      <c r="R11" s="105"/>
      <c r="S11" s="105"/>
      <c r="T11" s="326"/>
    </row>
    <row r="12" spans="2:20" ht="18.95" customHeight="1">
      <c r="B12" s="285"/>
      <c r="C12" s="105"/>
      <c r="D12" s="105"/>
      <c r="E12" s="105"/>
      <c r="F12" s="105"/>
      <c r="G12" s="105"/>
      <c r="H12" s="105"/>
      <c r="I12" s="105"/>
      <c r="J12" s="105"/>
      <c r="K12" s="105"/>
      <c r="L12" s="105"/>
      <c r="M12" s="105"/>
      <c r="N12" s="105"/>
      <c r="O12" s="284"/>
      <c r="P12" s="105"/>
      <c r="Q12" s="105"/>
      <c r="R12" s="105"/>
      <c r="S12" s="105"/>
      <c r="T12" s="326"/>
    </row>
    <row r="13" spans="2:20" ht="18.95" customHeight="1">
      <c r="B13" s="285"/>
      <c r="C13" s="105"/>
      <c r="D13" s="105"/>
      <c r="E13" s="105"/>
      <c r="F13" s="105"/>
      <c r="G13" s="105"/>
      <c r="H13" s="105"/>
      <c r="I13" s="105"/>
      <c r="J13" s="105"/>
      <c r="K13" s="105"/>
      <c r="L13" s="105" t="s">
        <v>1164</v>
      </c>
      <c r="M13" s="105"/>
      <c r="N13" s="105" t="s">
        <v>131</v>
      </c>
      <c r="O13" s="284" t="s">
        <v>43</v>
      </c>
      <c r="P13" s="105" t="s">
        <v>1155</v>
      </c>
      <c r="Q13" s="105" t="s">
        <v>44</v>
      </c>
      <c r="R13" s="105" t="s">
        <v>45</v>
      </c>
      <c r="S13" s="105" t="s">
        <v>46</v>
      </c>
      <c r="T13" s="326"/>
    </row>
    <row r="14" spans="2:20" ht="18.95" customHeight="1">
      <c r="B14" s="285"/>
      <c r="C14" s="105"/>
      <c r="D14" s="105"/>
      <c r="E14" s="105"/>
      <c r="F14" s="105"/>
      <c r="G14" s="105"/>
      <c r="H14" s="105"/>
      <c r="I14" s="105"/>
      <c r="J14" s="105"/>
      <c r="K14" s="105"/>
      <c r="L14" s="105"/>
      <c r="M14" s="105"/>
      <c r="N14" s="105" t="s">
        <v>542</v>
      </c>
      <c r="O14" s="284">
        <f t="shared" ref="O14:S19" si="1">IFERROR(VLOOKUP($N$14&amp;ROW(B1),$B$1:$H$11,MATCH(O$13,$B$1:$H$1,0),FALSE),"")</f>
        <v>44200</v>
      </c>
      <c r="P14" s="284" t="str">
        <f t="shared" si="1"/>
        <v>钢笔</v>
      </c>
      <c r="Q14" s="329">
        <f t="shared" si="1"/>
        <v>2</v>
      </c>
      <c r="R14" s="329">
        <f t="shared" si="1"/>
        <v>5</v>
      </c>
      <c r="S14" s="329">
        <f t="shared" si="1"/>
        <v>10</v>
      </c>
      <c r="T14" s="326"/>
    </row>
    <row r="15" spans="2:20" ht="18.95" customHeight="1">
      <c r="B15" s="285"/>
      <c r="C15" s="105"/>
      <c r="D15" s="105"/>
      <c r="E15" s="105"/>
      <c r="F15" s="105"/>
      <c r="G15" s="105"/>
      <c r="H15" s="105"/>
      <c r="I15" s="105"/>
      <c r="J15" s="105"/>
      <c r="K15" s="105"/>
      <c r="L15" s="105" t="s">
        <v>1165</v>
      </c>
      <c r="M15" s="105"/>
      <c r="N15" s="105"/>
      <c r="O15" s="284">
        <f t="shared" si="1"/>
        <v>44200</v>
      </c>
      <c r="P15" s="284" t="str">
        <f t="shared" si="1"/>
        <v>铅笔</v>
      </c>
      <c r="Q15" s="924">
        <f t="shared" si="1"/>
        <v>4</v>
      </c>
      <c r="R15" s="924">
        <f t="shared" si="1"/>
        <v>1</v>
      </c>
      <c r="S15" s="924">
        <f t="shared" si="1"/>
        <v>4</v>
      </c>
      <c r="T15" s="326"/>
    </row>
    <row r="16" spans="2:20" ht="18.95" customHeight="1">
      <c r="B16" s="285"/>
      <c r="C16" s="105"/>
      <c r="D16" s="105"/>
      <c r="E16" s="105"/>
      <c r="F16" s="105"/>
      <c r="G16" s="105"/>
      <c r="H16" s="105"/>
      <c r="I16" s="105"/>
      <c r="J16" s="105"/>
      <c r="K16" s="105"/>
      <c r="L16" s="105"/>
      <c r="M16" s="105"/>
      <c r="N16" s="105"/>
      <c r="O16" s="284">
        <f t="shared" si="1"/>
        <v>44200</v>
      </c>
      <c r="P16" s="284" t="str">
        <f t="shared" si="1"/>
        <v>文具盒</v>
      </c>
      <c r="Q16" s="924">
        <f t="shared" si="1"/>
        <v>12</v>
      </c>
      <c r="R16" s="924">
        <f t="shared" si="1"/>
        <v>1</v>
      </c>
      <c r="S16" s="924">
        <f t="shared" si="1"/>
        <v>12</v>
      </c>
      <c r="T16" s="326"/>
    </row>
    <row r="17" spans="2:20" ht="18.95" customHeight="1">
      <c r="B17" s="285"/>
      <c r="C17" s="105"/>
      <c r="D17" s="105"/>
      <c r="E17" s="105"/>
      <c r="F17" s="105"/>
      <c r="G17" s="105"/>
      <c r="H17" s="105"/>
      <c r="I17" s="105"/>
      <c r="J17" s="105"/>
      <c r="K17" s="105"/>
      <c r="L17" s="105"/>
      <c r="M17" s="105"/>
      <c r="N17" s="105"/>
      <c r="O17" s="284">
        <f t="shared" si="1"/>
        <v>44201</v>
      </c>
      <c r="P17" s="284" t="str">
        <f t="shared" si="1"/>
        <v>钢笔</v>
      </c>
      <c r="Q17" s="924">
        <f t="shared" si="1"/>
        <v>5</v>
      </c>
      <c r="R17" s="924">
        <f t="shared" si="1"/>
        <v>5</v>
      </c>
      <c r="S17" s="924">
        <f t="shared" si="1"/>
        <v>25</v>
      </c>
      <c r="T17" s="326"/>
    </row>
    <row r="18" spans="2:20" ht="18.95" customHeight="1">
      <c r="B18" s="285"/>
      <c r="C18" s="105"/>
      <c r="D18" s="105"/>
      <c r="E18" s="105"/>
      <c r="F18" s="105"/>
      <c r="G18" s="105"/>
      <c r="H18" s="105"/>
      <c r="I18" s="105"/>
      <c r="J18" s="105"/>
      <c r="K18" s="105"/>
      <c r="L18" s="105"/>
      <c r="M18" s="105"/>
      <c r="N18" s="105"/>
      <c r="O18" s="284" t="str">
        <f t="shared" si="1"/>
        <v/>
      </c>
      <c r="P18" s="284" t="str">
        <f t="shared" si="1"/>
        <v/>
      </c>
      <c r="Q18" s="924" t="str">
        <f t="shared" si="1"/>
        <v/>
      </c>
      <c r="R18" s="924" t="str">
        <f t="shared" si="1"/>
        <v/>
      </c>
      <c r="S18" s="924" t="str">
        <f t="shared" si="1"/>
        <v/>
      </c>
      <c r="T18" s="326"/>
    </row>
    <row r="19" spans="2:20" ht="18.95" customHeight="1">
      <c r="B19" s="285"/>
      <c r="C19" s="105"/>
      <c r="D19" s="286" t="s">
        <v>1166</v>
      </c>
      <c r="E19" s="287" t="s">
        <v>1167</v>
      </c>
      <c r="F19" s="105"/>
      <c r="G19" s="105"/>
      <c r="H19" s="105"/>
      <c r="I19" s="105"/>
      <c r="J19" s="105"/>
      <c r="K19" s="105"/>
      <c r="L19" s="105"/>
      <c r="M19" s="105"/>
      <c r="N19" s="318"/>
      <c r="O19" s="284" t="str">
        <f t="shared" si="1"/>
        <v/>
      </c>
      <c r="P19" s="284" t="str">
        <f t="shared" si="1"/>
        <v/>
      </c>
      <c r="Q19" s="924" t="str">
        <f t="shared" si="1"/>
        <v/>
      </c>
      <c r="R19" s="924" t="str">
        <f t="shared" si="1"/>
        <v/>
      </c>
      <c r="S19" s="924" t="str">
        <f t="shared" si="1"/>
        <v/>
      </c>
      <c r="T19" s="326"/>
    </row>
    <row r="20" spans="2:20" ht="18.95" customHeight="1">
      <c r="B20" s="285"/>
      <c r="C20" s="105"/>
      <c r="D20" s="288" t="s">
        <v>2517</v>
      </c>
      <c r="E20" s="289" t="s">
        <v>2516</v>
      </c>
      <c r="F20" s="105"/>
      <c r="G20" s="105"/>
      <c r="H20" s="105"/>
      <c r="I20" s="105"/>
      <c r="J20" s="105"/>
      <c r="K20" s="105"/>
      <c r="L20" s="105"/>
      <c r="M20" s="105"/>
      <c r="N20" s="319"/>
      <c r="O20" s="105"/>
      <c r="P20" s="105"/>
      <c r="Q20" s="329"/>
      <c r="R20" s="329"/>
      <c r="S20" s="329"/>
      <c r="T20" s="326"/>
    </row>
    <row r="21" spans="2:20" ht="18.95" customHeight="1">
      <c r="B21" s="285"/>
      <c r="C21" s="105"/>
      <c r="D21" s="288" t="s">
        <v>1168</v>
      </c>
      <c r="E21" s="289" t="s">
        <v>2513</v>
      </c>
      <c r="F21" s="105"/>
      <c r="G21" s="105"/>
      <c r="H21" s="105"/>
      <c r="I21" s="105"/>
      <c r="J21" s="105"/>
      <c r="K21" s="105"/>
      <c r="L21" s="105"/>
      <c r="M21" s="105"/>
      <c r="N21" s="319"/>
      <c r="O21" s="105"/>
      <c r="P21" s="105"/>
      <c r="Q21" s="329"/>
      <c r="R21" s="329"/>
      <c r="S21" s="329"/>
      <c r="T21" s="326"/>
    </row>
    <row r="22" spans="2:20" ht="18.95" customHeight="1" thickBot="1">
      <c r="B22" s="285"/>
      <c r="C22" s="105"/>
      <c r="D22" s="290" t="s">
        <v>1169</v>
      </c>
      <c r="E22" s="961" t="s">
        <v>2514</v>
      </c>
      <c r="F22" s="105"/>
      <c r="G22" s="105"/>
      <c r="H22" s="105"/>
      <c r="I22" s="105"/>
      <c r="J22" s="105"/>
      <c r="K22" s="105"/>
      <c r="L22" s="105"/>
      <c r="M22" s="105"/>
      <c r="N22" s="318"/>
      <c r="O22" s="105"/>
      <c r="P22" s="105"/>
      <c r="Q22" s="105"/>
      <c r="R22" s="105"/>
      <c r="S22" s="105"/>
      <c r="T22" s="326"/>
    </row>
    <row r="23" spans="2:20" ht="18.95" customHeight="1">
      <c r="B23" s="285"/>
      <c r="C23" s="105"/>
      <c r="D23" s="105"/>
      <c r="E23" s="105"/>
      <c r="F23" s="105"/>
      <c r="G23" s="105"/>
      <c r="H23" s="105"/>
      <c r="I23" s="105"/>
      <c r="J23" s="105"/>
      <c r="K23" s="105"/>
      <c r="L23" s="105" t="s">
        <v>1170</v>
      </c>
      <c r="M23" s="105"/>
      <c r="N23" s="105" t="s">
        <v>131</v>
      </c>
      <c r="O23" s="284" t="s">
        <v>43</v>
      </c>
      <c r="P23" s="105" t="s">
        <v>1155</v>
      </c>
      <c r="Q23" s="105" t="s">
        <v>44</v>
      </c>
      <c r="R23" s="105" t="s">
        <v>45</v>
      </c>
      <c r="S23" s="105" t="s">
        <v>46</v>
      </c>
      <c r="T23" s="326"/>
    </row>
    <row r="24" spans="2:20" ht="18.95" customHeight="1">
      <c r="B24" s="285"/>
      <c r="C24" s="105"/>
      <c r="D24" s="105"/>
      <c r="E24" s="105"/>
      <c r="F24" s="105"/>
      <c r="G24" s="105"/>
      <c r="H24" s="105"/>
      <c r="I24" s="105"/>
      <c r="J24" s="105"/>
      <c r="K24" s="105"/>
      <c r="L24" s="105"/>
      <c r="M24" s="105"/>
      <c r="N24" s="105" t="s">
        <v>542</v>
      </c>
      <c r="O24" s="284">
        <f t="shared" ref="O24:S27" si="2">IFERROR(INDEX(D$1:D$11,MATCH($N$24&amp;ROW(B1),$B$1:$B$11,0)),"")</f>
        <v>44200</v>
      </c>
      <c r="P24" s="284" t="str">
        <f t="shared" si="2"/>
        <v>钢笔</v>
      </c>
      <c r="Q24" s="329">
        <f t="shared" si="2"/>
        <v>2</v>
      </c>
      <c r="R24" s="329">
        <f t="shared" si="2"/>
        <v>5</v>
      </c>
      <c r="S24" s="329">
        <f t="shared" si="2"/>
        <v>10</v>
      </c>
      <c r="T24" s="326"/>
    </row>
    <row r="25" spans="2:20" ht="18.95" customHeight="1">
      <c r="B25" s="285"/>
      <c r="C25" s="105"/>
      <c r="D25" s="105"/>
      <c r="E25" s="105"/>
      <c r="F25" s="105"/>
      <c r="G25" s="105"/>
      <c r="H25" s="105"/>
      <c r="I25" s="105"/>
      <c r="J25" s="105"/>
      <c r="K25" s="105"/>
      <c r="L25" s="105"/>
      <c r="M25" s="105"/>
      <c r="N25" s="318"/>
      <c r="O25" s="284">
        <f t="shared" si="2"/>
        <v>44200</v>
      </c>
      <c r="P25" s="284" t="str">
        <f t="shared" si="2"/>
        <v>铅笔</v>
      </c>
      <c r="Q25" s="329">
        <f t="shared" si="2"/>
        <v>4</v>
      </c>
      <c r="R25" s="329">
        <f t="shared" si="2"/>
        <v>1</v>
      </c>
      <c r="S25" s="329">
        <f t="shared" si="2"/>
        <v>4</v>
      </c>
      <c r="T25" s="326"/>
    </row>
    <row r="26" spans="2:20" ht="18.95" customHeight="1">
      <c r="B26" s="285"/>
      <c r="C26" s="105"/>
      <c r="D26" s="105"/>
      <c r="E26" s="105"/>
      <c r="F26" s="105"/>
      <c r="G26" s="105"/>
      <c r="H26" s="105"/>
      <c r="I26" s="105"/>
      <c r="J26" s="105"/>
      <c r="K26" s="105"/>
      <c r="L26" s="105"/>
      <c r="M26" s="105"/>
      <c r="N26" s="105"/>
      <c r="O26" s="284">
        <f t="shared" si="2"/>
        <v>44200</v>
      </c>
      <c r="P26" s="284" t="str">
        <f t="shared" si="2"/>
        <v>文具盒</v>
      </c>
      <c r="Q26" s="329">
        <f t="shared" si="2"/>
        <v>12</v>
      </c>
      <c r="R26" s="329">
        <f t="shared" si="2"/>
        <v>1</v>
      </c>
      <c r="S26" s="329">
        <f t="shared" si="2"/>
        <v>12</v>
      </c>
      <c r="T26" s="326"/>
    </row>
    <row r="27" spans="2:20" ht="18.95" customHeight="1">
      <c r="B27" s="285"/>
      <c r="C27" s="105"/>
      <c r="D27" s="105"/>
      <c r="E27" s="105"/>
      <c r="F27" s="105"/>
      <c r="G27" s="105"/>
      <c r="H27" s="105"/>
      <c r="I27" s="105"/>
      <c r="J27" s="105"/>
      <c r="K27" s="105"/>
      <c r="L27" s="105"/>
      <c r="M27" s="105"/>
      <c r="N27" s="105"/>
      <c r="O27" s="284">
        <f t="shared" si="2"/>
        <v>44201</v>
      </c>
      <c r="P27" s="284" t="str">
        <f t="shared" si="2"/>
        <v>钢笔</v>
      </c>
      <c r="Q27" s="329">
        <f t="shared" si="2"/>
        <v>5</v>
      </c>
      <c r="R27" s="329">
        <f t="shared" si="2"/>
        <v>5</v>
      </c>
      <c r="S27" s="329">
        <f t="shared" si="2"/>
        <v>25</v>
      </c>
      <c r="T27" s="326"/>
    </row>
    <row r="28" spans="2:20" ht="18.95" customHeight="1">
      <c r="B28" s="292"/>
      <c r="C28" s="293"/>
      <c r="D28" s="293"/>
      <c r="E28" s="293"/>
      <c r="F28" s="293"/>
      <c r="G28" s="293"/>
      <c r="H28" s="293"/>
      <c r="I28" s="293"/>
      <c r="J28" s="293"/>
      <c r="K28" s="293"/>
      <c r="L28" s="293"/>
      <c r="M28" s="293"/>
      <c r="N28" s="293"/>
      <c r="O28" s="320"/>
      <c r="P28" s="320"/>
      <c r="Q28" s="330"/>
      <c r="R28" s="330"/>
      <c r="S28" s="330"/>
      <c r="T28" s="327"/>
    </row>
    <row r="29" spans="2:20" ht="18.95" customHeight="1">
      <c r="B29" s="294"/>
      <c r="C29" s="295"/>
      <c r="D29" s="295"/>
      <c r="E29" s="295"/>
      <c r="F29" s="295"/>
      <c r="G29" s="295"/>
      <c r="H29" s="295"/>
      <c r="I29" s="295"/>
      <c r="J29" s="295"/>
      <c r="K29" s="295"/>
      <c r="L29" s="295"/>
      <c r="M29" s="295"/>
      <c r="N29" s="295"/>
      <c r="O29" s="321" t="str">
        <f t="shared" ref="O29:S30" si="3">IFERROR(INDEX(D$1:D$11,MATCH($N$24&amp;ROW(B5),$B$1:$B$11,0)),"")</f>
        <v/>
      </c>
      <c r="P29" s="321" t="str">
        <f t="shared" si="3"/>
        <v/>
      </c>
      <c r="Q29" s="331" t="str">
        <f t="shared" si="3"/>
        <v/>
      </c>
      <c r="R29" s="331" t="str">
        <f t="shared" si="3"/>
        <v/>
      </c>
      <c r="S29" s="331" t="str">
        <f t="shared" si="3"/>
        <v/>
      </c>
      <c r="T29" s="332"/>
    </row>
    <row r="30" spans="2:20" ht="18.95" customHeight="1">
      <c r="B30" s="296"/>
      <c r="C30" s="282"/>
      <c r="D30" s="282"/>
      <c r="E30" s="282"/>
      <c r="F30" s="282"/>
      <c r="G30" s="282"/>
      <c r="H30" s="282"/>
      <c r="I30" s="282"/>
      <c r="J30" s="282"/>
      <c r="K30" s="282"/>
      <c r="L30" s="282"/>
      <c r="M30" s="282"/>
      <c r="N30" s="282"/>
      <c r="O30" s="322" t="str">
        <f t="shared" si="3"/>
        <v/>
      </c>
      <c r="P30" s="322" t="str">
        <f t="shared" si="3"/>
        <v/>
      </c>
      <c r="Q30" s="322" t="str">
        <f t="shared" si="3"/>
        <v/>
      </c>
      <c r="R30" s="322" t="str">
        <f t="shared" si="3"/>
        <v/>
      </c>
      <c r="S30" s="322" t="str">
        <f t="shared" si="3"/>
        <v/>
      </c>
      <c r="T30" s="325"/>
    </row>
    <row r="31" spans="2:20" ht="18.95" customHeight="1">
      <c r="B31" s="254"/>
      <c r="C31" s="116"/>
      <c r="D31" s="116"/>
      <c r="E31" s="116"/>
      <c r="F31" s="116"/>
      <c r="G31" s="116"/>
      <c r="H31" s="116"/>
      <c r="I31" s="116"/>
      <c r="J31" s="116"/>
      <c r="K31" s="116"/>
      <c r="L31" s="116"/>
      <c r="M31" s="116"/>
      <c r="N31" s="116"/>
      <c r="O31" s="116"/>
      <c r="P31" s="116"/>
      <c r="Q31" s="116"/>
      <c r="R31" s="116"/>
      <c r="S31" s="116"/>
      <c r="T31" s="326"/>
    </row>
    <row r="32" spans="2:20" ht="18.95" customHeight="1">
      <c r="B32" s="297" t="str">
        <f>COUNTIF($C$31:C32,C32)&amp;C32</f>
        <v>1/22120764</v>
      </c>
      <c r="C32" s="112" t="s">
        <v>1171</v>
      </c>
      <c r="D32" s="112" t="s">
        <v>1172</v>
      </c>
      <c r="E32" s="298" t="s">
        <v>1173</v>
      </c>
      <c r="F32" s="116"/>
      <c r="G32" s="116"/>
      <c r="H32" s="299" t="s">
        <v>1192</v>
      </c>
      <c r="I32" s="116" t="str">
        <f t="shared" ref="I32:N34" si="4">IFERROR(INDEX($E$32:$E$41,MATCH(ROW(B31)&amp;$H$32,$B$32:$B$41,0)),"")</f>
        <v/>
      </c>
      <c r="J32" s="116" t="str">
        <f t="shared" si="4"/>
        <v/>
      </c>
      <c r="K32" s="116" t="str">
        <f t="shared" si="4"/>
        <v/>
      </c>
      <c r="L32" s="116" t="str">
        <f t="shared" si="4"/>
        <v/>
      </c>
      <c r="M32" s="116" t="str">
        <f t="shared" si="4"/>
        <v/>
      </c>
      <c r="N32" s="116" t="str">
        <f t="shared" si="4"/>
        <v/>
      </c>
      <c r="O32" s="116"/>
      <c r="P32" s="116"/>
      <c r="Q32" s="116"/>
      <c r="R32" s="116"/>
      <c r="S32" s="116"/>
      <c r="T32" s="326"/>
    </row>
    <row r="33" spans="2:20" ht="18.95" customHeight="1">
      <c r="B33" s="297" t="str">
        <f>COUNTIF($C$31:C33,C33)&amp;C33</f>
        <v>1/22120765</v>
      </c>
      <c r="C33" s="112" t="s">
        <v>1175</v>
      </c>
      <c r="D33" s="112" t="s">
        <v>1176</v>
      </c>
      <c r="E33" s="298" t="s">
        <v>1177</v>
      </c>
      <c r="F33" s="116"/>
      <c r="G33" s="116"/>
      <c r="H33" s="116"/>
      <c r="I33" s="116" t="str">
        <f t="shared" si="4"/>
        <v/>
      </c>
      <c r="J33" s="116" t="str">
        <f t="shared" si="4"/>
        <v/>
      </c>
      <c r="K33" s="116" t="str">
        <f t="shared" si="4"/>
        <v/>
      </c>
      <c r="L33" s="116" t="str">
        <f t="shared" si="4"/>
        <v/>
      </c>
      <c r="M33" s="116" t="str">
        <f t="shared" si="4"/>
        <v/>
      </c>
      <c r="N33" s="116" t="str">
        <f t="shared" si="4"/>
        <v/>
      </c>
      <c r="O33" s="116"/>
      <c r="P33" s="116"/>
      <c r="Q33" s="116"/>
      <c r="R33" s="116"/>
      <c r="S33" s="116"/>
      <c r="T33" s="326"/>
    </row>
    <row r="34" spans="2:20" ht="18.95" customHeight="1">
      <c r="B34" s="297" t="str">
        <f>COUNTIF($C$31:C34,C34)&amp;C34</f>
        <v>1/22120770</v>
      </c>
      <c r="C34" s="112" t="s">
        <v>1178</v>
      </c>
      <c r="D34" s="112" t="s">
        <v>1176</v>
      </c>
      <c r="E34" s="298" t="s">
        <v>1179</v>
      </c>
      <c r="F34" s="116"/>
      <c r="G34" s="116"/>
      <c r="H34" s="116"/>
      <c r="I34" s="116" t="str">
        <f t="shared" si="4"/>
        <v/>
      </c>
      <c r="J34" s="116" t="str">
        <f t="shared" si="4"/>
        <v/>
      </c>
      <c r="K34" s="116" t="str">
        <f t="shared" si="4"/>
        <v/>
      </c>
      <c r="L34" s="116" t="str">
        <f t="shared" si="4"/>
        <v/>
      </c>
      <c r="M34" s="116" t="str">
        <f t="shared" si="4"/>
        <v/>
      </c>
      <c r="N34" s="116" t="str">
        <f t="shared" si="4"/>
        <v/>
      </c>
      <c r="O34" s="116"/>
      <c r="P34" s="116"/>
      <c r="Q34" s="116"/>
      <c r="R34" s="116"/>
      <c r="S34" s="116"/>
      <c r="T34" s="326"/>
    </row>
    <row r="35" spans="2:20" ht="18.95" customHeight="1">
      <c r="B35" s="297" t="str">
        <f>COUNTIF($C$31:C35,C35)&amp;C35</f>
        <v>1/22120771</v>
      </c>
      <c r="C35" s="112" t="s">
        <v>1174</v>
      </c>
      <c r="D35" s="112" t="s">
        <v>1180</v>
      </c>
      <c r="E35" s="298" t="s">
        <v>1181</v>
      </c>
      <c r="F35" s="116"/>
      <c r="G35" s="116"/>
      <c r="H35" s="116"/>
      <c r="I35" s="116"/>
      <c r="J35" s="116"/>
      <c r="K35" s="116"/>
      <c r="L35" s="116"/>
      <c r="M35" s="116" t="str">
        <f>IFERROR(INDEX($E$32:$E$41,MATCH(ROW(F34)&amp;$H$32,$B$32:$B$41,0)),"")</f>
        <v/>
      </c>
      <c r="N35" s="116" t="str">
        <f>IFERROR(INDEX($E$32:$E$41,MATCH(ROW(G34)&amp;$H$32,$B$32:$B$41,0)),"")</f>
        <v/>
      </c>
      <c r="O35" s="116"/>
      <c r="P35" s="116"/>
      <c r="Q35" s="116"/>
      <c r="R35" s="116"/>
      <c r="S35" s="116"/>
      <c r="T35" s="326"/>
    </row>
    <row r="36" spans="2:20" ht="18.95" customHeight="1">
      <c r="B36" s="297" t="str">
        <f>COUNTIF($C$31:C36,C36)&amp;C36</f>
        <v>1/22120768</v>
      </c>
      <c r="C36" s="112" t="s">
        <v>1182</v>
      </c>
      <c r="D36" s="112" t="s">
        <v>1183</v>
      </c>
      <c r="E36" s="298" t="s">
        <v>1184</v>
      </c>
      <c r="F36" s="116"/>
      <c r="G36" s="116"/>
      <c r="H36" s="299" t="s">
        <v>1174</v>
      </c>
      <c r="I36" s="116" t="str">
        <f t="array" ref="I36">INDEX($E$32:$E$41,SMALL(MATCH(H36,$C$32:$C$41,0),ROW(A1)))</f>
        <v>GenBank: U05248.1</v>
      </c>
      <c r="J36" s="116"/>
      <c r="K36" s="116"/>
      <c r="L36" s="116"/>
      <c r="M36" s="116"/>
      <c r="N36" s="116"/>
      <c r="O36" s="116"/>
      <c r="P36" s="116"/>
      <c r="Q36" s="116"/>
      <c r="R36" s="116"/>
      <c r="S36" s="116"/>
      <c r="T36" s="326"/>
    </row>
    <row r="37" spans="2:20" ht="18.95" customHeight="1">
      <c r="B37" s="297" t="str">
        <f>COUNTIF($C$31:C37,C37)&amp;C37</f>
        <v>1/22120773</v>
      </c>
      <c r="C37" s="112" t="s">
        <v>1185</v>
      </c>
      <c r="D37" s="112" t="s">
        <v>1186</v>
      </c>
      <c r="E37" s="298" t="s">
        <v>1187</v>
      </c>
      <c r="F37" s="116" t="str">
        <f>RIGHT(E37,5)</f>
        <v>LRTM1</v>
      </c>
      <c r="G37" s="116"/>
      <c r="H37" s="116"/>
      <c r="I37" s="116"/>
      <c r="J37" s="116"/>
      <c r="K37" s="116"/>
      <c r="L37" s="116"/>
      <c r="M37" s="116"/>
      <c r="N37" s="116"/>
      <c r="O37" s="116"/>
      <c r="P37" s="116"/>
      <c r="Q37" s="116"/>
      <c r="R37" s="116"/>
      <c r="S37" s="116"/>
      <c r="T37" s="326"/>
    </row>
    <row r="38" spans="2:20" ht="18.95" customHeight="1">
      <c r="B38" s="297" t="str">
        <f>COUNTIF($C$31:C38,C38)&amp;C38</f>
        <v>2/22120770</v>
      </c>
      <c r="C38" s="112" t="s">
        <v>1178</v>
      </c>
      <c r="D38" s="112" t="s">
        <v>1188</v>
      </c>
      <c r="E38" s="298" t="s">
        <v>1189</v>
      </c>
      <c r="F38" s="116" t="str">
        <f>RIGHT(E38,5)</f>
        <v>622.2</v>
      </c>
      <c r="G38" s="116"/>
      <c r="H38" s="116"/>
      <c r="I38" s="116"/>
      <c r="J38" s="116"/>
      <c r="K38" s="116"/>
      <c r="L38" s="116"/>
      <c r="M38" s="116"/>
      <c r="N38" s="116"/>
      <c r="O38" s="116"/>
      <c r="P38" s="116"/>
      <c r="Q38" s="116"/>
      <c r="R38" s="116"/>
      <c r="S38" s="116"/>
      <c r="T38" s="326"/>
    </row>
    <row r="39" spans="2:20" ht="18.95" customHeight="1">
      <c r="B39" s="297" t="str">
        <f>COUNTIF($C$31:C39,C39)&amp;C39</f>
        <v>2/22120771</v>
      </c>
      <c r="C39" s="112" t="s">
        <v>1174</v>
      </c>
      <c r="D39" s="112" t="s">
        <v>1190</v>
      </c>
      <c r="E39" s="298" t="s">
        <v>1191</v>
      </c>
      <c r="F39" s="116" t="str">
        <f>RIGHT(E39,5)</f>
        <v>CD-WT</v>
      </c>
      <c r="G39" s="116"/>
      <c r="H39" s="116"/>
      <c r="I39" s="116"/>
      <c r="J39" s="116"/>
      <c r="K39" s="116"/>
      <c r="L39" s="116"/>
      <c r="M39" s="116"/>
      <c r="N39" s="116"/>
      <c r="O39" s="116"/>
      <c r="P39" s="116"/>
      <c r="Q39" s="116"/>
      <c r="R39" s="116"/>
      <c r="S39" s="116"/>
      <c r="T39" s="326"/>
    </row>
    <row r="40" spans="2:20" ht="18.95" customHeight="1">
      <c r="B40" s="297" t="str">
        <f>COUNTIF($C$31:C40,C40)&amp;C40</f>
        <v>1/22120772</v>
      </c>
      <c r="C40" s="112" t="s">
        <v>1192</v>
      </c>
      <c r="D40" s="112" t="s">
        <v>1190</v>
      </c>
      <c r="E40" s="298" t="s">
        <v>1193</v>
      </c>
      <c r="F40" s="116" t="str">
        <f>RIGHT(E40,5)</f>
        <v>CD-MT</v>
      </c>
      <c r="G40" s="116"/>
      <c r="H40" s="116"/>
      <c r="I40" s="116"/>
      <c r="J40" s="116"/>
      <c r="K40" s="116"/>
      <c r="L40" s="116"/>
      <c r="M40" s="116"/>
      <c r="N40" s="116"/>
      <c r="O40" s="116"/>
      <c r="P40" s="116"/>
      <c r="Q40" s="116"/>
      <c r="R40" s="116"/>
      <c r="S40" s="116"/>
      <c r="T40" s="326"/>
    </row>
    <row r="41" spans="2:20" ht="18.95" customHeight="1">
      <c r="B41" s="297" t="str">
        <f>COUNTIF($C$31:C41,C41)&amp;C41</f>
        <v>2/22120773</v>
      </c>
      <c r="C41" s="112" t="s">
        <v>1185</v>
      </c>
      <c r="D41" s="112" t="s">
        <v>1190</v>
      </c>
      <c r="E41" s="298" t="s">
        <v>1194</v>
      </c>
      <c r="F41" s="116" t="str">
        <f>RIGHT(E41,5)</f>
        <v>1-WT1</v>
      </c>
      <c r="G41" s="116"/>
      <c r="H41" s="116"/>
      <c r="I41" s="116"/>
      <c r="J41" s="116"/>
      <c r="K41" s="116"/>
      <c r="L41" s="116"/>
      <c r="M41" s="116"/>
      <c r="N41" s="116"/>
      <c r="O41" s="116"/>
      <c r="P41" s="116"/>
      <c r="Q41" s="116"/>
      <c r="R41" s="116"/>
      <c r="S41" s="116"/>
      <c r="T41" s="326"/>
    </row>
    <row r="42" spans="2:20" ht="18.95" customHeight="1">
      <c r="B42" s="254"/>
      <c r="C42" s="116"/>
      <c r="D42" s="116"/>
      <c r="E42" s="116"/>
      <c r="F42" s="116"/>
      <c r="G42" s="116"/>
      <c r="H42" s="116"/>
      <c r="I42" s="116"/>
      <c r="J42" s="116"/>
      <c r="K42" s="116"/>
      <c r="L42" s="116"/>
      <c r="M42" s="116"/>
      <c r="N42" s="116"/>
      <c r="O42" s="116"/>
      <c r="P42" s="116"/>
      <c r="Q42" s="116"/>
      <c r="R42" s="116"/>
      <c r="S42" s="116"/>
      <c r="T42" s="326"/>
    </row>
    <row r="43" spans="2:20" ht="18.95" customHeight="1">
      <c r="B43" s="300"/>
      <c r="C43" s="5" t="s">
        <v>32</v>
      </c>
      <c r="D43" s="5" t="s">
        <v>34</v>
      </c>
      <c r="E43" s="6" t="s">
        <v>36</v>
      </c>
      <c r="F43" s="116"/>
      <c r="G43" s="116"/>
      <c r="H43" s="116"/>
      <c r="I43" s="116"/>
      <c r="J43" s="116"/>
      <c r="K43" s="116"/>
      <c r="L43" s="116"/>
      <c r="M43" s="116"/>
      <c r="N43" s="116"/>
      <c r="O43" s="116"/>
      <c r="P43" s="116"/>
      <c r="Q43" s="116"/>
      <c r="R43" s="116"/>
      <c r="S43" s="116"/>
      <c r="T43" s="326"/>
    </row>
    <row r="44" spans="2:20" ht="18.95" customHeight="1">
      <c r="B44" s="301" t="s">
        <v>1195</v>
      </c>
      <c r="C44" s="8">
        <v>1</v>
      </c>
      <c r="D44" s="8">
        <v>2</v>
      </c>
      <c r="E44" s="9">
        <v>3</v>
      </c>
      <c r="F44" s="116"/>
      <c r="G44" s="116"/>
      <c r="H44" s="116"/>
      <c r="I44" s="116"/>
      <c r="J44" s="116" t="s">
        <v>1196</v>
      </c>
      <c r="K44" s="116"/>
      <c r="L44" s="116"/>
      <c r="M44" s="116"/>
      <c r="N44" s="116"/>
      <c r="O44" s="116"/>
      <c r="P44" s="116"/>
      <c r="Q44" s="116"/>
      <c r="R44" s="116"/>
      <c r="S44" s="116"/>
      <c r="T44" s="326"/>
    </row>
    <row r="45" spans="2:20" ht="18.95" customHeight="1">
      <c r="B45" s="301" t="s">
        <v>1197</v>
      </c>
      <c r="C45" s="8">
        <v>2</v>
      </c>
      <c r="D45" s="8">
        <v>3</v>
      </c>
      <c r="E45" s="9">
        <v>4</v>
      </c>
      <c r="F45" s="116"/>
      <c r="G45" s="116"/>
      <c r="H45" s="116"/>
      <c r="I45" s="116"/>
      <c r="J45" s="116"/>
      <c r="K45" s="116"/>
      <c r="L45" s="116"/>
      <c r="M45" s="116"/>
      <c r="N45" s="116"/>
      <c r="O45" s="116"/>
      <c r="P45" s="116"/>
      <c r="Q45" s="116"/>
      <c r="R45" s="116"/>
      <c r="S45" s="116"/>
      <c r="T45" s="326"/>
    </row>
    <row r="46" spans="2:20" ht="18.95" customHeight="1">
      <c r="B46" s="301" t="s">
        <v>1198</v>
      </c>
      <c r="C46" s="8">
        <v>3</v>
      </c>
      <c r="D46" s="8">
        <v>4</v>
      </c>
      <c r="E46" s="9">
        <v>5</v>
      </c>
      <c r="F46" s="116"/>
      <c r="G46" s="116"/>
      <c r="H46" s="116"/>
      <c r="I46" s="116"/>
      <c r="J46" s="116"/>
      <c r="K46" s="116"/>
      <c r="L46" s="116"/>
      <c r="M46" s="116"/>
      <c r="N46" s="116"/>
      <c r="O46" s="116"/>
      <c r="P46" s="116"/>
      <c r="Q46" s="116"/>
      <c r="R46" s="116"/>
      <c r="S46" s="116"/>
      <c r="T46" s="326"/>
    </row>
    <row r="47" spans="2:20" ht="18.95" customHeight="1">
      <c r="B47" s="254"/>
      <c r="C47" s="116"/>
      <c r="D47" s="116"/>
      <c r="E47" s="116"/>
      <c r="F47" s="116"/>
      <c r="G47" s="116"/>
      <c r="H47" s="302"/>
      <c r="I47" s="116"/>
      <c r="J47" s="116"/>
      <c r="K47" s="116"/>
      <c r="L47" s="116"/>
      <c r="M47" s="116"/>
      <c r="N47" s="116"/>
      <c r="O47" s="116"/>
      <c r="P47" s="116"/>
      <c r="Q47" s="116"/>
      <c r="R47" s="116"/>
      <c r="S47" s="116"/>
      <c r="T47" s="326"/>
    </row>
    <row r="48" spans="2:20" ht="18.95" customHeight="1">
      <c r="B48" s="254"/>
      <c r="C48" s="116"/>
      <c r="D48" s="116"/>
      <c r="E48" s="116"/>
      <c r="F48" s="116">
        <v>2.5</v>
      </c>
      <c r="G48" s="116" t="s">
        <v>1198</v>
      </c>
      <c r="H48" s="303" t="str">
        <f ca="1">LOOKUP(F48+1,OFFSET($C$43:$E$43,MATCH(G48,$B$44:$B$46,0),),{"A","B","C"})</f>
        <v>A</v>
      </c>
      <c r="I48" s="323" t="s">
        <v>34</v>
      </c>
      <c r="J48" s="116"/>
      <c r="K48" s="116"/>
      <c r="L48" s="116"/>
      <c r="M48" s="116"/>
      <c r="N48" s="116"/>
      <c r="O48" s="116"/>
      <c r="P48" s="116"/>
      <c r="Q48" s="116"/>
      <c r="R48" s="116"/>
      <c r="S48" s="116"/>
      <c r="T48" s="326"/>
    </row>
    <row r="49" spans="2:20" ht="18.95" customHeight="1">
      <c r="B49" s="254"/>
      <c r="C49" s="116"/>
      <c r="D49" s="116"/>
      <c r="E49" s="116"/>
      <c r="F49" s="116">
        <v>2.5</v>
      </c>
      <c r="G49" s="116" t="s">
        <v>1197</v>
      </c>
      <c r="H49" s="303" t="str">
        <f ca="1">LOOKUP(F49,OFFSET($C$43:$E$43,MATCH(G49,$B$44:$B$46,0),),{"A","B","C"})</f>
        <v>A</v>
      </c>
      <c r="I49" s="116"/>
      <c r="J49" s="116"/>
      <c r="K49" s="116"/>
      <c r="L49" s="116"/>
      <c r="M49" s="116"/>
      <c r="N49" s="116"/>
      <c r="O49" s="116"/>
      <c r="P49" s="116"/>
      <c r="Q49" s="116"/>
      <c r="R49" s="116"/>
      <c r="S49" s="116"/>
      <c r="T49" s="326"/>
    </row>
    <row r="50" spans="2:20" ht="18.95" customHeight="1">
      <c r="B50" s="254"/>
      <c r="C50" s="116"/>
      <c r="D50" s="116"/>
      <c r="E50" s="116"/>
      <c r="F50" s="116"/>
      <c r="G50" s="116"/>
      <c r="H50" s="116"/>
      <c r="I50" s="116"/>
      <c r="J50" s="116"/>
      <c r="K50" s="116"/>
      <c r="L50" s="116"/>
      <c r="M50" s="116"/>
      <c r="N50" s="116"/>
      <c r="O50" s="116"/>
      <c r="P50" s="116"/>
      <c r="Q50" s="116"/>
      <c r="R50" s="116"/>
      <c r="S50" s="116"/>
      <c r="T50" s="326"/>
    </row>
    <row r="51" spans="2:20" ht="18.95" customHeight="1">
      <c r="B51" s="254"/>
      <c r="C51" s="116"/>
      <c r="D51" s="116"/>
      <c r="E51" s="116"/>
      <c r="F51" s="116"/>
      <c r="G51" s="116" t="s">
        <v>32</v>
      </c>
      <c r="H51" s="116">
        <f>SUMPRODUCT(1/COUNTIF(G51:G55,G51:G55))</f>
        <v>3</v>
      </c>
      <c r="I51" s="116"/>
      <c r="J51" s="116"/>
      <c r="K51" s="116"/>
      <c r="L51" s="116"/>
      <c r="M51" s="116"/>
      <c r="N51" s="116"/>
      <c r="O51" s="116"/>
      <c r="P51" s="116"/>
      <c r="Q51" s="116"/>
      <c r="R51" s="116"/>
      <c r="S51" s="116"/>
      <c r="T51" s="326"/>
    </row>
    <row r="52" spans="2:20" ht="18.95" customHeight="1">
      <c r="B52" s="254"/>
      <c r="C52" s="116"/>
      <c r="D52" s="116"/>
      <c r="E52" s="116"/>
      <c r="F52" s="116"/>
      <c r="G52" s="116" t="s">
        <v>34</v>
      </c>
      <c r="H52" s="116"/>
      <c r="I52" s="116"/>
      <c r="J52" s="116"/>
      <c r="K52" s="116"/>
      <c r="L52" s="116"/>
      <c r="M52" s="116"/>
      <c r="N52" s="116"/>
      <c r="O52" s="116"/>
      <c r="P52" s="116"/>
      <c r="Q52" s="116"/>
      <c r="R52" s="116"/>
      <c r="S52" s="116"/>
      <c r="T52" s="326"/>
    </row>
    <row r="53" spans="2:20" ht="18.95" customHeight="1">
      <c r="B53" s="254"/>
      <c r="C53" s="116"/>
      <c r="D53" s="116"/>
      <c r="E53" s="116"/>
      <c r="F53" s="116"/>
      <c r="G53" s="116" t="s">
        <v>36</v>
      </c>
      <c r="H53" s="116"/>
      <c r="I53" s="116"/>
      <c r="J53" s="116"/>
      <c r="K53" s="116"/>
      <c r="L53" s="116"/>
      <c r="M53" s="116"/>
      <c r="N53" s="116"/>
      <c r="O53" s="116"/>
      <c r="P53" s="116"/>
      <c r="Q53" s="116"/>
      <c r="R53" s="116"/>
      <c r="S53" s="116"/>
      <c r="T53" s="326"/>
    </row>
    <row r="54" spans="2:20" ht="18.95" customHeight="1">
      <c r="B54" s="254"/>
      <c r="C54" s="116"/>
      <c r="D54" s="116"/>
      <c r="E54" s="116"/>
      <c r="F54" s="116"/>
      <c r="G54" s="116" t="s">
        <v>34</v>
      </c>
      <c r="H54" s="116"/>
      <c r="I54" s="116"/>
      <c r="J54" s="116"/>
      <c r="K54" s="116"/>
      <c r="L54" s="116"/>
      <c r="M54" s="116"/>
      <c r="N54" s="116"/>
      <c r="O54" s="116"/>
      <c r="P54" s="116"/>
      <c r="Q54" s="116"/>
      <c r="R54" s="116"/>
      <c r="S54" s="116"/>
      <c r="T54" s="326"/>
    </row>
    <row r="55" spans="2:20" ht="18.95" customHeight="1">
      <c r="B55" s="304"/>
      <c r="C55" s="305"/>
      <c r="D55" s="305"/>
      <c r="E55" s="305"/>
      <c r="F55" s="305"/>
      <c r="G55" s="305" t="s">
        <v>32</v>
      </c>
      <c r="H55" s="305"/>
      <c r="I55" s="305"/>
      <c r="J55" s="305"/>
      <c r="K55" s="305"/>
      <c r="L55" s="305"/>
      <c r="M55" s="305"/>
      <c r="N55" s="305"/>
      <c r="O55" s="305"/>
      <c r="P55" s="305"/>
      <c r="Q55" s="305"/>
      <c r="R55" s="305"/>
      <c r="S55" s="305"/>
      <c r="T55" s="327"/>
    </row>
    <row r="57" spans="2:20" ht="18.95" customHeight="1">
      <c r="B57" s="306" t="s">
        <v>131</v>
      </c>
      <c r="C57" s="307" t="s">
        <v>1199</v>
      </c>
      <c r="D57" s="282"/>
      <c r="E57" s="282"/>
      <c r="F57" s="282"/>
      <c r="G57" s="282"/>
      <c r="H57" s="282"/>
      <c r="I57" s="324"/>
      <c r="J57" s="324"/>
      <c r="K57" s="325"/>
    </row>
    <row r="58" spans="2:20" ht="18.95" customHeight="1">
      <c r="B58" s="297" t="s">
        <v>540</v>
      </c>
      <c r="C58" s="308">
        <v>44562</v>
      </c>
      <c r="D58" s="105"/>
      <c r="E58" s="105"/>
      <c r="F58" s="105" t="s">
        <v>1200</v>
      </c>
      <c r="G58" s="105" t="s">
        <v>1201</v>
      </c>
      <c r="H58" s="105" t="s">
        <v>1202</v>
      </c>
      <c r="I58" s="116"/>
      <c r="J58" s="116"/>
      <c r="K58" s="326"/>
    </row>
    <row r="59" spans="2:20" ht="18.95" customHeight="1">
      <c r="B59" s="297" t="s">
        <v>542</v>
      </c>
      <c r="C59" s="308">
        <v>44563</v>
      </c>
      <c r="D59" s="105"/>
      <c r="E59" s="105" t="s">
        <v>540</v>
      </c>
      <c r="F59" s="309">
        <f t="array" ref="F59">IFERROR(SMALL(IF($B$58:$B$62=$E59,$C$58:$C$62),COLUMN(B57)),"")</f>
        <v>44581</v>
      </c>
      <c r="G59" s="309">
        <f t="array" ref="G59">IFERROR(SMALL(IF($B$58:$B$62=$E59,$C$58:$C$62),COLUMN(C57)),"")</f>
        <v>44620</v>
      </c>
      <c r="H59" s="309" t="str">
        <f t="array" ref="H59">IFERROR(SMALL(IF($B$58:$B$62=$E59,$C$58:$C$62),COLUMN(D57)),"")</f>
        <v/>
      </c>
      <c r="I59" s="116"/>
      <c r="J59" s="116"/>
      <c r="K59" s="326"/>
    </row>
    <row r="60" spans="2:20" ht="18.95" customHeight="1">
      <c r="B60" s="297" t="s">
        <v>540</v>
      </c>
      <c r="C60" s="308">
        <v>44581</v>
      </c>
      <c r="D60" s="105"/>
      <c r="E60" s="105" t="s">
        <v>542</v>
      </c>
      <c r="F60" s="309" t="str">
        <f t="array" ref="F60">IFERROR(SMALL(IF($B$58:$B$62=$E60,$C$58:$C$62),COLUMN(B58)),"")</f>
        <v/>
      </c>
      <c r="G60" s="309" t="str">
        <f t="array" ref="G60">IFERROR(SMALL(IF($B$58:$B$62=$E60,$C$58:$C$62),COLUMN(C58)),"")</f>
        <v/>
      </c>
      <c r="H60" s="309" t="str">
        <f t="array" ref="H60">IFERROR(SMALL(IF($B$58:$B$62=$E60,$C$58:$C$62),COLUMN(D58)),"")</f>
        <v/>
      </c>
      <c r="I60" s="116"/>
      <c r="J60" s="116"/>
      <c r="K60" s="326"/>
    </row>
    <row r="61" spans="2:20" ht="18.95" customHeight="1">
      <c r="B61" s="297" t="s">
        <v>544</v>
      </c>
      <c r="C61" s="308">
        <v>44570</v>
      </c>
      <c r="D61" s="105"/>
      <c r="E61" s="105"/>
      <c r="F61" s="309"/>
      <c r="G61" s="309"/>
      <c r="H61" s="309"/>
      <c r="I61" s="116"/>
      <c r="J61" s="116"/>
      <c r="K61" s="326"/>
    </row>
    <row r="62" spans="2:20" ht="18.95" customHeight="1">
      <c r="B62" s="310" t="s">
        <v>540</v>
      </c>
      <c r="C62" s="311">
        <v>44620</v>
      </c>
      <c r="D62" s="293"/>
      <c r="E62" s="293"/>
      <c r="F62" s="293"/>
      <c r="G62" s="293"/>
      <c r="H62" s="293"/>
      <c r="I62" s="305"/>
      <c r="J62" s="305"/>
      <c r="K62" s="327"/>
    </row>
    <row r="65" spans="2:13" ht="18.95" customHeight="1">
      <c r="B65" s="333" t="s">
        <v>25</v>
      </c>
      <c r="C65" s="324" t="s">
        <v>1203</v>
      </c>
      <c r="D65" s="324"/>
      <c r="E65" s="324"/>
      <c r="F65" s="325"/>
    </row>
    <row r="66" spans="2:13" ht="18.95" customHeight="1">
      <c r="B66" s="254" t="s">
        <v>1204</v>
      </c>
      <c r="C66" s="116">
        <v>5</v>
      </c>
      <c r="D66" s="323">
        <f>SUMPRODUCT(--TEXT(MID(TEXT(MID(SUBSTITUTE(B66,")",REPT(" ",9)),ROW($1:$67),9),),2,8),"0;;;!0"))</f>
        <v>5</v>
      </c>
      <c r="E66" s="116"/>
      <c r="F66" s="326"/>
    </row>
    <row r="67" spans="2:13" ht="18.95" customHeight="1">
      <c r="B67" s="254" t="s">
        <v>1205</v>
      </c>
      <c r="C67" s="116">
        <v>17</v>
      </c>
      <c r="D67" s="323">
        <f>SUMPRODUCT(--TEXT(MID(TEXT(MID(SUBSTITUTE(B67,")",REPT(" ",9)),ROW($1:$67),9),),2,8),"0;;;!0"))</f>
        <v>17</v>
      </c>
      <c r="E67" s="116"/>
      <c r="F67" s="326"/>
    </row>
    <row r="68" spans="2:13" ht="18.95" customHeight="1">
      <c r="B68" s="254" t="s">
        <v>1206</v>
      </c>
      <c r="C68" s="116">
        <v>13</v>
      </c>
      <c r="D68" s="323">
        <f>SUMPRODUCT(--TEXT(MID(TEXT(MID(SUBSTITUTE(B68,")",REPT(" ",9)),ROW($1:$67),9),),2,8),"0;;;!0"))</f>
        <v>13</v>
      </c>
      <c r="E68" s="116"/>
      <c r="F68" s="326"/>
    </row>
    <row r="69" spans="2:13" ht="18.95" customHeight="1">
      <c r="B69" s="254"/>
      <c r="C69" s="116"/>
      <c r="D69" s="116"/>
      <c r="E69" s="116"/>
      <c r="F69" s="326"/>
    </row>
    <row r="70" spans="2:13" ht="18.95" customHeight="1">
      <c r="B70" s="254"/>
      <c r="C70" s="116"/>
      <c r="D70" s="116"/>
      <c r="E70" s="116"/>
      <c r="F70" s="326"/>
    </row>
    <row r="71" spans="2:13" ht="18.95" customHeight="1">
      <c r="B71" s="254"/>
      <c r="C71" s="116"/>
      <c r="D71" s="116"/>
      <c r="E71" s="116"/>
      <c r="F71" s="326"/>
    </row>
    <row r="72" spans="2:13" ht="18.95" customHeight="1">
      <c r="B72" s="254"/>
      <c r="C72" s="116">
        <f>MID(B66,11,1)+MID(B66,29,1)+MID(B66,37,1)</f>
        <v>5</v>
      </c>
      <c r="D72" s="116"/>
      <c r="E72" s="116"/>
      <c r="F72" s="326"/>
    </row>
    <row r="73" spans="2:13" ht="18.95" customHeight="1">
      <c r="B73" s="254"/>
      <c r="C73" s="116">
        <f t="shared" ref="C73:C74" si="5">MID(B67,11,1)+MID(B67,29,1)+MID(B67,37,1)</f>
        <v>17</v>
      </c>
      <c r="D73" s="116"/>
      <c r="E73" s="116"/>
      <c r="F73" s="326"/>
    </row>
    <row r="74" spans="2:13" ht="18.95" customHeight="1">
      <c r="B74" s="254"/>
      <c r="C74" s="116">
        <f t="shared" si="5"/>
        <v>13</v>
      </c>
      <c r="D74" s="116"/>
      <c r="E74" s="116"/>
      <c r="F74" s="326"/>
    </row>
    <row r="75" spans="2:13" ht="18.95" customHeight="1">
      <c r="B75" s="304" t="s">
        <v>1207</v>
      </c>
      <c r="C75" s="305"/>
      <c r="D75" s="305"/>
      <c r="E75" s="305"/>
      <c r="F75" s="327"/>
    </row>
    <row r="77" spans="2:13" ht="18.95" customHeight="1">
      <c r="B77" s="334" t="s">
        <v>1208</v>
      </c>
      <c r="C77" s="335" t="s">
        <v>1209</v>
      </c>
      <c r="D77" s="335" t="s">
        <v>1210</v>
      </c>
      <c r="E77" s="335" t="s">
        <v>1211</v>
      </c>
      <c r="F77" s="335" t="s">
        <v>1212</v>
      </c>
      <c r="G77" s="335" t="s">
        <v>1213</v>
      </c>
      <c r="H77" s="335" t="s">
        <v>1214</v>
      </c>
      <c r="I77" s="335" t="s">
        <v>1215</v>
      </c>
      <c r="J77" s="335" t="s">
        <v>1216</v>
      </c>
      <c r="K77" s="335" t="s">
        <v>1217</v>
      </c>
      <c r="L77" s="335" t="s">
        <v>1218</v>
      </c>
      <c r="M77" s="325"/>
    </row>
    <row r="78" spans="2:13" ht="18.95" customHeight="1">
      <c r="B78" s="233" t="s">
        <v>1219</v>
      </c>
      <c r="C78" s="336">
        <v>27</v>
      </c>
      <c r="D78" s="336">
        <v>55</v>
      </c>
      <c r="E78" s="336">
        <v>85</v>
      </c>
      <c r="F78" s="336">
        <v>118</v>
      </c>
      <c r="G78" s="336">
        <v>153</v>
      </c>
      <c r="H78" s="336">
        <v>190</v>
      </c>
      <c r="I78" s="336">
        <v>230</v>
      </c>
      <c r="J78" s="336">
        <v>273</v>
      </c>
      <c r="K78" s="336">
        <v>319</v>
      </c>
      <c r="L78" s="336">
        <v>368</v>
      </c>
      <c r="M78" s="326"/>
    </row>
    <row r="79" spans="2:13" ht="18.95" customHeight="1">
      <c r="B79" s="233" t="s">
        <v>1220</v>
      </c>
      <c r="C79" s="336">
        <v>22</v>
      </c>
      <c r="D79" s="336">
        <v>46</v>
      </c>
      <c r="E79" s="336">
        <v>71</v>
      </c>
      <c r="F79" s="336">
        <v>98</v>
      </c>
      <c r="G79" s="336">
        <v>127</v>
      </c>
      <c r="H79" s="336">
        <v>158</v>
      </c>
      <c r="I79" s="336">
        <v>191</v>
      </c>
      <c r="J79" s="336">
        <v>227</v>
      </c>
      <c r="K79" s="336">
        <v>265</v>
      </c>
      <c r="L79" s="336">
        <v>306</v>
      </c>
      <c r="M79" s="326"/>
    </row>
    <row r="80" spans="2:13" ht="18.95" customHeight="1">
      <c r="B80" s="233" t="s">
        <v>1221</v>
      </c>
      <c r="C80" s="336">
        <v>18</v>
      </c>
      <c r="D80" s="336">
        <v>38</v>
      </c>
      <c r="E80" s="336">
        <v>59</v>
      </c>
      <c r="F80" s="336">
        <v>82</v>
      </c>
      <c r="G80" s="336">
        <v>106</v>
      </c>
      <c r="H80" s="336">
        <v>132</v>
      </c>
      <c r="I80" s="336">
        <v>160</v>
      </c>
      <c r="J80" s="336">
        <v>190</v>
      </c>
      <c r="K80" s="336">
        <v>222</v>
      </c>
      <c r="L80" s="336">
        <v>256</v>
      </c>
      <c r="M80" s="326"/>
    </row>
    <row r="81" spans="2:13" ht="18.95" customHeight="1">
      <c r="B81" s="233" t="s">
        <v>1222</v>
      </c>
      <c r="C81" s="336">
        <v>15</v>
      </c>
      <c r="D81" s="336">
        <v>31</v>
      </c>
      <c r="E81" s="336">
        <v>49</v>
      </c>
      <c r="F81" s="336">
        <v>68</v>
      </c>
      <c r="G81" s="336">
        <v>88</v>
      </c>
      <c r="H81" s="336">
        <v>110</v>
      </c>
      <c r="I81" s="336">
        <v>133</v>
      </c>
      <c r="J81" s="336">
        <v>158</v>
      </c>
      <c r="K81" s="336">
        <v>184</v>
      </c>
      <c r="L81" s="336">
        <v>212</v>
      </c>
      <c r="M81" s="326"/>
    </row>
    <row r="82" spans="2:13" ht="18.95" customHeight="1">
      <c r="B82" s="233" t="s">
        <v>1223</v>
      </c>
      <c r="C82" s="336">
        <v>13</v>
      </c>
      <c r="D82" s="336">
        <v>27</v>
      </c>
      <c r="E82" s="336">
        <v>42</v>
      </c>
      <c r="F82" s="336">
        <v>58</v>
      </c>
      <c r="G82" s="336">
        <v>75</v>
      </c>
      <c r="H82" s="336">
        <v>93</v>
      </c>
      <c r="I82" s="336">
        <v>112</v>
      </c>
      <c r="J82" s="336">
        <v>133</v>
      </c>
      <c r="K82" s="336">
        <v>155</v>
      </c>
      <c r="L82" s="336">
        <v>179</v>
      </c>
      <c r="M82" s="326"/>
    </row>
    <row r="83" spans="2:13" ht="18.95" customHeight="1">
      <c r="B83" s="337" t="s">
        <v>1224</v>
      </c>
      <c r="C83" s="336">
        <v>12</v>
      </c>
      <c r="D83" s="336">
        <v>24</v>
      </c>
      <c r="E83" s="336">
        <v>37</v>
      </c>
      <c r="F83" s="336">
        <v>51</v>
      </c>
      <c r="G83" s="336">
        <v>66</v>
      </c>
      <c r="H83" s="336">
        <v>82</v>
      </c>
      <c r="I83" s="336">
        <v>99</v>
      </c>
      <c r="J83" s="336">
        <v>118</v>
      </c>
      <c r="K83" s="336">
        <v>138</v>
      </c>
      <c r="L83" s="336">
        <v>159</v>
      </c>
      <c r="M83" s="326"/>
    </row>
    <row r="84" spans="2:13" ht="18.95" customHeight="1">
      <c r="B84" s="233" t="s">
        <v>1195</v>
      </c>
      <c r="C84" s="336">
        <v>10</v>
      </c>
      <c r="D84" s="336">
        <v>20</v>
      </c>
      <c r="E84" s="336">
        <v>31</v>
      </c>
      <c r="F84" s="336">
        <v>43</v>
      </c>
      <c r="G84" s="336">
        <v>56</v>
      </c>
      <c r="H84" s="336">
        <v>70</v>
      </c>
      <c r="I84" s="336">
        <v>85</v>
      </c>
      <c r="J84" s="336">
        <v>101</v>
      </c>
      <c r="K84" s="336">
        <v>118</v>
      </c>
      <c r="L84" s="336">
        <v>136</v>
      </c>
      <c r="M84" s="326"/>
    </row>
    <row r="85" spans="2:13" ht="18.95" customHeight="1">
      <c r="B85" s="233" t="s">
        <v>1197</v>
      </c>
      <c r="C85" s="336">
        <v>8</v>
      </c>
      <c r="D85" s="336">
        <v>17</v>
      </c>
      <c r="E85" s="336">
        <v>26</v>
      </c>
      <c r="F85" s="336">
        <v>36</v>
      </c>
      <c r="G85" s="336">
        <v>47</v>
      </c>
      <c r="H85" s="336">
        <v>58</v>
      </c>
      <c r="I85" s="336">
        <v>70</v>
      </c>
      <c r="J85" s="336">
        <v>83</v>
      </c>
      <c r="K85" s="336">
        <v>97</v>
      </c>
      <c r="L85" s="336">
        <v>112</v>
      </c>
      <c r="M85" s="326"/>
    </row>
    <row r="86" spans="2:13" ht="18.95" customHeight="1">
      <c r="B86" s="233" t="s">
        <v>1198</v>
      </c>
      <c r="C86" s="336">
        <v>7</v>
      </c>
      <c r="D86" s="336">
        <v>14</v>
      </c>
      <c r="E86" s="336">
        <v>22</v>
      </c>
      <c r="F86" s="336">
        <v>30</v>
      </c>
      <c r="G86" s="336">
        <v>39</v>
      </c>
      <c r="H86" s="336">
        <v>48</v>
      </c>
      <c r="I86" s="336">
        <v>58</v>
      </c>
      <c r="J86" s="336">
        <v>69</v>
      </c>
      <c r="K86" s="336">
        <v>81</v>
      </c>
      <c r="L86" s="336">
        <v>93</v>
      </c>
      <c r="M86" s="326"/>
    </row>
    <row r="87" spans="2:13" ht="18.95" customHeight="1">
      <c r="B87" s="297"/>
      <c r="C87" s="112"/>
      <c r="D87" s="112"/>
      <c r="E87" s="112"/>
      <c r="F87" s="112"/>
      <c r="G87" s="112"/>
      <c r="H87" s="112"/>
      <c r="I87" s="112"/>
      <c r="J87" s="112"/>
      <c r="K87" s="112"/>
      <c r="L87" s="112"/>
      <c r="M87" s="326"/>
    </row>
    <row r="88" spans="2:13" ht="18.95" customHeight="1">
      <c r="B88" s="297"/>
      <c r="C88" s="112"/>
      <c r="D88" s="112"/>
      <c r="E88" s="112"/>
      <c r="F88" s="112"/>
      <c r="G88" s="112"/>
      <c r="H88" s="112"/>
      <c r="I88" s="112"/>
      <c r="J88" s="112"/>
      <c r="K88" s="112"/>
      <c r="L88" s="112"/>
      <c r="M88" s="326"/>
    </row>
    <row r="89" spans="2:13" ht="18.95" customHeight="1">
      <c r="B89" s="1177" t="s">
        <v>1225</v>
      </c>
      <c r="C89" s="1178"/>
      <c r="D89" s="1178"/>
      <c r="E89" s="1178"/>
      <c r="F89" s="1178"/>
      <c r="G89" s="1178"/>
      <c r="H89" s="1178"/>
      <c r="I89" s="1178"/>
      <c r="J89" s="1178"/>
      <c r="K89" s="1178"/>
      <c r="L89" s="1178"/>
      <c r="M89" s="326"/>
    </row>
    <row r="90" spans="2:13" ht="18.95" customHeight="1">
      <c r="B90" s="338"/>
      <c r="C90" s="339"/>
      <c r="D90" s="339"/>
      <c r="E90" s="339"/>
      <c r="F90" s="339"/>
      <c r="G90" s="339"/>
      <c r="H90" s="339"/>
      <c r="I90" s="339"/>
      <c r="J90" s="339"/>
      <c r="K90" s="339"/>
      <c r="L90" s="339"/>
      <c r="M90" s="326"/>
    </row>
    <row r="91" spans="2:13" ht="18.95" customHeight="1">
      <c r="B91" s="340"/>
      <c r="C91" s="341"/>
      <c r="D91" s="341"/>
      <c r="E91" s="341"/>
      <c r="F91" s="341"/>
      <c r="G91" s="341"/>
      <c r="H91" s="341"/>
      <c r="I91" s="341"/>
      <c r="J91" s="341"/>
      <c r="K91" s="341"/>
      <c r="L91" s="341"/>
      <c r="M91" s="326"/>
    </row>
    <row r="92" spans="2:13" ht="18.95" customHeight="1">
      <c r="B92" s="340"/>
      <c r="C92" s="342" t="s">
        <v>131</v>
      </c>
      <c r="D92" s="342" t="s">
        <v>1208</v>
      </c>
      <c r="E92" s="342" t="s">
        <v>1226</v>
      </c>
      <c r="F92" s="342" t="s">
        <v>1227</v>
      </c>
      <c r="G92" s="342"/>
      <c r="H92" s="342"/>
      <c r="I92" s="342"/>
      <c r="J92" s="342"/>
      <c r="K92" s="341"/>
      <c r="L92" s="364"/>
      <c r="M92" s="326"/>
    </row>
    <row r="93" spans="2:13" ht="18.95" customHeight="1">
      <c r="B93" s="297"/>
      <c r="C93" s="343" t="s">
        <v>1228</v>
      </c>
      <c r="D93" s="343" t="s">
        <v>1195</v>
      </c>
      <c r="E93" s="343">
        <v>42</v>
      </c>
      <c r="F93" s="344"/>
      <c r="G93" s="343" t="s">
        <v>1229</v>
      </c>
      <c r="H93" s="343"/>
      <c r="I93" s="343"/>
      <c r="J93" s="343"/>
      <c r="K93" s="343"/>
      <c r="L93" s="344" t="str">
        <f ca="1">(LOOKUP(E93,OFFSET($C$77:$L$77,MATCH(D93,$B$78:$B$86,),),ROW($1:$10))+1)&amp;"档"</f>
        <v>4档</v>
      </c>
      <c r="M93" s="326"/>
    </row>
    <row r="94" spans="2:13" ht="18.95" customHeight="1">
      <c r="B94" s="297"/>
      <c r="C94" s="343" t="s">
        <v>1230</v>
      </c>
      <c r="D94" s="343" t="s">
        <v>1197</v>
      </c>
      <c r="E94" s="343">
        <v>55</v>
      </c>
      <c r="F94" s="344"/>
      <c r="G94" s="343" t="s">
        <v>1231</v>
      </c>
      <c r="H94" s="343"/>
      <c r="I94" s="343"/>
      <c r="J94" s="343"/>
      <c r="K94" s="112"/>
      <c r="L94" s="344" t="str">
        <f ca="1">(LOOKUP(E94,OFFSET($C$77:$L$77,MATCH(D94,$B$78:$B$86,),),ROW($1:$10))+1)&amp;"档"</f>
        <v>6档</v>
      </c>
      <c r="M94" s="326"/>
    </row>
    <row r="95" spans="2:13" ht="18.95" customHeight="1">
      <c r="B95" s="297"/>
      <c r="C95" s="112" t="s">
        <v>1232</v>
      </c>
      <c r="D95" s="112" t="s">
        <v>1223</v>
      </c>
      <c r="E95" s="112">
        <v>66</v>
      </c>
      <c r="F95" s="344"/>
      <c r="G95" s="112" t="s">
        <v>1233</v>
      </c>
      <c r="H95" s="112"/>
      <c r="I95" s="112"/>
      <c r="J95" s="112"/>
      <c r="K95" s="112"/>
      <c r="L95" s="344" t="str">
        <f ca="1">(LOOKUP(E95,OFFSET($C$77:$L$77,MATCH(D95,$B$78:$B$86,),),ROW($1:$10))+1)&amp;"档"</f>
        <v>5档</v>
      </c>
      <c r="M95" s="326"/>
    </row>
    <row r="96" spans="2:13" ht="18.95" customHeight="1">
      <c r="B96" s="304"/>
      <c r="C96" s="305"/>
      <c r="D96" s="305"/>
      <c r="E96" s="305"/>
      <c r="F96" s="305"/>
      <c r="G96" s="305"/>
      <c r="H96" s="305"/>
      <c r="I96" s="305"/>
      <c r="J96" s="305"/>
      <c r="K96" s="305"/>
      <c r="L96" s="365"/>
      <c r="M96" s="327"/>
    </row>
    <row r="98" spans="2:15" ht="18.95" customHeight="1">
      <c r="B98" s="345" t="s">
        <v>1234</v>
      </c>
      <c r="C98" s="346" t="s">
        <v>1235</v>
      </c>
      <c r="D98" s="347" t="s">
        <v>46</v>
      </c>
      <c r="E98" s="346"/>
      <c r="F98" s="324"/>
      <c r="G98" s="324"/>
      <c r="H98" s="324"/>
      <c r="I98" s="324"/>
      <c r="J98" s="324"/>
      <c r="K98" s="324"/>
      <c r="L98" s="324"/>
      <c r="M98" s="324"/>
      <c r="N98" s="324"/>
      <c r="O98" s="325"/>
    </row>
    <row r="99" spans="2:15" ht="18.95" customHeight="1">
      <c r="B99" s="348" t="s">
        <v>1236</v>
      </c>
      <c r="C99" s="349" t="s">
        <v>1237</v>
      </c>
      <c r="D99" s="350">
        <v>0</v>
      </c>
      <c r="E99" s="351" t="b">
        <v>0</v>
      </c>
      <c r="F99" s="352" t="b">
        <f>IF(AND(C99="正常",D99&gt;0),FALSE,NOT(AND(D99=0,COUNTIF($B$1:B98,B99)=0)))</f>
        <v>0</v>
      </c>
      <c r="G99" s="116"/>
      <c r="H99" s="116"/>
      <c r="I99" s="116"/>
      <c r="J99" s="116"/>
      <c r="K99" s="116"/>
      <c r="L99" s="116"/>
      <c r="M99" s="116"/>
      <c r="N99" s="116"/>
      <c r="O99" s="326"/>
    </row>
    <row r="100" spans="2:15" ht="18.95" customHeight="1">
      <c r="B100" s="348" t="s">
        <v>1236</v>
      </c>
      <c r="C100" s="349"/>
      <c r="D100" s="350">
        <v>0</v>
      </c>
      <c r="E100" s="353" t="b">
        <v>1</v>
      </c>
      <c r="F100" s="352" t="b">
        <f>IF(AND(C100="正常",D100&gt;0),FALSE,NOT(AND(D100=0,COUNTIF($B$1:B99,B100)=0)))</f>
        <v>1</v>
      </c>
      <c r="G100" s="116"/>
      <c r="H100" s="116" t="s">
        <v>1238</v>
      </c>
      <c r="I100" s="116"/>
      <c r="J100" s="116"/>
      <c r="K100" s="116"/>
      <c r="L100" s="116"/>
      <c r="M100" s="116"/>
      <c r="N100" s="116"/>
      <c r="O100" s="326"/>
    </row>
    <row r="101" spans="2:15" ht="18.95" customHeight="1">
      <c r="B101" s="348" t="s">
        <v>1236</v>
      </c>
      <c r="C101" s="349" t="s">
        <v>1237</v>
      </c>
      <c r="D101" s="350">
        <v>0</v>
      </c>
      <c r="E101" s="353" t="b">
        <v>1</v>
      </c>
      <c r="F101" s="352" t="b">
        <f>IF(AND(C101="正常",D101&gt;0),FALSE,NOT(AND(D101=0,COUNTIF($B$1:B100,B101)=0)))</f>
        <v>1</v>
      </c>
      <c r="G101" s="116"/>
      <c r="H101" s="116"/>
      <c r="I101" s="116"/>
      <c r="J101" s="116"/>
      <c r="K101" s="116"/>
      <c r="L101" s="116"/>
      <c r="M101" s="116"/>
      <c r="N101" s="116"/>
      <c r="O101" s="326"/>
    </row>
    <row r="102" spans="2:15" ht="18.95" customHeight="1">
      <c r="B102" s="354" t="s">
        <v>1239</v>
      </c>
      <c r="C102" s="355" t="s">
        <v>1240</v>
      </c>
      <c r="D102" s="356">
        <v>30</v>
      </c>
      <c r="E102" s="353" t="b">
        <v>1</v>
      </c>
      <c r="F102" s="352" t="b">
        <f>IF(AND(C102="正常",D102&gt;0),FALSE,NOT(AND(D102=0,COUNTIF($B$1:B101,B102)=0)))</f>
        <v>1</v>
      </c>
      <c r="G102" s="116"/>
      <c r="H102" s="116" t="s">
        <v>1241</v>
      </c>
      <c r="I102" s="116"/>
      <c r="J102" s="116"/>
      <c r="K102" s="116"/>
      <c r="L102" s="116"/>
      <c r="M102" s="116"/>
      <c r="N102" s="116"/>
      <c r="O102" s="326"/>
    </row>
    <row r="103" spans="2:15" ht="18.95" customHeight="1">
      <c r="B103" s="354" t="s">
        <v>1239</v>
      </c>
      <c r="C103" s="355" t="s">
        <v>1240</v>
      </c>
      <c r="D103" s="356">
        <v>0</v>
      </c>
      <c r="E103" s="353" t="b">
        <v>1</v>
      </c>
      <c r="F103" s="352" t="b">
        <f>IF(AND(C103="正常",D103&gt;0),FALSE,NOT(AND(D103=0,COUNTIF($B$1:B102,B103)=0)))</f>
        <v>1</v>
      </c>
      <c r="G103" s="116"/>
      <c r="H103" s="116"/>
      <c r="I103" s="116"/>
      <c r="J103" s="116"/>
      <c r="K103" s="116"/>
      <c r="L103" s="116"/>
      <c r="M103" s="116"/>
      <c r="N103" s="116"/>
      <c r="O103" s="326"/>
    </row>
    <row r="104" spans="2:15" ht="18.95" customHeight="1">
      <c r="B104" s="354" t="s">
        <v>1239</v>
      </c>
      <c r="C104" s="355" t="s">
        <v>1237</v>
      </c>
      <c r="D104" s="356">
        <v>30</v>
      </c>
      <c r="E104" s="351" t="b">
        <v>0</v>
      </c>
      <c r="F104" s="352" t="b">
        <f>IF(AND(C104="正常",D104&gt;0),FALSE,NOT(AND(D104=0,COUNTIF($B$1:B103,B104)=0)))</f>
        <v>0</v>
      </c>
      <c r="G104" s="116"/>
      <c r="H104" s="116" t="s">
        <v>1242</v>
      </c>
      <c r="I104" s="116"/>
      <c r="J104" s="116"/>
      <c r="K104" s="116"/>
      <c r="L104" s="116"/>
      <c r="M104" s="116"/>
      <c r="N104" s="116"/>
      <c r="O104" s="326"/>
    </row>
    <row r="105" spans="2:15" ht="18.95" customHeight="1">
      <c r="B105" s="357" t="s">
        <v>1243</v>
      </c>
      <c r="C105" s="358" t="s">
        <v>1240</v>
      </c>
      <c r="D105" s="359"/>
      <c r="E105" s="360" t="b">
        <v>0</v>
      </c>
      <c r="F105" s="352" t="b">
        <f>IF(AND(C105="正常",D105&gt;0),FALSE,NOT(AND(D105=0,COUNTIF($B$1:B104,B105)=0)))</f>
        <v>0</v>
      </c>
      <c r="G105" s="116"/>
      <c r="H105" s="116"/>
      <c r="I105" s="116"/>
      <c r="J105" s="116"/>
      <c r="K105" s="116"/>
      <c r="L105" s="116"/>
      <c r="M105" s="116"/>
      <c r="N105" s="116"/>
      <c r="O105" s="326"/>
    </row>
    <row r="106" spans="2:15" ht="18.95" customHeight="1">
      <c r="B106" s="357" t="s">
        <v>1243</v>
      </c>
      <c r="C106" s="358" t="s">
        <v>1240</v>
      </c>
      <c r="D106" s="359"/>
      <c r="E106" s="353" t="b">
        <v>1</v>
      </c>
      <c r="F106" s="352" t="b">
        <f>IF(AND(C106="正常",D106&gt;0),FALSE,NOT(AND(D106=0,COUNTIF($B$1:B105,B106)=0)))</f>
        <v>1</v>
      </c>
      <c r="G106" s="116"/>
      <c r="H106" s="116"/>
      <c r="I106" s="116"/>
      <c r="J106" s="116"/>
      <c r="K106" s="116"/>
      <c r="L106" s="116"/>
      <c r="M106" s="116"/>
      <c r="N106" s="116"/>
      <c r="O106" s="326"/>
    </row>
    <row r="107" spans="2:15" ht="18.95" customHeight="1">
      <c r="B107" s="254"/>
      <c r="C107" s="116"/>
      <c r="D107" s="116"/>
      <c r="E107" s="116"/>
      <c r="F107" s="116"/>
      <c r="G107" s="116"/>
      <c r="H107" s="116"/>
      <c r="I107" s="116"/>
      <c r="J107" s="116"/>
      <c r="K107" s="116"/>
      <c r="L107" s="116"/>
      <c r="M107" s="116"/>
      <c r="N107" s="116"/>
      <c r="O107" s="326"/>
    </row>
    <row r="108" spans="2:15" ht="18.95" customHeight="1">
      <c r="B108" s="254"/>
      <c r="C108" s="116"/>
      <c r="D108" s="116"/>
      <c r="E108" s="116"/>
      <c r="F108" s="116"/>
      <c r="G108" s="116"/>
      <c r="H108" s="116"/>
      <c r="I108" s="116"/>
      <c r="J108" s="116"/>
      <c r="K108" s="116"/>
      <c r="L108" s="116"/>
      <c r="M108" s="116"/>
      <c r="N108" s="116"/>
      <c r="O108" s="326"/>
    </row>
    <row r="109" spans="2:15" ht="18.95" customHeight="1">
      <c r="B109" s="254"/>
      <c r="C109" s="116"/>
      <c r="D109" s="116"/>
      <c r="E109" s="116"/>
      <c r="F109" s="116"/>
      <c r="G109" s="116"/>
      <c r="H109" s="116"/>
      <c r="I109" s="116"/>
      <c r="J109" s="116"/>
      <c r="K109" s="116"/>
      <c r="L109" s="116"/>
      <c r="M109" s="116"/>
      <c r="N109" s="116"/>
      <c r="O109" s="326"/>
    </row>
    <row r="110" spans="2:15" ht="18.95" customHeight="1">
      <c r="B110" s="254"/>
      <c r="C110" s="116"/>
      <c r="D110" s="116"/>
      <c r="E110" s="116"/>
      <c r="F110" s="116"/>
      <c r="G110" s="116"/>
      <c r="H110" s="116"/>
      <c r="I110" s="116"/>
      <c r="J110" s="116"/>
      <c r="K110" s="116"/>
      <c r="L110" s="116"/>
      <c r="M110" s="116"/>
      <c r="N110" s="116"/>
      <c r="O110" s="326"/>
    </row>
    <row r="111" spans="2:15" ht="18.95" customHeight="1">
      <c r="B111" s="304"/>
      <c r="C111" s="305"/>
      <c r="D111" s="305"/>
      <c r="E111" s="305"/>
      <c r="F111" s="305"/>
      <c r="G111" s="305"/>
      <c r="H111" s="305"/>
      <c r="I111" s="305"/>
      <c r="J111" s="305"/>
      <c r="K111" s="305"/>
      <c r="L111" s="305"/>
      <c r="M111" s="305"/>
      <c r="N111" s="305"/>
      <c r="O111" s="327"/>
    </row>
    <row r="113" spans="2:15" ht="18.95" customHeight="1">
      <c r="B113" s="333"/>
      <c r="C113" s="324"/>
      <c r="D113" s="324"/>
      <c r="E113" s="324"/>
      <c r="F113" s="324"/>
      <c r="G113" s="324"/>
      <c r="H113" s="324"/>
      <c r="I113" s="324"/>
      <c r="J113" s="324"/>
      <c r="K113" s="324"/>
      <c r="L113" s="324"/>
      <c r="M113" s="324"/>
      <c r="N113" s="324"/>
      <c r="O113" s="325"/>
    </row>
    <row r="114" spans="2:15" ht="18.95" customHeight="1">
      <c r="B114" s="361" t="s">
        <v>1244</v>
      </c>
      <c r="C114" s="105"/>
      <c r="D114" s="105"/>
      <c r="E114" s="105"/>
      <c r="F114" s="105"/>
      <c r="G114" s="362" t="s">
        <v>744</v>
      </c>
      <c r="H114" s="112"/>
      <c r="I114" s="112"/>
      <c r="J114" s="116"/>
      <c r="K114" s="116"/>
      <c r="L114" s="116"/>
      <c r="M114" s="116"/>
      <c r="N114" s="116"/>
      <c r="O114" s="326"/>
    </row>
    <row r="115" spans="2:15" ht="18.95" customHeight="1">
      <c r="B115" s="288" t="s">
        <v>1245</v>
      </c>
      <c r="C115" s="105" t="s">
        <v>1246</v>
      </c>
      <c r="D115" s="105" t="s">
        <v>46</v>
      </c>
      <c r="E115" s="105"/>
      <c r="F115" s="105"/>
      <c r="G115" s="90" t="s">
        <v>1245</v>
      </c>
      <c r="H115" s="76">
        <v>1.1000000000000001</v>
      </c>
      <c r="I115" s="76">
        <v>1.4</v>
      </c>
      <c r="J115" s="116"/>
      <c r="K115" s="116"/>
      <c r="L115" s="116"/>
      <c r="M115" s="116"/>
      <c r="N115" s="116"/>
      <c r="O115" s="326"/>
    </row>
    <row r="116" spans="2:15" ht="18.95" customHeight="1">
      <c r="B116" s="288" t="s">
        <v>1247</v>
      </c>
      <c r="C116" s="105" t="s">
        <v>1248</v>
      </c>
      <c r="D116" s="105">
        <v>1</v>
      </c>
      <c r="E116" s="105"/>
      <c r="F116" s="105"/>
      <c r="G116" s="90" t="s">
        <v>1247</v>
      </c>
      <c r="H116" s="363">
        <f>COUNTIFS($B$116:$B$129,$G116,$C$116:$C$129,"*"&amp;H$115)</f>
        <v>6</v>
      </c>
      <c r="I116" s="363">
        <f>COUNTIFS($B$116:$B$129,$G116,$C$116:$C$129,"*"&amp;I$115)</f>
        <v>4</v>
      </c>
      <c r="J116" s="116"/>
      <c r="K116" s="116"/>
      <c r="L116" s="116"/>
      <c r="M116" s="116"/>
      <c r="N116" s="116"/>
      <c r="O116" s="326"/>
    </row>
    <row r="117" spans="2:15" ht="18.95" customHeight="1">
      <c r="B117" s="288" t="s">
        <v>1247</v>
      </c>
      <c r="C117" s="105" t="s">
        <v>1249</v>
      </c>
      <c r="D117" s="105">
        <v>1</v>
      </c>
      <c r="E117" s="105"/>
      <c r="F117" s="105"/>
      <c r="G117" s="90" t="s">
        <v>1250</v>
      </c>
      <c r="H117" s="363">
        <f t="shared" ref="H117:I118" si="6">COUNTIFS($B$116:$B$129,$G117,$C$116:$C$129,"*"&amp;H$115)</f>
        <v>3</v>
      </c>
      <c r="I117" s="363">
        <f t="shared" si="6"/>
        <v>0</v>
      </c>
      <c r="J117" s="116"/>
      <c r="K117" s="116"/>
      <c r="L117" s="116"/>
      <c r="M117" s="116"/>
      <c r="N117" s="116"/>
      <c r="O117" s="326"/>
    </row>
    <row r="118" spans="2:15" ht="18.95" customHeight="1">
      <c r="B118" s="288" t="s">
        <v>1247</v>
      </c>
      <c r="C118" s="105" t="s">
        <v>1249</v>
      </c>
      <c r="D118" s="105">
        <v>1</v>
      </c>
      <c r="E118" s="105"/>
      <c r="F118" s="105"/>
      <c r="G118" s="90" t="s">
        <v>1251</v>
      </c>
      <c r="H118" s="363">
        <f t="shared" si="6"/>
        <v>1</v>
      </c>
      <c r="I118" s="363">
        <f t="shared" si="6"/>
        <v>0</v>
      </c>
      <c r="J118" s="116"/>
      <c r="K118" s="116"/>
      <c r="L118" s="116"/>
      <c r="M118" s="116"/>
      <c r="N118" s="116"/>
      <c r="O118" s="326"/>
    </row>
    <row r="119" spans="2:15" ht="18.95" customHeight="1">
      <c r="B119" s="288" t="s">
        <v>1247</v>
      </c>
      <c r="C119" s="105" t="s">
        <v>1252</v>
      </c>
      <c r="D119" s="105">
        <v>1</v>
      </c>
      <c r="E119" s="105"/>
      <c r="F119" s="105"/>
      <c r="G119" s="105"/>
      <c r="H119" s="105"/>
      <c r="I119" s="105"/>
      <c r="J119" s="116"/>
      <c r="K119" s="116"/>
      <c r="L119" s="116"/>
      <c r="M119" s="116"/>
      <c r="N119" s="116"/>
      <c r="O119" s="326"/>
    </row>
    <row r="120" spans="2:15" ht="18.95" customHeight="1">
      <c r="B120" s="288" t="s">
        <v>1247</v>
      </c>
      <c r="C120" s="105" t="s">
        <v>1253</v>
      </c>
      <c r="D120" s="105">
        <v>1</v>
      </c>
      <c r="E120" s="105"/>
      <c r="F120" s="105"/>
      <c r="G120" s="105"/>
      <c r="H120" s="105"/>
      <c r="I120" s="105"/>
      <c r="J120" s="116"/>
      <c r="K120" s="116"/>
      <c r="L120" s="116"/>
      <c r="M120" s="116"/>
      <c r="N120" s="116"/>
      <c r="O120" s="326"/>
    </row>
    <row r="121" spans="2:15" ht="18.95" customHeight="1">
      <c r="B121" s="288" t="s">
        <v>1247</v>
      </c>
      <c r="C121" s="105" t="s">
        <v>1253</v>
      </c>
      <c r="D121" s="105">
        <v>1</v>
      </c>
      <c r="E121" s="105"/>
      <c r="F121" s="105"/>
      <c r="G121" s="105"/>
      <c r="H121" s="112"/>
      <c r="I121" s="112"/>
      <c r="J121" s="116"/>
      <c r="K121" s="116"/>
      <c r="L121" s="116"/>
      <c r="M121" s="116"/>
      <c r="N121" s="116"/>
      <c r="O121" s="326"/>
    </row>
    <row r="122" spans="2:15" ht="18.95" customHeight="1">
      <c r="B122" s="288" t="s">
        <v>1247</v>
      </c>
      <c r="C122" s="105" t="s">
        <v>1254</v>
      </c>
      <c r="D122" s="105">
        <v>1</v>
      </c>
      <c r="E122" s="105"/>
      <c r="F122" s="105" t="s">
        <v>1255</v>
      </c>
      <c r="G122" s="105"/>
      <c r="H122" s="112"/>
      <c r="I122" s="112"/>
      <c r="J122" s="116"/>
      <c r="K122" s="116"/>
      <c r="L122" s="116"/>
      <c r="M122" s="116"/>
      <c r="N122" s="116"/>
      <c r="O122" s="326"/>
    </row>
    <row r="123" spans="2:15" ht="18.95" customHeight="1">
      <c r="B123" s="288" t="s">
        <v>1247</v>
      </c>
      <c r="C123" s="105" t="s">
        <v>1254</v>
      </c>
      <c r="D123" s="105">
        <v>1</v>
      </c>
      <c r="E123" s="105"/>
      <c r="F123" s="105"/>
      <c r="G123" s="105"/>
      <c r="H123" s="112"/>
      <c r="I123" s="112"/>
      <c r="J123" s="116"/>
      <c r="K123" s="116"/>
      <c r="L123" s="116"/>
      <c r="M123" s="116"/>
      <c r="N123" s="116"/>
      <c r="O123" s="326"/>
    </row>
    <row r="124" spans="2:15" ht="18.95" customHeight="1">
      <c r="B124" s="288" t="s">
        <v>1247</v>
      </c>
      <c r="C124" s="105" t="s">
        <v>1254</v>
      </c>
      <c r="D124" s="105">
        <v>1</v>
      </c>
      <c r="E124" s="105"/>
      <c r="F124" s="105"/>
      <c r="G124" s="105"/>
      <c r="H124" s="112"/>
      <c r="I124" s="112"/>
      <c r="J124" s="116"/>
      <c r="K124" s="116"/>
      <c r="L124" s="116"/>
      <c r="M124" s="116"/>
      <c r="N124" s="116"/>
      <c r="O124" s="326"/>
    </row>
    <row r="125" spans="2:15" ht="18.95" customHeight="1">
      <c r="B125" s="288" t="s">
        <v>1247</v>
      </c>
      <c r="C125" s="105" t="s">
        <v>1254</v>
      </c>
      <c r="D125" s="105">
        <v>1</v>
      </c>
      <c r="E125" s="105"/>
      <c r="F125" s="105"/>
      <c r="G125" s="105"/>
      <c r="H125" s="112"/>
      <c r="I125" s="112"/>
      <c r="J125" s="116"/>
      <c r="K125" s="116"/>
      <c r="L125" s="116"/>
      <c r="M125" s="116"/>
      <c r="N125" s="116"/>
      <c r="O125" s="326"/>
    </row>
    <row r="126" spans="2:15" ht="18.95" customHeight="1">
      <c r="B126" s="288" t="s">
        <v>1250</v>
      </c>
      <c r="C126" s="105" t="s">
        <v>1253</v>
      </c>
      <c r="D126" s="105">
        <v>1</v>
      </c>
      <c r="E126" s="105"/>
      <c r="F126" s="105"/>
      <c r="G126" s="105"/>
      <c r="H126" s="112"/>
      <c r="I126" s="112"/>
      <c r="J126" s="116"/>
      <c r="K126" s="116"/>
      <c r="L126" s="116"/>
      <c r="M126" s="116"/>
      <c r="N126" s="116"/>
      <c r="O126" s="326"/>
    </row>
    <row r="127" spans="2:15" ht="18.95" customHeight="1">
      <c r="B127" s="288" t="s">
        <v>1250</v>
      </c>
      <c r="C127" s="105" t="s">
        <v>1253</v>
      </c>
      <c r="D127" s="105">
        <v>1</v>
      </c>
      <c r="E127" s="105"/>
      <c r="F127" s="105"/>
      <c r="G127" s="105"/>
      <c r="H127" s="112"/>
      <c r="I127" s="112"/>
      <c r="J127" s="116"/>
      <c r="K127" s="116"/>
      <c r="L127" s="116"/>
      <c r="M127" s="116"/>
      <c r="N127" s="116"/>
      <c r="O127" s="326"/>
    </row>
    <row r="128" spans="2:15" ht="18.95" customHeight="1">
      <c r="B128" s="288" t="s">
        <v>1250</v>
      </c>
      <c r="C128" s="105" t="s">
        <v>1252</v>
      </c>
      <c r="D128" s="105">
        <v>1</v>
      </c>
      <c r="E128" s="105"/>
      <c r="F128" s="105"/>
      <c r="G128" s="105"/>
      <c r="H128" s="112"/>
      <c r="I128" s="112"/>
      <c r="J128" s="116"/>
      <c r="K128" s="116"/>
      <c r="L128" s="116"/>
      <c r="M128" s="116"/>
      <c r="N128" s="116"/>
      <c r="O128" s="326"/>
    </row>
    <row r="129" spans="2:15" ht="18.95" customHeight="1">
      <c r="B129" s="288" t="s">
        <v>1251</v>
      </c>
      <c r="C129" s="105" t="s">
        <v>1256</v>
      </c>
      <c r="D129" s="105">
        <v>1</v>
      </c>
      <c r="E129" s="105"/>
      <c r="F129" s="105"/>
      <c r="G129" s="105"/>
      <c r="H129" s="112"/>
      <c r="I129" s="112"/>
      <c r="J129" s="116"/>
      <c r="K129" s="116"/>
      <c r="L129" s="116"/>
      <c r="M129" s="116"/>
      <c r="N129" s="116"/>
      <c r="O129" s="326"/>
    </row>
    <row r="130" spans="2:15" ht="18.95" customHeight="1">
      <c r="B130" s="304"/>
      <c r="C130" s="305"/>
      <c r="D130" s="305"/>
      <c r="E130" s="305"/>
      <c r="F130" s="305"/>
      <c r="G130" s="305"/>
      <c r="H130" s="305"/>
      <c r="I130" s="305"/>
      <c r="J130" s="305"/>
      <c r="K130" s="305"/>
      <c r="L130" s="305"/>
      <c r="M130" s="305"/>
      <c r="N130" s="305"/>
      <c r="O130" s="327"/>
    </row>
    <row r="132" spans="2:15" ht="18.95" customHeight="1">
      <c r="B132" s="333"/>
      <c r="C132" s="324"/>
      <c r="D132" s="324"/>
      <c r="E132" s="324"/>
      <c r="F132" s="324"/>
      <c r="G132" s="324"/>
      <c r="H132" s="324"/>
      <c r="I132" s="324"/>
      <c r="J132" s="324"/>
      <c r="K132" s="324"/>
      <c r="L132" s="324"/>
      <c r="M132" s="324"/>
      <c r="N132" s="324"/>
      <c r="O132" s="325"/>
    </row>
    <row r="133" spans="2:15" ht="18.95" customHeight="1">
      <c r="B133" s="297" t="s">
        <v>43</v>
      </c>
      <c r="C133" s="116"/>
      <c r="D133" s="116"/>
      <c r="E133" s="116"/>
      <c r="F133" s="116"/>
      <c r="G133" s="116"/>
      <c r="H133" s="116"/>
      <c r="I133" s="116"/>
      <c r="J133" s="116"/>
      <c r="K133" s="116"/>
      <c r="L133" s="116"/>
      <c r="M133" s="116"/>
      <c r="N133" s="116"/>
      <c r="O133" s="326"/>
    </row>
    <row r="134" spans="2:15" ht="18.95" customHeight="1">
      <c r="B134" s="254">
        <v>20220101</v>
      </c>
      <c r="C134" s="112"/>
      <c r="D134" s="116"/>
      <c r="E134" s="112">
        <v>202201</v>
      </c>
      <c r="F134" s="352">
        <f>SUMPRODUCT(N(INT(B$134:B$144%)=E134))</f>
        <v>4</v>
      </c>
      <c r="G134" s="116"/>
      <c r="H134" s="116"/>
      <c r="I134" s="116"/>
      <c r="J134" s="116"/>
      <c r="K134" s="116"/>
      <c r="L134" s="116"/>
      <c r="M134" s="116"/>
      <c r="N134" s="116"/>
      <c r="O134" s="326"/>
    </row>
    <row r="135" spans="2:15" ht="18.95" customHeight="1">
      <c r="B135" s="254">
        <v>20220102</v>
      </c>
      <c r="C135" s="112"/>
      <c r="D135" s="116"/>
      <c r="E135" s="112">
        <v>202202</v>
      </c>
      <c r="F135" s="352">
        <f>COUNTIFS(B$134:B$144,"&gt;="&amp;E135&amp;"01",B$134:B$144,"&lt;="&amp;E135&amp;"31")</f>
        <v>7</v>
      </c>
      <c r="G135" s="116"/>
      <c r="H135" s="116"/>
      <c r="I135" s="116"/>
      <c r="J135" s="116"/>
      <c r="K135" s="116"/>
      <c r="L135" s="116"/>
      <c r="M135" s="116"/>
      <c r="N135" s="116"/>
      <c r="O135" s="326"/>
    </row>
    <row r="136" spans="2:15" ht="18.95" customHeight="1">
      <c r="B136" s="254">
        <v>20220103</v>
      </c>
      <c r="C136" s="112"/>
      <c r="D136" s="116"/>
      <c r="E136" s="116"/>
      <c r="F136" s="116"/>
      <c r="G136" s="116"/>
      <c r="H136" s="116"/>
      <c r="I136" s="116"/>
      <c r="J136" s="116"/>
      <c r="K136" s="116"/>
      <c r="L136" s="116"/>
      <c r="M136" s="116"/>
      <c r="N136" s="116"/>
      <c r="O136" s="326"/>
    </row>
    <row r="137" spans="2:15" ht="18.95" customHeight="1">
      <c r="B137" s="254">
        <v>20220104</v>
      </c>
      <c r="C137" s="112"/>
      <c r="D137" s="116"/>
      <c r="E137" s="116"/>
      <c r="F137" s="116"/>
      <c r="G137" s="116"/>
      <c r="H137" s="116"/>
      <c r="I137" s="116"/>
      <c r="J137" s="116"/>
      <c r="K137" s="116"/>
      <c r="L137" s="116"/>
      <c r="M137" s="116"/>
      <c r="N137" s="116"/>
      <c r="O137" s="326"/>
    </row>
    <row r="138" spans="2:15" ht="18.95" customHeight="1">
      <c r="B138" s="254">
        <v>20220206</v>
      </c>
      <c r="C138" s="112"/>
      <c r="D138" s="116"/>
      <c r="E138" s="112"/>
      <c r="F138" s="116"/>
      <c r="G138" s="116"/>
      <c r="H138" s="116"/>
      <c r="I138" s="116"/>
      <c r="J138" s="116"/>
      <c r="K138" s="116"/>
      <c r="L138" s="116"/>
      <c r="M138" s="116"/>
      <c r="N138" s="116"/>
      <c r="O138" s="326"/>
    </row>
    <row r="139" spans="2:15" ht="18.95" customHeight="1">
      <c r="B139" s="254">
        <v>20220207</v>
      </c>
      <c r="C139" s="112"/>
      <c r="D139" s="116"/>
      <c r="E139" s="116"/>
      <c r="F139" s="1" t="s">
        <v>1257</v>
      </c>
      <c r="G139" s="116"/>
      <c r="H139" s="116"/>
      <c r="I139" s="116"/>
      <c r="J139" s="116"/>
      <c r="K139" s="116"/>
      <c r="L139" s="116"/>
      <c r="M139" s="116"/>
      <c r="N139" s="116"/>
      <c r="O139" s="326"/>
    </row>
    <row r="140" spans="2:15" ht="18.95" customHeight="1">
      <c r="B140" s="254">
        <v>20220208</v>
      </c>
      <c r="C140" s="112"/>
      <c r="D140" s="116"/>
      <c r="E140" s="116"/>
      <c r="F140" s="116"/>
      <c r="G140" s="116"/>
      <c r="H140" s="116"/>
      <c r="I140" s="116"/>
      <c r="J140" s="116"/>
      <c r="K140" s="116"/>
      <c r="L140" s="116"/>
      <c r="M140" s="116"/>
      <c r="N140" s="116"/>
      <c r="O140" s="326"/>
    </row>
    <row r="141" spans="2:15" ht="18.95" customHeight="1">
      <c r="B141" s="254">
        <v>20220209</v>
      </c>
      <c r="C141" s="112"/>
      <c r="D141" s="116"/>
      <c r="E141" s="116"/>
      <c r="F141" s="1" t="s">
        <v>1258</v>
      </c>
      <c r="G141" s="116"/>
      <c r="H141" s="116"/>
      <c r="I141" s="116"/>
      <c r="J141" s="116"/>
      <c r="K141" s="116"/>
      <c r="L141" s="116"/>
      <c r="M141" s="116"/>
      <c r="N141" s="116"/>
      <c r="O141" s="326"/>
    </row>
    <row r="142" spans="2:15" ht="18.95" customHeight="1">
      <c r="B142" s="254">
        <v>20220210</v>
      </c>
      <c r="C142" s="112"/>
      <c r="D142" s="116"/>
      <c r="E142" s="116"/>
      <c r="F142" s="116"/>
      <c r="G142" s="116"/>
      <c r="H142" s="116"/>
      <c r="I142" s="116"/>
      <c r="J142" s="116"/>
      <c r="K142" s="116"/>
      <c r="L142" s="116"/>
      <c r="M142" s="116"/>
      <c r="N142" s="116"/>
      <c r="O142" s="326"/>
    </row>
    <row r="143" spans="2:15" ht="18.95" customHeight="1">
      <c r="B143" s="254">
        <v>20220211</v>
      </c>
      <c r="C143" s="112"/>
      <c r="D143" s="116"/>
      <c r="E143" s="116"/>
      <c r="F143" s="116"/>
      <c r="G143" s="116"/>
      <c r="H143" s="116"/>
      <c r="I143" s="116"/>
      <c r="J143" s="116"/>
      <c r="K143" s="116"/>
      <c r="L143" s="116"/>
      <c r="M143" s="116"/>
      <c r="N143" s="116"/>
      <c r="O143" s="326"/>
    </row>
    <row r="144" spans="2:15" ht="18.95" customHeight="1">
      <c r="B144" s="254">
        <v>20220212</v>
      </c>
      <c r="C144" s="112"/>
      <c r="D144" s="116"/>
      <c r="E144" s="116"/>
      <c r="F144" s="116"/>
      <c r="G144" s="116"/>
      <c r="H144" s="116"/>
      <c r="I144" s="116"/>
      <c r="J144" s="116"/>
      <c r="K144" s="116"/>
      <c r="L144" s="116"/>
      <c r="M144" s="116"/>
      <c r="N144" s="116"/>
      <c r="O144" s="326"/>
    </row>
    <row r="145" spans="2:15" ht="18.95" customHeight="1">
      <c r="B145" s="254"/>
      <c r="C145" s="116"/>
      <c r="D145" s="116"/>
      <c r="E145" s="116"/>
      <c r="F145" s="116"/>
      <c r="G145" s="116"/>
      <c r="H145" s="116"/>
      <c r="I145" s="116"/>
      <c r="J145" s="116"/>
      <c r="K145" s="116"/>
      <c r="L145" s="116"/>
      <c r="M145" s="116"/>
      <c r="N145" s="116"/>
      <c r="O145" s="326"/>
    </row>
    <row r="146" spans="2:15" ht="18.95" customHeight="1">
      <c r="B146" s="304"/>
      <c r="C146" s="305"/>
      <c r="D146" s="305"/>
      <c r="E146" s="305"/>
      <c r="F146" s="305"/>
      <c r="G146" s="305"/>
      <c r="H146" s="305"/>
      <c r="I146" s="305"/>
      <c r="J146" s="305"/>
      <c r="K146" s="305"/>
      <c r="L146" s="305"/>
      <c r="M146" s="305"/>
      <c r="N146" s="305"/>
      <c r="O146" s="327"/>
    </row>
    <row r="149" spans="2:15" ht="18.95" customHeight="1">
      <c r="B149" s="1148" t="s">
        <v>1259</v>
      </c>
      <c r="C149" s="1149"/>
      <c r="D149" s="366"/>
      <c r="E149" s="366"/>
      <c r="F149" s="366"/>
      <c r="G149" s="1152" t="s">
        <v>744</v>
      </c>
      <c r="H149" s="1152"/>
      <c r="I149" s="1152"/>
      <c r="J149" s="366"/>
      <c r="K149" s="366"/>
      <c r="L149" s="324"/>
      <c r="M149" s="324"/>
      <c r="N149" s="324"/>
      <c r="O149" s="325"/>
    </row>
    <row r="150" spans="2:15" ht="18.95" customHeight="1">
      <c r="B150" s="1150"/>
      <c r="C150" s="1151"/>
      <c r="D150" s="369"/>
      <c r="E150" s="369"/>
      <c r="F150" s="369"/>
      <c r="G150" s="1153"/>
      <c r="H150" s="1153"/>
      <c r="I150" s="1153"/>
      <c r="J150" s="369"/>
      <c r="K150" s="369"/>
      <c r="O150" s="326"/>
    </row>
    <row r="151" spans="2:15" ht="18.95" customHeight="1">
      <c r="B151" s="367" t="s">
        <v>1260</v>
      </c>
      <c r="C151" s="368" t="s">
        <v>150</v>
      </c>
      <c r="D151" s="369"/>
      <c r="E151" s="369"/>
      <c r="F151" s="369"/>
      <c r="G151" s="368" t="s">
        <v>1260</v>
      </c>
      <c r="H151" s="368" t="s">
        <v>150</v>
      </c>
      <c r="I151" s="370"/>
      <c r="J151" s="369"/>
      <c r="K151" s="369"/>
      <c r="O151" s="326"/>
    </row>
    <row r="152" spans="2:15" ht="18.95" customHeight="1">
      <c r="B152" s="371" t="s">
        <v>1261</v>
      </c>
      <c r="C152" s="369" t="s">
        <v>1262</v>
      </c>
      <c r="D152" s="369"/>
      <c r="E152" s="369"/>
      <c r="F152" s="369"/>
      <c r="G152" s="369" t="s">
        <v>1261</v>
      </c>
      <c r="H152" s="369" t="s">
        <v>1263</v>
      </c>
      <c r="I152" s="369"/>
      <c r="J152" s="369"/>
      <c r="K152" s="376"/>
      <c r="O152" s="326"/>
    </row>
    <row r="153" spans="2:15" ht="18.95" customHeight="1">
      <c r="B153" s="371" t="s">
        <v>1264</v>
      </c>
      <c r="C153" s="369" t="s">
        <v>1265</v>
      </c>
      <c r="D153" s="372" t="str">
        <f t="array" ref="D153">_xlfn.TEXTJOIN(";",1,IF($B$152:$B$177=G152,$C$152:$C$177,""))</f>
        <v>开局路202号;开局路222号;开局路225号</v>
      </c>
      <c r="E153" s="369"/>
      <c r="F153" s="369"/>
      <c r="G153" s="369" t="s">
        <v>1264</v>
      </c>
      <c r="H153" s="369" t="s">
        <v>1266</v>
      </c>
      <c r="I153" s="369"/>
      <c r="J153" s="369"/>
      <c r="K153" s="369"/>
      <c r="O153" s="326"/>
    </row>
    <row r="154" spans="2:15" ht="18.95" customHeight="1">
      <c r="B154" s="371" t="s">
        <v>1267</v>
      </c>
      <c r="C154" s="369" t="s">
        <v>1268</v>
      </c>
      <c r="D154" s="369"/>
      <c r="E154" s="369"/>
      <c r="F154" s="369"/>
      <c r="G154" s="369" t="s">
        <v>1267</v>
      </c>
      <c r="H154" s="369" t="s">
        <v>1269</v>
      </c>
      <c r="I154" s="369"/>
      <c r="J154" s="369"/>
      <c r="K154" s="369"/>
      <c r="O154" s="326"/>
    </row>
    <row r="155" spans="2:15" ht="18.95" customHeight="1">
      <c r="B155" s="371" t="s">
        <v>1270</v>
      </c>
      <c r="C155" s="369" t="s">
        <v>1271</v>
      </c>
      <c r="D155" s="369"/>
      <c r="E155" s="369"/>
      <c r="F155" s="369"/>
      <c r="G155" s="369" t="s">
        <v>1270</v>
      </c>
      <c r="H155" s="369" t="s">
        <v>1271</v>
      </c>
      <c r="I155" s="369"/>
      <c r="J155" s="369"/>
      <c r="K155" s="369"/>
      <c r="O155" s="326"/>
    </row>
    <row r="156" spans="2:15" ht="18.95" customHeight="1">
      <c r="B156" s="371" t="s">
        <v>1272</v>
      </c>
      <c r="C156" s="369" t="s">
        <v>1273</v>
      </c>
      <c r="D156" s="369"/>
      <c r="E156" s="369"/>
      <c r="F156" s="369"/>
      <c r="G156" s="369" t="s">
        <v>1272</v>
      </c>
      <c r="H156" s="369" t="s">
        <v>1274</v>
      </c>
      <c r="I156" s="369"/>
      <c r="J156" s="369"/>
      <c r="K156" s="369"/>
      <c r="O156" s="326"/>
    </row>
    <row r="157" spans="2:15" ht="18.95" customHeight="1">
      <c r="B157" s="371" t="s">
        <v>1275</v>
      </c>
      <c r="C157" s="369" t="s">
        <v>1276</v>
      </c>
      <c r="D157" s="369"/>
      <c r="E157" s="369"/>
      <c r="F157" s="369"/>
      <c r="G157" s="369" t="s">
        <v>1275</v>
      </c>
      <c r="H157" s="369" t="s">
        <v>1276</v>
      </c>
      <c r="I157" s="369"/>
      <c r="J157" s="369"/>
      <c r="K157" s="369"/>
      <c r="O157" s="326"/>
    </row>
    <row r="158" spans="2:15" ht="18.95" customHeight="1">
      <c r="B158" s="371" t="s">
        <v>1277</v>
      </c>
      <c r="C158" s="369" t="s">
        <v>1278</v>
      </c>
      <c r="D158" s="369"/>
      <c r="E158" s="369"/>
      <c r="F158" s="369"/>
      <c r="G158" s="369" t="s">
        <v>1277</v>
      </c>
      <c r="H158" s="369" t="s">
        <v>1278</v>
      </c>
      <c r="I158" s="369"/>
      <c r="J158" s="369"/>
      <c r="K158" s="369"/>
      <c r="O158" s="326"/>
    </row>
    <row r="159" spans="2:15" ht="18.95" customHeight="1">
      <c r="B159" s="371" t="s">
        <v>1279</v>
      </c>
      <c r="C159" s="369" t="s">
        <v>1280</v>
      </c>
      <c r="D159" s="369"/>
      <c r="E159" s="369"/>
      <c r="F159" s="369"/>
      <c r="G159" s="369" t="s">
        <v>1279</v>
      </c>
      <c r="H159" s="369" t="s">
        <v>1280</v>
      </c>
      <c r="I159" s="369"/>
      <c r="J159" s="369"/>
      <c r="K159" s="369"/>
      <c r="O159" s="326"/>
    </row>
    <row r="160" spans="2:15" ht="18.95" customHeight="1">
      <c r="B160" s="371" t="s">
        <v>1281</v>
      </c>
      <c r="C160" s="369" t="s">
        <v>1282</v>
      </c>
      <c r="D160" s="373"/>
      <c r="E160" s="369"/>
      <c r="F160" s="369"/>
      <c r="G160" s="369" t="s">
        <v>1281</v>
      </c>
      <c r="H160" s="369" t="s">
        <v>1282</v>
      </c>
      <c r="I160" s="369"/>
      <c r="J160" s="369"/>
      <c r="K160" s="369"/>
      <c r="O160" s="326"/>
    </row>
    <row r="161" spans="2:15" ht="18.95" customHeight="1">
      <c r="B161" s="371" t="s">
        <v>1283</v>
      </c>
      <c r="C161" s="369" t="s">
        <v>1284</v>
      </c>
      <c r="D161" s="369"/>
      <c r="E161" s="369"/>
      <c r="F161" s="369"/>
      <c r="G161" s="369" t="s">
        <v>1283</v>
      </c>
      <c r="H161" s="369" t="s">
        <v>1284</v>
      </c>
      <c r="I161" s="369"/>
      <c r="J161" s="369"/>
      <c r="K161" s="369"/>
      <c r="O161" s="326"/>
    </row>
    <row r="162" spans="2:15" ht="18.95" customHeight="1">
      <c r="B162" s="371" t="s">
        <v>1285</v>
      </c>
      <c r="C162" s="369" t="s">
        <v>1286</v>
      </c>
      <c r="D162" s="369"/>
      <c r="E162" s="369"/>
      <c r="F162" s="369"/>
      <c r="G162" s="369" t="s">
        <v>1285</v>
      </c>
      <c r="H162" s="369" t="s">
        <v>1286</v>
      </c>
      <c r="I162" s="369"/>
      <c r="J162" s="369"/>
      <c r="K162" s="369"/>
      <c r="O162" s="326"/>
    </row>
    <row r="163" spans="2:15" ht="18.95" customHeight="1">
      <c r="B163" s="371" t="s">
        <v>1287</v>
      </c>
      <c r="C163" s="369" t="s">
        <v>1288</v>
      </c>
      <c r="D163" s="369"/>
      <c r="E163" s="369"/>
      <c r="F163" s="369"/>
      <c r="G163" s="369" t="s">
        <v>1287</v>
      </c>
      <c r="H163" s="369" t="s">
        <v>1289</v>
      </c>
      <c r="I163" s="369"/>
      <c r="J163" s="369"/>
      <c r="K163" s="369"/>
      <c r="O163" s="326"/>
    </row>
    <row r="164" spans="2:15" ht="18.95" customHeight="1">
      <c r="B164" s="371" t="s">
        <v>1290</v>
      </c>
      <c r="C164" s="369" t="s">
        <v>1291</v>
      </c>
      <c r="D164" s="369"/>
      <c r="E164" s="369"/>
      <c r="F164" s="369"/>
      <c r="G164" s="369" t="s">
        <v>1290</v>
      </c>
      <c r="H164" s="369" t="s">
        <v>1291</v>
      </c>
      <c r="I164" s="369"/>
      <c r="J164" s="369"/>
      <c r="K164" s="369"/>
      <c r="O164" s="326"/>
    </row>
    <row r="165" spans="2:15" ht="18.95" customHeight="1">
      <c r="B165" s="371" t="s">
        <v>1292</v>
      </c>
      <c r="C165" s="369" t="s">
        <v>1293</v>
      </c>
      <c r="D165" s="369"/>
      <c r="E165" s="369"/>
      <c r="F165" s="369"/>
      <c r="G165" s="369" t="s">
        <v>1292</v>
      </c>
      <c r="H165" s="369" t="s">
        <v>1294</v>
      </c>
      <c r="I165" s="369"/>
      <c r="J165" s="369"/>
      <c r="K165" s="369"/>
      <c r="O165" s="326"/>
    </row>
    <row r="166" spans="2:15" ht="18.95" customHeight="1">
      <c r="B166" s="371" t="s">
        <v>1295</v>
      </c>
      <c r="C166" s="369" t="s">
        <v>1296</v>
      </c>
      <c r="D166" s="369"/>
      <c r="E166" s="369"/>
      <c r="F166" s="369"/>
      <c r="G166" s="369" t="s">
        <v>1295</v>
      </c>
      <c r="H166" s="369" t="s">
        <v>1296</v>
      </c>
      <c r="I166" s="369"/>
      <c r="J166" s="369"/>
      <c r="K166" s="369"/>
      <c r="O166" s="326"/>
    </row>
    <row r="167" spans="2:15" ht="18.95" customHeight="1">
      <c r="B167" s="371" t="s">
        <v>1297</v>
      </c>
      <c r="C167" s="369" t="s">
        <v>1298</v>
      </c>
      <c r="D167" s="369"/>
      <c r="E167" s="369"/>
      <c r="F167" s="369"/>
      <c r="G167" s="369" t="s">
        <v>1297</v>
      </c>
      <c r="H167" s="369" t="s">
        <v>1298</v>
      </c>
      <c r="I167" s="369"/>
      <c r="J167" s="369"/>
      <c r="K167" s="369"/>
      <c r="O167" s="326"/>
    </row>
    <row r="168" spans="2:15" ht="18.95" customHeight="1">
      <c r="B168" s="371" t="s">
        <v>1299</v>
      </c>
      <c r="C168" s="369" t="s">
        <v>1300</v>
      </c>
      <c r="D168" s="369"/>
      <c r="E168" s="369"/>
      <c r="F168" s="369"/>
      <c r="G168" s="369" t="s">
        <v>1299</v>
      </c>
      <c r="H168" s="369" t="s">
        <v>1300</v>
      </c>
      <c r="I168" s="369"/>
      <c r="J168" s="369"/>
      <c r="K168" s="369"/>
      <c r="O168" s="326"/>
    </row>
    <row r="169" spans="2:15" ht="18.95" customHeight="1">
      <c r="B169" s="371" t="s">
        <v>1272</v>
      </c>
      <c r="C169" s="369" t="s">
        <v>1301</v>
      </c>
      <c r="D169" s="369"/>
      <c r="E169" s="369"/>
      <c r="F169" s="369"/>
      <c r="G169" s="369"/>
      <c r="H169" s="369"/>
      <c r="I169" s="369"/>
      <c r="J169" s="369"/>
      <c r="K169" s="369"/>
      <c r="O169" s="326"/>
    </row>
    <row r="170" spans="2:15" ht="18.95" customHeight="1">
      <c r="B170" s="371" t="s">
        <v>1292</v>
      </c>
      <c r="C170" s="369" t="s">
        <v>1302</v>
      </c>
      <c r="D170" s="369"/>
      <c r="E170" s="369"/>
      <c r="F170" s="369"/>
      <c r="G170" s="369"/>
      <c r="H170" s="369"/>
      <c r="I170" s="369"/>
      <c r="J170" s="369"/>
      <c r="K170" s="369"/>
      <c r="O170" s="326"/>
    </row>
    <row r="171" spans="2:15" ht="18.95" customHeight="1">
      <c r="B171" s="371" t="s">
        <v>1287</v>
      </c>
      <c r="C171" s="369" t="s">
        <v>1303</v>
      </c>
      <c r="D171" s="369"/>
      <c r="E171" s="369"/>
      <c r="F171" s="369"/>
      <c r="G171" s="369"/>
      <c r="H171" s="369"/>
      <c r="I171" s="369"/>
      <c r="J171" s="369"/>
      <c r="K171" s="369"/>
      <c r="O171" s="326"/>
    </row>
    <row r="172" spans="2:15" ht="18.95" customHeight="1">
      <c r="B172" s="371" t="s">
        <v>1261</v>
      </c>
      <c r="C172" s="369" t="s">
        <v>1304</v>
      </c>
      <c r="D172" s="369"/>
      <c r="E172" s="369"/>
      <c r="F172" s="369"/>
      <c r="G172" s="369"/>
      <c r="H172" s="369"/>
      <c r="I172" s="369"/>
      <c r="J172" s="369"/>
      <c r="K172" s="369"/>
      <c r="O172" s="326"/>
    </row>
    <row r="173" spans="2:15" ht="18.95" customHeight="1">
      <c r="B173" s="371" t="s">
        <v>1264</v>
      </c>
      <c r="C173" s="369" t="s">
        <v>1305</v>
      </c>
      <c r="D173" s="369"/>
      <c r="E173" s="369"/>
      <c r="F173" s="369"/>
      <c r="G173" s="369"/>
      <c r="H173" s="369"/>
      <c r="I173" s="369"/>
      <c r="J173" s="369"/>
      <c r="K173" s="369"/>
      <c r="O173" s="326"/>
    </row>
    <row r="174" spans="2:15" ht="18.95" customHeight="1">
      <c r="B174" s="371" t="s">
        <v>1267</v>
      </c>
      <c r="C174" s="369" t="s">
        <v>1306</v>
      </c>
      <c r="D174" s="369"/>
      <c r="E174" s="369"/>
      <c r="F174" s="369"/>
      <c r="G174" s="369"/>
      <c r="H174" s="369"/>
      <c r="I174" s="369"/>
      <c r="J174" s="369"/>
      <c r="K174" s="369"/>
      <c r="O174" s="326"/>
    </row>
    <row r="175" spans="2:15" ht="18.95" customHeight="1">
      <c r="B175" s="371" t="s">
        <v>1261</v>
      </c>
      <c r="C175" s="369" t="s">
        <v>1307</v>
      </c>
      <c r="D175" s="369"/>
      <c r="E175" s="369"/>
      <c r="F175" s="369"/>
      <c r="G175" s="369"/>
      <c r="H175" s="369"/>
      <c r="I175" s="369"/>
      <c r="J175" s="369"/>
      <c r="K175" s="369"/>
      <c r="O175" s="326"/>
    </row>
    <row r="176" spans="2:15" ht="18.95" customHeight="1">
      <c r="B176" s="371" t="s">
        <v>1264</v>
      </c>
      <c r="C176" s="369" t="s">
        <v>1308</v>
      </c>
      <c r="D176" s="369"/>
      <c r="E176" s="369"/>
      <c r="F176" s="369"/>
      <c r="G176" s="369"/>
      <c r="H176" s="369"/>
      <c r="I176" s="369"/>
      <c r="J176" s="369"/>
      <c r="K176" s="369"/>
      <c r="O176" s="326"/>
    </row>
    <row r="177" spans="2:15" ht="18.95" customHeight="1">
      <c r="B177" s="374" t="s">
        <v>1267</v>
      </c>
      <c r="C177" s="375" t="s">
        <v>1309</v>
      </c>
      <c r="D177" s="375"/>
      <c r="E177" s="375"/>
      <c r="F177" s="375"/>
      <c r="G177" s="375"/>
      <c r="H177" s="375"/>
      <c r="I177" s="375"/>
      <c r="J177" s="375"/>
      <c r="K177" s="375"/>
      <c r="L177" s="305"/>
      <c r="M177" s="305"/>
      <c r="N177" s="305"/>
      <c r="O177" s="327"/>
    </row>
    <row r="179" spans="2:15" ht="18.95" customHeight="1">
      <c r="B179" s="333"/>
      <c r="C179" s="324"/>
      <c r="D179" s="324"/>
      <c r="E179" s="324"/>
      <c r="F179" s="324"/>
      <c r="G179" s="324"/>
      <c r="H179" s="324"/>
      <c r="I179" s="324"/>
      <c r="J179" s="324"/>
      <c r="K179" s="324"/>
      <c r="L179" s="324"/>
      <c r="M179" s="324"/>
      <c r="N179" s="324"/>
      <c r="O179" s="325"/>
    </row>
    <row r="180" spans="2:15" ht="18.95" customHeight="1">
      <c r="B180" s="254" t="s">
        <v>194</v>
      </c>
      <c r="C180" s="1" t="s">
        <v>1310</v>
      </c>
      <c r="D180" s="1" t="s">
        <v>44</v>
      </c>
      <c r="E180" s="1" t="s">
        <v>46</v>
      </c>
      <c r="H180" s="1" t="s">
        <v>194</v>
      </c>
      <c r="I180" s="377" t="s">
        <v>1311</v>
      </c>
      <c r="J180" s="1" t="s">
        <v>44</v>
      </c>
      <c r="K180" s="1" t="s">
        <v>46</v>
      </c>
      <c r="O180" s="326"/>
    </row>
    <row r="181" spans="2:15" ht="18.95" customHeight="1">
      <c r="B181" s="254" t="s">
        <v>1312</v>
      </c>
      <c r="C181" s="1" t="s">
        <v>1313</v>
      </c>
      <c r="D181" s="1">
        <v>1</v>
      </c>
      <c r="E181" s="1">
        <v>89</v>
      </c>
      <c r="H181" s="1" t="s">
        <v>1312</v>
      </c>
      <c r="I181" s="377" t="s">
        <v>1313</v>
      </c>
      <c r="J181" s="378">
        <f t="array" ref="J181">IFERROR(LOOKUP(1,0/($B$180:$B$195=$H181)*($C$180:$C$195=$I181),$D$180:$D$195),"")</f>
        <v>1</v>
      </c>
      <c r="K181" s="378">
        <f t="array" ref="K181">IFERROR(LOOKUP(1,0/($B$180:$B$195=$H181)*($C$180:$C$195=$I181),$E$180:$E$195),"")</f>
        <v>89</v>
      </c>
      <c r="O181" s="326"/>
    </row>
    <row r="182" spans="2:15" ht="18.95" customHeight="1">
      <c r="B182" s="254" t="s">
        <v>1314</v>
      </c>
      <c r="C182" s="1" t="s">
        <v>1315</v>
      </c>
      <c r="D182" s="1">
        <v>1</v>
      </c>
      <c r="E182" s="1">
        <v>20</v>
      </c>
      <c r="H182" s="1" t="s">
        <v>1314</v>
      </c>
      <c r="I182" s="377" t="s">
        <v>1315</v>
      </c>
      <c r="J182" s="378">
        <f t="array" ref="J182">IFERROR(LOOKUP(1,0/($B$180:$B$195=$H182)*($C$180:$C$195=$I182),$D$180:$D$195),"")</f>
        <v>1</v>
      </c>
      <c r="K182" s="378">
        <f t="array" ref="K182">IFERROR(LOOKUP(1,0/($B$180:$B$195=$H182)*($C$180:$C$195=$I182),$E$180:$E$195),"")</f>
        <v>20</v>
      </c>
      <c r="O182" s="326"/>
    </row>
    <row r="183" spans="2:15" ht="18.95" customHeight="1">
      <c r="B183" s="254" t="s">
        <v>1316</v>
      </c>
      <c r="C183" s="1" t="s">
        <v>1317</v>
      </c>
      <c r="D183" s="1">
        <v>1</v>
      </c>
      <c r="E183" s="1">
        <v>35</v>
      </c>
      <c r="H183" s="1" t="s">
        <v>1318</v>
      </c>
      <c r="I183" s="377" t="s">
        <v>1319</v>
      </c>
      <c r="J183" s="378" t="str">
        <f t="array" ref="J183">IFERROR(LOOKUP(1,0/($B$180:$B$195=$H183)*($C$180:$C$195=$I183),$D$180:$D$195),"")</f>
        <v/>
      </c>
      <c r="K183" s="378" t="str">
        <f t="array" ref="K183">IFERROR(LOOKUP(1,0/($B$180:$B$195=$H183)*($C$180:$C$195=$I183),$E$180:$E$195),"")</f>
        <v/>
      </c>
      <c r="O183" s="326"/>
    </row>
    <row r="184" spans="2:15" ht="18.95" customHeight="1">
      <c r="B184" s="254" t="s">
        <v>1316</v>
      </c>
      <c r="C184" s="1" t="s">
        <v>1320</v>
      </c>
      <c r="D184" s="1">
        <v>1</v>
      </c>
      <c r="E184" s="1">
        <v>20.8</v>
      </c>
      <c r="H184" s="1" t="s">
        <v>1316</v>
      </c>
      <c r="I184" s="377" t="s">
        <v>1320</v>
      </c>
      <c r="J184" s="378">
        <f t="array" ref="J184">IFERROR(LOOKUP(1,0/($B$180:$B$195=$H184)*($C$180:$C$195=$I184),$D$180:$D$195),"")</f>
        <v>1</v>
      </c>
      <c r="K184" s="378">
        <f t="array" ref="K184">IFERROR(LOOKUP(1,0/($B$180:$B$195=$H184)*($C$180:$C$195=$I184),$E$180:$E$195),"")</f>
        <v>20.8</v>
      </c>
      <c r="O184" s="326"/>
    </row>
    <row r="185" spans="2:15" ht="18.95" customHeight="1">
      <c r="B185" s="254" t="s">
        <v>1321</v>
      </c>
      <c r="C185" s="1" t="s">
        <v>1320</v>
      </c>
      <c r="D185" s="1">
        <v>1</v>
      </c>
      <c r="E185" s="1">
        <v>20.8</v>
      </c>
      <c r="H185" s="1" t="str">
        <f>H184</f>
        <v>343339553300783</v>
      </c>
      <c r="I185" s="377" t="s">
        <v>1322</v>
      </c>
      <c r="J185" s="378">
        <f t="array" ref="J185">IFERROR(LOOKUP(1,0/($B$180:$B$195=$H185)*($C$180:$C$195=$I185),$D$180:$D$195),"")</f>
        <v>1</v>
      </c>
      <c r="K185" s="378">
        <f t="array" ref="K185">IFERROR(LOOKUP(1,0/($B$180:$B$195=$H185)*($C$180:$C$195=$I185),$E$180:$E$195),"")</f>
        <v>20.8</v>
      </c>
      <c r="O185" s="326"/>
    </row>
    <row r="186" spans="2:15" ht="18.95" customHeight="1">
      <c r="B186" s="254" t="s">
        <v>1323</v>
      </c>
      <c r="C186" s="1" t="s">
        <v>1324</v>
      </c>
      <c r="D186" s="1">
        <v>1</v>
      </c>
      <c r="E186" s="1">
        <v>127.2</v>
      </c>
      <c r="H186" s="1" t="s">
        <v>1321</v>
      </c>
      <c r="I186" s="377" t="s">
        <v>1320</v>
      </c>
      <c r="J186" s="378">
        <f t="array" ref="J186">IFERROR(LOOKUP(1,0/($B$180:$B$195=$H186)*($C$180:$C$195=$I186),$D$180:$D$195),"")</f>
        <v>1</v>
      </c>
      <c r="K186" s="378">
        <f t="array" ref="K186">IFERROR(LOOKUP(1,0/($B$180:$B$195=$H186)*($C$180:$C$195=$I186),$E$180:$E$195),"")</f>
        <v>20.8</v>
      </c>
      <c r="O186" s="326"/>
    </row>
    <row r="187" spans="2:15" ht="18.95" customHeight="1">
      <c r="B187" s="254" t="s">
        <v>1325</v>
      </c>
      <c r="C187" s="1" t="s">
        <v>1326</v>
      </c>
      <c r="D187" s="1">
        <v>1</v>
      </c>
      <c r="E187" s="1">
        <v>19</v>
      </c>
      <c r="H187" s="1" t="s">
        <v>1323</v>
      </c>
      <c r="I187" s="377" t="s">
        <v>1324</v>
      </c>
      <c r="J187" s="378">
        <f t="array" ref="J187">IFERROR(LOOKUP(1,0/($B$180:$B$195=$H187)*($C$180:$C$195=$I187),$D$180:$D$195),"")</f>
        <v>1</v>
      </c>
      <c r="K187" s="378">
        <f t="array" ref="K187">IFERROR(LOOKUP(1,0/($B$180:$B$195=$H187)*($C$180:$C$195=$I187),$E$180:$E$195),"")</f>
        <v>127.2</v>
      </c>
      <c r="O187" s="326"/>
    </row>
    <row r="188" spans="2:15" ht="18.95" customHeight="1">
      <c r="B188" s="254" t="s">
        <v>1327</v>
      </c>
      <c r="C188" s="1" t="s">
        <v>1328</v>
      </c>
      <c r="D188" s="1">
        <v>1</v>
      </c>
      <c r="E188" s="1">
        <v>39</v>
      </c>
      <c r="H188" s="1" t="s">
        <v>1325</v>
      </c>
      <c r="I188" s="377" t="s">
        <v>1326</v>
      </c>
      <c r="J188" s="378">
        <f t="array" ref="J188">IFERROR(LOOKUP(1,0/($B$180:$B$195=$H188)*($C$180:$C$195=$I188),$D$180:$D$195),"")</f>
        <v>1</v>
      </c>
      <c r="K188" s="378">
        <f t="array" ref="K188">IFERROR(LOOKUP(1,0/($B$180:$B$195=$H188)*($C$180:$C$195=$I188),$E$180:$E$195),"")</f>
        <v>19</v>
      </c>
      <c r="O188" s="326"/>
    </row>
    <row r="189" spans="2:15" ht="18.95" customHeight="1">
      <c r="B189" s="254" t="s">
        <v>1329</v>
      </c>
      <c r="C189" s="1" t="s">
        <v>1330</v>
      </c>
      <c r="D189" s="1">
        <v>1</v>
      </c>
      <c r="E189" s="1">
        <v>158.4</v>
      </c>
      <c r="H189" s="1" t="s">
        <v>1327</v>
      </c>
      <c r="I189" s="377" t="s">
        <v>1331</v>
      </c>
      <c r="J189" s="378">
        <f t="array" ref="J189">IFERROR(LOOKUP(1,0/($B$180:$B$195=$H189)*($C$180:$C$195=$I189),$D$180:$D$195),"")</f>
        <v>1</v>
      </c>
      <c r="K189" s="378">
        <f t="array" ref="K189">IFERROR(LOOKUP(1,0/($B$180:$B$195=$H189)*($C$180:$C$195=$I189),$E$180:$E$195),"")</f>
        <v>39</v>
      </c>
      <c r="O189" s="326"/>
    </row>
    <row r="190" spans="2:15" ht="18.95" customHeight="1">
      <c r="B190" s="254" t="s">
        <v>1332</v>
      </c>
      <c r="C190" s="1" t="s">
        <v>1333</v>
      </c>
      <c r="D190" s="1">
        <v>1</v>
      </c>
      <c r="E190" s="1">
        <v>54.4</v>
      </c>
      <c r="H190" s="1" t="s">
        <v>1334</v>
      </c>
      <c r="I190" s="377" t="s">
        <v>1335</v>
      </c>
      <c r="J190" s="378" t="str">
        <f t="array" ref="J190">IFERROR(LOOKUP(1,0/($B$180:$B$195=$H190)*($C$180:$C$195=$I190),$D$180:$D$195),"")</f>
        <v/>
      </c>
      <c r="K190" s="378" t="str">
        <f t="array" ref="K190">IFERROR(LOOKUP(1,0/($B$180:$B$195=$H190)*($C$180:$C$195=$I190),$E$180:$E$195),"")</f>
        <v/>
      </c>
      <c r="O190" s="326"/>
    </row>
    <row r="191" spans="2:15" ht="18.95" customHeight="1">
      <c r="B191" s="254" t="s">
        <v>1336</v>
      </c>
      <c r="C191" s="1" t="s">
        <v>1337</v>
      </c>
      <c r="D191" s="1">
        <v>1</v>
      </c>
      <c r="E191" s="1">
        <v>71.2</v>
      </c>
      <c r="H191" s="1" t="s">
        <v>1329</v>
      </c>
      <c r="I191" s="377" t="s">
        <v>1330</v>
      </c>
      <c r="J191" s="378">
        <f t="array" ref="J191">IFERROR(LOOKUP(1,0/($B$180:$B$195=$H191)*($C$180:$C$195=$I191),$D$180:$D$195),"")</f>
        <v>1</v>
      </c>
      <c r="K191" s="378">
        <f t="array" ref="K191">IFERROR(LOOKUP(1,0/($B$180:$B$195=$H191)*($C$180:$C$195=$I191),$E$180:$E$195),"")</f>
        <v>158.4</v>
      </c>
      <c r="O191" s="326"/>
    </row>
    <row r="192" spans="2:15" ht="18.95" customHeight="1">
      <c r="B192" s="254" t="s">
        <v>1338</v>
      </c>
      <c r="C192" s="1" t="s">
        <v>1339</v>
      </c>
      <c r="D192" s="1">
        <v>1</v>
      </c>
      <c r="E192" s="1">
        <v>55.2</v>
      </c>
      <c r="H192" s="1" t="s">
        <v>1332</v>
      </c>
      <c r="I192" s="377" t="s">
        <v>1333</v>
      </c>
      <c r="J192" s="378">
        <f t="array" ref="J192">IFERROR(LOOKUP(1,0/($B$180:$B$195=$H192)*($C$180:$C$195=$I192),$D$180:$D$195),"")</f>
        <v>1</v>
      </c>
      <c r="K192" s="378">
        <f t="array" ref="K192">IFERROR(LOOKUP(1,0/($B$180:$B$195=$H192)*($C$180:$C$195=$I192),$E$180:$E$195),"")</f>
        <v>54.4</v>
      </c>
      <c r="O192" s="326"/>
    </row>
    <row r="193" spans="2:17" ht="18.95" customHeight="1">
      <c r="B193" s="254" t="s">
        <v>1338</v>
      </c>
      <c r="C193" s="1" t="s">
        <v>1340</v>
      </c>
      <c r="D193" s="1">
        <v>1</v>
      </c>
      <c r="E193" s="1">
        <v>28.7</v>
      </c>
      <c r="H193" s="1" t="s">
        <v>1336</v>
      </c>
      <c r="I193" s="377" t="s">
        <v>1337</v>
      </c>
      <c r="J193" s="378">
        <f t="array" ref="J193">IFERROR(LOOKUP(1,0/($B$180:$B$195=$H193)*($C$180:$C$195=$I193),$D$180:$D$195),"")</f>
        <v>1</v>
      </c>
      <c r="K193" s="378">
        <f t="array" ref="K193">IFERROR(LOOKUP(1,0/($B$180:$B$195=$H193)*($C$180:$C$195=$I193),$E$180:$E$195),"")</f>
        <v>71.2</v>
      </c>
      <c r="O193" s="326"/>
    </row>
    <row r="194" spans="2:17" ht="18.95" customHeight="1">
      <c r="B194" s="254" t="s">
        <v>1338</v>
      </c>
      <c r="C194" s="1" t="s">
        <v>1341</v>
      </c>
      <c r="D194" s="1">
        <v>1</v>
      </c>
      <c r="E194" s="1">
        <v>47.2</v>
      </c>
      <c r="H194" s="1" t="s">
        <v>1342</v>
      </c>
      <c r="I194" s="377" t="s">
        <v>1343</v>
      </c>
      <c r="J194" s="378" t="str">
        <f t="array" ref="J194">IFERROR(LOOKUP(1,0/($B$180:$B$195=$H194)*($C$180:$C$195=$I194),$D$180:$D$195),"")</f>
        <v/>
      </c>
      <c r="K194" s="378" t="str">
        <f t="array" ref="K194">IFERROR(LOOKUP(1,0/($B$180:$B$195=$H194)*($C$180:$C$195=$I194),$E$180:$E$195),"")</f>
        <v/>
      </c>
      <c r="O194" s="326"/>
    </row>
    <row r="195" spans="2:17" ht="18.95" customHeight="1">
      <c r="B195" s="254" t="s">
        <v>1344</v>
      </c>
      <c r="C195" s="1" t="s">
        <v>1345</v>
      </c>
      <c r="D195" s="1">
        <v>2</v>
      </c>
      <c r="E195" s="1">
        <v>78.400000000000006</v>
      </c>
      <c r="H195" s="1" t="str">
        <f>H194</f>
        <v>521498702182464</v>
      </c>
      <c r="I195" s="377" t="s">
        <v>1346</v>
      </c>
      <c r="J195" s="378" t="str">
        <f t="array" ref="J195">IFERROR(LOOKUP(1,0/($B$180:$B$195=$H195)*($C$180:$C$195=$I195),$D$180:$D$195),"")</f>
        <v/>
      </c>
      <c r="K195" s="378" t="str">
        <f t="array" ref="K195">IFERROR(LOOKUP(1,0/($B$180:$B$195=$H195)*($C$180:$C$195=$I195),$E$180:$E$195),"")</f>
        <v/>
      </c>
      <c r="O195" s="326"/>
    </row>
    <row r="196" spans="2:17" ht="18.95" customHeight="1">
      <c r="B196" s="254"/>
      <c r="O196" s="326"/>
    </row>
    <row r="197" spans="2:17" ht="18.95" customHeight="1">
      <c r="B197" s="304"/>
      <c r="C197" s="305"/>
      <c r="D197" s="305"/>
      <c r="E197" s="305"/>
      <c r="F197" s="305"/>
      <c r="G197" s="305"/>
      <c r="H197" s="305"/>
      <c r="I197" s="305"/>
      <c r="J197" s="305"/>
      <c r="K197" s="305"/>
      <c r="L197" s="305"/>
      <c r="M197" s="305"/>
      <c r="N197" s="305"/>
      <c r="O197" s="327"/>
    </row>
    <row r="199" spans="2:17" ht="18.95" customHeight="1">
      <c r="B199" s="333"/>
      <c r="C199" s="324"/>
      <c r="D199" s="324"/>
      <c r="E199" s="324"/>
      <c r="F199" s="324"/>
      <c r="G199" s="324"/>
      <c r="H199" s="324"/>
      <c r="I199" s="324"/>
      <c r="J199" s="324"/>
      <c r="K199" s="324"/>
      <c r="L199" s="324"/>
      <c r="M199" s="324"/>
      <c r="N199" s="324"/>
      <c r="O199" s="324"/>
      <c r="P199" s="324"/>
      <c r="Q199" s="325"/>
    </row>
    <row r="200" spans="2:17" ht="18.95" customHeight="1">
      <c r="B200" s="1179" t="s">
        <v>1347</v>
      </c>
      <c r="C200" s="1180"/>
      <c r="D200" s="1180"/>
      <c r="E200" s="1180"/>
      <c r="F200" s="1180"/>
      <c r="G200" s="1180"/>
      <c r="H200" s="1180"/>
      <c r="I200" s="1180"/>
      <c r="J200" s="1180"/>
      <c r="K200" s="1180"/>
      <c r="L200" s="1180"/>
      <c r="M200" s="1180"/>
      <c r="N200" s="116"/>
      <c r="O200" s="116"/>
      <c r="P200" s="116"/>
      <c r="Q200" s="326"/>
    </row>
    <row r="201" spans="2:17" ht="18.95" customHeight="1">
      <c r="B201" s="379" t="s">
        <v>1348</v>
      </c>
      <c r="C201" s="380" t="s">
        <v>131</v>
      </c>
      <c r="D201" s="381">
        <v>1</v>
      </c>
      <c r="E201" s="381">
        <v>2</v>
      </c>
      <c r="F201" s="381">
        <v>3</v>
      </c>
      <c r="G201" s="381">
        <v>4</v>
      </c>
      <c r="H201" s="381">
        <v>5</v>
      </c>
      <c r="I201" s="381">
        <v>6</v>
      </c>
      <c r="J201" s="381">
        <v>7</v>
      </c>
      <c r="K201" s="381">
        <v>8</v>
      </c>
      <c r="L201" s="381">
        <v>9</v>
      </c>
      <c r="M201" s="381">
        <v>10</v>
      </c>
      <c r="N201" s="116"/>
      <c r="O201" s="181" t="s">
        <v>43</v>
      </c>
      <c r="P201" s="182" t="s">
        <v>1349</v>
      </c>
      <c r="Q201" s="326"/>
    </row>
    <row r="202" spans="2:17" ht="18.95" customHeight="1">
      <c r="B202" s="382">
        <v>97</v>
      </c>
      <c r="C202" s="383" t="s">
        <v>1350</v>
      </c>
      <c r="D202" s="384">
        <v>1</v>
      </c>
      <c r="E202" s="384"/>
      <c r="F202" s="384"/>
      <c r="G202" s="384"/>
      <c r="H202" s="384"/>
      <c r="I202" s="384"/>
      <c r="J202" s="384"/>
      <c r="K202" s="384">
        <v>1</v>
      </c>
      <c r="L202" s="384"/>
      <c r="M202" s="384"/>
      <c r="N202" s="116"/>
      <c r="O202" s="181">
        <v>1</v>
      </c>
      <c r="P202" s="393" t="str">
        <f t="array" aca="1" ref="P202" ca="1">_xlfn.TEXTJOIN(",",1,IF(OFFSET($C$201,1,O202,10)=1,$C$202:$C$211,""))</f>
        <v>若雨,梦洁,雪丽</v>
      </c>
      <c r="Q202" s="326"/>
    </row>
    <row r="203" spans="2:17" ht="18.95" customHeight="1">
      <c r="B203" s="382">
        <v>71</v>
      </c>
      <c r="C203" s="385" t="s">
        <v>1351</v>
      </c>
      <c r="D203" s="384"/>
      <c r="E203" s="384">
        <v>1</v>
      </c>
      <c r="F203" s="384">
        <v>1</v>
      </c>
      <c r="G203" s="384">
        <v>1</v>
      </c>
      <c r="H203" s="384"/>
      <c r="I203" s="384">
        <v>1</v>
      </c>
      <c r="J203" s="384"/>
      <c r="K203" s="384"/>
      <c r="L203" s="384"/>
      <c r="M203" s="384">
        <v>1</v>
      </c>
      <c r="N203" s="116"/>
      <c r="O203" s="181">
        <v>2</v>
      </c>
      <c r="P203" s="393" t="str">
        <f t="array" aca="1" ref="P203" ca="1">_xlfn.TEXTJOIN(",",1,IF(OFFSET($C$201,1,O203,10)=1,$C$202:$C$211,""))</f>
        <v>静香,凌薇,雅芙</v>
      </c>
      <c r="Q203" s="326"/>
    </row>
    <row r="204" spans="2:17" ht="18.95" customHeight="1">
      <c r="B204" s="382">
        <v>82</v>
      </c>
      <c r="C204" s="385" t="s">
        <v>1352</v>
      </c>
      <c r="D204" s="384">
        <v>1</v>
      </c>
      <c r="E204" s="384"/>
      <c r="F204" s="384">
        <v>1</v>
      </c>
      <c r="G204" s="384"/>
      <c r="H204" s="384">
        <v>1</v>
      </c>
      <c r="I204" s="384"/>
      <c r="J204" s="384"/>
      <c r="K204" s="384"/>
      <c r="L204" s="384">
        <v>1</v>
      </c>
      <c r="M204" s="384"/>
      <c r="N204" s="116"/>
      <c r="O204" s="181">
        <v>3</v>
      </c>
      <c r="P204" s="393" t="str">
        <f t="array" aca="1" ref="P204" ca="1">_xlfn.TEXTJOIN(",",1,IF(OFFSET($C$201,1,O204,10)=1,$C$202:$C$211,""))</f>
        <v>静香,梦洁,雅静,依娜,雅芙</v>
      </c>
      <c r="Q204" s="326"/>
    </row>
    <row r="205" spans="2:17" ht="18.95" customHeight="1">
      <c r="B205" s="382">
        <v>91</v>
      </c>
      <c r="C205" s="385" t="s">
        <v>1353</v>
      </c>
      <c r="D205" s="384"/>
      <c r="E205" s="384">
        <v>1</v>
      </c>
      <c r="F205" s="384"/>
      <c r="G205" s="384"/>
      <c r="H205" s="384"/>
      <c r="I205" s="384"/>
      <c r="J205" s="384"/>
      <c r="K205" s="384"/>
      <c r="L205" s="384"/>
      <c r="M205" s="384">
        <v>1</v>
      </c>
      <c r="N205" s="116"/>
      <c r="O205" s="181">
        <v>4</v>
      </c>
      <c r="P205" s="393" t="str">
        <f t="array" aca="1" ref="P205" ca="1">_xlfn.TEXTJOIN(",",1,IF(OFFSET($C$201,1,O205,10)=1,$C$202:$C$211,""))</f>
        <v>静香,雪丽</v>
      </c>
      <c r="Q205" s="326"/>
    </row>
    <row r="206" spans="2:17" ht="18.95" customHeight="1">
      <c r="B206" s="382">
        <v>18</v>
      </c>
      <c r="C206" s="385" t="s">
        <v>1354</v>
      </c>
      <c r="D206" s="384"/>
      <c r="E206" s="384"/>
      <c r="F206" s="384"/>
      <c r="G206" s="384"/>
      <c r="H206" s="384"/>
      <c r="I206" s="384"/>
      <c r="J206" s="384">
        <v>1</v>
      </c>
      <c r="K206" s="384">
        <v>1</v>
      </c>
      <c r="L206" s="384">
        <v>1</v>
      </c>
      <c r="M206" s="384"/>
      <c r="N206" s="116"/>
      <c r="O206" s="181">
        <v>5</v>
      </c>
      <c r="P206" s="393" t="str">
        <f t="array" aca="1" ref="P206" ca="1">_xlfn.TEXTJOIN(",",1,IF(OFFSET($C$201,1,O206,10)=1,$C$202:$C$211,""))</f>
        <v>梦洁,依娜</v>
      </c>
      <c r="Q206" s="326"/>
    </row>
    <row r="207" spans="2:17" ht="18.95" customHeight="1">
      <c r="B207" s="382">
        <v>35</v>
      </c>
      <c r="C207" s="385" t="s">
        <v>1355</v>
      </c>
      <c r="D207" s="384"/>
      <c r="E207" s="384"/>
      <c r="F207" s="384">
        <v>1</v>
      </c>
      <c r="G207" s="384"/>
      <c r="H207" s="384"/>
      <c r="I207" s="384">
        <v>1</v>
      </c>
      <c r="J207" s="384"/>
      <c r="K207" s="384"/>
      <c r="L207" s="384"/>
      <c r="M207" s="384"/>
      <c r="N207" s="116"/>
      <c r="O207" s="181">
        <v>6</v>
      </c>
      <c r="P207" s="393" t="str">
        <f t="array" aca="1" ref="P207" ca="1">_xlfn.TEXTJOIN(",",1,IF(OFFSET($C$201,1,O207,10)=1,$C$202:$C$211,""))</f>
        <v>静香,雅静,雅芙,雨婷</v>
      </c>
      <c r="Q207" s="326"/>
    </row>
    <row r="208" spans="2:17" ht="18.95" customHeight="1">
      <c r="B208" s="382">
        <v>36</v>
      </c>
      <c r="C208" s="385" t="s">
        <v>1356</v>
      </c>
      <c r="D208" s="384">
        <v>1</v>
      </c>
      <c r="E208" s="384"/>
      <c r="F208" s="384"/>
      <c r="G208" s="384">
        <v>1</v>
      </c>
      <c r="H208" s="384"/>
      <c r="I208" s="384"/>
      <c r="J208" s="384"/>
      <c r="K208" s="384"/>
      <c r="L208" s="384"/>
      <c r="M208" s="384"/>
      <c r="N208" s="116"/>
      <c r="O208" s="181">
        <v>7</v>
      </c>
      <c r="P208" s="393" t="str">
        <f t="array" aca="1" ref="P208" ca="1">_xlfn.TEXTJOIN(",",1,IF(OFFSET($C$201,1,O208,10)=1,$C$202:$C$211,""))</f>
        <v>美莲</v>
      </c>
      <c r="Q208" s="326"/>
    </row>
    <row r="209" spans="2:19" ht="18.95" customHeight="1">
      <c r="B209" s="382">
        <v>41</v>
      </c>
      <c r="C209" s="385" t="s">
        <v>1357</v>
      </c>
      <c r="D209" s="384"/>
      <c r="E209" s="384"/>
      <c r="F209" s="384">
        <v>1</v>
      </c>
      <c r="G209" s="384"/>
      <c r="H209" s="384">
        <v>1</v>
      </c>
      <c r="I209" s="384"/>
      <c r="J209" s="384"/>
      <c r="K209" s="384"/>
      <c r="L209" s="384">
        <v>1</v>
      </c>
      <c r="M209" s="384"/>
      <c r="N209" s="116"/>
      <c r="O209" s="181">
        <v>8</v>
      </c>
      <c r="P209" s="393" t="str">
        <f t="array" aca="1" ref="P209" ca="1">_xlfn.TEXTJOIN(",",1,IF(OFFSET($C$201,1,O209,10)=1,$C$202:$C$211,""))</f>
        <v>若雨,美莲,雨婷</v>
      </c>
      <c r="Q209" s="326"/>
    </row>
    <row r="210" spans="2:19" ht="18.95" customHeight="1">
      <c r="B210" s="382">
        <v>43</v>
      </c>
      <c r="C210" s="385" t="s">
        <v>1358</v>
      </c>
      <c r="D210" s="384"/>
      <c r="E210" s="384">
        <v>1</v>
      </c>
      <c r="F210" s="384">
        <v>1</v>
      </c>
      <c r="G210" s="384"/>
      <c r="H210" s="384"/>
      <c r="I210" s="384">
        <v>1</v>
      </c>
      <c r="J210" s="384"/>
      <c r="K210" s="384"/>
      <c r="L210" s="384"/>
      <c r="M210" s="384"/>
      <c r="N210" s="116"/>
      <c r="O210" s="181">
        <v>9</v>
      </c>
      <c r="P210" s="393" t="str">
        <f t="array" aca="1" ref="P210" ca="1">_xlfn.TEXTJOIN(",",1,IF(OFFSET($C$201,1,O210,10)=1,$C$202:$C$211,""))</f>
        <v>梦洁,美莲,依娜</v>
      </c>
      <c r="Q210" s="326"/>
    </row>
    <row r="211" spans="2:19" ht="18.95" customHeight="1">
      <c r="B211" s="382">
        <v>46</v>
      </c>
      <c r="C211" s="385" t="s">
        <v>1359</v>
      </c>
      <c r="D211" s="384"/>
      <c r="E211" s="384"/>
      <c r="F211" s="384"/>
      <c r="G211" s="384"/>
      <c r="H211" s="384"/>
      <c r="I211" s="384">
        <v>1</v>
      </c>
      <c r="J211" s="384"/>
      <c r="K211" s="384">
        <v>1</v>
      </c>
      <c r="L211" s="384"/>
      <c r="M211" s="384"/>
      <c r="N211" s="116"/>
      <c r="O211" s="181">
        <v>10</v>
      </c>
      <c r="P211" s="393" t="str">
        <f t="array" aca="1" ref="P211" ca="1">_xlfn.TEXTJOIN(",",1,IF(OFFSET($C$201,1,O211,10)=1,$C$202:$C$211,""))</f>
        <v>静香,凌薇</v>
      </c>
      <c r="Q211" s="326"/>
    </row>
    <row r="212" spans="2:19" ht="18.95" customHeight="1">
      <c r="B212" s="254"/>
      <c r="C212" s="116"/>
      <c r="D212" s="116"/>
      <c r="E212" s="116"/>
      <c r="F212" s="116"/>
      <c r="G212" s="116"/>
      <c r="H212" s="116"/>
      <c r="I212" s="116"/>
      <c r="J212" s="116"/>
      <c r="K212" s="116"/>
      <c r="L212" s="116"/>
      <c r="M212" s="116"/>
      <c r="N212" s="116"/>
      <c r="O212" s="116"/>
      <c r="P212" s="116"/>
      <c r="Q212" s="326"/>
      <c r="S212" s="402"/>
    </row>
    <row r="213" spans="2:19" ht="18.95" customHeight="1">
      <c r="B213" s="304"/>
      <c r="C213" s="305"/>
      <c r="D213" s="305" t="s">
        <v>1360</v>
      </c>
      <c r="E213" s="305"/>
      <c r="F213" s="305"/>
      <c r="G213" s="305"/>
      <c r="H213" s="305"/>
      <c r="I213" s="305"/>
      <c r="J213" s="305"/>
      <c r="K213" s="305"/>
      <c r="L213" s="305"/>
      <c r="M213" s="305"/>
      <c r="N213" s="305"/>
      <c r="O213" s="305"/>
      <c r="P213" s="305"/>
      <c r="Q213" s="327"/>
    </row>
    <row r="215" spans="2:19" ht="18.95" customHeight="1">
      <c r="B215" s="333"/>
      <c r="C215" s="324"/>
      <c r="D215" s="324"/>
      <c r="E215" s="324"/>
      <c r="F215" s="324"/>
      <c r="G215" s="324"/>
      <c r="H215" s="324"/>
      <c r="I215" s="324"/>
      <c r="J215" s="324"/>
      <c r="K215" s="324"/>
      <c r="L215" s="324"/>
      <c r="M215" s="324"/>
      <c r="N215" s="325"/>
    </row>
    <row r="216" spans="2:19" ht="18.95" customHeight="1">
      <c r="B216" s="1181" t="s">
        <v>1361</v>
      </c>
      <c r="C216" s="1182"/>
      <c r="D216" s="1182"/>
      <c r="E216" s="1182"/>
      <c r="F216" s="1182"/>
      <c r="G216" s="153"/>
      <c r="H216" s="153"/>
      <c r="I216" s="1183" t="s">
        <v>1362</v>
      </c>
      <c r="J216" s="1183"/>
      <c r="K216" s="1183"/>
      <c r="L216" s="1183"/>
      <c r="N216" s="326"/>
    </row>
    <row r="217" spans="2:19" ht="18.95" customHeight="1">
      <c r="B217" s="386" t="s">
        <v>1348</v>
      </c>
      <c r="C217" s="387" t="s">
        <v>131</v>
      </c>
      <c r="D217" s="388" t="s">
        <v>1363</v>
      </c>
      <c r="E217" s="388" t="s">
        <v>1364</v>
      </c>
      <c r="F217" s="388" t="s">
        <v>1365</v>
      </c>
      <c r="G217" s="153"/>
      <c r="H217" s="153"/>
      <c r="I217" s="394"/>
      <c r="J217" s="395" t="s">
        <v>1363</v>
      </c>
      <c r="K217" s="395" t="s">
        <v>1364</v>
      </c>
      <c r="L217" s="395" t="s">
        <v>1365</v>
      </c>
      <c r="N217" s="326"/>
    </row>
    <row r="218" spans="2:19" ht="18.95" customHeight="1">
      <c r="B218" s="389">
        <v>1</v>
      </c>
      <c r="C218" s="390" t="s">
        <v>1366</v>
      </c>
      <c r="D218" s="388" t="s">
        <v>32</v>
      </c>
      <c r="E218" s="390" t="s">
        <v>32</v>
      </c>
      <c r="F218" s="76" t="s">
        <v>34</v>
      </c>
      <c r="G218" s="153"/>
      <c r="H218" s="153"/>
      <c r="I218" s="396" t="s">
        <v>1367</v>
      </c>
      <c r="J218" s="397">
        <f t="shared" ref="J218:L218" si="7">COUNTA(D218:D272)</f>
        <v>54</v>
      </c>
      <c r="K218" s="397">
        <f t="shared" si="7"/>
        <v>55</v>
      </c>
      <c r="L218" s="397">
        <f t="shared" si="7"/>
        <v>53</v>
      </c>
      <c r="N218" s="326"/>
    </row>
    <row r="219" spans="2:19" ht="18.95" customHeight="1">
      <c r="B219" s="389">
        <v>2</v>
      </c>
      <c r="C219" s="390" t="s">
        <v>1368</v>
      </c>
      <c r="D219" s="388" t="s">
        <v>34</v>
      </c>
      <c r="E219" s="390" t="s">
        <v>32</v>
      </c>
      <c r="F219" s="76" t="s">
        <v>32</v>
      </c>
      <c r="G219" s="153"/>
      <c r="H219" s="153"/>
      <c r="I219" s="396" t="s">
        <v>1369</v>
      </c>
      <c r="J219" s="397">
        <f ca="1">COUNTIF(D:D,"A")</f>
        <v>8</v>
      </c>
      <c r="K219" s="397">
        <f ca="1">COUNTIF(E:E,"A")</f>
        <v>41</v>
      </c>
      <c r="L219" s="397">
        <f ca="1">COUNTIF(F:F,"A")</f>
        <v>16</v>
      </c>
      <c r="N219" s="326"/>
    </row>
    <row r="220" spans="2:19" ht="18.95" customHeight="1">
      <c r="B220" s="389">
        <v>3</v>
      </c>
      <c r="C220" s="390" t="s">
        <v>1370</v>
      </c>
      <c r="D220" s="388" t="s">
        <v>36</v>
      </c>
      <c r="E220" s="390" t="s">
        <v>32</v>
      </c>
      <c r="F220" s="76" t="s">
        <v>34</v>
      </c>
      <c r="G220" s="153"/>
      <c r="H220" s="153"/>
      <c r="I220" s="396" t="s">
        <v>1371</v>
      </c>
      <c r="J220" s="397">
        <f ca="1">SUM(COUNTIF(D:D,{"A","B"}))</f>
        <v>20</v>
      </c>
      <c r="K220" s="397">
        <f ca="1">SUM(COUNTIF(E:E,{"A","B"}))</f>
        <v>68</v>
      </c>
      <c r="L220" s="397">
        <f ca="1">SUM(COUNTIF(F:F,{"A","B"}))</f>
        <v>46</v>
      </c>
      <c r="N220" s="326"/>
    </row>
    <row r="221" spans="2:19" ht="18.95" customHeight="1">
      <c r="B221" s="389">
        <v>4</v>
      </c>
      <c r="C221" s="390" t="s">
        <v>1372</v>
      </c>
      <c r="D221" s="388" t="s">
        <v>1373</v>
      </c>
      <c r="E221" s="390" t="s">
        <v>32</v>
      </c>
      <c r="F221" s="76" t="s">
        <v>34</v>
      </c>
      <c r="G221" s="153"/>
      <c r="H221" s="153"/>
      <c r="I221" s="396" t="s">
        <v>1374</v>
      </c>
      <c r="J221" s="397">
        <f ca="1">SUM(COUNTIF(D:D,{"A","B","C"}))</f>
        <v>27</v>
      </c>
      <c r="K221" s="397">
        <f ca="1">SUM(COUNTIF(E:E,{"A","B","C"}))</f>
        <v>88</v>
      </c>
      <c r="L221" s="397">
        <f ca="1">SUM(COUNTIF(F:F,{"A","B","C"}))</f>
        <v>55</v>
      </c>
      <c r="N221" s="326"/>
    </row>
    <row r="222" spans="2:19" ht="18.95" customHeight="1">
      <c r="B222" s="391">
        <v>5</v>
      </c>
      <c r="C222" s="392" t="s">
        <v>1375</v>
      </c>
      <c r="D222" s="388" t="s">
        <v>1376</v>
      </c>
      <c r="E222" s="390" t="s">
        <v>32</v>
      </c>
      <c r="F222" s="76" t="s">
        <v>34</v>
      </c>
      <c r="G222" s="153"/>
      <c r="H222" s="153"/>
      <c r="I222" s="396" t="s">
        <v>1377</v>
      </c>
      <c r="J222" s="397">
        <f ca="1">SUM(COUNTIF(D:D,{"A","B","C","D"}))</f>
        <v>33</v>
      </c>
      <c r="K222" s="397">
        <f ca="1">SUM(COUNTIF(E:E,{"A","B","C","D"}))</f>
        <v>98</v>
      </c>
      <c r="L222" s="397">
        <f ca="1">SUM(COUNTIF(F:F,{"A","B","C","D"}))</f>
        <v>57</v>
      </c>
      <c r="N222" s="326"/>
    </row>
    <row r="223" spans="2:19" ht="18.95" customHeight="1">
      <c r="B223" s="391">
        <v>6</v>
      </c>
      <c r="C223" s="392" t="s">
        <v>1378</v>
      </c>
      <c r="D223" s="76" t="s">
        <v>34</v>
      </c>
      <c r="E223" s="76" t="s">
        <v>34</v>
      </c>
      <c r="F223" s="76" t="s">
        <v>34</v>
      </c>
      <c r="G223" s="153"/>
      <c r="H223" s="153"/>
      <c r="I223" s="396" t="s">
        <v>1379</v>
      </c>
      <c r="J223" s="397">
        <f t="array" ref="J223">SUM((MMULT(ISNUMBER(FIND($D$218:$F$272,"ABCD"))*($D218:$F272&lt;&gt;""),{1;1;1})=3)*1)</f>
        <v>28</v>
      </c>
      <c r="N223" s="326"/>
    </row>
    <row r="224" spans="2:19" ht="18.95" customHeight="1">
      <c r="B224" s="391">
        <v>7</v>
      </c>
      <c r="C224" s="392" t="s">
        <v>1380</v>
      </c>
      <c r="D224" s="76" t="s">
        <v>32</v>
      </c>
      <c r="E224" s="76" t="s">
        <v>32</v>
      </c>
      <c r="F224" s="76" t="s">
        <v>32</v>
      </c>
      <c r="G224" s="153"/>
      <c r="H224" s="153"/>
      <c r="I224" s="398" t="s">
        <v>1381</v>
      </c>
      <c r="J224" s="399">
        <f ca="1">SUM(COUNTIF(D:D,{"E","F","G","H"}))</f>
        <v>24</v>
      </c>
      <c r="K224" s="399">
        <f ca="1">SUM(COUNTIF(E:E,{"E","F","G","H"}))</f>
        <v>1</v>
      </c>
      <c r="L224" s="399">
        <f ca="1">SUM(COUNTIF(F:F,{"E","F","G","H"}))</f>
        <v>1</v>
      </c>
      <c r="N224" s="326"/>
    </row>
    <row r="225" spans="2:14" ht="18.95" customHeight="1">
      <c r="B225" s="391">
        <v>8</v>
      </c>
      <c r="C225" s="392" t="s">
        <v>1382</v>
      </c>
      <c r="D225" s="76" t="s">
        <v>32</v>
      </c>
      <c r="E225" s="76" t="s">
        <v>32</v>
      </c>
      <c r="F225" s="76" t="s">
        <v>32</v>
      </c>
      <c r="G225" s="153"/>
      <c r="H225" s="153"/>
      <c r="I225" s="398" t="s">
        <v>1383</v>
      </c>
      <c r="J225" s="399">
        <f ca="1">COUNTIF(D:D,"G")</f>
        <v>5</v>
      </c>
      <c r="K225" s="399">
        <f ca="1">COUNTIF(E:E,"G")</f>
        <v>1</v>
      </c>
      <c r="L225" s="399">
        <f ca="1">COUNTIF(F:F,"G")</f>
        <v>1</v>
      </c>
      <c r="N225" s="326"/>
    </row>
    <row r="226" spans="2:14" ht="18.95" customHeight="1">
      <c r="B226" s="391">
        <v>9</v>
      </c>
      <c r="C226" s="392" t="s">
        <v>1384</v>
      </c>
      <c r="D226" s="76" t="s">
        <v>34</v>
      </c>
      <c r="E226" s="76" t="s">
        <v>34</v>
      </c>
      <c r="F226" s="76" t="s">
        <v>34</v>
      </c>
      <c r="G226" s="153"/>
      <c r="H226" s="153"/>
      <c r="I226" s="398" t="s">
        <v>1385</v>
      </c>
      <c r="J226" s="400">
        <f t="array" ref="J226">SUM((MMULT(ISNUMBER(FIND($D$218:$F$272,"G"))*($D$218:$F$272&lt;&gt;""),{1;1;1})=3)*1)</f>
        <v>1</v>
      </c>
      <c r="K226" s="153"/>
      <c r="L226" s="153"/>
      <c r="N226" s="326"/>
    </row>
    <row r="227" spans="2:14" ht="18.95" customHeight="1">
      <c r="B227" s="391">
        <v>10</v>
      </c>
      <c r="C227" s="392" t="s">
        <v>1386</v>
      </c>
      <c r="D227" s="388" t="s">
        <v>34</v>
      </c>
      <c r="E227" s="76" t="s">
        <v>34</v>
      </c>
      <c r="F227" s="76"/>
      <c r="G227" s="153"/>
      <c r="H227" s="153"/>
      <c r="I227" s="401"/>
      <c r="J227" s="153"/>
      <c r="K227" s="153"/>
      <c r="L227" s="153"/>
      <c r="N227" s="326"/>
    </row>
    <row r="228" spans="2:14" ht="18.95" customHeight="1">
      <c r="B228" s="391">
        <v>11</v>
      </c>
      <c r="C228" s="392" t="s">
        <v>1387</v>
      </c>
      <c r="D228" s="388" t="s">
        <v>36</v>
      </c>
      <c r="E228" s="76" t="s">
        <v>34</v>
      </c>
      <c r="F228" s="76" t="s">
        <v>32</v>
      </c>
      <c r="G228" s="153"/>
      <c r="H228" s="153"/>
      <c r="I228" s="401"/>
      <c r="J228" s="153"/>
      <c r="K228" s="153"/>
      <c r="L228" s="153"/>
      <c r="N228" s="326"/>
    </row>
    <row r="229" spans="2:14" ht="18.95" customHeight="1">
      <c r="B229" s="391">
        <v>12</v>
      </c>
      <c r="C229" s="392" t="s">
        <v>1388</v>
      </c>
      <c r="D229" s="388" t="s">
        <v>1373</v>
      </c>
      <c r="E229" s="76" t="s">
        <v>32</v>
      </c>
      <c r="F229" s="76" t="s">
        <v>32</v>
      </c>
      <c r="G229" s="153"/>
      <c r="H229" s="153"/>
      <c r="I229" s="401"/>
      <c r="J229" s="153"/>
      <c r="K229" s="153"/>
      <c r="L229" s="153"/>
      <c r="N229" s="326"/>
    </row>
    <row r="230" spans="2:14" ht="18.95" customHeight="1">
      <c r="B230" s="391">
        <v>13</v>
      </c>
      <c r="C230" s="392" t="s">
        <v>1389</v>
      </c>
      <c r="D230" s="388" t="s">
        <v>1376</v>
      </c>
      <c r="E230" s="76" t="s">
        <v>32</v>
      </c>
      <c r="F230" s="76" t="s">
        <v>36</v>
      </c>
      <c r="G230" s="153"/>
      <c r="H230" s="153"/>
      <c r="I230" s="401"/>
      <c r="J230" s="153"/>
      <c r="K230" s="153"/>
      <c r="L230" s="153"/>
      <c r="N230" s="326"/>
    </row>
    <row r="231" spans="2:14" ht="18.95" customHeight="1">
      <c r="B231" s="391">
        <v>14</v>
      </c>
      <c r="C231" s="392" t="s">
        <v>1390</v>
      </c>
      <c r="D231" s="388" t="s">
        <v>1391</v>
      </c>
      <c r="E231" s="76" t="s">
        <v>32</v>
      </c>
      <c r="F231" s="76" t="s">
        <v>32</v>
      </c>
      <c r="G231" s="153"/>
      <c r="H231" s="153"/>
      <c r="I231" s="153"/>
      <c r="J231" s="153"/>
      <c r="K231" s="153"/>
      <c r="L231" s="153"/>
      <c r="N231" s="326"/>
    </row>
    <row r="232" spans="2:14" ht="18.95" customHeight="1">
      <c r="B232" s="391">
        <v>15</v>
      </c>
      <c r="C232" s="392" t="s">
        <v>1392</v>
      </c>
      <c r="D232" s="388" t="s">
        <v>1393</v>
      </c>
      <c r="E232" s="76" t="s">
        <v>34</v>
      </c>
      <c r="F232" s="76" t="s">
        <v>32</v>
      </c>
      <c r="G232" s="153"/>
      <c r="H232" s="153"/>
      <c r="I232" s="153"/>
      <c r="J232" s="153"/>
      <c r="K232" s="153"/>
      <c r="L232" s="153"/>
      <c r="N232" s="326"/>
    </row>
    <row r="233" spans="2:14" ht="18.95" customHeight="1">
      <c r="B233" s="391">
        <v>16</v>
      </c>
      <c r="C233" s="392" t="s">
        <v>1394</v>
      </c>
      <c r="D233" s="388" t="s">
        <v>1395</v>
      </c>
      <c r="E233" s="76" t="s">
        <v>32</v>
      </c>
      <c r="F233" s="76" t="s">
        <v>34</v>
      </c>
      <c r="G233" s="153"/>
      <c r="H233" s="153"/>
      <c r="I233" s="153"/>
      <c r="J233" s="153"/>
      <c r="K233" s="153"/>
      <c r="L233" s="153"/>
      <c r="N233" s="326"/>
    </row>
    <row r="234" spans="2:14" ht="18.95" customHeight="1">
      <c r="B234" s="391">
        <v>17</v>
      </c>
      <c r="C234" s="392" t="s">
        <v>1396</v>
      </c>
      <c r="D234" s="388" t="s">
        <v>32</v>
      </c>
      <c r="E234" s="76" t="s">
        <v>34</v>
      </c>
      <c r="F234" s="76" t="s">
        <v>34</v>
      </c>
      <c r="G234" s="153"/>
      <c r="H234" s="153"/>
      <c r="I234" s="153"/>
      <c r="J234" s="153"/>
      <c r="K234" s="153"/>
      <c r="L234" s="153"/>
      <c r="N234" s="326"/>
    </row>
    <row r="235" spans="2:14" ht="18.95" customHeight="1">
      <c r="B235" s="391">
        <v>18</v>
      </c>
      <c r="C235" s="392" t="s">
        <v>1397</v>
      </c>
      <c r="D235" s="388" t="s">
        <v>34</v>
      </c>
      <c r="E235" s="76" t="s">
        <v>32</v>
      </c>
      <c r="F235" s="76" t="s">
        <v>34</v>
      </c>
      <c r="G235" s="153"/>
      <c r="H235" s="153"/>
      <c r="I235" s="153"/>
      <c r="J235" s="153"/>
      <c r="K235" s="153"/>
      <c r="L235" s="153"/>
      <c r="N235" s="326"/>
    </row>
    <row r="236" spans="2:14" ht="18.95" customHeight="1">
      <c r="B236" s="391">
        <v>19</v>
      </c>
      <c r="C236" s="392" t="s">
        <v>1398</v>
      </c>
      <c r="D236" s="388" t="s">
        <v>36</v>
      </c>
      <c r="E236" s="76" t="s">
        <v>34</v>
      </c>
      <c r="F236" s="76" t="s">
        <v>34</v>
      </c>
      <c r="G236" s="153"/>
      <c r="H236" s="153"/>
      <c r="I236" s="153"/>
      <c r="J236" s="153"/>
      <c r="K236" s="153"/>
      <c r="L236" s="153"/>
      <c r="N236" s="326"/>
    </row>
    <row r="237" spans="2:14" ht="18.95" customHeight="1">
      <c r="B237" s="391">
        <v>20</v>
      </c>
      <c r="C237" s="392" t="s">
        <v>1399</v>
      </c>
      <c r="D237" s="388" t="s">
        <v>1373</v>
      </c>
      <c r="E237" s="76" t="s">
        <v>32</v>
      </c>
      <c r="F237" s="76"/>
      <c r="G237" s="153"/>
      <c r="H237" s="153"/>
      <c r="I237" s="153"/>
      <c r="J237" s="153"/>
      <c r="K237" s="153"/>
      <c r="L237" s="153"/>
      <c r="N237" s="326"/>
    </row>
    <row r="238" spans="2:14" ht="18.95" customHeight="1">
      <c r="B238" s="391">
        <v>21</v>
      </c>
      <c r="C238" s="392" t="s">
        <v>1400</v>
      </c>
      <c r="D238" s="388" t="s">
        <v>1376</v>
      </c>
      <c r="E238" s="76" t="s">
        <v>34</v>
      </c>
      <c r="F238" s="76" t="s">
        <v>32</v>
      </c>
      <c r="G238" s="153"/>
      <c r="H238" s="153"/>
      <c r="I238" s="153"/>
      <c r="J238" s="153"/>
      <c r="K238" s="153"/>
      <c r="L238" s="153"/>
      <c r="N238" s="326"/>
    </row>
    <row r="239" spans="2:14" ht="18.95" customHeight="1">
      <c r="B239" s="391">
        <v>22</v>
      </c>
      <c r="C239" s="392" t="s">
        <v>1401</v>
      </c>
      <c r="D239" s="388" t="s">
        <v>1391</v>
      </c>
      <c r="E239" s="76" t="s">
        <v>32</v>
      </c>
      <c r="F239" s="76" t="s">
        <v>34</v>
      </c>
      <c r="G239" s="153"/>
      <c r="H239" s="153"/>
      <c r="I239" s="153"/>
      <c r="J239" s="153"/>
      <c r="K239" s="153"/>
      <c r="L239" s="153"/>
      <c r="N239" s="326"/>
    </row>
    <row r="240" spans="2:14" ht="18.95" customHeight="1">
      <c r="B240" s="391">
        <v>23</v>
      </c>
      <c r="C240" s="392" t="s">
        <v>1402</v>
      </c>
      <c r="D240" s="388" t="s">
        <v>1393</v>
      </c>
      <c r="E240" s="76" t="s">
        <v>32</v>
      </c>
      <c r="F240" s="76" t="s">
        <v>32</v>
      </c>
      <c r="G240" s="153"/>
      <c r="H240" s="153"/>
      <c r="I240" s="153"/>
      <c r="J240" s="153"/>
      <c r="K240" s="153"/>
      <c r="L240" s="153"/>
      <c r="N240" s="326"/>
    </row>
    <row r="241" spans="2:14" ht="18.95" customHeight="1">
      <c r="B241" s="391">
        <v>24</v>
      </c>
      <c r="C241" s="392" t="s">
        <v>1403</v>
      </c>
      <c r="D241" s="388" t="s">
        <v>1395</v>
      </c>
      <c r="E241" s="76" t="s">
        <v>34</v>
      </c>
      <c r="F241" s="76" t="s">
        <v>34</v>
      </c>
      <c r="G241" s="153"/>
      <c r="H241" s="153"/>
      <c r="I241" s="153"/>
      <c r="J241" s="153"/>
      <c r="K241" s="153"/>
      <c r="L241" s="153"/>
      <c r="N241" s="326"/>
    </row>
    <row r="242" spans="2:14" ht="18.95" customHeight="1">
      <c r="B242" s="391">
        <v>25</v>
      </c>
      <c r="C242" s="392" t="s">
        <v>1404</v>
      </c>
      <c r="D242" s="388" t="s">
        <v>32</v>
      </c>
      <c r="E242" s="76" t="s">
        <v>32</v>
      </c>
      <c r="F242" s="76" t="s">
        <v>34</v>
      </c>
      <c r="G242" s="153"/>
      <c r="H242" s="153"/>
      <c r="I242" s="153"/>
      <c r="J242" s="153"/>
      <c r="K242" s="153"/>
      <c r="L242" s="153"/>
      <c r="N242" s="326"/>
    </row>
    <row r="243" spans="2:14" ht="18.95" customHeight="1">
      <c r="B243" s="391">
        <v>26</v>
      </c>
      <c r="C243" s="392" t="s">
        <v>1405</v>
      </c>
      <c r="D243" s="388" t="s">
        <v>34</v>
      </c>
      <c r="E243" s="76" t="s">
        <v>32</v>
      </c>
      <c r="F243" s="76" t="s">
        <v>34</v>
      </c>
      <c r="G243" s="153"/>
      <c r="H243" s="153"/>
      <c r="I243" s="153"/>
      <c r="J243" s="153"/>
      <c r="K243" s="153"/>
      <c r="L243" s="153"/>
      <c r="N243" s="326"/>
    </row>
    <row r="244" spans="2:14" ht="18.95" customHeight="1">
      <c r="B244" s="391">
        <v>27</v>
      </c>
      <c r="C244" s="392" t="s">
        <v>1406</v>
      </c>
      <c r="D244" s="388" t="s">
        <v>36</v>
      </c>
      <c r="E244" s="76" t="s">
        <v>34</v>
      </c>
      <c r="F244" s="76" t="s">
        <v>36</v>
      </c>
      <c r="G244" s="153"/>
      <c r="H244" s="153"/>
      <c r="I244" s="153"/>
      <c r="J244" s="153"/>
      <c r="K244" s="153"/>
      <c r="L244" s="153"/>
      <c r="N244" s="326"/>
    </row>
    <row r="245" spans="2:14" ht="18.95" customHeight="1">
      <c r="B245" s="391">
        <v>28</v>
      </c>
      <c r="C245" s="392" t="s">
        <v>1407</v>
      </c>
      <c r="D245" s="388" t="s">
        <v>1373</v>
      </c>
      <c r="E245" s="76" t="s">
        <v>32</v>
      </c>
      <c r="F245" s="76" t="s">
        <v>36</v>
      </c>
      <c r="G245" s="153"/>
      <c r="H245" s="153"/>
      <c r="I245" s="153"/>
      <c r="J245" s="153"/>
      <c r="K245" s="153"/>
      <c r="L245" s="153"/>
      <c r="N245" s="326"/>
    </row>
    <row r="246" spans="2:14" ht="18.95" customHeight="1">
      <c r="B246" s="391">
        <v>29</v>
      </c>
      <c r="C246" s="392" t="s">
        <v>1408</v>
      </c>
      <c r="D246" s="388" t="s">
        <v>1376</v>
      </c>
      <c r="E246" s="76" t="s">
        <v>32</v>
      </c>
      <c r="F246" s="76" t="s">
        <v>34</v>
      </c>
      <c r="G246" s="153"/>
      <c r="H246" s="153"/>
      <c r="I246" s="153"/>
      <c r="J246" s="153"/>
      <c r="K246" s="153"/>
      <c r="L246" s="153"/>
      <c r="N246" s="326"/>
    </row>
    <row r="247" spans="2:14" ht="18.95" customHeight="1">
      <c r="B247" s="391">
        <v>30</v>
      </c>
      <c r="C247" s="392" t="s">
        <v>1409</v>
      </c>
      <c r="D247" s="388" t="s">
        <v>1391</v>
      </c>
      <c r="E247" s="76" t="s">
        <v>32</v>
      </c>
      <c r="F247" s="76" t="s">
        <v>34</v>
      </c>
      <c r="G247" s="153"/>
      <c r="H247" s="153"/>
      <c r="I247" s="153"/>
      <c r="J247" s="153"/>
      <c r="K247" s="153"/>
      <c r="L247" s="153"/>
      <c r="N247" s="326"/>
    </row>
    <row r="248" spans="2:14" ht="18.95" customHeight="1">
      <c r="B248" s="391">
        <v>31</v>
      </c>
      <c r="C248" s="392" t="s">
        <v>1410</v>
      </c>
      <c r="D248" s="388" t="s">
        <v>1393</v>
      </c>
      <c r="E248" s="76" t="s">
        <v>32</v>
      </c>
      <c r="F248" s="76" t="s">
        <v>32</v>
      </c>
      <c r="G248" s="153"/>
      <c r="H248" s="153"/>
      <c r="I248" s="153"/>
      <c r="J248" s="153"/>
      <c r="K248" s="153"/>
      <c r="L248" s="153"/>
      <c r="N248" s="326"/>
    </row>
    <row r="249" spans="2:14" ht="18.95" customHeight="1">
      <c r="B249" s="391">
        <v>32</v>
      </c>
      <c r="C249" s="392" t="s">
        <v>1411</v>
      </c>
      <c r="D249" s="388" t="s">
        <v>1395</v>
      </c>
      <c r="E249" s="76" t="s">
        <v>32</v>
      </c>
      <c r="F249" s="76" t="s">
        <v>32</v>
      </c>
      <c r="G249" s="153"/>
      <c r="H249" s="153"/>
      <c r="I249" s="153"/>
      <c r="J249" s="153"/>
      <c r="K249" s="153"/>
      <c r="L249" s="153"/>
      <c r="N249" s="326"/>
    </row>
    <row r="250" spans="2:14" ht="18.95" customHeight="1">
      <c r="B250" s="391">
        <v>33</v>
      </c>
      <c r="C250" s="392" t="s">
        <v>1412</v>
      </c>
      <c r="D250" s="388" t="s">
        <v>32</v>
      </c>
      <c r="E250" s="76" t="s">
        <v>36</v>
      </c>
      <c r="F250" s="76" t="s">
        <v>34</v>
      </c>
      <c r="G250" s="153"/>
      <c r="H250" s="153"/>
      <c r="I250" s="153"/>
      <c r="J250" s="153"/>
      <c r="K250" s="153"/>
      <c r="L250" s="153"/>
      <c r="N250" s="326"/>
    </row>
    <row r="251" spans="2:14" ht="18.95" customHeight="1">
      <c r="B251" s="391">
        <v>34</v>
      </c>
      <c r="C251" s="392" t="s">
        <v>1413</v>
      </c>
      <c r="D251" s="388" t="s">
        <v>34</v>
      </c>
      <c r="E251" s="76" t="s">
        <v>34</v>
      </c>
      <c r="F251" s="76" t="s">
        <v>34</v>
      </c>
      <c r="G251" s="153"/>
      <c r="H251" s="153"/>
      <c r="I251" s="153"/>
      <c r="J251" s="153"/>
      <c r="K251" s="153"/>
      <c r="L251" s="153"/>
      <c r="N251" s="326"/>
    </row>
    <row r="252" spans="2:14" ht="18.95" customHeight="1">
      <c r="B252" s="391">
        <v>35</v>
      </c>
      <c r="C252" s="392" t="s">
        <v>1414</v>
      </c>
      <c r="D252" s="388" t="s">
        <v>36</v>
      </c>
      <c r="E252" s="76" t="s">
        <v>32</v>
      </c>
      <c r="F252" s="76" t="s">
        <v>34</v>
      </c>
      <c r="G252" s="153"/>
      <c r="H252" s="153"/>
      <c r="I252" s="153"/>
      <c r="J252" s="153"/>
      <c r="K252" s="153"/>
      <c r="L252" s="153"/>
      <c r="N252" s="326"/>
    </row>
    <row r="253" spans="2:14" ht="18.95" customHeight="1">
      <c r="B253" s="391">
        <v>36</v>
      </c>
      <c r="C253" s="392" t="s">
        <v>1415</v>
      </c>
      <c r="D253" s="388" t="s">
        <v>1373</v>
      </c>
      <c r="E253" s="76" t="s">
        <v>34</v>
      </c>
      <c r="F253" s="76" t="s">
        <v>34</v>
      </c>
      <c r="G253" s="153"/>
      <c r="H253" s="153"/>
      <c r="I253" s="153"/>
      <c r="J253" s="153"/>
      <c r="K253" s="153"/>
      <c r="L253" s="153"/>
      <c r="N253" s="326"/>
    </row>
    <row r="254" spans="2:14" ht="18.95" customHeight="1">
      <c r="B254" s="391">
        <v>37</v>
      </c>
      <c r="C254" s="392" t="s">
        <v>1416</v>
      </c>
      <c r="D254" s="388" t="s">
        <v>1376</v>
      </c>
      <c r="E254" s="76" t="s">
        <v>32</v>
      </c>
      <c r="F254" s="76" t="s">
        <v>34</v>
      </c>
      <c r="G254" s="153"/>
      <c r="H254" s="153"/>
      <c r="I254" s="153"/>
      <c r="J254" s="153"/>
      <c r="K254" s="153"/>
      <c r="L254" s="153"/>
      <c r="N254" s="326"/>
    </row>
    <row r="255" spans="2:14" ht="18.95" customHeight="1">
      <c r="B255" s="391">
        <v>38</v>
      </c>
      <c r="C255" s="392" t="s">
        <v>1417</v>
      </c>
      <c r="D255" s="388" t="s">
        <v>1391</v>
      </c>
      <c r="E255" s="76" t="s">
        <v>32</v>
      </c>
      <c r="F255" s="76" t="s">
        <v>34</v>
      </c>
      <c r="G255" s="153"/>
      <c r="H255" s="153"/>
      <c r="I255" s="153"/>
      <c r="J255" s="153"/>
      <c r="K255" s="153"/>
      <c r="L255" s="153"/>
      <c r="N255" s="326"/>
    </row>
    <row r="256" spans="2:14" ht="18.95" customHeight="1">
      <c r="B256" s="391">
        <v>39</v>
      </c>
      <c r="C256" s="392" t="s">
        <v>1418</v>
      </c>
      <c r="D256" s="388" t="s">
        <v>1393</v>
      </c>
      <c r="E256" s="76" t="s">
        <v>34</v>
      </c>
      <c r="F256" s="76" t="s">
        <v>36</v>
      </c>
      <c r="G256" s="153"/>
      <c r="H256" s="153"/>
      <c r="I256" s="153"/>
      <c r="J256" s="153"/>
      <c r="K256" s="153"/>
      <c r="L256" s="153"/>
      <c r="N256" s="326"/>
    </row>
    <row r="257" spans="2:14" ht="18.95" customHeight="1">
      <c r="B257" s="391">
        <v>40</v>
      </c>
      <c r="C257" s="392" t="s">
        <v>1419</v>
      </c>
      <c r="D257" s="388" t="s">
        <v>1395</v>
      </c>
      <c r="E257" s="76" t="s">
        <v>34</v>
      </c>
      <c r="F257" s="76" t="s">
        <v>32</v>
      </c>
      <c r="G257" s="153"/>
      <c r="H257" s="153"/>
      <c r="I257" s="153"/>
      <c r="J257" s="153"/>
      <c r="K257" s="153"/>
      <c r="L257" s="153"/>
      <c r="N257" s="326"/>
    </row>
    <row r="258" spans="2:14" ht="18.95" customHeight="1">
      <c r="B258" s="391">
        <v>41</v>
      </c>
      <c r="C258" s="392" t="s">
        <v>1420</v>
      </c>
      <c r="D258" s="388" t="s">
        <v>32</v>
      </c>
      <c r="E258" s="76" t="s">
        <v>32</v>
      </c>
      <c r="F258" s="76" t="s">
        <v>34</v>
      </c>
      <c r="G258" s="153"/>
      <c r="H258" s="153"/>
      <c r="I258" s="153"/>
      <c r="J258" s="153"/>
      <c r="K258" s="153"/>
      <c r="L258" s="153"/>
      <c r="N258" s="326"/>
    </row>
    <row r="259" spans="2:14" ht="18.95" customHeight="1">
      <c r="B259" s="391">
        <v>42</v>
      </c>
      <c r="C259" s="392" t="s">
        <v>1421</v>
      </c>
      <c r="D259" s="388" t="s">
        <v>34</v>
      </c>
      <c r="E259" s="76" t="s">
        <v>32</v>
      </c>
      <c r="F259" s="76" t="s">
        <v>36</v>
      </c>
      <c r="G259" s="153"/>
      <c r="H259" s="153"/>
      <c r="I259" s="153"/>
      <c r="J259" s="153"/>
      <c r="K259" s="153"/>
      <c r="L259" s="153"/>
      <c r="N259" s="326"/>
    </row>
    <row r="260" spans="2:14" ht="18.95" customHeight="1">
      <c r="B260" s="391">
        <v>43</v>
      </c>
      <c r="C260" s="392" t="s">
        <v>1422</v>
      </c>
      <c r="D260" s="388" t="s">
        <v>36</v>
      </c>
      <c r="E260" s="76" t="s">
        <v>34</v>
      </c>
      <c r="F260" s="76" t="s">
        <v>34</v>
      </c>
      <c r="G260" s="153"/>
      <c r="H260" s="153"/>
      <c r="I260" s="153"/>
      <c r="J260" s="153"/>
      <c r="K260" s="153"/>
      <c r="L260" s="153"/>
      <c r="N260" s="326"/>
    </row>
    <row r="261" spans="2:14" ht="18.95" customHeight="1">
      <c r="B261" s="391">
        <v>44</v>
      </c>
      <c r="C261" s="392" t="s">
        <v>1423</v>
      </c>
      <c r="D261" s="388"/>
      <c r="E261" s="76" t="s">
        <v>32</v>
      </c>
      <c r="F261" s="76" t="s">
        <v>36</v>
      </c>
      <c r="G261" s="153"/>
      <c r="H261" s="153"/>
      <c r="I261" s="153"/>
      <c r="J261" s="153"/>
      <c r="K261" s="153"/>
      <c r="L261" s="153"/>
      <c r="N261" s="326"/>
    </row>
    <row r="262" spans="2:14" ht="18.95" customHeight="1">
      <c r="B262" s="391">
        <v>45</v>
      </c>
      <c r="C262" s="392" t="s">
        <v>1424</v>
      </c>
      <c r="D262" s="388" t="s">
        <v>1376</v>
      </c>
      <c r="E262" s="76" t="s">
        <v>34</v>
      </c>
      <c r="F262" s="76" t="s">
        <v>1373</v>
      </c>
      <c r="G262" s="153"/>
      <c r="H262" s="153"/>
      <c r="I262" s="153"/>
      <c r="J262" s="153"/>
      <c r="K262" s="153"/>
      <c r="L262" s="153"/>
      <c r="N262" s="326"/>
    </row>
    <row r="263" spans="2:14" ht="18.95" customHeight="1">
      <c r="B263" s="391">
        <v>46</v>
      </c>
      <c r="C263" s="392" t="s">
        <v>1425</v>
      </c>
      <c r="D263" s="388" t="s">
        <v>1391</v>
      </c>
      <c r="E263" s="76" t="s">
        <v>32</v>
      </c>
      <c r="F263" s="76" t="s">
        <v>34</v>
      </c>
      <c r="G263" s="153"/>
      <c r="H263" s="153"/>
      <c r="I263" s="153"/>
      <c r="J263" s="153"/>
      <c r="K263" s="153"/>
      <c r="L263" s="153"/>
      <c r="N263" s="326"/>
    </row>
    <row r="264" spans="2:14" ht="18.95" customHeight="1">
      <c r="B264" s="391">
        <v>47</v>
      </c>
      <c r="C264" s="392" t="s">
        <v>1426</v>
      </c>
      <c r="D264" s="388" t="s">
        <v>1393</v>
      </c>
      <c r="E264" s="76" t="s">
        <v>32</v>
      </c>
      <c r="F264" s="76" t="s">
        <v>34</v>
      </c>
      <c r="G264" s="153"/>
      <c r="H264" s="153"/>
      <c r="I264" s="153"/>
      <c r="J264" s="153"/>
      <c r="K264" s="153"/>
      <c r="L264" s="153"/>
      <c r="N264" s="326"/>
    </row>
    <row r="265" spans="2:14" ht="18.95" customHeight="1">
      <c r="B265" s="391">
        <v>48</v>
      </c>
      <c r="C265" s="392" t="s">
        <v>1427</v>
      </c>
      <c r="D265" s="388" t="s">
        <v>1395</v>
      </c>
      <c r="E265" s="76" t="s">
        <v>1395</v>
      </c>
      <c r="F265" s="76" t="s">
        <v>1395</v>
      </c>
      <c r="G265" s="153"/>
      <c r="H265" s="153"/>
      <c r="I265" s="153"/>
      <c r="J265" s="153"/>
      <c r="K265" s="153"/>
      <c r="L265" s="153"/>
      <c r="N265" s="326"/>
    </row>
    <row r="266" spans="2:14" ht="18.95" customHeight="1">
      <c r="B266" s="391">
        <v>49</v>
      </c>
      <c r="C266" s="392" t="s">
        <v>1428</v>
      </c>
      <c r="D266" s="388" t="s">
        <v>32</v>
      </c>
      <c r="E266" s="76" t="s">
        <v>36</v>
      </c>
      <c r="F266" s="76" t="s">
        <v>32</v>
      </c>
      <c r="G266" s="153"/>
      <c r="H266" s="153"/>
      <c r="I266" s="153"/>
      <c r="J266" s="153"/>
      <c r="K266" s="153"/>
      <c r="L266" s="153"/>
      <c r="N266" s="326"/>
    </row>
    <row r="267" spans="2:14" ht="18.95" customHeight="1">
      <c r="B267" s="391">
        <v>50</v>
      </c>
      <c r="C267" s="392" t="s">
        <v>1429</v>
      </c>
      <c r="D267" s="388" t="s">
        <v>34</v>
      </c>
      <c r="E267" s="76" t="s">
        <v>36</v>
      </c>
      <c r="F267" s="76" t="s">
        <v>34</v>
      </c>
      <c r="G267" s="153"/>
      <c r="H267" s="153"/>
      <c r="I267" s="153"/>
      <c r="J267" s="153"/>
      <c r="K267" s="153"/>
      <c r="L267" s="153"/>
      <c r="N267" s="326"/>
    </row>
    <row r="268" spans="2:14" ht="18.95" customHeight="1">
      <c r="B268" s="391">
        <v>51</v>
      </c>
      <c r="C268" s="392" t="s">
        <v>1430</v>
      </c>
      <c r="D268" s="388" t="s">
        <v>36</v>
      </c>
      <c r="E268" s="76" t="s">
        <v>36</v>
      </c>
      <c r="F268" s="76" t="s">
        <v>32</v>
      </c>
      <c r="G268" s="153"/>
      <c r="H268" s="153"/>
      <c r="I268" s="153"/>
      <c r="J268" s="153"/>
      <c r="K268" s="153"/>
      <c r="L268" s="153"/>
      <c r="N268" s="326"/>
    </row>
    <row r="269" spans="2:14" ht="18.95" customHeight="1">
      <c r="B269" s="391">
        <v>52</v>
      </c>
      <c r="C269" s="392" t="s">
        <v>1431</v>
      </c>
      <c r="D269" s="388" t="s">
        <v>1373</v>
      </c>
      <c r="E269" s="76" t="s">
        <v>36</v>
      </c>
      <c r="F269" s="76" t="s">
        <v>34</v>
      </c>
      <c r="G269" s="153"/>
      <c r="H269" s="153"/>
      <c r="I269" s="153"/>
      <c r="J269" s="153"/>
      <c r="K269" s="153"/>
      <c r="L269" s="153"/>
      <c r="N269" s="326"/>
    </row>
    <row r="270" spans="2:14" ht="18.95" customHeight="1">
      <c r="B270" s="391">
        <v>53</v>
      </c>
      <c r="C270" s="392" t="s">
        <v>1432</v>
      </c>
      <c r="D270" s="388" t="s">
        <v>1376</v>
      </c>
      <c r="E270" s="76" t="s">
        <v>36</v>
      </c>
      <c r="F270" s="76" t="s">
        <v>32</v>
      </c>
      <c r="G270" s="153"/>
      <c r="H270" s="153"/>
      <c r="I270" s="153"/>
      <c r="J270" s="153"/>
      <c r="K270" s="153"/>
      <c r="L270" s="153"/>
      <c r="N270" s="326"/>
    </row>
    <row r="271" spans="2:14" ht="18.95" customHeight="1">
      <c r="B271" s="391">
        <v>54</v>
      </c>
      <c r="C271" s="392" t="s">
        <v>1433</v>
      </c>
      <c r="D271" s="388" t="s">
        <v>1391</v>
      </c>
      <c r="E271" s="76" t="s">
        <v>36</v>
      </c>
      <c r="F271" s="76" t="s">
        <v>32</v>
      </c>
      <c r="G271" s="153"/>
      <c r="H271" s="153"/>
      <c r="I271" s="153"/>
      <c r="J271" s="153"/>
      <c r="K271" s="153"/>
      <c r="L271" s="153"/>
      <c r="N271" s="326"/>
    </row>
    <row r="272" spans="2:14" ht="18.95" customHeight="1">
      <c r="B272" s="391">
        <v>55</v>
      </c>
      <c r="C272" s="392" t="s">
        <v>1434</v>
      </c>
      <c r="D272" s="388" t="s">
        <v>1393</v>
      </c>
      <c r="E272" s="76" t="s">
        <v>36</v>
      </c>
      <c r="F272" s="76" t="s">
        <v>36</v>
      </c>
      <c r="G272" s="153"/>
      <c r="H272" s="153"/>
      <c r="I272" s="153"/>
      <c r="J272" s="153"/>
      <c r="K272" s="153"/>
      <c r="L272" s="153"/>
      <c r="N272" s="326"/>
    </row>
    <row r="273" spans="2:19" ht="18.95" customHeight="1">
      <c r="B273" s="304"/>
      <c r="C273" s="305"/>
      <c r="D273" s="305"/>
      <c r="E273" s="305"/>
      <c r="F273" s="305"/>
      <c r="G273" s="305"/>
      <c r="H273" s="305"/>
      <c r="I273" s="305"/>
      <c r="J273" s="305"/>
      <c r="K273" s="305"/>
      <c r="L273" s="305"/>
      <c r="M273" s="305"/>
      <c r="N273" s="327"/>
    </row>
    <row r="275" spans="2:19" ht="18.95" customHeight="1">
      <c r="B275" s="333"/>
      <c r="C275" s="324"/>
      <c r="D275" s="324"/>
      <c r="E275" s="324"/>
      <c r="F275" s="324"/>
      <c r="G275" s="324"/>
      <c r="H275" s="324"/>
      <c r="I275" s="324"/>
      <c r="J275" s="324"/>
      <c r="K275" s="324"/>
      <c r="L275" s="324"/>
      <c r="M275" s="324"/>
      <c r="N275" s="324"/>
      <c r="O275" s="324"/>
      <c r="P275" s="324"/>
      <c r="Q275" s="324"/>
      <c r="R275" s="324"/>
      <c r="S275" s="325"/>
    </row>
    <row r="276" spans="2:19" ht="18.95" customHeight="1">
      <c r="B276" s="233" t="s">
        <v>1435</v>
      </c>
      <c r="C276" s="76" t="s">
        <v>140</v>
      </c>
      <c r="D276" s="76" t="s">
        <v>1436</v>
      </c>
      <c r="E276" s="76" t="s">
        <v>1437</v>
      </c>
      <c r="F276" s="112"/>
      <c r="G276" s="112"/>
      <c r="H276" s="112"/>
      <c r="I276" s="76" t="s">
        <v>140</v>
      </c>
      <c r="J276" s="76" t="s">
        <v>1436</v>
      </c>
      <c r="K276" s="1117" t="s">
        <v>1438</v>
      </c>
      <c r="L276" s="1117"/>
      <c r="M276" s="1117"/>
      <c r="N276" s="1117"/>
      <c r="O276" s="1117"/>
      <c r="P276" s="1117"/>
      <c r="Q276" s="1117"/>
      <c r="R276" s="112"/>
      <c r="S276" s="431"/>
    </row>
    <row r="277" spans="2:19" ht="18.95" customHeight="1">
      <c r="B277" s="233">
        <v>1</v>
      </c>
      <c r="C277" s="76" t="s">
        <v>1363</v>
      </c>
      <c r="D277" s="76" t="s">
        <v>540</v>
      </c>
      <c r="E277" s="76" t="s">
        <v>1439</v>
      </c>
      <c r="F277" s="112"/>
      <c r="G277" s="112"/>
      <c r="H277" s="112"/>
      <c r="I277" s="76" t="s">
        <v>1363</v>
      </c>
      <c r="J277" s="76" t="s">
        <v>540</v>
      </c>
      <c r="K277" s="415" t="str">
        <f t="array" ref="K277">INDEX($E:$E,SMALL(IF(($C$277:$C$311=$I277)*($D$277:$D$311=$J277),ROW($277:$311),4^8),COLUMN(A276)))</f>
        <v>c1801</v>
      </c>
      <c r="L277" s="415" t="str">
        <f t="array" ref="L277">INDEX($E:$E,SMALL(IF(($C$277:$C$311=$I277)*($D$277:$D$311=$J277),ROW($277:$311),4^8),COLUMN(B276)))</f>
        <v>c1802</v>
      </c>
      <c r="M277" s="415">
        <f t="array" ref="M277">INDEX($E:$E,SMALL(IF(($C$277:$C$311=$I277)*($D$277:$D$311=$J277),ROW($277:$311),4^8),COLUMN(C276)))</f>
        <v>0</v>
      </c>
      <c r="N277" s="415">
        <f t="array" ref="N277">INDEX($E:$E,SMALL(IF(($C$277:$C$311=$I277)*($D$277:$D$311=$J277),ROW($277:$311),4^8),COLUMN(D276)))</f>
        <v>0</v>
      </c>
      <c r="O277" s="415">
        <f t="array" ref="O277">INDEX($E:$E,SMALL(IF(($C$277:$C$311=$I277)*($D$277:$D$311=$J277),ROW($277:$311),4^8),COLUMN(E276)))</f>
        <v>0</v>
      </c>
      <c r="P277" s="415">
        <f t="array" ref="P277">INDEX($E:$E,SMALL(IF(($C$277:$C$311=$I277)*($D$277:$D$311=$J277),ROW($277:$311),4^8),COLUMN(F276)))</f>
        <v>0</v>
      </c>
      <c r="Q277" s="415">
        <f t="array" ref="Q277">INDEX($E:$E,SMALL(IF(($C$277:$C$311=$I277)*($D$277:$D$311=$J277),ROW($277:$311),4^8),COLUMN(G276)))</f>
        <v>0</v>
      </c>
      <c r="R277" s="112"/>
      <c r="S277" s="431"/>
    </row>
    <row r="278" spans="2:19" ht="18.95" customHeight="1">
      <c r="B278" s="233">
        <v>1</v>
      </c>
      <c r="C278" s="76" t="s">
        <v>1363</v>
      </c>
      <c r="D278" s="76" t="s">
        <v>540</v>
      </c>
      <c r="E278" s="76" t="s">
        <v>1440</v>
      </c>
      <c r="F278" s="112"/>
      <c r="G278" s="112"/>
      <c r="H278" s="112"/>
      <c r="I278" s="76" t="s">
        <v>1363</v>
      </c>
      <c r="J278" s="76" t="s">
        <v>542</v>
      </c>
      <c r="K278" s="415" t="str">
        <f t="array" ref="K278">INDEX($E:$E,SMALL(IF(($C$277:$C$311=$I278)*($D$277:$D$311=$J278),ROW($277:$311),4^8),COLUMN(A277)))</f>
        <v>c1803</v>
      </c>
      <c r="L278" s="415" t="str">
        <f t="array" ref="L278">INDEX($E:$E,SMALL(IF(($C$277:$C$311=$I278)*($D$277:$D$311=$J278),ROW($277:$311),4^8),COLUMN(B277)))</f>
        <v>c1804</v>
      </c>
      <c r="M278" s="415">
        <f t="array" ref="M278">INDEX($E:$E,SMALL(IF(($C$277:$C$311=$I278)*($D$277:$D$311=$J278),ROW($277:$311),4^8),COLUMN(C277)))</f>
        <v>0</v>
      </c>
      <c r="N278" s="415">
        <f t="array" ref="N278">INDEX($E:$E,SMALL(IF(($C$277:$C$311=$I278)*($D$277:$D$311=$J278),ROW($277:$311),4^8),COLUMN(D277)))</f>
        <v>0</v>
      </c>
      <c r="O278" s="415">
        <f t="array" ref="O278">INDEX($E:$E,SMALL(IF(($C$277:$C$311=$I278)*($D$277:$D$311=$J278),ROW($277:$311),4^8),COLUMN(E277)))</f>
        <v>0</v>
      </c>
      <c r="P278" s="415">
        <f t="array" ref="P278">INDEX($E:$E,SMALL(IF(($C$277:$C$311=$I278)*($D$277:$D$311=$J278),ROW($277:$311),4^8),COLUMN(F277)))</f>
        <v>0</v>
      </c>
      <c r="Q278" s="415">
        <f t="array" ref="Q278">INDEX($E:$E,SMALL(IF(($C$277:$C$311=$I278)*($D$277:$D$311=$J278),ROW($277:$311),4^8),COLUMN(G277)))</f>
        <v>0</v>
      </c>
      <c r="R278" s="112"/>
      <c r="S278" s="431"/>
    </row>
    <row r="279" spans="2:19" ht="18.95" customHeight="1">
      <c r="B279" s="233">
        <v>1</v>
      </c>
      <c r="C279" s="76" t="s">
        <v>1363</v>
      </c>
      <c r="D279" s="76" t="s">
        <v>542</v>
      </c>
      <c r="E279" s="76" t="s">
        <v>1441</v>
      </c>
      <c r="F279" s="112"/>
      <c r="G279" s="112"/>
      <c r="H279" s="112"/>
      <c r="I279" s="76" t="s">
        <v>1363</v>
      </c>
      <c r="J279" s="76" t="s">
        <v>546</v>
      </c>
      <c r="K279" s="415" t="str">
        <f t="array" ref="K279">INDEX($E:$E,SMALL(IF(($C$277:$C$311=$I279)*($D$277:$D$311=$J279),ROW($277:$311),4^8),COLUMN(A278)))</f>
        <v>c1805</v>
      </c>
      <c r="L279" s="415">
        <f t="array" ref="L279">INDEX($E:$E,SMALL(IF(($C$277:$C$311=$I279)*($D$277:$D$311=$J279),ROW($277:$311),4^8),COLUMN(B278)))</f>
        <v>0</v>
      </c>
      <c r="M279" s="415">
        <f t="array" ref="M279">INDEX($E:$E,SMALL(IF(($C$277:$C$311=$I279)*($D$277:$D$311=$J279),ROW($277:$311),4^8),COLUMN(C278)))</f>
        <v>0</v>
      </c>
      <c r="N279" s="415">
        <f t="array" ref="N279">INDEX($E:$E,SMALL(IF(($C$277:$C$311=$I279)*($D$277:$D$311=$J279),ROW($277:$311),4^8),COLUMN(D278)))</f>
        <v>0</v>
      </c>
      <c r="O279" s="415">
        <f t="array" ref="O279">INDEX($E:$E,SMALL(IF(($C$277:$C$311=$I279)*($D$277:$D$311=$J279),ROW($277:$311),4^8),COLUMN(E278)))</f>
        <v>0</v>
      </c>
      <c r="P279" s="415">
        <f t="array" ref="P279">INDEX($E:$E,SMALL(IF(($C$277:$C$311=$I279)*($D$277:$D$311=$J279),ROW($277:$311),4^8),COLUMN(F278)))</f>
        <v>0</v>
      </c>
      <c r="Q279" s="415">
        <f t="array" ref="Q279">INDEX($E:$E,SMALL(IF(($C$277:$C$311=$I279)*($D$277:$D$311=$J279),ROW($277:$311),4^8),COLUMN(G278)))</f>
        <v>0</v>
      </c>
      <c r="R279" s="112"/>
      <c r="S279" s="431"/>
    </row>
    <row r="280" spans="2:19" ht="18.95" customHeight="1">
      <c r="B280" s="233">
        <v>1</v>
      </c>
      <c r="C280" s="76" t="s">
        <v>1363</v>
      </c>
      <c r="D280" s="76" t="s">
        <v>542</v>
      </c>
      <c r="E280" s="76" t="s">
        <v>1442</v>
      </c>
      <c r="F280" s="112"/>
      <c r="G280" s="112"/>
      <c r="H280" s="112"/>
      <c r="I280" s="76" t="s">
        <v>1364</v>
      </c>
      <c r="J280" s="76" t="s">
        <v>1443</v>
      </c>
      <c r="K280" s="415" t="str">
        <f t="array" ref="K280">INDEX($E:$E,SMALL(IF(($C$277:$C$311=$I280)*($D$277:$D$311=$J280),ROW($277:$311),4^8),COLUMN(A279)))</f>
        <v>c1801</v>
      </c>
      <c r="L280" s="415">
        <f t="array" ref="L280">INDEX($E:$E,SMALL(IF(($C$277:$C$311=$I280)*($D$277:$D$311=$J280),ROW($277:$311),4^8),COLUMN(B279)))</f>
        <v>0</v>
      </c>
      <c r="M280" s="415">
        <f t="array" ref="M280">INDEX($E:$E,SMALL(IF(($C$277:$C$311=$I280)*($D$277:$D$311=$J280),ROW($277:$311),4^8),COLUMN(C279)))</f>
        <v>0</v>
      </c>
      <c r="N280" s="415">
        <f t="array" ref="N280">INDEX($E:$E,SMALL(IF(($C$277:$C$311=$I280)*($D$277:$D$311=$J280),ROW($277:$311),4^8),COLUMN(D279)))</f>
        <v>0</v>
      </c>
      <c r="O280" s="415">
        <f t="array" ref="O280">INDEX($E:$E,SMALL(IF(($C$277:$C$311=$I280)*($D$277:$D$311=$J280),ROW($277:$311),4^8),COLUMN(E279)))</f>
        <v>0</v>
      </c>
      <c r="P280" s="415">
        <f t="array" ref="P280">INDEX($E:$E,SMALL(IF(($C$277:$C$311=$I280)*($D$277:$D$311=$J280),ROW($277:$311),4^8),COLUMN(F279)))</f>
        <v>0</v>
      </c>
      <c r="Q280" s="415">
        <f t="array" ref="Q280">INDEX($E:$E,SMALL(IF(($C$277:$C$311=$I280)*($D$277:$D$311=$J280),ROW($277:$311),4^8),COLUMN(G279)))</f>
        <v>0</v>
      </c>
      <c r="R280" s="112"/>
      <c r="S280" s="431"/>
    </row>
    <row r="281" spans="2:19" ht="18.95" customHeight="1">
      <c r="B281" s="233">
        <v>1</v>
      </c>
      <c r="C281" s="76" t="s">
        <v>1363</v>
      </c>
      <c r="D281" s="76" t="s">
        <v>546</v>
      </c>
      <c r="E281" s="76" t="s">
        <v>1444</v>
      </c>
      <c r="F281" s="112"/>
      <c r="G281" s="112"/>
      <c r="H281" s="112"/>
      <c r="I281" s="76" t="s">
        <v>1364</v>
      </c>
      <c r="J281" s="76" t="s">
        <v>1445</v>
      </c>
      <c r="K281" s="415" t="str">
        <f t="array" ref="K281">INDEX($E:$E,SMALL(IF(($C$277:$C$311=$I281)*($D$277:$D$311=$J281),ROW($277:$311),4^8),COLUMN(A280)))</f>
        <v>c1802</v>
      </c>
      <c r="L281" s="415">
        <f t="array" ref="L281">INDEX($E:$E,SMALL(IF(($C$277:$C$311=$I281)*($D$277:$D$311=$J281),ROW($277:$311),4^8),COLUMN(B280)))</f>
        <v>0</v>
      </c>
      <c r="M281" s="415">
        <f t="array" ref="M281">INDEX($E:$E,SMALL(IF(($C$277:$C$311=$I281)*($D$277:$D$311=$J281),ROW($277:$311),4^8),COLUMN(C280)))</f>
        <v>0</v>
      </c>
      <c r="N281" s="415">
        <f t="array" ref="N281">INDEX($E:$E,SMALL(IF(($C$277:$C$311=$I281)*($D$277:$D$311=$J281),ROW($277:$311),4^8),COLUMN(D280)))</f>
        <v>0</v>
      </c>
      <c r="O281" s="415">
        <f t="array" ref="O281">INDEX($E:$E,SMALL(IF(($C$277:$C$311=$I281)*($D$277:$D$311=$J281),ROW($277:$311),4^8),COLUMN(E280)))</f>
        <v>0</v>
      </c>
      <c r="P281" s="415">
        <f t="array" ref="P281">INDEX($E:$E,SMALL(IF(($C$277:$C$311=$I281)*($D$277:$D$311=$J281),ROW($277:$311),4^8),COLUMN(F280)))</f>
        <v>0</v>
      </c>
      <c r="Q281" s="415">
        <f t="array" ref="Q281">INDEX($E:$E,SMALL(IF(($C$277:$C$311=$I281)*($D$277:$D$311=$J281),ROW($277:$311),4^8),COLUMN(G280)))</f>
        <v>0</v>
      </c>
      <c r="R281" s="112"/>
      <c r="S281" s="431"/>
    </row>
    <row r="282" spans="2:19" ht="18.95" customHeight="1">
      <c r="B282" s="233">
        <v>1</v>
      </c>
      <c r="C282" s="76" t="s">
        <v>1364</v>
      </c>
      <c r="D282" s="76" t="s">
        <v>1443</v>
      </c>
      <c r="E282" s="76" t="s">
        <v>1439</v>
      </c>
      <c r="F282" s="112"/>
      <c r="G282" s="112"/>
      <c r="H282" s="112"/>
      <c r="I282" s="76" t="s">
        <v>1364</v>
      </c>
      <c r="J282" s="76" t="s">
        <v>1446</v>
      </c>
      <c r="K282" s="415" t="str">
        <f t="array" ref="K282">INDEX($E:$E,SMALL(IF(($C$277:$C$311=$I282)*($D$277:$D$311=$J282),ROW($277:$311),4^8),COLUMN(A281)))</f>
        <v>c1803</v>
      </c>
      <c r="L282" s="415">
        <f t="array" ref="L282">INDEX($E:$E,SMALL(IF(($C$277:$C$311=$I282)*($D$277:$D$311=$J282),ROW($277:$311),4^8),COLUMN(B281)))</f>
        <v>0</v>
      </c>
      <c r="M282" s="415">
        <f t="array" ref="M282">INDEX($E:$E,SMALL(IF(($C$277:$C$311=$I282)*($D$277:$D$311=$J282),ROW($277:$311),4^8),COLUMN(C281)))</f>
        <v>0</v>
      </c>
      <c r="N282" s="415">
        <f t="array" ref="N282">INDEX($E:$E,SMALL(IF(($C$277:$C$311=$I282)*($D$277:$D$311=$J282),ROW($277:$311),4^8),COLUMN(D281)))</f>
        <v>0</v>
      </c>
      <c r="O282" s="415">
        <f t="array" ref="O282">INDEX($E:$E,SMALL(IF(($C$277:$C$311=$I282)*($D$277:$D$311=$J282),ROW($277:$311),4^8),COLUMN(E281)))</f>
        <v>0</v>
      </c>
      <c r="P282" s="415">
        <f t="array" ref="P282">INDEX($E:$E,SMALL(IF(($C$277:$C$311=$I282)*($D$277:$D$311=$J282),ROW($277:$311),4^8),COLUMN(F281)))</f>
        <v>0</v>
      </c>
      <c r="Q282" s="415">
        <f t="array" ref="Q282">INDEX($E:$E,SMALL(IF(($C$277:$C$311=$I282)*($D$277:$D$311=$J282),ROW($277:$311),4^8),COLUMN(G281)))</f>
        <v>0</v>
      </c>
      <c r="R282" s="112"/>
      <c r="S282" s="431"/>
    </row>
    <row r="283" spans="2:19" ht="18.95" customHeight="1">
      <c r="B283" s="233">
        <v>1</v>
      </c>
      <c r="C283" s="76" t="s">
        <v>1364</v>
      </c>
      <c r="D283" s="76" t="s">
        <v>1445</v>
      </c>
      <c r="E283" s="76" t="s">
        <v>1440</v>
      </c>
      <c r="F283" s="112"/>
      <c r="G283" s="112"/>
      <c r="H283" s="112"/>
      <c r="I283" s="76" t="s">
        <v>1364</v>
      </c>
      <c r="J283" s="76" t="s">
        <v>1447</v>
      </c>
      <c r="K283" s="415" t="str">
        <f t="array" ref="K283">INDEX($E:$E,SMALL(IF(($C$277:$C$311=$I283)*($D$277:$D$311=$J283),ROW($277:$311),4^8),COLUMN(A282)))</f>
        <v>c1804</v>
      </c>
      <c r="L283" s="415" t="str">
        <f t="array" ref="L283">INDEX($E:$E,SMALL(IF(($C$277:$C$311=$I283)*($D$277:$D$311=$J283),ROW($277:$311),4^8),COLUMN(B282)))</f>
        <v>c1805</v>
      </c>
      <c r="M283" s="415">
        <f t="array" ref="M283">INDEX($E:$E,SMALL(IF(($C$277:$C$311=$I283)*($D$277:$D$311=$J283),ROW($277:$311),4^8),COLUMN(C282)))</f>
        <v>0</v>
      </c>
      <c r="N283" s="415">
        <f t="array" ref="N283">INDEX($E:$E,SMALL(IF(($C$277:$C$311=$I283)*($D$277:$D$311=$J283),ROW($277:$311),4^8),COLUMN(D282)))</f>
        <v>0</v>
      </c>
      <c r="O283" s="415">
        <f t="array" ref="O283">INDEX($E:$E,SMALL(IF(($C$277:$C$311=$I283)*($D$277:$D$311=$J283),ROW($277:$311),4^8),COLUMN(E282)))</f>
        <v>0</v>
      </c>
      <c r="P283" s="415">
        <f t="array" ref="P283">INDEX($E:$E,SMALL(IF(($C$277:$C$311=$I283)*($D$277:$D$311=$J283),ROW($277:$311),4^8),COLUMN(F282)))</f>
        <v>0</v>
      </c>
      <c r="Q283" s="415">
        <f t="array" ref="Q283">INDEX($E:$E,SMALL(IF(($C$277:$C$311=$I283)*($D$277:$D$311=$J283),ROW($277:$311),4^8),COLUMN(G282)))</f>
        <v>0</v>
      </c>
      <c r="R283" s="112"/>
      <c r="S283" s="431"/>
    </row>
    <row r="284" spans="2:19" ht="18.95" customHeight="1">
      <c r="B284" s="233">
        <v>1</v>
      </c>
      <c r="C284" s="76" t="s">
        <v>1364</v>
      </c>
      <c r="D284" s="76" t="s">
        <v>1446</v>
      </c>
      <c r="E284" s="76" t="s">
        <v>1441</v>
      </c>
      <c r="F284" s="112"/>
      <c r="G284" s="112"/>
      <c r="H284" s="112"/>
      <c r="I284" s="76" t="s">
        <v>1448</v>
      </c>
      <c r="J284" s="76" t="s">
        <v>1449</v>
      </c>
      <c r="K284" s="415" t="str">
        <f t="array" ref="K284">INDEX($E:$E,SMALL(IF(($C$277:$C$311=$I284)*($D$277:$D$311=$J284),ROW($277:$311),4^8),COLUMN(A283)))</f>
        <v>c1801</v>
      </c>
      <c r="L284" s="415">
        <f t="array" ref="L284">INDEX($E:$E,SMALL(IF(($C$277:$C$311=$I284)*($D$277:$D$311=$J284),ROW($277:$311),4^8),COLUMN(B283)))</f>
        <v>0</v>
      </c>
      <c r="M284" s="415">
        <f t="array" ref="M284">INDEX($E:$E,SMALL(IF(($C$277:$C$311=$I284)*($D$277:$D$311=$J284),ROW($277:$311),4^8),COLUMN(C283)))</f>
        <v>0</v>
      </c>
      <c r="N284" s="415">
        <f t="array" ref="N284">INDEX($E:$E,SMALL(IF(($C$277:$C$311=$I284)*($D$277:$D$311=$J284),ROW($277:$311),4^8),COLUMN(D283)))</f>
        <v>0</v>
      </c>
      <c r="O284" s="415">
        <f t="array" ref="O284">INDEX($E:$E,SMALL(IF(($C$277:$C$311=$I284)*($D$277:$D$311=$J284),ROW($277:$311),4^8),COLUMN(E283)))</f>
        <v>0</v>
      </c>
      <c r="P284" s="415">
        <f t="array" ref="P284">INDEX($E:$E,SMALL(IF(($C$277:$C$311=$I284)*($D$277:$D$311=$J284),ROW($277:$311),4^8),COLUMN(F283)))</f>
        <v>0</v>
      </c>
      <c r="Q284" s="415">
        <f t="array" ref="Q284">INDEX($E:$E,SMALL(IF(($C$277:$C$311=$I284)*($D$277:$D$311=$J284),ROW($277:$311),4^8),COLUMN(G283)))</f>
        <v>0</v>
      </c>
      <c r="R284" s="112"/>
      <c r="S284" s="431"/>
    </row>
    <row r="285" spans="2:19" ht="18.95" customHeight="1">
      <c r="B285" s="233">
        <v>1</v>
      </c>
      <c r="C285" s="76" t="s">
        <v>1364</v>
      </c>
      <c r="D285" s="76" t="s">
        <v>1447</v>
      </c>
      <c r="E285" s="76" t="s">
        <v>1442</v>
      </c>
      <c r="F285" s="112"/>
      <c r="G285" s="112"/>
      <c r="H285" s="112"/>
      <c r="I285" s="76" t="s">
        <v>1448</v>
      </c>
      <c r="J285" s="76" t="s">
        <v>1450</v>
      </c>
      <c r="K285" s="415" t="str">
        <f t="array" ref="K285">INDEX($E:$E,SMALL(IF(($C$277:$C$311=$I285)*($D$277:$D$311=$J285),ROW($277:$311),4^8),COLUMN(A284)))</f>
        <v>c1802</v>
      </c>
      <c r="L285" s="415">
        <f t="array" ref="L285">INDEX($E:$E,SMALL(IF(($C$277:$C$311=$I285)*($D$277:$D$311=$J285),ROW($277:$311),4^8),COLUMN(B284)))</f>
        <v>0</v>
      </c>
      <c r="M285" s="415">
        <f t="array" ref="M285">INDEX($E:$E,SMALL(IF(($C$277:$C$311=$I285)*($D$277:$D$311=$J285),ROW($277:$311),4^8),COLUMN(C284)))</f>
        <v>0</v>
      </c>
      <c r="N285" s="415">
        <f t="array" ref="N285">INDEX($E:$E,SMALL(IF(($C$277:$C$311=$I285)*($D$277:$D$311=$J285),ROW($277:$311),4^8),COLUMN(D284)))</f>
        <v>0</v>
      </c>
      <c r="O285" s="415">
        <f t="array" ref="O285">INDEX($E:$E,SMALL(IF(($C$277:$C$311=$I285)*($D$277:$D$311=$J285),ROW($277:$311),4^8),COLUMN(E284)))</f>
        <v>0</v>
      </c>
      <c r="P285" s="415">
        <f t="array" ref="P285">INDEX($E:$E,SMALL(IF(($C$277:$C$311=$I285)*($D$277:$D$311=$J285),ROW($277:$311),4^8),COLUMN(F284)))</f>
        <v>0</v>
      </c>
      <c r="Q285" s="415">
        <f t="array" ref="Q285">INDEX($E:$E,SMALL(IF(($C$277:$C$311=$I285)*($D$277:$D$311=$J285),ROW($277:$311),4^8),COLUMN(G284)))</f>
        <v>0</v>
      </c>
      <c r="R285" s="112"/>
      <c r="S285" s="431"/>
    </row>
    <row r="286" spans="2:19" ht="18.95" customHeight="1">
      <c r="B286" s="233">
        <v>1</v>
      </c>
      <c r="C286" s="76" t="s">
        <v>1364</v>
      </c>
      <c r="D286" s="76" t="s">
        <v>1447</v>
      </c>
      <c r="E286" s="76" t="s">
        <v>1444</v>
      </c>
      <c r="F286" s="112"/>
      <c r="G286" s="112"/>
      <c r="H286" s="112"/>
      <c r="I286" s="76" t="s">
        <v>1448</v>
      </c>
      <c r="J286" s="76" t="s">
        <v>1451</v>
      </c>
      <c r="K286" s="415" t="str">
        <f t="array" ref="K286">INDEX($E:$E,SMALL(IF(($C$277:$C$311=$I286)*($D$277:$D$311=$J286),ROW($277:$311),4^8),COLUMN(A285)))</f>
        <v>c1803</v>
      </c>
      <c r="L286" s="415">
        <f t="array" ref="L286">INDEX($E:$E,SMALL(IF(($C$277:$C$311=$I286)*($D$277:$D$311=$J286),ROW($277:$311),4^8),COLUMN(B285)))</f>
        <v>0</v>
      </c>
      <c r="M286" s="415">
        <f t="array" ref="M286">INDEX($E:$E,SMALL(IF(($C$277:$C$311=$I286)*($D$277:$D$311=$J286),ROW($277:$311),4^8),COLUMN(C285)))</f>
        <v>0</v>
      </c>
      <c r="N286" s="415">
        <f t="array" ref="N286">INDEX($E:$E,SMALL(IF(($C$277:$C$311=$I286)*($D$277:$D$311=$J286),ROW($277:$311),4^8),COLUMN(D285)))</f>
        <v>0</v>
      </c>
      <c r="O286" s="415">
        <f t="array" ref="O286">INDEX($E:$E,SMALL(IF(($C$277:$C$311=$I286)*($D$277:$D$311=$J286),ROW($277:$311),4^8),COLUMN(E285)))</f>
        <v>0</v>
      </c>
      <c r="P286" s="415">
        <f t="array" ref="P286">INDEX($E:$E,SMALL(IF(($C$277:$C$311=$I286)*($D$277:$D$311=$J286),ROW($277:$311),4^8),COLUMN(F285)))</f>
        <v>0</v>
      </c>
      <c r="Q286" s="415">
        <f t="array" ref="Q286">INDEX($E:$E,SMALL(IF(($C$277:$C$311=$I286)*($D$277:$D$311=$J286),ROW($277:$311),4^8),COLUMN(G285)))</f>
        <v>0</v>
      </c>
      <c r="R286" s="112"/>
      <c r="S286" s="431"/>
    </row>
    <row r="287" spans="2:19" ht="18.95" customHeight="1">
      <c r="B287" s="233">
        <v>1</v>
      </c>
      <c r="C287" s="76" t="s">
        <v>1448</v>
      </c>
      <c r="D287" s="76" t="s">
        <v>1449</v>
      </c>
      <c r="E287" s="76" t="s">
        <v>1439</v>
      </c>
      <c r="F287" s="112"/>
      <c r="G287" s="112"/>
      <c r="H287" s="112"/>
      <c r="I287" s="76" t="s">
        <v>1448</v>
      </c>
      <c r="J287" s="76" t="s">
        <v>1452</v>
      </c>
      <c r="K287" s="415" t="str">
        <f t="array" ref="K287">INDEX($E:$E,SMALL(IF(($C$277:$C$311=$I287)*($D$277:$D$311=$J287),ROW($277:$311),4^8),COLUMN(A286)))</f>
        <v>c1804</v>
      </c>
      <c r="L287" s="415">
        <f t="array" ref="L287">INDEX($E:$E,SMALL(IF(($C$277:$C$311=$I287)*($D$277:$D$311=$J287),ROW($277:$311),4^8),COLUMN(B286)))</f>
        <v>0</v>
      </c>
      <c r="M287" s="415">
        <f t="array" ref="M287">INDEX($E:$E,SMALL(IF(($C$277:$C$311=$I287)*($D$277:$D$311=$J287),ROW($277:$311),4^8),COLUMN(C286)))</f>
        <v>0</v>
      </c>
      <c r="N287" s="415">
        <f t="array" ref="N287">INDEX($E:$E,SMALL(IF(($C$277:$C$311=$I287)*($D$277:$D$311=$J287),ROW($277:$311),4^8),COLUMN(D286)))</f>
        <v>0</v>
      </c>
      <c r="O287" s="415">
        <f t="array" ref="O287">INDEX($E:$E,SMALL(IF(($C$277:$C$311=$I287)*($D$277:$D$311=$J287),ROW($277:$311),4^8),COLUMN(E286)))</f>
        <v>0</v>
      </c>
      <c r="P287" s="415">
        <f t="array" ref="P287">INDEX($E:$E,SMALL(IF(($C$277:$C$311=$I287)*($D$277:$D$311=$J287),ROW($277:$311),4^8),COLUMN(F286)))</f>
        <v>0</v>
      </c>
      <c r="Q287" s="415">
        <f t="array" ref="Q287">INDEX($E:$E,SMALL(IF(($C$277:$C$311=$I287)*($D$277:$D$311=$J287),ROW($277:$311),4^8),COLUMN(G286)))</f>
        <v>0</v>
      </c>
      <c r="R287" s="112"/>
      <c r="S287" s="431"/>
    </row>
    <row r="288" spans="2:19" ht="18.95" customHeight="1">
      <c r="B288" s="233">
        <v>1</v>
      </c>
      <c r="C288" s="76" t="s">
        <v>1448</v>
      </c>
      <c r="D288" s="76" t="s">
        <v>1450</v>
      </c>
      <c r="E288" s="76" t="s">
        <v>1440</v>
      </c>
      <c r="F288" s="112"/>
      <c r="G288" s="112"/>
      <c r="H288" s="112"/>
      <c r="I288" s="76" t="s">
        <v>1448</v>
      </c>
      <c r="J288" s="76" t="s">
        <v>1453</v>
      </c>
      <c r="K288" s="415" t="str">
        <f t="array" ref="K288">INDEX($E:$E,SMALL(IF(($C$277:$C$311=$I288)*($D$277:$D$311=$J288),ROW($277:$311),4^8),COLUMN(A287)))</f>
        <v>c1805</v>
      </c>
      <c r="L288" s="415">
        <f t="array" ref="L288">INDEX($E:$E,SMALL(IF(($C$277:$C$311=$I288)*($D$277:$D$311=$J288),ROW($277:$311),4^8),COLUMN(B287)))</f>
        <v>0</v>
      </c>
      <c r="M288" s="415">
        <f t="array" ref="M288">INDEX($E:$E,SMALL(IF(($C$277:$C$311=$I288)*($D$277:$D$311=$J288),ROW($277:$311),4^8),COLUMN(C287)))</f>
        <v>0</v>
      </c>
      <c r="N288" s="415">
        <f t="array" ref="N288">INDEX($E:$E,SMALL(IF(($C$277:$C$311=$I288)*($D$277:$D$311=$J288),ROW($277:$311),4^8),COLUMN(D287)))</f>
        <v>0</v>
      </c>
      <c r="O288" s="415">
        <f t="array" ref="O288">INDEX($E:$E,SMALL(IF(($C$277:$C$311=$I288)*($D$277:$D$311=$J288),ROW($277:$311),4^8),COLUMN(E287)))</f>
        <v>0</v>
      </c>
      <c r="P288" s="415">
        <f t="array" ref="P288">INDEX($E:$E,SMALL(IF(($C$277:$C$311=$I288)*($D$277:$D$311=$J288),ROW($277:$311),4^8),COLUMN(F287)))</f>
        <v>0</v>
      </c>
      <c r="Q288" s="415">
        <f t="array" ref="Q288">INDEX($E:$E,SMALL(IF(($C$277:$C$311=$I288)*($D$277:$D$311=$J288),ROW($277:$311),4^8),COLUMN(G287)))</f>
        <v>0</v>
      </c>
      <c r="R288" s="112"/>
      <c r="S288" s="431"/>
    </row>
    <row r="289" spans="2:19" ht="18.95" customHeight="1">
      <c r="B289" s="233">
        <v>1</v>
      </c>
      <c r="C289" s="76" t="s">
        <v>1448</v>
      </c>
      <c r="D289" s="76" t="s">
        <v>1451</v>
      </c>
      <c r="E289" s="76" t="s">
        <v>1441</v>
      </c>
      <c r="F289" s="112"/>
      <c r="G289" s="112"/>
      <c r="H289" s="112"/>
      <c r="I289" s="76" t="s">
        <v>1454</v>
      </c>
      <c r="J289" s="76" t="s">
        <v>1455</v>
      </c>
      <c r="K289" s="415" t="str">
        <f t="array" ref="K289">INDEX($E:$E,SMALL(IF(($C$277:$C$311=$I289)*($D$277:$D$311=$J289),ROW($277:$311),4^8),COLUMN(A288)))</f>
        <v>c1801</v>
      </c>
      <c r="L289" s="415" t="str">
        <f t="array" ref="L289">INDEX($E:$E,SMALL(IF(($C$277:$C$311=$I289)*($D$277:$D$311=$J289),ROW($277:$311),4^8),COLUMN(B288)))</f>
        <v>c1802</v>
      </c>
      <c r="M289" s="415" t="str">
        <f t="array" ref="M289">INDEX($E:$E,SMALL(IF(($C$277:$C$311=$I289)*($D$277:$D$311=$J289),ROW($277:$311),4^8),COLUMN(C288)))</f>
        <v>c1803</v>
      </c>
      <c r="N289" s="415">
        <f t="array" ref="N289">INDEX($E:$E,SMALL(IF(($C$277:$C$311=$I289)*($D$277:$D$311=$J289),ROW($277:$311),4^8),COLUMN(D288)))</f>
        <v>0</v>
      </c>
      <c r="O289" s="415">
        <f t="array" ref="O289">INDEX($E:$E,SMALL(IF(($C$277:$C$311=$I289)*($D$277:$D$311=$J289),ROW($277:$311),4^8),COLUMN(E288)))</f>
        <v>0</v>
      </c>
      <c r="P289" s="415">
        <f t="array" ref="P289">INDEX($E:$E,SMALL(IF(($C$277:$C$311=$I289)*($D$277:$D$311=$J289),ROW($277:$311),4^8),COLUMN(F288)))</f>
        <v>0</v>
      </c>
      <c r="Q289" s="415">
        <f t="array" ref="Q289">INDEX($E:$E,SMALL(IF(($C$277:$C$311=$I289)*($D$277:$D$311=$J289),ROW($277:$311),4^8),COLUMN(G288)))</f>
        <v>0</v>
      </c>
      <c r="R289" s="112"/>
      <c r="S289" s="431"/>
    </row>
    <row r="290" spans="2:19" ht="18.95" customHeight="1">
      <c r="B290" s="233">
        <v>1</v>
      </c>
      <c r="C290" s="76" t="s">
        <v>1448</v>
      </c>
      <c r="D290" s="76" t="s">
        <v>1452</v>
      </c>
      <c r="E290" s="76" t="s">
        <v>1442</v>
      </c>
      <c r="F290" s="112"/>
      <c r="G290" s="112"/>
      <c r="H290" s="112"/>
      <c r="I290" s="76" t="s">
        <v>1454</v>
      </c>
      <c r="J290" s="76" t="s">
        <v>1456</v>
      </c>
      <c r="K290" s="415" t="str">
        <f t="array" ref="K290">INDEX($E:$E,SMALL(IF(($C$277:$C$311=$I290)*($D$277:$D$311=$J290),ROW($277:$311),4^8),COLUMN(A289)))</f>
        <v>c1804</v>
      </c>
      <c r="L290" s="415" t="str">
        <f t="array" ref="L290">INDEX($E:$E,SMALL(IF(($C$277:$C$311=$I290)*($D$277:$D$311=$J290),ROW($277:$311),4^8),COLUMN(B289)))</f>
        <v>c1805</v>
      </c>
      <c r="M290" s="415">
        <f t="array" ref="M290">INDEX($E:$E,SMALL(IF(($C$277:$C$311=$I290)*($D$277:$D$311=$J290),ROW($277:$311),4^8),COLUMN(C289)))</f>
        <v>0</v>
      </c>
      <c r="N290" s="415">
        <f t="array" ref="N290">INDEX($E:$E,SMALL(IF(($C$277:$C$311=$I290)*($D$277:$D$311=$J290),ROW($277:$311),4^8),COLUMN(D289)))</f>
        <v>0</v>
      </c>
      <c r="O290" s="415">
        <f t="array" ref="O290">INDEX($E:$E,SMALL(IF(($C$277:$C$311=$I290)*($D$277:$D$311=$J290),ROW($277:$311),4^8),COLUMN(E289)))</f>
        <v>0</v>
      </c>
      <c r="P290" s="415">
        <f t="array" ref="P290">INDEX($E:$E,SMALL(IF(($C$277:$C$311=$I290)*($D$277:$D$311=$J290),ROW($277:$311),4^8),COLUMN(F289)))</f>
        <v>0</v>
      </c>
      <c r="Q290" s="415">
        <f t="array" ref="Q290">INDEX($E:$E,SMALL(IF(($C$277:$C$311=$I290)*($D$277:$D$311=$J290),ROW($277:$311),4^8),COLUMN(G289)))</f>
        <v>0</v>
      </c>
      <c r="R290" s="112"/>
      <c r="S290" s="431"/>
    </row>
    <row r="291" spans="2:19" ht="18.95" customHeight="1">
      <c r="B291" s="233">
        <v>1</v>
      </c>
      <c r="C291" s="76" t="s">
        <v>1448</v>
      </c>
      <c r="D291" s="76" t="s">
        <v>1453</v>
      </c>
      <c r="E291" s="76" t="s">
        <v>1444</v>
      </c>
      <c r="F291" s="112"/>
      <c r="G291" s="112"/>
      <c r="H291" s="112"/>
      <c r="I291" s="76" t="s">
        <v>1240</v>
      </c>
      <c r="J291" s="76" t="s">
        <v>1457</v>
      </c>
      <c r="K291" s="415" t="str">
        <f t="array" ref="K291">INDEX($E:$E,SMALL(IF(($C$277:$C$311=$I291)*($D$277:$D$311=$J291),ROW($277:$311),4^8),COLUMN(A290)))</f>
        <v>c1801</v>
      </c>
      <c r="L291" s="415" t="str">
        <f t="array" ref="L291">INDEX($E:$E,SMALL(IF(($C$277:$C$311=$I291)*($D$277:$D$311=$J291),ROW($277:$311),4^8),COLUMN(B290)))</f>
        <v>c1802</v>
      </c>
      <c r="M291" s="415" t="str">
        <f t="array" ref="M291">INDEX($E:$E,SMALL(IF(($C$277:$C$311=$I291)*($D$277:$D$311=$J291),ROW($277:$311),4^8),COLUMN(C290)))</f>
        <v>c1803</v>
      </c>
      <c r="N291" s="415" t="str">
        <f t="array" ref="N291">INDEX($E:$E,SMALL(IF(($C$277:$C$311=$I291)*($D$277:$D$311=$J291),ROW($277:$311),4^8),COLUMN(D290)))</f>
        <v>c1804</v>
      </c>
      <c r="O291" s="415" t="str">
        <f t="array" ref="O291">INDEX($E:$E,SMALL(IF(($C$277:$C$311=$I291)*($D$277:$D$311=$J291),ROW($277:$311),4^8),COLUMN(E290)))</f>
        <v>c1805</v>
      </c>
      <c r="P291" s="415">
        <f t="array" ref="P291">INDEX($E:$E,SMALL(IF(($C$277:$C$311=$I291)*($D$277:$D$311=$J291),ROW($277:$311),4^8),COLUMN(F290)))</f>
        <v>0</v>
      </c>
      <c r="Q291" s="415">
        <f t="array" ref="Q291">INDEX($E:$E,SMALL(IF(($C$277:$C$311=$I291)*($D$277:$D$311=$J291),ROW($277:$311),4^8),COLUMN(G290)))</f>
        <v>0</v>
      </c>
      <c r="R291" s="112"/>
      <c r="S291" s="431"/>
    </row>
    <row r="292" spans="2:19" ht="18.95" customHeight="1">
      <c r="B292" s="233">
        <v>1</v>
      </c>
      <c r="C292" s="76" t="s">
        <v>1454</v>
      </c>
      <c r="D292" s="76" t="s">
        <v>1455</v>
      </c>
      <c r="E292" s="76" t="s">
        <v>1439</v>
      </c>
      <c r="F292" s="112"/>
      <c r="G292" s="112"/>
      <c r="H292" s="112"/>
      <c r="I292" s="76" t="s">
        <v>1458</v>
      </c>
      <c r="J292" s="76" t="s">
        <v>1459</v>
      </c>
      <c r="K292" s="415" t="str">
        <f t="array" ref="K292">INDEX($E:$E,SMALL(IF(($C$277:$C$311=$I292)*($D$277:$D$311=$J292),ROW($277:$311),4^8),COLUMN(A291)))</f>
        <v>c1801</v>
      </c>
      <c r="L292" s="415" t="str">
        <f t="array" ref="L292">INDEX($E:$E,SMALL(IF(($C$277:$C$311=$I292)*($D$277:$D$311=$J292),ROW($277:$311),4^8),COLUMN(B291)))</f>
        <v>c1802</v>
      </c>
      <c r="M292" s="415" t="str">
        <f t="array" ref="M292">INDEX($E:$E,SMALL(IF(($C$277:$C$311=$I292)*($D$277:$D$311=$J292),ROW($277:$311),4^8),COLUMN(C291)))</f>
        <v>c1803</v>
      </c>
      <c r="N292" s="415" t="str">
        <f t="array" ref="N292">INDEX($E:$E,SMALL(IF(($C$277:$C$311=$I292)*($D$277:$D$311=$J292),ROW($277:$311),4^8),COLUMN(D291)))</f>
        <v>c1804</v>
      </c>
      <c r="O292" s="415" t="str">
        <f t="array" ref="O292">INDEX($E:$E,SMALL(IF(($C$277:$C$311=$I292)*($D$277:$D$311=$J292),ROW($277:$311),4^8),COLUMN(E291)))</f>
        <v>c1805</v>
      </c>
      <c r="P292" s="415">
        <f t="array" ref="P292">INDEX($E:$E,SMALL(IF(($C$277:$C$311=$I292)*($D$277:$D$311=$J292),ROW($277:$311),4^8),COLUMN(F291)))</f>
        <v>0</v>
      </c>
      <c r="Q292" s="415">
        <f t="array" ref="Q292">INDEX($E:$E,SMALL(IF(($C$277:$C$311=$I292)*($D$277:$D$311=$J292),ROW($277:$311),4^8),COLUMN(G291)))</f>
        <v>0</v>
      </c>
      <c r="R292" s="112"/>
      <c r="S292" s="431"/>
    </row>
    <row r="293" spans="2:19" ht="18.95" customHeight="1">
      <c r="B293" s="233">
        <v>1</v>
      </c>
      <c r="C293" s="76" t="s">
        <v>1454</v>
      </c>
      <c r="D293" s="76" t="s">
        <v>1455</v>
      </c>
      <c r="E293" s="76" t="s">
        <v>1440</v>
      </c>
      <c r="F293" s="112"/>
      <c r="G293" s="112"/>
      <c r="H293" s="112"/>
      <c r="I293" s="76" t="s">
        <v>1460</v>
      </c>
      <c r="J293" s="76" t="s">
        <v>1461</v>
      </c>
      <c r="K293" s="415" t="str">
        <f t="array" ref="K293">INDEX($E:$E,SMALL(IF(($C$277:$C$311=$I293)*($D$277:$D$311=$J293),ROW($277:$311),4^8),COLUMN(A292)))</f>
        <v>c1801</v>
      </c>
      <c r="L293" s="415" t="str">
        <f t="array" ref="L293">INDEX($E:$E,SMALL(IF(($C$277:$C$311=$I293)*($D$277:$D$311=$J293),ROW($277:$311),4^8),COLUMN(B292)))</f>
        <v>c1802</v>
      </c>
      <c r="M293" s="415" t="str">
        <f t="array" ref="M293">INDEX($E:$E,SMALL(IF(($C$277:$C$311=$I293)*($D$277:$D$311=$J293),ROW($277:$311),4^8),COLUMN(C292)))</f>
        <v>c1803</v>
      </c>
      <c r="N293" s="415" t="str">
        <f t="array" ref="N293">INDEX($E:$E,SMALL(IF(($C$277:$C$311=$I293)*($D$277:$D$311=$J293),ROW($277:$311),4^8),COLUMN(D292)))</f>
        <v>c1804</v>
      </c>
      <c r="O293" s="415" t="str">
        <f t="array" ref="O293">INDEX($E:$E,SMALL(IF(($C$277:$C$311=$I293)*($D$277:$D$311=$J293),ROW($277:$311),4^8),COLUMN(E292)))</f>
        <v>c1805</v>
      </c>
      <c r="P293" s="415">
        <f t="array" ref="P293">INDEX($E:$E,SMALL(IF(($C$277:$C$311=$I293)*($D$277:$D$311=$J293),ROW($277:$311),4^8),COLUMN(F292)))</f>
        <v>0</v>
      </c>
      <c r="Q293" s="415">
        <f t="array" ref="Q293">INDEX($E:$E,SMALL(IF(($C$277:$C$311=$I293)*($D$277:$D$311=$J293),ROW($277:$311),4^8),COLUMN(G292)))</f>
        <v>0</v>
      </c>
      <c r="R293" s="112"/>
      <c r="S293" s="431"/>
    </row>
    <row r="294" spans="2:19" ht="18.95" customHeight="1">
      <c r="B294" s="233">
        <v>1</v>
      </c>
      <c r="C294" s="76" t="s">
        <v>1454</v>
      </c>
      <c r="D294" s="76" t="s">
        <v>1455</v>
      </c>
      <c r="E294" s="76" t="s">
        <v>1441</v>
      </c>
      <c r="F294" s="112"/>
      <c r="G294" s="112"/>
      <c r="H294" s="112"/>
      <c r="I294" s="112"/>
      <c r="J294" s="112"/>
      <c r="K294" s="112"/>
      <c r="L294" s="112"/>
      <c r="M294" s="112"/>
      <c r="N294" s="112"/>
      <c r="O294" s="112"/>
      <c r="P294" s="112"/>
      <c r="Q294" s="112"/>
      <c r="R294" s="112"/>
      <c r="S294" s="431"/>
    </row>
    <row r="295" spans="2:19" ht="18.95" customHeight="1">
      <c r="B295" s="233">
        <v>1</v>
      </c>
      <c r="C295" s="76" t="s">
        <v>1454</v>
      </c>
      <c r="D295" s="76" t="s">
        <v>1456</v>
      </c>
      <c r="E295" s="76" t="s">
        <v>1442</v>
      </c>
      <c r="F295" s="112"/>
      <c r="G295" s="112"/>
      <c r="H295" s="112"/>
      <c r="I295" s="112"/>
      <c r="J295" s="112"/>
      <c r="K295" s="112"/>
      <c r="L295" s="112"/>
      <c r="M295" s="112"/>
      <c r="N295" s="112"/>
      <c r="O295" s="112"/>
      <c r="P295" s="112"/>
      <c r="Q295" s="112"/>
      <c r="R295" s="112"/>
      <c r="S295" s="431"/>
    </row>
    <row r="296" spans="2:19" ht="18.95" customHeight="1">
      <c r="B296" s="233">
        <v>1</v>
      </c>
      <c r="C296" s="76" t="s">
        <v>1454</v>
      </c>
      <c r="D296" s="76" t="s">
        <v>1456</v>
      </c>
      <c r="E296" s="76" t="s">
        <v>1444</v>
      </c>
      <c r="F296" s="112"/>
      <c r="G296" s="112"/>
      <c r="H296" s="112"/>
      <c r="I296" s="112"/>
      <c r="J296" s="112"/>
      <c r="K296" s="112"/>
      <c r="L296" s="112"/>
      <c r="M296" s="112"/>
      <c r="N296" s="112"/>
      <c r="O296" s="112"/>
      <c r="P296" s="112"/>
      <c r="Q296" s="112"/>
      <c r="R296" s="112"/>
      <c r="S296" s="431"/>
    </row>
    <row r="297" spans="2:19" ht="18.95" customHeight="1">
      <c r="B297" s="233">
        <v>1</v>
      </c>
      <c r="C297" s="76" t="s">
        <v>1240</v>
      </c>
      <c r="D297" s="76" t="s">
        <v>1457</v>
      </c>
      <c r="E297" s="76" t="s">
        <v>1439</v>
      </c>
      <c r="F297" s="112"/>
      <c r="G297" s="112"/>
      <c r="H297" s="112"/>
      <c r="I297" s="112"/>
      <c r="J297" s="112"/>
      <c r="K297" s="112"/>
      <c r="L297" s="112"/>
      <c r="M297" s="112"/>
      <c r="N297" s="112"/>
      <c r="O297" s="112"/>
      <c r="P297" s="112"/>
      <c r="Q297" s="112"/>
      <c r="R297" s="112"/>
      <c r="S297" s="431"/>
    </row>
    <row r="298" spans="2:19" ht="18.95" customHeight="1">
      <c r="B298" s="233">
        <v>1</v>
      </c>
      <c r="C298" s="76" t="s">
        <v>1240</v>
      </c>
      <c r="D298" s="76" t="s">
        <v>1457</v>
      </c>
      <c r="E298" s="76" t="s">
        <v>1440</v>
      </c>
      <c r="F298" s="112"/>
      <c r="G298" s="112"/>
      <c r="H298" s="112"/>
      <c r="I298" s="112"/>
      <c r="J298" s="416" t="s">
        <v>1462</v>
      </c>
      <c r="K298" s="112"/>
      <c r="L298" s="112"/>
      <c r="M298" s="112"/>
      <c r="N298" s="112"/>
      <c r="O298" s="112"/>
      <c r="P298" s="112"/>
      <c r="Q298" s="112"/>
      <c r="R298" s="112"/>
      <c r="S298" s="431"/>
    </row>
    <row r="299" spans="2:19" ht="18.95" customHeight="1">
      <c r="B299" s="233">
        <v>1</v>
      </c>
      <c r="C299" s="76" t="s">
        <v>1240</v>
      </c>
      <c r="D299" s="76" t="s">
        <v>1457</v>
      </c>
      <c r="E299" s="76" t="s">
        <v>1441</v>
      </c>
      <c r="F299" s="112"/>
      <c r="G299" s="112"/>
      <c r="H299" s="112"/>
      <c r="I299" s="112"/>
      <c r="J299" s="112"/>
      <c r="K299" s="112"/>
      <c r="L299" s="112"/>
      <c r="M299" s="112"/>
      <c r="N299" s="112"/>
      <c r="O299" s="112"/>
      <c r="P299" s="112"/>
      <c r="Q299" s="112"/>
      <c r="R299" s="112"/>
      <c r="S299" s="431"/>
    </row>
    <row r="300" spans="2:19" ht="18.95" customHeight="1">
      <c r="B300" s="233">
        <v>1</v>
      </c>
      <c r="C300" s="76" t="s">
        <v>1240</v>
      </c>
      <c r="D300" s="76" t="s">
        <v>1457</v>
      </c>
      <c r="E300" s="76" t="s">
        <v>1442</v>
      </c>
      <c r="F300" s="112"/>
      <c r="G300" s="112"/>
      <c r="H300" s="112"/>
      <c r="I300" s="112"/>
      <c r="J300" s="112"/>
      <c r="K300" s="112"/>
      <c r="L300" s="112"/>
      <c r="M300" s="112"/>
      <c r="N300" s="112"/>
      <c r="O300" s="112"/>
      <c r="P300" s="112"/>
      <c r="Q300" s="112"/>
      <c r="R300" s="112"/>
      <c r="S300" s="431"/>
    </row>
    <row r="301" spans="2:19" ht="18.95" customHeight="1">
      <c r="B301" s="233">
        <v>1</v>
      </c>
      <c r="C301" s="76" t="s">
        <v>1240</v>
      </c>
      <c r="D301" s="76" t="s">
        <v>1457</v>
      </c>
      <c r="E301" s="76" t="s">
        <v>1444</v>
      </c>
      <c r="F301" s="112"/>
      <c r="G301" s="112"/>
      <c r="H301" s="112"/>
      <c r="I301" s="112"/>
      <c r="J301" s="112"/>
      <c r="K301" s="112"/>
      <c r="L301" s="112"/>
      <c r="M301" s="112"/>
      <c r="N301" s="112"/>
      <c r="O301" s="112"/>
      <c r="P301" s="112"/>
      <c r="Q301" s="112"/>
      <c r="R301" s="112"/>
      <c r="S301" s="431"/>
    </row>
    <row r="302" spans="2:19" ht="18.95" customHeight="1">
      <c r="B302" s="233">
        <v>1</v>
      </c>
      <c r="C302" s="76" t="s">
        <v>1458</v>
      </c>
      <c r="D302" s="76" t="s">
        <v>1459</v>
      </c>
      <c r="E302" s="76" t="s">
        <v>1439</v>
      </c>
      <c r="F302" s="112"/>
      <c r="G302" s="112"/>
      <c r="H302" s="112"/>
      <c r="I302" s="417" t="s">
        <v>1463</v>
      </c>
      <c r="J302" s="112"/>
      <c r="K302" s="112"/>
      <c r="L302" s="112"/>
      <c r="M302" s="112"/>
      <c r="N302" s="112"/>
      <c r="O302" s="112"/>
      <c r="P302" s="112"/>
      <c r="Q302" s="112"/>
      <c r="R302" s="112"/>
      <c r="S302" s="431"/>
    </row>
    <row r="303" spans="2:19" ht="18.95" customHeight="1">
      <c r="B303" s="233">
        <v>1</v>
      </c>
      <c r="C303" s="76" t="s">
        <v>1458</v>
      </c>
      <c r="D303" s="76" t="s">
        <v>1459</v>
      </c>
      <c r="E303" s="76" t="s">
        <v>1440</v>
      </c>
      <c r="F303" s="112"/>
      <c r="G303" s="112"/>
      <c r="H303" s="112"/>
      <c r="I303" s="418" t="s">
        <v>1464</v>
      </c>
      <c r="J303" s="112"/>
      <c r="K303" s="112"/>
      <c r="L303" s="112"/>
      <c r="M303" s="112"/>
      <c r="N303" s="112"/>
      <c r="O303" s="112"/>
      <c r="P303" s="112"/>
      <c r="Q303" s="112"/>
      <c r="R303" s="112"/>
      <c r="S303" s="431"/>
    </row>
    <row r="304" spans="2:19" ht="18.95" customHeight="1">
      <c r="B304" s="233">
        <v>1</v>
      </c>
      <c r="C304" s="76" t="s">
        <v>1458</v>
      </c>
      <c r="D304" s="76" t="s">
        <v>1459</v>
      </c>
      <c r="E304" s="76" t="s">
        <v>1441</v>
      </c>
      <c r="F304" s="112"/>
      <c r="G304" s="112"/>
      <c r="H304" s="112"/>
      <c r="I304" s="112"/>
      <c r="J304" s="112"/>
      <c r="K304" s="112"/>
      <c r="L304" s="112"/>
      <c r="M304" s="112"/>
      <c r="N304" s="112"/>
      <c r="O304" s="112"/>
      <c r="P304" s="112"/>
      <c r="Q304" s="112"/>
      <c r="R304" s="112"/>
      <c r="S304" s="431"/>
    </row>
    <row r="305" spans="2:19" ht="18.95" customHeight="1">
      <c r="B305" s="233">
        <v>1</v>
      </c>
      <c r="C305" s="76" t="s">
        <v>1458</v>
      </c>
      <c r="D305" s="76" t="s">
        <v>1459</v>
      </c>
      <c r="E305" s="76" t="s">
        <v>1442</v>
      </c>
      <c r="F305" s="112"/>
      <c r="G305" s="112"/>
      <c r="H305" s="112"/>
      <c r="I305" s="418" t="s">
        <v>1465</v>
      </c>
      <c r="J305" s="112"/>
      <c r="K305" s="112"/>
      <c r="L305" s="112"/>
      <c r="M305" s="112"/>
      <c r="N305" s="112"/>
      <c r="O305" s="112"/>
      <c r="P305" s="112"/>
      <c r="Q305" s="112"/>
      <c r="R305" s="112"/>
      <c r="S305" s="431"/>
    </row>
    <row r="306" spans="2:19" ht="18.95" customHeight="1">
      <c r="B306" s="233">
        <v>1</v>
      </c>
      <c r="C306" s="76" t="s">
        <v>1458</v>
      </c>
      <c r="D306" s="76" t="s">
        <v>1459</v>
      </c>
      <c r="E306" s="76" t="s">
        <v>1444</v>
      </c>
      <c r="F306" s="112"/>
      <c r="G306" s="112"/>
      <c r="H306" s="112"/>
      <c r="I306" s="112"/>
      <c r="J306" s="112"/>
      <c r="K306" s="112"/>
      <c r="L306" s="112"/>
      <c r="M306" s="112"/>
      <c r="N306" s="112"/>
      <c r="O306" s="112"/>
      <c r="P306" s="112"/>
      <c r="Q306" s="112"/>
      <c r="R306" s="112"/>
      <c r="S306" s="431"/>
    </row>
    <row r="307" spans="2:19" ht="18.95" customHeight="1">
      <c r="B307" s="233">
        <v>1</v>
      </c>
      <c r="C307" s="76" t="s">
        <v>1460</v>
      </c>
      <c r="D307" s="76" t="s">
        <v>1461</v>
      </c>
      <c r="E307" s="76" t="s">
        <v>1439</v>
      </c>
      <c r="F307" s="112"/>
      <c r="G307" s="112"/>
      <c r="H307" s="112"/>
      <c r="I307" s="419" t="s">
        <v>1466</v>
      </c>
      <c r="J307" s="420" t="s">
        <v>1467</v>
      </c>
      <c r="K307" s="421"/>
      <c r="L307" s="421"/>
      <c r="M307" s="421"/>
      <c r="N307" s="421"/>
      <c r="O307" s="421"/>
      <c r="P307" s="421"/>
      <c r="Q307" s="112"/>
      <c r="R307" s="112"/>
      <c r="S307" s="431"/>
    </row>
    <row r="308" spans="2:19" ht="18.95" customHeight="1">
      <c r="B308" s="233">
        <v>1</v>
      </c>
      <c r="C308" s="76" t="s">
        <v>1460</v>
      </c>
      <c r="D308" s="76" t="s">
        <v>1461</v>
      </c>
      <c r="E308" s="76" t="s">
        <v>1440</v>
      </c>
      <c r="F308" s="112"/>
      <c r="G308" s="112"/>
      <c r="H308" s="112"/>
      <c r="I308" s="421"/>
      <c r="J308" s="420" t="s">
        <v>1468</v>
      </c>
      <c r="K308" s="421"/>
      <c r="L308" s="421"/>
      <c r="M308" s="421"/>
      <c r="N308" s="421"/>
      <c r="O308" s="421"/>
      <c r="P308" s="421"/>
      <c r="Q308" s="112"/>
      <c r="R308" s="112"/>
      <c r="S308" s="431"/>
    </row>
    <row r="309" spans="2:19" ht="18.95" customHeight="1">
      <c r="B309" s="233">
        <v>1</v>
      </c>
      <c r="C309" s="76" t="s">
        <v>1460</v>
      </c>
      <c r="D309" s="76" t="s">
        <v>1461</v>
      </c>
      <c r="E309" s="76" t="s">
        <v>1441</v>
      </c>
      <c r="F309" s="112"/>
      <c r="G309" s="112"/>
      <c r="H309" s="112"/>
      <c r="I309" s="421"/>
      <c r="J309" s="420" t="s">
        <v>1469</v>
      </c>
      <c r="K309" s="421"/>
      <c r="L309" s="421"/>
      <c r="M309" s="421"/>
      <c r="N309" s="421"/>
      <c r="O309" s="421"/>
      <c r="P309" s="421"/>
      <c r="Q309" s="112"/>
      <c r="R309" s="112"/>
      <c r="S309" s="431"/>
    </row>
    <row r="310" spans="2:19" ht="18.95" customHeight="1">
      <c r="B310" s="233">
        <v>1</v>
      </c>
      <c r="C310" s="76" t="s">
        <v>1460</v>
      </c>
      <c r="D310" s="76" t="s">
        <v>1461</v>
      </c>
      <c r="E310" s="76" t="s">
        <v>1442</v>
      </c>
      <c r="F310" s="112"/>
      <c r="G310" s="112"/>
      <c r="H310" s="112"/>
      <c r="I310" s="112"/>
      <c r="J310" s="112"/>
      <c r="K310" s="112"/>
      <c r="L310" s="112"/>
      <c r="M310" s="112"/>
      <c r="N310" s="112"/>
      <c r="O310" s="112"/>
      <c r="P310" s="112"/>
      <c r="Q310" s="112"/>
      <c r="R310" s="112"/>
      <c r="S310" s="431"/>
    </row>
    <row r="311" spans="2:19" ht="18.95" customHeight="1">
      <c r="B311" s="233">
        <v>1</v>
      </c>
      <c r="C311" s="76" t="s">
        <v>1460</v>
      </c>
      <c r="D311" s="76" t="s">
        <v>1461</v>
      </c>
      <c r="E311" s="76" t="s">
        <v>1444</v>
      </c>
      <c r="F311" s="112"/>
      <c r="G311" s="112"/>
      <c r="H311" s="112"/>
      <c r="I311" s="112"/>
      <c r="J311" s="112"/>
      <c r="K311" s="112"/>
      <c r="L311" s="112"/>
      <c r="M311" s="112"/>
      <c r="N311" s="112"/>
      <c r="O311" s="112"/>
      <c r="P311" s="112"/>
      <c r="Q311" s="112"/>
      <c r="R311" s="112"/>
      <c r="S311" s="431"/>
    </row>
    <row r="312" spans="2:19" ht="18.95" customHeight="1">
      <c r="B312" s="310"/>
      <c r="C312" s="403"/>
      <c r="D312" s="403"/>
      <c r="E312" s="403"/>
      <c r="F312" s="403"/>
      <c r="G312" s="403"/>
      <c r="H312" s="403"/>
      <c r="I312" s="403"/>
      <c r="J312" s="403"/>
      <c r="K312" s="403"/>
      <c r="L312" s="403"/>
      <c r="M312" s="403"/>
      <c r="N312" s="403"/>
      <c r="O312" s="403"/>
      <c r="P312" s="403"/>
      <c r="Q312" s="403"/>
      <c r="R312" s="403"/>
      <c r="S312" s="432"/>
    </row>
    <row r="313" spans="2:19" ht="18.95" customHeight="1">
      <c r="B313" s="153"/>
      <c r="C313" s="153"/>
      <c r="D313" s="153"/>
      <c r="E313" s="153"/>
      <c r="F313" s="153"/>
      <c r="G313" s="153"/>
      <c r="H313" s="153"/>
      <c r="I313" s="153"/>
      <c r="J313" s="153"/>
      <c r="K313" s="153"/>
      <c r="L313" s="153"/>
      <c r="M313" s="153"/>
      <c r="N313" s="153"/>
      <c r="O313" s="153"/>
      <c r="P313" s="153"/>
      <c r="Q313" s="153"/>
      <c r="R313" s="153"/>
      <c r="S313" s="153"/>
    </row>
    <row r="314" spans="2:19" ht="18.95" customHeight="1">
      <c r="B314" s="333"/>
      <c r="C314" s="324"/>
      <c r="D314" s="324"/>
      <c r="E314" s="324"/>
      <c r="F314" s="324"/>
      <c r="G314" s="324"/>
      <c r="H314" s="324"/>
      <c r="I314" s="324"/>
      <c r="J314" s="324"/>
      <c r="K314" s="324"/>
      <c r="L314" s="324"/>
      <c r="M314" s="324"/>
      <c r="N314" s="324"/>
      <c r="O314" s="324"/>
      <c r="P314" s="324"/>
      <c r="Q314" s="324"/>
      <c r="R314" s="324"/>
      <c r="S314" s="325"/>
    </row>
    <row r="315" spans="2:19" ht="18.95" customHeight="1">
      <c r="B315" s="404"/>
      <c r="C315" s="405"/>
      <c r="D315" s="405"/>
      <c r="E315" s="405"/>
      <c r="F315" s="1184">
        <v>2022</v>
      </c>
      <c r="G315" s="1185"/>
      <c r="H315" s="116"/>
      <c r="I315" s="116"/>
      <c r="J315" s="116"/>
      <c r="K315" s="116"/>
      <c r="L315" s="116"/>
      <c r="M315" s="116"/>
      <c r="N315" s="116"/>
      <c r="O315" s="116"/>
      <c r="P315" s="116"/>
      <c r="Q315" s="116"/>
      <c r="R315" s="116"/>
      <c r="S315" s="326"/>
    </row>
    <row r="316" spans="2:19" ht="18.95" customHeight="1">
      <c r="B316" s="406" t="s">
        <v>131</v>
      </c>
      <c r="C316" s="407" t="s">
        <v>1470</v>
      </c>
      <c r="D316" s="408">
        <v>1</v>
      </c>
      <c r="E316" s="408">
        <v>2</v>
      </c>
      <c r="F316" s="408">
        <v>3</v>
      </c>
      <c r="G316" s="408">
        <v>4</v>
      </c>
      <c r="H316" s="116"/>
      <c r="I316" s="422" t="s">
        <v>1024</v>
      </c>
      <c r="J316" s="423" t="s">
        <v>1026</v>
      </c>
      <c r="K316" s="423" t="s">
        <v>1471</v>
      </c>
      <c r="L316" s="424" t="s">
        <v>1472</v>
      </c>
      <c r="M316" s="116"/>
      <c r="N316" s="116"/>
      <c r="O316" s="116"/>
      <c r="P316" s="116"/>
      <c r="Q316" s="116"/>
      <c r="R316" s="116"/>
      <c r="S316" s="326"/>
    </row>
    <row r="317" spans="2:19" ht="18.95" customHeight="1">
      <c r="B317" s="409" t="s">
        <v>1473</v>
      </c>
      <c r="C317" s="410">
        <f t="shared" ref="C317:C323" si="8">SUM(D317:G317)</f>
        <v>14</v>
      </c>
      <c r="D317" s="411">
        <f t="array" ref="D317">SUMPRODUCT(($I$317:$I$322=$F$315)*($J$317:$J$322=D$316)*($K$317:$K$322=$B317)*$L$317:$L$322)</f>
        <v>7</v>
      </c>
      <c r="E317" s="411">
        <f t="array" ref="E317">SUMPRODUCT(($I$317:$I$322=$F$315)*($J$317:$J$322=E$316)*($K$317:$K$322=$B317)*$L$317:$L$322)</f>
        <v>7</v>
      </c>
      <c r="F317" s="411">
        <f t="array" ref="F317">SUMPRODUCT(($I$317:$I$322=$F$315)*($J$317:$J$322=F$316)*($K$317:$K$322=$B317)*$L$317:$L$322)</f>
        <v>0</v>
      </c>
      <c r="G317" s="411">
        <f t="array" ref="G317">SUMPRODUCT(($I$317:$I$322=$F$315)*($J$317:$J$322=G$316)*($K$317:$K$322=$B317)*$L$317:$L$322)</f>
        <v>0</v>
      </c>
      <c r="H317" s="116"/>
      <c r="I317" s="425">
        <v>2022</v>
      </c>
      <c r="J317" s="426">
        <v>1</v>
      </c>
      <c r="K317" s="426" t="s">
        <v>1473</v>
      </c>
      <c r="L317" s="427">
        <v>7</v>
      </c>
      <c r="M317" s="116"/>
      <c r="N317" s="116"/>
      <c r="O317" s="116"/>
      <c r="P317" s="116"/>
      <c r="Q317" s="116"/>
      <c r="R317" s="116"/>
      <c r="S317" s="326"/>
    </row>
    <row r="318" spans="2:19" ht="18.95" customHeight="1">
      <c r="B318" s="412" t="s">
        <v>1474</v>
      </c>
      <c r="C318" s="410">
        <f t="shared" si="8"/>
        <v>10</v>
      </c>
      <c r="D318" s="411">
        <f t="array" ref="D318">SUMPRODUCT(($I$317:$I$322=$F$315)*($J$317:$J$322=D$316)*($K$317:$K$322=$B318)*$L$317:$L$322)</f>
        <v>5</v>
      </c>
      <c r="E318" s="411">
        <f t="array" ref="E318">SUMPRODUCT(($I$317:$I$322=$F$315)*($J$317:$J$322=E$316)*($K$317:$K$322=$B318)*$L$317:$L$322)</f>
        <v>5</v>
      </c>
      <c r="F318" s="411">
        <f t="array" ref="F318">SUMPRODUCT(($I$317:$I$322=$F$315)*($J$317:$J$322=F$316)*($K$317:$K$322=$B318)*$L$317:$L$322)</f>
        <v>0</v>
      </c>
      <c r="G318" s="411">
        <f t="array" ref="G318">SUMPRODUCT(($I$317:$I$322=$F$315)*($J$317:$J$322=G$316)*($K$317:$K$322=$B318)*$L$317:$L$322)</f>
        <v>0</v>
      </c>
      <c r="H318" s="116"/>
      <c r="I318" s="428">
        <v>2022</v>
      </c>
      <c r="J318" s="429">
        <v>1</v>
      </c>
      <c r="K318" s="429" t="s">
        <v>1474</v>
      </c>
      <c r="L318" s="430">
        <v>5</v>
      </c>
      <c r="M318" s="116"/>
      <c r="N318" s="116"/>
      <c r="O318" s="116"/>
      <c r="P318" s="116"/>
      <c r="Q318" s="116"/>
      <c r="R318" s="116"/>
      <c r="S318" s="326"/>
    </row>
    <row r="319" spans="2:19" ht="18.95" customHeight="1">
      <c r="B319" s="412" t="s">
        <v>1475</v>
      </c>
      <c r="C319" s="410">
        <f t="shared" si="8"/>
        <v>14</v>
      </c>
      <c r="D319" s="411">
        <f t="array" ref="D319">SUMPRODUCT(($I$317:$I$322=$F$315)*($J$317:$J$322=D$316)*($K$317:$K$322=$B319)*$L$317:$L$322)</f>
        <v>6</v>
      </c>
      <c r="E319" s="411">
        <f t="array" ref="E319">SUMPRODUCT(($I$317:$I$322=$F$315)*($J$317:$J$322=E$316)*($K$317:$K$322=$B319)*$L$317:$L$322)</f>
        <v>8</v>
      </c>
      <c r="F319" s="411">
        <f t="array" ref="F319">SUMPRODUCT(($I$317:$I$322=$F$315)*($J$317:$J$322=F$316)*($K$317:$K$322=$B319)*$L$317:$L$322)</f>
        <v>0</v>
      </c>
      <c r="G319" s="411">
        <f t="array" ref="G319">SUMPRODUCT(($I$317:$I$322=$F$315)*($J$317:$J$322=G$316)*($K$317:$K$322=$B319)*$L$317:$L$322)</f>
        <v>0</v>
      </c>
      <c r="H319" s="116"/>
      <c r="I319" s="425">
        <v>2022</v>
      </c>
      <c r="J319" s="426">
        <v>1</v>
      </c>
      <c r="K319" s="426" t="s">
        <v>1475</v>
      </c>
      <c r="L319" s="427">
        <v>6</v>
      </c>
      <c r="M319" s="116"/>
      <c r="N319" s="116"/>
      <c r="O319" s="116"/>
      <c r="P319" s="116"/>
      <c r="Q319" s="116"/>
      <c r="R319" s="116"/>
      <c r="S319" s="326"/>
    </row>
    <row r="320" spans="2:19" ht="18.95" customHeight="1">
      <c r="B320" s="412"/>
      <c r="C320" s="410">
        <f t="shared" si="8"/>
        <v>0</v>
      </c>
      <c r="D320" s="413"/>
      <c r="E320" s="413"/>
      <c r="F320" s="413"/>
      <c r="G320" s="414"/>
      <c r="H320" s="116"/>
      <c r="I320" s="428">
        <v>2022</v>
      </c>
      <c r="J320" s="429">
        <v>2</v>
      </c>
      <c r="K320" s="429" t="s">
        <v>1473</v>
      </c>
      <c r="L320" s="430">
        <v>7</v>
      </c>
      <c r="M320" s="116"/>
      <c r="N320" s="116"/>
      <c r="O320" s="116"/>
      <c r="P320" s="116"/>
      <c r="Q320" s="116"/>
      <c r="R320" s="116"/>
      <c r="S320" s="326"/>
    </row>
    <row r="321" spans="2:19" ht="18.95" customHeight="1">
      <c r="B321" s="412"/>
      <c r="C321" s="410">
        <f t="shared" si="8"/>
        <v>0</v>
      </c>
      <c r="D321" s="413"/>
      <c r="E321" s="413"/>
      <c r="F321" s="413"/>
      <c r="G321" s="414"/>
      <c r="H321" s="116"/>
      <c r="I321" s="425">
        <v>2022</v>
      </c>
      <c r="J321" s="426">
        <v>2</v>
      </c>
      <c r="K321" s="426" t="s">
        <v>1474</v>
      </c>
      <c r="L321" s="427">
        <v>5</v>
      </c>
      <c r="M321" s="116"/>
      <c r="N321" s="116"/>
      <c r="O321" s="116"/>
      <c r="P321" s="116"/>
      <c r="Q321" s="116"/>
      <c r="R321" s="116"/>
      <c r="S321" s="326"/>
    </row>
    <row r="322" spans="2:19" ht="18.95" customHeight="1">
      <c r="B322" s="412"/>
      <c r="C322" s="410">
        <f t="shared" si="8"/>
        <v>0</v>
      </c>
      <c r="D322" s="413"/>
      <c r="E322" s="413"/>
      <c r="F322" s="413"/>
      <c r="G322" s="414"/>
      <c r="H322" s="116"/>
      <c r="I322" s="442">
        <v>2022</v>
      </c>
      <c r="J322" s="443">
        <v>2</v>
      </c>
      <c r="K322" s="443" t="s">
        <v>1475</v>
      </c>
      <c r="L322" s="444">
        <v>8</v>
      </c>
      <c r="M322" s="116"/>
      <c r="N322" s="116"/>
      <c r="O322" s="116"/>
      <c r="P322" s="116"/>
      <c r="Q322" s="116"/>
      <c r="R322" s="116"/>
      <c r="S322" s="326"/>
    </row>
    <row r="323" spans="2:19" ht="18.95" customHeight="1">
      <c r="B323" s="433"/>
      <c r="C323" s="434">
        <f t="shared" si="8"/>
        <v>0</v>
      </c>
      <c r="D323" s="435"/>
      <c r="E323" s="435"/>
      <c r="F323" s="435"/>
      <c r="G323" s="436"/>
      <c r="H323" s="116"/>
      <c r="I323" s="116"/>
      <c r="J323" s="116"/>
      <c r="K323" s="116"/>
      <c r="L323" s="116"/>
      <c r="M323" s="116"/>
      <c r="N323" s="116"/>
      <c r="O323" s="116"/>
      <c r="P323" s="116"/>
      <c r="Q323" s="116"/>
      <c r="R323" s="116"/>
      <c r="S323" s="326"/>
    </row>
    <row r="324" spans="2:19" ht="18.95" customHeight="1">
      <c r="B324" s="254"/>
      <c r="C324" s="116"/>
      <c r="D324" s="116"/>
      <c r="E324" s="116"/>
      <c r="F324" s="116"/>
      <c r="G324" s="116"/>
      <c r="H324" s="116"/>
      <c r="I324" s="116"/>
      <c r="J324" s="116"/>
      <c r="K324" s="116"/>
      <c r="L324" s="116"/>
      <c r="M324" s="116"/>
      <c r="N324" s="116"/>
      <c r="O324" s="116"/>
      <c r="P324" s="116"/>
      <c r="Q324" s="116"/>
      <c r="R324" s="116"/>
      <c r="S324" s="326"/>
    </row>
    <row r="325" spans="2:19" ht="18.95" customHeight="1">
      <c r="B325" s="254"/>
      <c r="C325" s="116"/>
      <c r="D325" s="116" t="s">
        <v>1476</v>
      </c>
      <c r="E325" s="116"/>
      <c r="F325" s="116"/>
      <c r="G325" s="116"/>
      <c r="H325" s="116"/>
      <c r="I325" s="116"/>
      <c r="J325" s="116"/>
      <c r="K325" s="116"/>
      <c r="L325" s="116"/>
      <c r="M325" s="219" t="s">
        <v>609</v>
      </c>
      <c r="N325" s="116"/>
      <c r="O325" s="116"/>
      <c r="P325" s="116"/>
      <c r="Q325" s="116"/>
      <c r="R325" s="116"/>
      <c r="S325" s="326"/>
    </row>
    <row r="326" spans="2:19" ht="18.95" customHeight="1">
      <c r="B326" s="304"/>
      <c r="C326" s="305"/>
      <c r="D326" s="305"/>
      <c r="E326" s="305"/>
      <c r="F326" s="305"/>
      <c r="G326" s="305"/>
      <c r="H326" s="305"/>
      <c r="I326" s="305"/>
      <c r="J326" s="305"/>
      <c r="K326" s="305"/>
      <c r="L326" s="305"/>
      <c r="M326" s="305"/>
      <c r="N326" s="305"/>
      <c r="O326" s="305"/>
      <c r="P326" s="305"/>
      <c r="Q326" s="305"/>
      <c r="R326" s="305"/>
      <c r="S326" s="327"/>
    </row>
    <row r="328" spans="2:19" ht="18.95" customHeight="1">
      <c r="B328" s="333"/>
      <c r="C328" s="324"/>
      <c r="D328" s="324"/>
      <c r="E328" s="324"/>
      <c r="F328" s="324"/>
      <c r="G328" s="324"/>
      <c r="H328" s="325"/>
    </row>
    <row r="329" spans="2:19" ht="18.95" customHeight="1">
      <c r="B329" s="437" t="s">
        <v>1477</v>
      </c>
      <c r="C329" s="438"/>
      <c r="D329" s="438" t="s">
        <v>1478</v>
      </c>
      <c r="E329" s="116"/>
      <c r="F329" s="116"/>
      <c r="G329" s="116"/>
      <c r="H329" s="326"/>
    </row>
    <row r="330" spans="2:19" ht="18.95" customHeight="1">
      <c r="B330" s="439" t="s">
        <v>1479</v>
      </c>
      <c r="C330" s="440"/>
      <c r="D330" s="441" t="s">
        <v>1480</v>
      </c>
      <c r="E330" s="323" t="str">
        <f t="array" ref="E330">_xlfn.IFNA(LOOKUP(4^8,FIND($D$330:$D$384,B330),$D$330:$D$384),"")</f>
        <v>马者哨村</v>
      </c>
      <c r="F330" s="116"/>
      <c r="G330" s="116"/>
      <c r="H330" s="326"/>
    </row>
    <row r="331" spans="2:19" ht="18.95" customHeight="1">
      <c r="B331" s="439" t="s">
        <v>1481</v>
      </c>
      <c r="C331" s="440"/>
      <c r="D331" s="441" t="s">
        <v>1482</v>
      </c>
      <c r="E331" s="323" t="str">
        <f t="array" ref="E331">_xlfn.IFNA(LOOKUP(4^8,FIND($D$330:$D$384,B331),$D$330:$D$384),"")</f>
        <v/>
      </c>
      <c r="F331" s="116"/>
      <c r="G331" s="116"/>
      <c r="H331" s="326"/>
    </row>
    <row r="332" spans="2:19" ht="18.95" customHeight="1">
      <c r="B332" s="439" t="s">
        <v>1483</v>
      </c>
      <c r="C332" s="440"/>
      <c r="D332" s="441" t="s">
        <v>1484</v>
      </c>
      <c r="E332" s="323" t="str">
        <f t="array" ref="E332">_xlfn.IFNA(LOOKUP(4^8,FIND($D$330:$D$384,B332),$D$330:$D$384),"")</f>
        <v/>
      </c>
      <c r="F332" s="116"/>
      <c r="G332" s="116"/>
      <c r="H332" s="326"/>
    </row>
    <row r="333" spans="2:19" ht="18.95" customHeight="1">
      <c r="B333" s="439" t="s">
        <v>1485</v>
      </c>
      <c r="C333" s="440"/>
      <c r="D333" s="441" t="s">
        <v>1486</v>
      </c>
      <c r="E333" s="323" t="str">
        <f t="array" ref="E333">_xlfn.IFNA(LOOKUP(4^8,FIND($D$330:$D$384,B333),$D$330:$D$384),"")</f>
        <v/>
      </c>
      <c r="F333" s="116"/>
      <c r="G333" s="116"/>
      <c r="H333" s="326"/>
    </row>
    <row r="334" spans="2:19" ht="18.95" customHeight="1">
      <c r="B334" s="439" t="s">
        <v>1487</v>
      </c>
      <c r="C334" s="440"/>
      <c r="D334" s="441" t="s">
        <v>1488</v>
      </c>
      <c r="E334" s="323" t="str">
        <f t="array" ref="E334">_xlfn.IFNA(LOOKUP(4^8,FIND($D$330:$D$384,B334),$D$330:$D$384),"")</f>
        <v/>
      </c>
      <c r="F334" s="116"/>
      <c r="G334" s="116"/>
      <c r="H334" s="326"/>
    </row>
    <row r="335" spans="2:19" ht="18.95" customHeight="1">
      <c r="B335" s="439" t="s">
        <v>1489</v>
      </c>
      <c r="C335" s="440"/>
      <c r="D335" s="441" t="s">
        <v>1490</v>
      </c>
      <c r="E335" s="323" t="str">
        <f t="array" ref="E335">_xlfn.IFNA(LOOKUP(4^8,FIND($D$330:$D$384,B335),$D$330:$D$384),"")</f>
        <v/>
      </c>
      <c r="F335" s="116"/>
      <c r="G335" s="116"/>
      <c r="H335" s="326"/>
    </row>
    <row r="336" spans="2:19" ht="18.95" customHeight="1">
      <c r="B336" s="439" t="s">
        <v>1491</v>
      </c>
      <c r="C336" s="440"/>
      <c r="D336" s="441" t="s">
        <v>1492</v>
      </c>
      <c r="E336" s="323" t="str">
        <f t="array" ref="E336">_xlfn.IFNA(LOOKUP(4^8,FIND($D$330:$D$384,B336),$D$330:$D$384),"")</f>
        <v>大庄村</v>
      </c>
      <c r="F336" s="116"/>
      <c r="G336" s="116"/>
      <c r="H336" s="326"/>
    </row>
    <row r="337" spans="2:8" ht="18.95" customHeight="1">
      <c r="B337" s="439" t="s">
        <v>1493</v>
      </c>
      <c r="C337" s="440"/>
      <c r="D337" s="441" t="s">
        <v>1494</v>
      </c>
      <c r="E337" s="323" t="str">
        <f t="array" ref="E337">_xlfn.IFNA(LOOKUP(4^8,FIND($D$330:$D$384,B337),$D$330:$D$384),"")</f>
        <v/>
      </c>
      <c r="F337" s="116"/>
      <c r="G337" s="116"/>
      <c r="H337" s="326"/>
    </row>
    <row r="338" spans="2:8" ht="18.95" customHeight="1">
      <c r="B338" s="439" t="s">
        <v>1495</v>
      </c>
      <c r="C338" s="440"/>
      <c r="D338" s="441" t="s">
        <v>1496</v>
      </c>
      <c r="E338" s="323" t="str">
        <f t="array" ref="E338">_xlfn.IFNA(LOOKUP(4^8,FIND($D$330:$D$384,B338),$D$330:$D$384),"")</f>
        <v>仁者村</v>
      </c>
      <c r="F338" s="116"/>
      <c r="G338" s="116"/>
      <c r="H338" s="326"/>
    </row>
    <row r="339" spans="2:8" ht="18.95" customHeight="1">
      <c r="B339" s="439" t="s">
        <v>1497</v>
      </c>
      <c r="C339" s="440"/>
      <c r="D339" s="441" t="s">
        <v>1498</v>
      </c>
      <c r="E339" s="323" t="str">
        <f t="array" ref="E339">_xlfn.IFNA(LOOKUP(4^8,FIND($D$330:$D$384,B339),$D$330:$D$384),"")</f>
        <v>三台铺村</v>
      </c>
      <c r="F339" s="116"/>
      <c r="G339" s="116"/>
      <c r="H339" s="326"/>
    </row>
    <row r="340" spans="2:8" ht="18.95" customHeight="1">
      <c r="B340" s="439" t="s">
        <v>1499</v>
      </c>
      <c r="C340" s="440"/>
      <c r="D340" s="441" t="s">
        <v>1500</v>
      </c>
      <c r="E340" s="323" t="str">
        <f t="array" ref="E340">_xlfn.IFNA(LOOKUP(4^8,FIND($D$330:$D$384,B340),$D$330:$D$384),"")</f>
        <v>乐白道村</v>
      </c>
      <c r="F340" s="116"/>
      <c r="G340" s="116"/>
      <c r="H340" s="326"/>
    </row>
    <row r="341" spans="2:8" ht="18.95" customHeight="1">
      <c r="B341" s="439" t="s">
        <v>1501</v>
      </c>
      <c r="C341" s="440"/>
      <c r="D341" s="441" t="s">
        <v>1502</v>
      </c>
      <c r="E341" s="323" t="str">
        <f t="array" ref="E341">_xlfn.IFNA(LOOKUP(4^8,FIND($D$330:$D$384,B341),$D$330:$D$384),"")</f>
        <v>大平寨村</v>
      </c>
      <c r="F341" s="116"/>
      <c r="G341" s="116"/>
      <c r="H341" s="326"/>
    </row>
    <row r="342" spans="2:8" ht="18.95" customHeight="1">
      <c r="B342" s="439" t="s">
        <v>1485</v>
      </c>
      <c r="C342" s="440"/>
      <c r="D342" s="441" t="s">
        <v>1503</v>
      </c>
      <c r="E342" s="323" t="str">
        <f t="array" ref="E342">_xlfn.IFNA(LOOKUP(4^8,FIND($D$330:$D$384,B342),$D$330:$D$384),"")</f>
        <v/>
      </c>
      <c r="F342" s="116"/>
      <c r="G342" s="116"/>
      <c r="H342" s="326"/>
    </row>
    <row r="343" spans="2:8" ht="18.95" customHeight="1">
      <c r="B343" s="439" t="s">
        <v>1504</v>
      </c>
      <c r="C343" s="440"/>
      <c r="D343" s="441" t="s">
        <v>1505</v>
      </c>
      <c r="E343" s="323" t="str">
        <f t="array" ref="E343">_xlfn.IFNA(LOOKUP(4^8,FIND($D$330:$D$384,B343),$D$330:$D$384),"")</f>
        <v>阿德邑村</v>
      </c>
      <c r="F343" s="116"/>
      <c r="G343" s="116"/>
      <c r="H343" s="326"/>
    </row>
    <row r="344" spans="2:8" ht="18.95" customHeight="1">
      <c r="B344" s="439" t="s">
        <v>1506</v>
      </c>
      <c r="C344" s="440"/>
      <c r="D344" s="441" t="s">
        <v>1507</v>
      </c>
      <c r="E344" s="323" t="str">
        <f t="array" ref="E344">_xlfn.IFNA(LOOKUP(4^8,FIND($D$330:$D$384,B344),$D$330:$D$384),"")</f>
        <v/>
      </c>
      <c r="F344" s="116"/>
      <c r="G344" s="116"/>
      <c r="H344" s="326"/>
    </row>
    <row r="345" spans="2:8" ht="18.95" customHeight="1">
      <c r="B345" s="439" t="s">
        <v>1508</v>
      </c>
      <c r="C345" s="440"/>
      <c r="D345" s="441" t="s">
        <v>1509</v>
      </c>
      <c r="E345" s="323" t="str">
        <f t="array" ref="E345">_xlfn.IFNA(LOOKUP(4^8,FIND($D$330:$D$384,B345),$D$330:$D$384),"")</f>
        <v>马桑箐村</v>
      </c>
      <c r="F345" s="116"/>
      <c r="G345" s="116"/>
      <c r="H345" s="326"/>
    </row>
    <row r="346" spans="2:8" ht="18.95" customHeight="1">
      <c r="B346" s="439" t="s">
        <v>1510</v>
      </c>
      <c r="C346" s="440"/>
      <c r="D346" s="441" t="s">
        <v>1511</v>
      </c>
      <c r="E346" s="323" t="str">
        <f t="array" ref="E346">_xlfn.IFNA(LOOKUP(4^8,FIND($D$330:$D$384,B346),$D$330:$D$384),"")</f>
        <v>田心村</v>
      </c>
      <c r="F346" s="116"/>
      <c r="G346" s="116"/>
      <c r="H346" s="326"/>
    </row>
    <row r="347" spans="2:8" ht="18.95" customHeight="1">
      <c r="B347" s="439" t="s">
        <v>1512</v>
      </c>
      <c r="C347" s="440"/>
      <c r="D347" s="441" t="s">
        <v>1513</v>
      </c>
      <c r="E347" s="323" t="str">
        <f t="array" ref="E347">_xlfn.IFNA(LOOKUP(4^8,FIND($D$330:$D$384,B347),$D$330:$D$384),"")</f>
        <v/>
      </c>
      <c r="F347" s="116"/>
      <c r="G347" s="116"/>
      <c r="H347" s="326"/>
    </row>
    <row r="348" spans="2:8" ht="18.95" customHeight="1">
      <c r="B348" s="439" t="s">
        <v>1514</v>
      </c>
      <c r="C348" s="440"/>
      <c r="D348" s="441" t="s">
        <v>1515</v>
      </c>
      <c r="E348" s="323" t="str">
        <f t="array" ref="E348">_xlfn.IFNA(LOOKUP(4^8,FIND($D$330:$D$384,B348),$D$330:$D$384),"")</f>
        <v/>
      </c>
      <c r="F348" s="116"/>
      <c r="G348" s="116"/>
      <c r="H348" s="326"/>
    </row>
    <row r="349" spans="2:8" ht="18.95" customHeight="1">
      <c r="B349" s="439" t="s">
        <v>1516</v>
      </c>
      <c r="C349" s="440"/>
      <c r="D349" s="441" t="s">
        <v>1517</v>
      </c>
      <c r="E349" s="323" t="str">
        <f t="array" ref="E349">_xlfn.IFNA(LOOKUP(4^8,FIND($D$330:$D$384,B349),$D$330:$D$384),"")</f>
        <v/>
      </c>
      <c r="F349" s="116"/>
      <c r="G349" s="116"/>
      <c r="H349" s="326"/>
    </row>
    <row r="350" spans="2:8" ht="18.95" customHeight="1">
      <c r="B350" s="439" t="s">
        <v>1518</v>
      </c>
      <c r="C350" s="440"/>
      <c r="D350" s="441" t="s">
        <v>1519</v>
      </c>
      <c r="E350" s="323" t="str">
        <f t="array" ref="E350">_xlfn.IFNA(LOOKUP(4^8,FIND($D$330:$D$384,B350),$D$330:$D$384),"")</f>
        <v/>
      </c>
      <c r="F350" s="116"/>
      <c r="G350" s="116"/>
      <c r="H350" s="326"/>
    </row>
    <row r="351" spans="2:8" ht="18.95" customHeight="1">
      <c r="B351" s="439" t="s">
        <v>1520</v>
      </c>
      <c r="C351" s="440"/>
      <c r="D351" s="441" t="s">
        <v>1521</v>
      </c>
      <c r="E351" s="323" t="str">
        <f t="array" ref="E351">_xlfn.IFNA(LOOKUP(4^8,FIND($D$330:$D$384,B351),$D$330:$D$384),"")</f>
        <v/>
      </c>
      <c r="F351" s="116"/>
      <c r="G351" s="116"/>
      <c r="H351" s="326"/>
    </row>
    <row r="352" spans="2:8" ht="18.95" customHeight="1">
      <c r="B352" s="439" t="s">
        <v>1522</v>
      </c>
      <c r="C352" s="440"/>
      <c r="D352" s="441" t="s">
        <v>1523</v>
      </c>
      <c r="E352" s="323" t="str">
        <f t="array" ref="E352">_xlfn.IFNA(LOOKUP(4^8,FIND($D$330:$D$384,B352),$D$330:$D$384),"")</f>
        <v>三台铺村</v>
      </c>
      <c r="F352" s="116"/>
      <c r="G352" s="116"/>
      <c r="H352" s="326"/>
    </row>
    <row r="353" spans="2:8" ht="18.95" customHeight="1">
      <c r="B353" s="439" t="s">
        <v>1524</v>
      </c>
      <c r="C353" s="440"/>
      <c r="D353" s="441" t="s">
        <v>1523</v>
      </c>
      <c r="E353" s="323" t="str">
        <f t="array" ref="E353">_xlfn.IFNA(LOOKUP(4^8,FIND($D$330:$D$384,B353),$D$330:$D$384),"")</f>
        <v>红土村</v>
      </c>
      <c r="F353" s="116"/>
      <c r="G353" s="116"/>
      <c r="H353" s="326"/>
    </row>
    <row r="354" spans="2:8" ht="18.95" customHeight="1">
      <c r="B354" s="439" t="s">
        <v>1525</v>
      </c>
      <c r="C354" s="440"/>
      <c r="D354" s="441" t="s">
        <v>1526</v>
      </c>
      <c r="E354" s="323" t="str">
        <f t="array" ref="E354">_xlfn.IFNA(LOOKUP(4^8,FIND($D$330:$D$384,B354),$D$330:$D$384),"")</f>
        <v/>
      </c>
      <c r="F354" s="116"/>
      <c r="G354" s="116"/>
      <c r="H354" s="326"/>
    </row>
    <row r="355" spans="2:8" ht="18.95" customHeight="1">
      <c r="B355" s="439" t="s">
        <v>1527</v>
      </c>
      <c r="C355" s="440"/>
      <c r="D355" s="441" t="s">
        <v>1528</v>
      </c>
      <c r="E355" s="323" t="str">
        <f t="array" ref="E355">_xlfn.IFNA(LOOKUP(4^8,FIND($D$330:$D$384,B355),$D$330:$D$384),"")</f>
        <v/>
      </c>
      <c r="F355" s="116"/>
      <c r="G355" s="116"/>
      <c r="H355" s="326"/>
    </row>
    <row r="356" spans="2:8" ht="18.95" customHeight="1">
      <c r="B356" s="439" t="s">
        <v>1514</v>
      </c>
      <c r="C356" s="440"/>
      <c r="D356" s="441" t="s">
        <v>1529</v>
      </c>
      <c r="E356" s="323" t="str">
        <f t="array" ref="E356">_xlfn.IFNA(LOOKUP(4^8,FIND($D$330:$D$384,B356),$D$330:$D$384),"")</f>
        <v/>
      </c>
      <c r="F356" s="116"/>
      <c r="G356" s="116"/>
      <c r="H356" s="326"/>
    </row>
    <row r="357" spans="2:8" ht="18.95" customHeight="1">
      <c r="B357" s="439" t="s">
        <v>1530</v>
      </c>
      <c r="C357" s="440"/>
      <c r="D357" s="441" t="s">
        <v>1531</v>
      </c>
      <c r="E357" s="323" t="str">
        <f t="array" ref="E357">_xlfn.IFNA(LOOKUP(4^8,FIND($D$330:$D$384,B357),$D$330:$D$384),"")</f>
        <v/>
      </c>
      <c r="F357" s="116"/>
      <c r="G357" s="116"/>
      <c r="H357" s="326"/>
    </row>
    <row r="358" spans="2:8" ht="18.95" customHeight="1">
      <c r="B358" s="439" t="s">
        <v>1532</v>
      </c>
      <c r="C358" s="440"/>
      <c r="D358" s="441" t="s">
        <v>1533</v>
      </c>
      <c r="E358" s="323" t="str">
        <f t="array" ref="E358">_xlfn.IFNA(LOOKUP(4^8,FIND($D$330:$D$384,B358),$D$330:$D$384),"")</f>
        <v/>
      </c>
      <c r="F358" s="116"/>
      <c r="G358" s="116"/>
      <c r="H358" s="326"/>
    </row>
    <row r="359" spans="2:8" ht="18.95" customHeight="1">
      <c r="B359" s="439" t="s">
        <v>1534</v>
      </c>
      <c r="C359" s="440"/>
      <c r="D359" s="441" t="s">
        <v>1535</v>
      </c>
      <c r="E359" s="323" t="str">
        <f t="array" ref="E359">_xlfn.IFNA(LOOKUP(4^8,FIND($D$330:$D$384,B359),$D$330:$D$384),"")</f>
        <v/>
      </c>
      <c r="F359" s="116"/>
      <c r="G359" s="116"/>
      <c r="H359" s="326"/>
    </row>
    <row r="360" spans="2:8" ht="18.95" customHeight="1">
      <c r="B360" s="439" t="s">
        <v>1536</v>
      </c>
      <c r="C360" s="440"/>
      <c r="D360" s="441" t="s">
        <v>1537</v>
      </c>
      <c r="E360" s="323" t="str">
        <f t="array" ref="E360">_xlfn.IFNA(LOOKUP(4^8,FIND($D$330:$D$384,B360),$D$330:$D$384),"")</f>
        <v/>
      </c>
      <c r="F360" s="116"/>
      <c r="G360" s="116"/>
      <c r="H360" s="326"/>
    </row>
    <row r="361" spans="2:8" ht="18.95" customHeight="1">
      <c r="B361" s="439" t="s">
        <v>1538</v>
      </c>
      <c r="C361" s="440"/>
      <c r="D361" s="441" t="s">
        <v>1539</v>
      </c>
      <c r="E361" s="323" t="str">
        <f t="array" ref="E361">_xlfn.IFNA(LOOKUP(4^8,FIND($D$330:$D$384,B361),$D$330:$D$384),"")</f>
        <v>乐白道村</v>
      </c>
      <c r="F361" s="116"/>
      <c r="G361" s="116"/>
      <c r="H361" s="326"/>
    </row>
    <row r="362" spans="2:8" ht="18.95" customHeight="1">
      <c r="B362" s="439" t="s">
        <v>1540</v>
      </c>
      <c r="C362" s="440"/>
      <c r="D362" s="441" t="s">
        <v>1541</v>
      </c>
      <c r="E362" s="323" t="str">
        <f t="array" ref="E362">_xlfn.IFNA(LOOKUP(4^8,FIND($D$330:$D$384,B362),$D$330:$D$384),"")</f>
        <v>田心村</v>
      </c>
      <c r="F362" s="116"/>
      <c r="G362" s="116"/>
      <c r="H362" s="326"/>
    </row>
    <row r="363" spans="2:8" ht="18.95" customHeight="1">
      <c r="B363" s="439" t="s">
        <v>1542</v>
      </c>
      <c r="C363" s="440"/>
      <c r="D363" s="441" t="s">
        <v>1543</v>
      </c>
      <c r="E363" s="323" t="str">
        <f t="array" ref="E363">_xlfn.IFNA(LOOKUP(4^8,FIND($D$330:$D$384,B363),$D$330:$D$384),"")</f>
        <v/>
      </c>
      <c r="F363" s="116"/>
      <c r="G363" s="116"/>
      <c r="H363" s="326"/>
    </row>
    <row r="364" spans="2:8" ht="18.95" customHeight="1">
      <c r="B364" s="439" t="s">
        <v>1544</v>
      </c>
      <c r="C364" s="440"/>
      <c r="D364" s="441" t="s">
        <v>1545</v>
      </c>
      <c r="E364" s="323" t="str">
        <f t="array" ref="E364">_xlfn.IFNA(LOOKUP(4^8,FIND($D$330:$D$384,B364),$D$330:$D$384),"")</f>
        <v/>
      </c>
      <c r="F364" s="116"/>
      <c r="G364" s="116"/>
      <c r="H364" s="326"/>
    </row>
    <row r="365" spans="2:8" ht="18.95" customHeight="1">
      <c r="B365" s="439" t="s">
        <v>1546</v>
      </c>
      <c r="C365" s="440"/>
      <c r="D365" s="441" t="s">
        <v>1547</v>
      </c>
      <c r="E365" s="323" t="str">
        <f t="array" ref="E365">_xlfn.IFNA(LOOKUP(4^8,FIND($D$330:$D$384,B365),$D$330:$D$384),"")</f>
        <v/>
      </c>
      <c r="F365" s="116"/>
      <c r="G365" s="116"/>
      <c r="H365" s="326"/>
    </row>
    <row r="366" spans="2:8" ht="18.95" customHeight="1">
      <c r="B366" s="439" t="s">
        <v>1548</v>
      </c>
      <c r="C366" s="440"/>
      <c r="D366" s="441" t="s">
        <v>1549</v>
      </c>
      <c r="E366" s="323" t="str">
        <f t="array" ref="E366">_xlfn.IFNA(LOOKUP(4^8,FIND($D$330:$D$384,B366),$D$330:$D$384),"")</f>
        <v>则旧村</v>
      </c>
      <c r="F366" s="116"/>
      <c r="G366" s="116"/>
      <c r="H366" s="326"/>
    </row>
    <row r="367" spans="2:8" ht="18.95" customHeight="1">
      <c r="B367" s="439" t="s">
        <v>1550</v>
      </c>
      <c r="C367" s="440"/>
      <c r="D367" s="441" t="s">
        <v>1551</v>
      </c>
      <c r="E367" s="323" t="str">
        <f t="array" ref="E367">_xlfn.IFNA(LOOKUP(4^8,FIND($D$330:$D$384,B367),$D$330:$D$384),"")</f>
        <v/>
      </c>
      <c r="F367" s="116"/>
      <c r="G367" s="116"/>
      <c r="H367" s="326"/>
    </row>
    <row r="368" spans="2:8" ht="18.95" customHeight="1">
      <c r="B368" s="439" t="s">
        <v>1552</v>
      </c>
      <c r="C368" s="440"/>
      <c r="D368" s="441" t="s">
        <v>1553</v>
      </c>
      <c r="E368" s="323" t="str">
        <f t="array" ref="E368">_xlfn.IFNA(LOOKUP(4^8,FIND($D$330:$D$384,B368),$D$330:$D$384),"")</f>
        <v>八家村</v>
      </c>
      <c r="F368" s="116"/>
      <c r="G368" s="116"/>
      <c r="H368" s="326"/>
    </row>
    <row r="369" spans="2:8" ht="18.95" customHeight="1">
      <c r="B369" s="439" t="s">
        <v>1554</v>
      </c>
      <c r="C369" s="440"/>
      <c r="D369" s="441" t="s">
        <v>1555</v>
      </c>
      <c r="E369" s="323" t="str">
        <f t="array" ref="E369">_xlfn.IFNA(LOOKUP(4^8,FIND($D$330:$D$384,B369),$D$330:$D$384),"")</f>
        <v/>
      </c>
      <c r="F369" s="116"/>
      <c r="G369" s="116"/>
      <c r="H369" s="326"/>
    </row>
    <row r="370" spans="2:8" ht="18.95" customHeight="1">
      <c r="B370" s="439" t="s">
        <v>1556</v>
      </c>
      <c r="C370" s="440"/>
      <c r="D370" s="441" t="s">
        <v>1557</v>
      </c>
      <c r="E370" s="323" t="str">
        <f t="array" ref="E370">_xlfn.IFNA(LOOKUP(4^8,FIND($D$330:$D$384,B370),$D$330:$D$384),"")</f>
        <v>楷甸村</v>
      </c>
      <c r="F370" s="116"/>
      <c r="G370" s="116"/>
      <c r="H370" s="326"/>
    </row>
    <row r="371" spans="2:8" ht="18.95" customHeight="1">
      <c r="B371" s="439" t="s">
        <v>1538</v>
      </c>
      <c r="C371" s="440"/>
      <c r="D371" s="441" t="s">
        <v>1558</v>
      </c>
      <c r="E371" s="323" t="str">
        <f t="array" ref="E371">_xlfn.IFNA(LOOKUP(4^8,FIND($D$330:$D$384,B371),$D$330:$D$384),"")</f>
        <v>乐白道村</v>
      </c>
      <c r="F371" s="116"/>
      <c r="G371" s="116"/>
      <c r="H371" s="326"/>
    </row>
    <row r="372" spans="2:8" ht="18.95" customHeight="1">
      <c r="B372" s="439" t="s">
        <v>1559</v>
      </c>
      <c r="C372" s="440"/>
      <c r="D372" s="441" t="s">
        <v>1560</v>
      </c>
      <c r="E372" s="323" t="str">
        <f t="array" ref="E372">_xlfn.IFNA(LOOKUP(4^8,FIND($D$330:$D$384,B372),$D$330:$D$384),"")</f>
        <v>小寨街村</v>
      </c>
      <c r="F372" s="116"/>
      <c r="G372" s="116"/>
      <c r="H372" s="326"/>
    </row>
    <row r="373" spans="2:8" ht="18.95" customHeight="1">
      <c r="B373" s="439" t="s">
        <v>1561</v>
      </c>
      <c r="C373" s="440"/>
      <c r="D373" s="441" t="s">
        <v>1562</v>
      </c>
      <c r="E373" s="323" t="str">
        <f t="array" ref="E373">_xlfn.IFNA(LOOKUP(4^8,FIND($D$330:$D$384,B373),$D$330:$D$384),"")</f>
        <v>则旧村</v>
      </c>
      <c r="F373" s="116"/>
      <c r="G373" s="116"/>
      <c r="H373" s="326"/>
    </row>
    <row r="374" spans="2:8" ht="18.95" customHeight="1">
      <c r="B374" s="439" t="s">
        <v>1563</v>
      </c>
      <c r="C374" s="440"/>
      <c r="D374" s="441" t="s">
        <v>1564</v>
      </c>
      <c r="E374" s="323" t="str">
        <f t="array" ref="E374">_xlfn.IFNA(LOOKUP(4^8,FIND($D$330:$D$384,B374),$D$330:$D$384),"")</f>
        <v>龙潭村</v>
      </c>
      <c r="F374" s="116"/>
      <c r="G374" s="116"/>
      <c r="H374" s="326"/>
    </row>
    <row r="375" spans="2:8" ht="18.95" customHeight="1">
      <c r="B375" s="439" t="s">
        <v>1565</v>
      </c>
      <c r="C375" s="440"/>
      <c r="D375" s="441" t="s">
        <v>1566</v>
      </c>
      <c r="E375" s="323" t="str">
        <f t="array" ref="E375">_xlfn.IFNA(LOOKUP(4^8,FIND($D$330:$D$384,B375),$D$330:$D$384),"")</f>
        <v>乐白道村</v>
      </c>
      <c r="F375" s="116"/>
      <c r="G375" s="116"/>
      <c r="H375" s="326"/>
    </row>
    <row r="376" spans="2:8" ht="18.95" customHeight="1">
      <c r="B376" s="439" t="s">
        <v>1534</v>
      </c>
      <c r="C376" s="440"/>
      <c r="D376" s="441" t="s">
        <v>1567</v>
      </c>
      <c r="E376" s="323" t="str">
        <f t="array" ref="E376">_xlfn.IFNA(LOOKUP(4^8,FIND($D$330:$D$384,B376),$D$330:$D$384),"")</f>
        <v/>
      </c>
      <c r="F376" s="116"/>
      <c r="G376" s="116"/>
      <c r="H376" s="326"/>
    </row>
    <row r="377" spans="2:8" ht="18.95" customHeight="1">
      <c r="B377" s="439" t="s">
        <v>1568</v>
      </c>
      <c r="C377" s="440"/>
      <c r="D377" s="441" t="s">
        <v>1569</v>
      </c>
      <c r="E377" s="323" t="str">
        <f t="array" ref="E377">_xlfn.IFNA(LOOKUP(4^8,FIND($D$330:$D$384,B377),$D$330:$D$384),"")</f>
        <v/>
      </c>
      <c r="F377" s="116"/>
      <c r="G377" s="116"/>
      <c r="H377" s="326"/>
    </row>
    <row r="378" spans="2:8" ht="18.95" customHeight="1">
      <c r="B378" s="439" t="s">
        <v>1570</v>
      </c>
      <c r="C378" s="440"/>
      <c r="D378" s="441" t="s">
        <v>1571</v>
      </c>
      <c r="E378" s="323" t="str">
        <f t="array" ref="E378">_xlfn.IFNA(LOOKUP(4^8,FIND($D$330:$D$384,B378),$D$330:$D$384),"")</f>
        <v>城干村</v>
      </c>
      <c r="F378" s="116"/>
      <c r="G378" s="116"/>
      <c r="H378" s="326"/>
    </row>
    <row r="379" spans="2:8" ht="18.95" customHeight="1">
      <c r="B379" s="439" t="s">
        <v>1572</v>
      </c>
      <c r="C379" s="440"/>
      <c r="D379" s="441" t="s">
        <v>1573</v>
      </c>
      <c r="E379" s="323" t="str">
        <f t="array" ref="E379">_xlfn.IFNA(LOOKUP(4^8,FIND($D$330:$D$384,B379),$D$330:$D$384),"")</f>
        <v>八家村</v>
      </c>
      <c r="F379" s="116"/>
      <c r="G379" s="116"/>
      <c r="H379" s="326"/>
    </row>
    <row r="380" spans="2:8" ht="18.95" customHeight="1">
      <c r="B380" s="439" t="s">
        <v>1574</v>
      </c>
      <c r="C380" s="440"/>
      <c r="D380" s="441" t="s">
        <v>1575</v>
      </c>
      <c r="E380" s="323" t="str">
        <f t="array" ref="E380">_xlfn.IFNA(LOOKUP(4^8,FIND($D$330:$D$384,B380),$D$330:$D$384),"")</f>
        <v/>
      </c>
      <c r="F380" s="116"/>
      <c r="G380" s="116"/>
      <c r="H380" s="326"/>
    </row>
    <row r="381" spans="2:8" ht="18.95" customHeight="1">
      <c r="B381" s="439" t="s">
        <v>1576</v>
      </c>
      <c r="C381" s="440"/>
      <c r="D381" s="441" t="s">
        <v>1577</v>
      </c>
      <c r="E381" s="323" t="str">
        <f t="array" ref="E381">_xlfn.IFNA(LOOKUP(4^8,FIND($D$330:$D$384,B381),$D$330:$D$384),"")</f>
        <v>田心村</v>
      </c>
      <c r="F381" s="116"/>
      <c r="G381" s="116"/>
      <c r="H381" s="326"/>
    </row>
    <row r="382" spans="2:8" ht="18.95" customHeight="1">
      <c r="B382" s="439" t="s">
        <v>1578</v>
      </c>
      <c r="C382" s="440"/>
      <c r="D382" s="441" t="s">
        <v>1579</v>
      </c>
      <c r="E382" s="323" t="str">
        <f t="array" ref="E382">_xlfn.IFNA(LOOKUP(4^8,FIND($D$330:$D$384,B382),$D$330:$D$384),"")</f>
        <v/>
      </c>
      <c r="F382" s="116"/>
      <c r="G382" s="116"/>
      <c r="H382" s="326"/>
    </row>
    <row r="383" spans="2:8" ht="18.95" customHeight="1">
      <c r="B383" s="439" t="s">
        <v>1580</v>
      </c>
      <c r="C383" s="440"/>
      <c r="D383" s="441" t="s">
        <v>1581</v>
      </c>
      <c r="E383" s="323" t="str">
        <f t="array" ref="E383">_xlfn.IFNA(LOOKUP(4^8,FIND($D$330:$D$384,B383),$D$330:$D$384),"")</f>
        <v/>
      </c>
      <c r="F383" s="116"/>
      <c r="G383" s="116"/>
      <c r="H383" s="326"/>
    </row>
    <row r="384" spans="2:8" ht="18.95" customHeight="1">
      <c r="B384" s="439" t="s">
        <v>1582</v>
      </c>
      <c r="C384" s="440"/>
      <c r="D384" s="441" t="s">
        <v>1583</v>
      </c>
      <c r="E384" s="323" t="str">
        <f t="array" ref="E384">_xlfn.IFNA(LOOKUP(4^8,FIND($D$330:$D$384,B384),$D$330:$D$384),"")</f>
        <v>田心村</v>
      </c>
      <c r="F384" s="116"/>
      <c r="G384" s="116"/>
      <c r="H384" s="326"/>
    </row>
    <row r="385" spans="2:16" ht="18.95" customHeight="1">
      <c r="B385" s="304"/>
      <c r="C385" s="305"/>
      <c r="D385" s="305"/>
      <c r="E385" s="305"/>
      <c r="F385" s="305"/>
      <c r="G385" s="305"/>
      <c r="H385" s="327"/>
    </row>
    <row r="387" spans="2:16" ht="18.95" customHeight="1">
      <c r="B387" s="333"/>
      <c r="C387" s="324"/>
      <c r="D387" s="324"/>
      <c r="E387" s="324"/>
      <c r="F387" s="324"/>
      <c r="G387" s="324"/>
      <c r="H387" s="324"/>
      <c r="I387" s="324"/>
      <c r="J387" s="324"/>
      <c r="K387" s="324"/>
      <c r="L387" s="324"/>
      <c r="M387" s="324"/>
      <c r="N387" s="324"/>
      <c r="O387" s="324"/>
      <c r="P387" s="325"/>
    </row>
    <row r="388" spans="2:16" ht="18.95" customHeight="1">
      <c r="B388" s="254"/>
      <c r="C388" s="116"/>
      <c r="D388" s="116" t="s">
        <v>1584</v>
      </c>
      <c r="E388" s="116"/>
      <c r="F388" s="116"/>
      <c r="H388" s="116"/>
      <c r="I388" s="116"/>
      <c r="J388" s="116"/>
      <c r="K388" s="116"/>
      <c r="L388" s="116"/>
      <c r="M388" s="116"/>
      <c r="N388" s="116"/>
      <c r="O388" s="116"/>
      <c r="P388" s="326"/>
    </row>
    <row r="389" spans="2:16" ht="18.95" customHeight="1">
      <c r="B389" s="254" t="s">
        <v>1363</v>
      </c>
      <c r="C389" s="116">
        <v>100</v>
      </c>
      <c r="D389" s="116" t="s">
        <v>1585</v>
      </c>
      <c r="E389" s="445" t="str">
        <f>IF((B389="语文")*(C389&lt;=100),"ok",IF((B389="数学")*(C389&lt;=150)*(C389&gt;=101),"ok",IF((B389="英语")*(C389&lt;=200)*(C389&gt;=151),"ok",IF((B389="体育")*(C389&lt;=249)*(C389&gt;=201),"ok","no"))))</f>
        <v>ok</v>
      </c>
      <c r="F389" s="116" t="b">
        <f>E389=D389</f>
        <v>1</v>
      </c>
      <c r="H389" s="116"/>
      <c r="I389" s="116"/>
      <c r="J389" s="219" t="s">
        <v>1586</v>
      </c>
      <c r="K389" s="219"/>
      <c r="L389" s="116"/>
      <c r="M389" s="116"/>
      <c r="N389" s="116"/>
      <c r="O389" s="116"/>
      <c r="P389" s="326"/>
    </row>
    <row r="390" spans="2:16" ht="18.95" customHeight="1">
      <c r="B390" s="254" t="s">
        <v>1364</v>
      </c>
      <c r="C390" s="116">
        <v>150</v>
      </c>
      <c r="D390" s="116" t="s">
        <v>1585</v>
      </c>
      <c r="E390" s="445" t="str">
        <f t="shared" ref="E390:E404" si="9">IF((B390="语文")*(C390&lt;=100),"ok",IF((B390="数学")*(C390&lt;=150)*(C390&gt;=101),"ok",IF((B390="英语")*(C390&lt;=200)*(C390&gt;=151),"ok",IF((B390="体育")*(C390&lt;=249)*(C390&gt;=201),"ok","no"))))</f>
        <v>ok</v>
      </c>
      <c r="F390" s="116" t="b">
        <f t="shared" ref="F390:F404" si="10">E390=D390</f>
        <v>1</v>
      </c>
      <c r="H390" s="116"/>
      <c r="I390" s="116"/>
      <c r="J390" s="219" t="s">
        <v>1587</v>
      </c>
      <c r="K390" s="219"/>
      <c r="L390" s="116"/>
      <c r="M390" s="116"/>
      <c r="N390" s="116"/>
      <c r="O390" s="116"/>
      <c r="P390" s="326"/>
    </row>
    <row r="391" spans="2:16" ht="18.95" customHeight="1">
      <c r="B391" s="254" t="s">
        <v>1365</v>
      </c>
      <c r="C391" s="116">
        <v>200</v>
      </c>
      <c r="D391" s="116" t="s">
        <v>1585</v>
      </c>
      <c r="E391" s="445" t="str">
        <f t="shared" si="9"/>
        <v>ok</v>
      </c>
      <c r="F391" s="116" t="b">
        <f t="shared" si="10"/>
        <v>1</v>
      </c>
      <c r="H391" s="116"/>
      <c r="I391" s="116"/>
      <c r="J391" s="219" t="s">
        <v>1588</v>
      </c>
      <c r="K391" s="219"/>
      <c r="L391" s="116"/>
      <c r="M391" s="116"/>
      <c r="N391" s="116"/>
      <c r="O391" s="116"/>
      <c r="P391" s="326"/>
    </row>
    <row r="392" spans="2:16" ht="18.95" customHeight="1">
      <c r="B392" s="254" t="s">
        <v>1589</v>
      </c>
      <c r="C392" s="116">
        <v>259</v>
      </c>
      <c r="D392" s="116" t="s">
        <v>1590</v>
      </c>
      <c r="E392" s="445" t="str">
        <f t="shared" si="9"/>
        <v>no</v>
      </c>
      <c r="F392" s="116" t="b">
        <f t="shared" si="10"/>
        <v>1</v>
      </c>
      <c r="H392" s="116"/>
      <c r="I392" s="116"/>
      <c r="J392" s="219" t="s">
        <v>1591</v>
      </c>
      <c r="K392" s="219"/>
      <c r="L392" s="116"/>
      <c r="M392" s="116"/>
      <c r="N392" s="116"/>
      <c r="O392" s="116"/>
      <c r="P392" s="326"/>
    </row>
    <row r="393" spans="2:16" ht="18.95" customHeight="1">
      <c r="B393" s="254" t="s">
        <v>1363</v>
      </c>
      <c r="C393" s="116">
        <v>88</v>
      </c>
      <c r="D393" s="116" t="s">
        <v>1585</v>
      </c>
      <c r="E393" s="445" t="str">
        <f t="shared" si="9"/>
        <v>ok</v>
      </c>
      <c r="F393" s="116" t="b">
        <f t="shared" si="10"/>
        <v>1</v>
      </c>
      <c r="G393" s="116"/>
      <c r="H393" s="116"/>
      <c r="I393" s="116"/>
      <c r="J393" s="219" t="s">
        <v>1592</v>
      </c>
      <c r="K393" s="219"/>
      <c r="L393" s="116"/>
      <c r="M393" s="116"/>
      <c r="N393" s="116"/>
      <c r="O393" s="116"/>
      <c r="P393" s="326"/>
    </row>
    <row r="394" spans="2:16" ht="18.95" customHeight="1">
      <c r="B394" s="254" t="s">
        <v>1364</v>
      </c>
      <c r="C394" s="116">
        <v>111</v>
      </c>
      <c r="D394" s="116" t="s">
        <v>1585</v>
      </c>
      <c r="E394" s="445" t="str">
        <f t="shared" si="9"/>
        <v>ok</v>
      </c>
      <c r="F394" s="116" t="b">
        <f t="shared" si="10"/>
        <v>1</v>
      </c>
      <c r="G394" s="116"/>
      <c r="H394" s="116"/>
      <c r="I394" s="116"/>
      <c r="J394" s="116"/>
      <c r="K394" s="116"/>
      <c r="L394" s="116"/>
      <c r="M394" s="116"/>
      <c r="N394" s="116"/>
      <c r="O394" s="116"/>
      <c r="P394" s="326"/>
    </row>
    <row r="395" spans="2:16" ht="18.95" customHeight="1">
      <c r="B395" s="254" t="s">
        <v>1365</v>
      </c>
      <c r="C395" s="116">
        <v>189</v>
      </c>
      <c r="D395" s="116" t="s">
        <v>1585</v>
      </c>
      <c r="E395" s="445" t="str">
        <f t="shared" si="9"/>
        <v>ok</v>
      </c>
      <c r="F395" s="116" t="b">
        <f t="shared" si="10"/>
        <v>1</v>
      </c>
      <c r="G395" s="116"/>
      <c r="H395" s="116"/>
      <c r="I395" s="116"/>
      <c r="J395" s="116"/>
      <c r="K395" s="116"/>
      <c r="L395" s="116"/>
      <c r="M395" s="116"/>
      <c r="N395" s="116"/>
      <c r="O395" s="116"/>
      <c r="P395" s="326"/>
    </row>
    <row r="396" spans="2:16" ht="18.95" customHeight="1">
      <c r="B396" s="254" t="s">
        <v>1589</v>
      </c>
      <c r="C396" s="116">
        <v>243</v>
      </c>
      <c r="D396" s="116" t="s">
        <v>1585</v>
      </c>
      <c r="E396" s="445" t="str">
        <f t="shared" si="9"/>
        <v>ok</v>
      </c>
      <c r="F396" s="116" t="b">
        <f t="shared" si="10"/>
        <v>1</v>
      </c>
      <c r="G396" s="116"/>
      <c r="H396" s="116"/>
      <c r="I396" s="116"/>
      <c r="J396" s="116"/>
      <c r="K396" s="116"/>
      <c r="L396" s="116"/>
      <c r="M396" s="116"/>
      <c r="N396" s="116"/>
      <c r="O396" s="116"/>
      <c r="P396" s="326"/>
    </row>
    <row r="397" spans="2:16" ht="18.95" customHeight="1">
      <c r="B397" s="254" t="s">
        <v>1363</v>
      </c>
      <c r="C397" s="116">
        <v>101</v>
      </c>
      <c r="D397" s="116" t="s">
        <v>1590</v>
      </c>
      <c r="E397" s="445" t="str">
        <f t="shared" si="9"/>
        <v>no</v>
      </c>
      <c r="F397" s="116" t="b">
        <f t="shared" si="10"/>
        <v>1</v>
      </c>
      <c r="G397" s="116"/>
      <c r="H397" s="116"/>
      <c r="I397" s="116"/>
      <c r="J397" s="116"/>
      <c r="K397" s="116"/>
      <c r="L397" s="116"/>
      <c r="M397" s="116"/>
      <c r="N397" s="116"/>
      <c r="O397" s="116"/>
      <c r="P397" s="326"/>
    </row>
    <row r="398" spans="2:16" ht="18.95" customHeight="1">
      <c r="B398" s="254" t="s">
        <v>1364</v>
      </c>
      <c r="C398" s="116">
        <v>155</v>
      </c>
      <c r="D398" s="116" t="s">
        <v>1590</v>
      </c>
      <c r="E398" s="445" t="str">
        <f t="shared" si="9"/>
        <v>no</v>
      </c>
      <c r="F398" s="116" t="b">
        <f t="shared" si="10"/>
        <v>1</v>
      </c>
      <c r="G398" s="116"/>
      <c r="H398" s="116"/>
      <c r="I398" s="116"/>
      <c r="J398" s="116"/>
      <c r="K398" s="116"/>
      <c r="L398" s="116"/>
      <c r="M398" s="116"/>
      <c r="N398" s="116"/>
      <c r="O398" s="116"/>
      <c r="P398" s="326"/>
    </row>
    <row r="399" spans="2:16" ht="18.95" customHeight="1">
      <c r="B399" s="254" t="s">
        <v>1365</v>
      </c>
      <c r="C399" s="116">
        <v>178</v>
      </c>
      <c r="D399" s="116" t="s">
        <v>1585</v>
      </c>
      <c r="E399" s="445" t="str">
        <f t="shared" si="9"/>
        <v>ok</v>
      </c>
      <c r="F399" s="116" t="b">
        <f t="shared" si="10"/>
        <v>1</v>
      </c>
      <c r="G399" s="116"/>
      <c r="H399" s="116"/>
      <c r="I399" s="116"/>
      <c r="J399" s="116"/>
      <c r="K399" s="116"/>
      <c r="L399" s="116"/>
      <c r="M399" s="116"/>
      <c r="N399" s="116"/>
      <c r="O399" s="116"/>
      <c r="P399" s="326"/>
    </row>
    <row r="400" spans="2:16" ht="18.95" customHeight="1">
      <c r="B400" s="254" t="s">
        <v>1589</v>
      </c>
      <c r="C400" s="116">
        <v>222</v>
      </c>
      <c r="D400" s="116" t="s">
        <v>1585</v>
      </c>
      <c r="E400" s="445" t="str">
        <f t="shared" si="9"/>
        <v>ok</v>
      </c>
      <c r="F400" s="116" t="b">
        <f t="shared" si="10"/>
        <v>1</v>
      </c>
      <c r="G400" s="116"/>
      <c r="H400" s="116"/>
      <c r="I400" s="116"/>
      <c r="J400" s="116"/>
      <c r="K400" s="116"/>
      <c r="L400" s="116"/>
      <c r="M400" s="116"/>
      <c r="N400" s="116"/>
      <c r="O400" s="116"/>
      <c r="P400" s="326"/>
    </row>
    <row r="401" spans="2:18" ht="18.95" customHeight="1">
      <c r="B401" s="254" t="s">
        <v>1363</v>
      </c>
      <c r="C401" s="116">
        <v>88</v>
      </c>
      <c r="D401" s="116" t="s">
        <v>1585</v>
      </c>
      <c r="E401" s="445" t="str">
        <f t="shared" si="9"/>
        <v>ok</v>
      </c>
      <c r="F401" s="116" t="b">
        <f t="shared" si="10"/>
        <v>1</v>
      </c>
      <c r="G401" s="116"/>
      <c r="H401" s="116"/>
      <c r="I401" s="116"/>
      <c r="J401" s="116"/>
      <c r="K401" s="116"/>
      <c r="L401" s="116"/>
      <c r="M401" s="116"/>
      <c r="N401" s="116"/>
      <c r="O401" s="116"/>
      <c r="P401" s="326"/>
    </row>
    <row r="402" spans="2:18" ht="18.95" customHeight="1">
      <c r="B402" s="254" t="s">
        <v>1364</v>
      </c>
      <c r="C402" s="116">
        <v>147</v>
      </c>
      <c r="D402" s="116" t="s">
        <v>1585</v>
      </c>
      <c r="E402" s="445" t="str">
        <f t="shared" si="9"/>
        <v>ok</v>
      </c>
      <c r="F402" s="116" t="b">
        <f t="shared" si="10"/>
        <v>1</v>
      </c>
      <c r="G402" s="116"/>
      <c r="H402" s="116"/>
      <c r="I402" s="116"/>
      <c r="J402" s="116"/>
      <c r="K402" s="116"/>
      <c r="L402" s="116"/>
      <c r="M402" s="116"/>
      <c r="N402" s="116"/>
      <c r="O402" s="116"/>
      <c r="P402" s="326"/>
    </row>
    <row r="403" spans="2:18" ht="18.95" customHeight="1">
      <c r="B403" s="254" t="s">
        <v>1365</v>
      </c>
      <c r="C403" s="116">
        <v>198</v>
      </c>
      <c r="D403" s="116" t="s">
        <v>1585</v>
      </c>
      <c r="E403" s="445" t="str">
        <f t="shared" si="9"/>
        <v>ok</v>
      </c>
      <c r="F403" s="116" t="b">
        <f t="shared" si="10"/>
        <v>1</v>
      </c>
      <c r="G403" s="116"/>
      <c r="H403" s="116"/>
      <c r="I403" s="116"/>
      <c r="J403" s="116"/>
      <c r="K403" s="116"/>
      <c r="L403" s="116"/>
      <c r="M403" s="116"/>
      <c r="N403" s="116"/>
      <c r="O403" s="116"/>
      <c r="P403" s="326"/>
    </row>
    <row r="404" spans="2:18" ht="18.95" customHeight="1">
      <c r="B404" s="254" t="s">
        <v>1589</v>
      </c>
      <c r="C404" s="116">
        <v>255</v>
      </c>
      <c r="D404" s="116" t="s">
        <v>1590</v>
      </c>
      <c r="E404" s="445" t="str">
        <f t="shared" si="9"/>
        <v>no</v>
      </c>
      <c r="F404" s="116" t="b">
        <f t="shared" si="10"/>
        <v>1</v>
      </c>
      <c r="G404" s="116"/>
      <c r="H404" s="116"/>
      <c r="I404" s="116"/>
      <c r="J404" s="116"/>
      <c r="K404" s="116"/>
      <c r="L404" s="116"/>
      <c r="M404" s="116"/>
      <c r="N404" s="116"/>
      <c r="O404" s="116"/>
      <c r="P404" s="326"/>
    </row>
    <row r="405" spans="2:18" ht="18.95" customHeight="1">
      <c r="B405" s="254"/>
      <c r="C405" s="116"/>
      <c r="D405" s="116"/>
      <c r="E405" s="116"/>
      <c r="F405" s="116"/>
      <c r="G405" s="116"/>
      <c r="H405" s="116"/>
      <c r="I405" s="116"/>
      <c r="J405" s="116"/>
      <c r="K405" s="116"/>
      <c r="L405" s="116"/>
      <c r="M405" s="116"/>
      <c r="N405" s="116"/>
      <c r="O405" s="116"/>
      <c r="P405" s="326"/>
    </row>
    <row r="406" spans="2:18" ht="18.95" customHeight="1">
      <c r="B406" s="254" t="s">
        <v>1593</v>
      </c>
      <c r="C406" s="116"/>
      <c r="D406" s="116"/>
      <c r="E406" s="116"/>
      <c r="F406" s="116"/>
      <c r="G406" s="116"/>
      <c r="H406" s="116"/>
      <c r="I406" s="116"/>
      <c r="J406" s="116"/>
      <c r="K406" s="116"/>
      <c r="L406" s="116"/>
      <c r="M406" s="116"/>
      <c r="N406" s="116"/>
      <c r="O406" s="116"/>
      <c r="P406" s="326"/>
    </row>
    <row r="407" spans="2:18" ht="18.95" customHeight="1">
      <c r="B407" s="254" t="s">
        <v>1594</v>
      </c>
      <c r="C407" s="116"/>
      <c r="D407" s="116"/>
      <c r="E407" s="116"/>
      <c r="F407" s="116"/>
      <c r="G407" s="116"/>
      <c r="H407" s="116"/>
      <c r="I407" s="116"/>
      <c r="J407" s="116"/>
      <c r="K407" s="116"/>
      <c r="L407" s="116"/>
      <c r="M407" s="116"/>
      <c r="N407" s="116"/>
      <c r="O407" s="116"/>
      <c r="P407" s="326"/>
    </row>
    <row r="408" spans="2:18" ht="18.95" customHeight="1">
      <c r="B408" s="304"/>
      <c r="C408" s="305"/>
      <c r="D408" s="305"/>
      <c r="E408" s="305"/>
      <c r="F408" s="305"/>
      <c r="G408" s="305"/>
      <c r="H408" s="305"/>
      <c r="I408" s="305"/>
      <c r="J408" s="305"/>
      <c r="K408" s="305"/>
      <c r="L408" s="305"/>
      <c r="M408" s="305"/>
      <c r="N408" s="305"/>
      <c r="O408" s="305"/>
      <c r="P408" s="327"/>
    </row>
    <row r="410" spans="2:18" ht="18.95" customHeight="1">
      <c r="B410" s="333"/>
      <c r="C410" s="324"/>
      <c r="D410" s="324"/>
      <c r="E410" s="324"/>
      <c r="F410" s="324"/>
      <c r="G410" s="324"/>
      <c r="H410" s="324"/>
      <c r="I410" s="324"/>
      <c r="J410" s="324"/>
      <c r="K410" s="324"/>
      <c r="L410" s="324"/>
      <c r="M410" s="324"/>
      <c r="N410" s="324"/>
      <c r="O410" s="324"/>
      <c r="P410" s="324"/>
      <c r="Q410" s="324"/>
      <c r="R410" s="325"/>
    </row>
    <row r="411" spans="2:18" ht="18.95" customHeight="1">
      <c r="B411" s="297" t="s">
        <v>1595</v>
      </c>
      <c r="C411" s="112" t="s">
        <v>1596</v>
      </c>
      <c r="D411" s="112" t="s">
        <v>1597</v>
      </c>
      <c r="E411" s="112" t="s">
        <v>1598</v>
      </c>
      <c r="F411" s="112"/>
      <c r="G411" s="112"/>
      <c r="H411" s="112"/>
      <c r="I411" s="112"/>
      <c r="J411" s="112"/>
      <c r="K411" s="112"/>
      <c r="L411" s="112"/>
      <c r="M411" s="112"/>
      <c r="N411" s="112"/>
      <c r="O411" s="112"/>
      <c r="P411" s="112"/>
      <c r="Q411" s="112"/>
      <c r="R411" s="431"/>
    </row>
    <row r="412" spans="2:18" ht="18.95" customHeight="1">
      <c r="B412" s="297">
        <v>1.95</v>
      </c>
      <c r="C412" s="112"/>
      <c r="D412" s="446">
        <f>SUM(B$412:B412)-SUMIF(C$411:C411,"&lt;&gt;",D$411:D411)</f>
        <v>1.95</v>
      </c>
      <c r="E412" s="447"/>
      <c r="F412" s="1" t="str">
        <f>IF(C412="end",AVERAGE(B$412:B412),"")</f>
        <v/>
      </c>
      <c r="G412" s="112"/>
      <c r="H412" s="448"/>
      <c r="I412" s="112"/>
      <c r="J412" s="112"/>
      <c r="K412" s="112"/>
      <c r="L412" s="112"/>
      <c r="M412" s="116"/>
      <c r="N412" s="112"/>
      <c r="O412" s="112"/>
      <c r="P412" s="112"/>
      <c r="Q412" s="112"/>
      <c r="R412" s="431"/>
    </row>
    <row r="413" spans="2:18" ht="18.95" customHeight="1">
      <c r="B413" s="297">
        <v>1.95</v>
      </c>
      <c r="C413" s="112"/>
      <c r="D413" s="446">
        <f>SUM(B$412:B413)-SUMIF(C$411:C412,"&lt;&gt;",D$411:D412)</f>
        <v>3.9</v>
      </c>
      <c r="E413" s="447"/>
      <c r="F413" s="1" t="str">
        <f>IF(C413="end",AVERAGE(B$412:B413),"")</f>
        <v/>
      </c>
      <c r="G413" s="112"/>
      <c r="H413" s="448" t="s">
        <v>1599</v>
      </c>
      <c r="I413" s="112"/>
      <c r="J413" s="112"/>
      <c r="K413" s="112"/>
      <c r="L413" s="112"/>
      <c r="M413" s="116"/>
      <c r="N413" s="112"/>
      <c r="O413" s="112"/>
      <c r="P413" s="112"/>
      <c r="Q413" s="112"/>
      <c r="R413" s="431"/>
    </row>
    <row r="414" spans="2:18" ht="18.95" customHeight="1">
      <c r="B414" s="297">
        <v>-0.9</v>
      </c>
      <c r="C414" s="112"/>
      <c r="D414" s="446">
        <f>SUM(B$412:B414)-SUMIF(C$411:C413,"&lt;&gt;",D$411:D413)</f>
        <v>3</v>
      </c>
      <c r="E414" s="447"/>
      <c r="F414" s="1" t="str">
        <f>IF(C414="end",AVERAGE(B$412:B414),"")</f>
        <v/>
      </c>
      <c r="G414" s="112"/>
      <c r="H414" s="448"/>
      <c r="I414" s="112"/>
      <c r="J414" s="112"/>
      <c r="K414" s="112"/>
      <c r="L414" s="112"/>
      <c r="M414" s="112"/>
      <c r="N414" s="112"/>
      <c r="O414" s="112"/>
      <c r="P414" s="112"/>
      <c r="Q414" s="112"/>
      <c r="R414" s="431"/>
    </row>
    <row r="415" spans="2:18" ht="18.95" customHeight="1">
      <c r="B415" s="297">
        <v>-0.9</v>
      </c>
      <c r="C415" s="112" t="s">
        <v>1600</v>
      </c>
      <c r="D415" s="446">
        <f>SUM(B$412:B415)-SUMIF(C$411:C414,"&lt;&gt;",D$411:D414)</f>
        <v>2.1</v>
      </c>
      <c r="E415" s="447">
        <f>AVERAGE(B412:B415)</f>
        <v>0.52500000000000002</v>
      </c>
      <c r="F415" s="1">
        <f>IF(C415="end",AVERAGE(B$412:B415),"")</f>
        <v>0.52500000000000002</v>
      </c>
      <c r="G415" s="112"/>
      <c r="H415" s="448"/>
      <c r="I415" s="112"/>
      <c r="J415" s="112"/>
      <c r="K415" s="112"/>
      <c r="L415" s="112"/>
      <c r="M415" s="112"/>
      <c r="N415" s="112"/>
      <c r="O415" s="112"/>
      <c r="P415" s="112"/>
      <c r="Q415" s="112"/>
      <c r="R415" s="431"/>
    </row>
    <row r="416" spans="2:18" ht="18.95" customHeight="1">
      <c r="B416" s="297">
        <v>0.4</v>
      </c>
      <c r="C416" s="112"/>
      <c r="D416" s="446">
        <f>SUM(B$412:B416)-SUMIF(C$411:C415,"&lt;&gt;",D$411:D415)</f>
        <v>0.39999999999999991</v>
      </c>
      <c r="E416" s="447"/>
      <c r="F416" s="1" t="str">
        <f>IF(C416="end",AVERAGE(B$412:B416),"")</f>
        <v/>
      </c>
      <c r="G416" s="112"/>
      <c r="H416" s="448"/>
      <c r="I416" s="112"/>
      <c r="J416" s="112"/>
      <c r="K416" s="112"/>
      <c r="L416" s="112"/>
      <c r="M416" s="112"/>
      <c r="N416" s="112"/>
      <c r="O416" s="112"/>
      <c r="P416" s="112"/>
      <c r="Q416" s="112"/>
      <c r="R416" s="431"/>
    </row>
    <row r="417" spans="2:18" ht="18.95" customHeight="1">
      <c r="B417" s="297">
        <v>3.05</v>
      </c>
      <c r="C417" s="112"/>
      <c r="D417" s="446">
        <f>SUM(B$412:B417)-SUMIF(C$411:C416,"&lt;&gt;",D$411:D416)</f>
        <v>3.4499999999999997</v>
      </c>
      <c r="E417" s="447"/>
      <c r="F417" s="1" t="str">
        <f>IF(C417="end",AVERAGE(B$412:B417),"")</f>
        <v/>
      </c>
      <c r="G417" s="112"/>
      <c r="H417" s="448"/>
      <c r="I417" s="112"/>
      <c r="J417" s="112"/>
      <c r="K417" s="112"/>
      <c r="L417" s="112"/>
      <c r="M417" s="112"/>
      <c r="N417" s="112"/>
      <c r="O417" s="112"/>
      <c r="P417" s="112"/>
      <c r="Q417" s="112"/>
      <c r="R417" s="431"/>
    </row>
    <row r="418" spans="2:18" ht="18.95" customHeight="1">
      <c r="B418" s="297">
        <v>-0.9</v>
      </c>
      <c r="C418" s="112"/>
      <c r="D418" s="446">
        <f>SUM(B$412:B418)-SUMIF(C$411:C417,"&lt;&gt;",D$411:D417)</f>
        <v>2.5499999999999994</v>
      </c>
      <c r="E418" s="447"/>
      <c r="F418" s="1" t="str">
        <f>IF(C418="end",AVERAGE(B$412:B418),"")</f>
        <v/>
      </c>
      <c r="G418" s="112"/>
      <c r="H418" s="448"/>
      <c r="I418" s="112"/>
      <c r="J418" s="112"/>
      <c r="K418" s="112"/>
      <c r="L418" s="112"/>
      <c r="M418" s="112"/>
      <c r="N418" s="112"/>
      <c r="O418" s="112"/>
      <c r="P418" s="112"/>
      <c r="Q418" s="112"/>
      <c r="R418" s="431"/>
    </row>
    <row r="419" spans="2:18" ht="18.95" customHeight="1">
      <c r="B419" s="297">
        <v>1.55</v>
      </c>
      <c r="C419" s="112"/>
      <c r="D419" s="446">
        <f>SUM(B$412:B419)-SUMIF(C$411:C418,"&lt;&gt;",D$411:D418)</f>
        <v>4.0999999999999996</v>
      </c>
      <c r="E419" s="447"/>
      <c r="F419" s="1" t="str">
        <f>IF(C419="end",AVERAGE(B$412:B419),"")</f>
        <v/>
      </c>
      <c r="G419" s="112"/>
      <c r="H419" s="448"/>
      <c r="I419" s="112"/>
      <c r="J419" s="112"/>
      <c r="K419" s="112"/>
      <c r="L419" s="112"/>
      <c r="M419" s="112"/>
      <c r="N419" s="112"/>
      <c r="O419" s="112"/>
      <c r="P419" s="112"/>
      <c r="Q419" s="112"/>
      <c r="R419" s="431"/>
    </row>
    <row r="420" spans="2:18" ht="18.95" customHeight="1">
      <c r="B420" s="297">
        <v>-1.05</v>
      </c>
      <c r="C420" s="112"/>
      <c r="D420" s="446">
        <f>SUM(B$412:B420)-SUMIF(C$411:C419,"&lt;&gt;",D$411:D419)</f>
        <v>3.0499999999999994</v>
      </c>
      <c r="E420" s="447"/>
      <c r="F420" s="1" t="str">
        <f>IF(C420="end",AVERAGE(B$412:B420),"")</f>
        <v/>
      </c>
      <c r="G420" s="112"/>
      <c r="H420" s="448"/>
      <c r="I420" s="112"/>
      <c r="J420" s="112"/>
      <c r="K420" s="112"/>
      <c r="L420" s="112"/>
      <c r="M420" s="112"/>
      <c r="N420" s="112"/>
      <c r="O420" s="112"/>
      <c r="P420" s="112"/>
      <c r="Q420" s="112"/>
      <c r="R420" s="431"/>
    </row>
    <row r="421" spans="2:18" ht="18.95" customHeight="1">
      <c r="B421" s="297">
        <v>3.8</v>
      </c>
      <c r="C421" s="112"/>
      <c r="D421" s="446">
        <f>SUM(B$412:B421)-SUMIF(C$411:C420,"&lt;&gt;",D$411:D420)</f>
        <v>6.85</v>
      </c>
      <c r="E421" s="447"/>
      <c r="F421" s="1" t="str">
        <f>IF(C421="end",AVERAGE(B$412:B421),"")</f>
        <v/>
      </c>
      <c r="G421" s="112"/>
      <c r="H421" s="448"/>
      <c r="I421" s="112"/>
      <c r="J421" s="112"/>
      <c r="K421" s="112"/>
      <c r="L421" s="112"/>
      <c r="M421" s="112"/>
      <c r="N421" s="112"/>
      <c r="O421" s="112"/>
      <c r="P421" s="112"/>
      <c r="Q421" s="112"/>
      <c r="R421" s="431"/>
    </row>
    <row r="422" spans="2:18" ht="18.95" customHeight="1">
      <c r="B422" s="297">
        <v>-2.5499999999999998</v>
      </c>
      <c r="C422" s="112"/>
      <c r="D422" s="446">
        <f>SUM(B$412:B422)-SUMIF(C$411:C421,"&lt;&gt;",D$411:D421)</f>
        <v>4.2999999999999989</v>
      </c>
      <c r="E422" s="447"/>
      <c r="F422" s="1" t="str">
        <f>IF(C422="end",AVERAGE(B$412:B422),"")</f>
        <v/>
      </c>
      <c r="G422" s="112"/>
      <c r="H422" s="448"/>
      <c r="I422" s="112"/>
      <c r="J422" s="112"/>
      <c r="K422" s="112"/>
      <c r="L422" s="112"/>
      <c r="M422" s="112"/>
      <c r="N422" s="112"/>
      <c r="O422" s="112"/>
      <c r="P422" s="112"/>
      <c r="Q422" s="112"/>
      <c r="R422" s="431"/>
    </row>
    <row r="423" spans="2:18" ht="18.95" customHeight="1">
      <c r="B423" s="297">
        <v>1.95</v>
      </c>
      <c r="C423" s="112"/>
      <c r="D423" s="446">
        <f>SUM(B$412:B423)-SUMIF(C$411:C422,"&lt;&gt;",D$411:D422)</f>
        <v>6.25</v>
      </c>
      <c r="E423" s="447"/>
      <c r="F423" s="1" t="str">
        <f>IF(C423="end",AVERAGE(B$412:B423),"")</f>
        <v/>
      </c>
      <c r="G423" s="112"/>
      <c r="H423" s="448"/>
      <c r="I423" s="112"/>
      <c r="J423" s="112"/>
      <c r="K423" s="112"/>
      <c r="L423" s="112"/>
      <c r="M423" s="112"/>
      <c r="N423" s="112"/>
      <c r="O423" s="112"/>
      <c r="P423" s="112"/>
      <c r="Q423" s="112"/>
      <c r="R423" s="431"/>
    </row>
    <row r="424" spans="2:18" ht="18.95" customHeight="1">
      <c r="B424" s="297">
        <v>-1.35</v>
      </c>
      <c r="C424" s="112"/>
      <c r="D424" s="446">
        <f>SUM(B$412:B424)-SUMIF(C$411:C423,"&lt;&gt;",D$411:D423)</f>
        <v>4.9000000000000004</v>
      </c>
      <c r="E424" s="447"/>
      <c r="F424" s="1" t="str">
        <f>IF(C424="end",AVERAGE(B$412:B424),"")</f>
        <v/>
      </c>
      <c r="G424" s="112"/>
      <c r="H424" s="448"/>
      <c r="I424" s="112"/>
      <c r="J424" s="112"/>
      <c r="K424" s="112"/>
      <c r="L424" s="112"/>
      <c r="M424" s="112"/>
      <c r="N424" s="112"/>
      <c r="O424" s="112"/>
      <c r="P424" s="112"/>
      <c r="Q424" s="112"/>
      <c r="R424" s="431"/>
    </row>
    <row r="425" spans="2:18" ht="18.95" customHeight="1">
      <c r="B425" s="297">
        <v>1.95</v>
      </c>
      <c r="C425" s="112"/>
      <c r="D425" s="446">
        <f>SUM(B$412:B425)-SUMIF(C$411:C424,"&lt;&gt;",D$411:D424)</f>
        <v>6.85</v>
      </c>
      <c r="E425" s="447"/>
      <c r="F425" s="1" t="str">
        <f>IF(C425="end",AVERAGE(B$412:B425),"")</f>
        <v/>
      </c>
      <c r="G425" s="112"/>
      <c r="H425" s="448"/>
      <c r="I425" s="112"/>
      <c r="J425" s="112"/>
      <c r="K425" s="112"/>
      <c r="L425" s="112"/>
      <c r="M425" s="112"/>
      <c r="N425" s="112"/>
      <c r="O425" s="112"/>
      <c r="P425" s="112"/>
      <c r="Q425" s="112"/>
      <c r="R425" s="431"/>
    </row>
    <row r="426" spans="2:18" ht="18.95" customHeight="1">
      <c r="B426" s="297">
        <v>1.95</v>
      </c>
      <c r="C426" s="112"/>
      <c r="D426" s="446">
        <f>SUM(B$412:B426)-SUMIF(C$411:C425,"&lt;&gt;",D$411:D425)</f>
        <v>8.7999999999999989</v>
      </c>
      <c r="E426" s="447"/>
      <c r="F426" s="1" t="str">
        <f>IF(C426="end",AVERAGE(B$412:B426),"")</f>
        <v/>
      </c>
      <c r="G426" s="112"/>
      <c r="H426" s="448"/>
      <c r="I426" s="112"/>
      <c r="J426" s="112"/>
      <c r="K426" s="112"/>
      <c r="L426" s="112"/>
      <c r="M426" s="112"/>
      <c r="N426" s="112"/>
      <c r="O426" s="112"/>
      <c r="P426" s="112"/>
      <c r="Q426" s="112"/>
      <c r="R426" s="431"/>
    </row>
    <row r="427" spans="2:18" ht="18.95" customHeight="1">
      <c r="B427" s="297">
        <v>1.95</v>
      </c>
      <c r="C427" s="112"/>
      <c r="D427" s="446">
        <f>SUM(B$412:B427)-SUMIF(C$411:C426,"&lt;&gt;",D$411:D426)</f>
        <v>10.749999999999998</v>
      </c>
      <c r="E427" s="447"/>
      <c r="F427" s="1" t="str">
        <f>IF(C427="end",AVERAGE(B$412:B427),"")</f>
        <v/>
      </c>
      <c r="G427" s="112"/>
      <c r="H427" s="448"/>
      <c r="I427" s="112"/>
      <c r="J427" s="112"/>
      <c r="K427" s="112"/>
      <c r="L427" s="112"/>
      <c r="M427" s="112"/>
      <c r="N427" s="112"/>
      <c r="O427" s="112"/>
      <c r="P427" s="112"/>
      <c r="Q427" s="112"/>
      <c r="R427" s="431"/>
    </row>
    <row r="428" spans="2:18" ht="18.95" customHeight="1">
      <c r="B428" s="297">
        <v>-1.35</v>
      </c>
      <c r="C428" s="112"/>
      <c r="D428" s="446">
        <f>SUM(B$412:B428)-SUMIF(C$411:C427,"&lt;&gt;",D$411:D427)</f>
        <v>9.3999999999999986</v>
      </c>
      <c r="E428" s="447"/>
      <c r="F428" s="1" t="str">
        <f>IF(C428="end",AVERAGE(B$412:B428),"")</f>
        <v/>
      </c>
      <c r="G428" s="112"/>
      <c r="H428" s="448"/>
      <c r="I428" s="112"/>
      <c r="J428" s="112"/>
      <c r="K428" s="112"/>
      <c r="L428" s="112"/>
      <c r="M428" s="112"/>
      <c r="N428" s="112"/>
      <c r="O428" s="112"/>
      <c r="P428" s="112"/>
      <c r="Q428" s="112"/>
      <c r="R428" s="431"/>
    </row>
    <row r="429" spans="2:18" ht="18.95" customHeight="1">
      <c r="B429" s="297">
        <v>3.8</v>
      </c>
      <c r="C429" s="112"/>
      <c r="D429" s="446">
        <f>SUM(B$412:B429)-SUMIF(C$411:C428,"&lt;&gt;",D$411:D428)</f>
        <v>13.199999999999998</v>
      </c>
      <c r="E429" s="447"/>
      <c r="F429" s="1" t="str">
        <f>IF(C429="end",AVERAGE(B$412:B429),"")</f>
        <v/>
      </c>
      <c r="G429" s="112"/>
      <c r="H429" s="448"/>
      <c r="I429" s="112"/>
      <c r="J429" s="112"/>
      <c r="K429" s="112"/>
      <c r="L429" s="112"/>
      <c r="M429" s="112"/>
      <c r="N429" s="112"/>
      <c r="O429" s="112"/>
      <c r="P429" s="112"/>
      <c r="Q429" s="112"/>
      <c r="R429" s="431"/>
    </row>
    <row r="430" spans="2:18" ht="18.95" customHeight="1">
      <c r="B430" s="297">
        <v>-1.35</v>
      </c>
      <c r="C430" s="112" t="s">
        <v>1600</v>
      </c>
      <c r="D430" s="446">
        <f>SUM(B$412:B430)-SUMIF(C$411:C429,"&lt;&gt;",D$411:D429)</f>
        <v>11.849999999999998</v>
      </c>
      <c r="E430" s="447">
        <f>AVERAGE(B416:B430)</f>
        <v>0.78999999999999992</v>
      </c>
      <c r="F430" s="1">
        <f>IF(C430="end",AVERAGE(B$412:B430),"")</f>
        <v>0.73421052631578931</v>
      </c>
      <c r="G430" s="112"/>
      <c r="H430" s="448"/>
      <c r="I430" s="112"/>
      <c r="J430" s="112"/>
      <c r="K430" s="112"/>
      <c r="L430" s="112"/>
      <c r="M430" s="112"/>
      <c r="N430" s="112"/>
      <c r="O430" s="112"/>
      <c r="P430" s="112"/>
      <c r="Q430" s="112"/>
      <c r="R430" s="431"/>
    </row>
    <row r="431" spans="2:18" ht="18.95" customHeight="1">
      <c r="B431" s="297">
        <v>-1.7</v>
      </c>
      <c r="C431" s="112"/>
      <c r="D431" s="446">
        <f>SUM(B$412:B431)-SUMIF(C$411:C430,"&lt;&gt;",D$411:D430)</f>
        <v>-1.6999999999999993</v>
      </c>
      <c r="E431" s="447"/>
      <c r="G431" s="112"/>
      <c r="H431" s="448"/>
      <c r="I431" s="112"/>
      <c r="J431" s="112"/>
      <c r="K431" s="112"/>
      <c r="L431" s="112"/>
      <c r="M431" s="112"/>
      <c r="N431" s="112"/>
      <c r="O431" s="112"/>
      <c r="P431" s="112"/>
      <c r="Q431" s="112"/>
      <c r="R431" s="431"/>
    </row>
    <row r="432" spans="2:18" ht="18.95" customHeight="1">
      <c r="B432" s="297">
        <v>2.4500000000000002</v>
      </c>
      <c r="C432" s="112"/>
      <c r="D432" s="446">
        <f>SUM(B$412:B432)-SUMIF(C$411:C431,"&lt;&gt;",D$411:D431)</f>
        <v>0.75000000000000178</v>
      </c>
      <c r="E432" s="447"/>
      <c r="G432" s="112"/>
      <c r="H432" s="448"/>
      <c r="I432" s="112"/>
      <c r="J432" s="112"/>
      <c r="K432" s="112"/>
      <c r="L432" s="112"/>
      <c r="M432" s="112"/>
      <c r="N432" s="112"/>
      <c r="O432" s="112"/>
      <c r="P432" s="112"/>
      <c r="Q432" s="112"/>
      <c r="R432" s="431"/>
    </row>
    <row r="433" spans="2:18" ht="18.95" customHeight="1">
      <c r="B433" s="297">
        <v>0.6</v>
      </c>
      <c r="C433" s="112"/>
      <c r="D433" s="446">
        <f>SUM(B$412:B433)-SUMIF(C$411:C432,"&lt;&gt;",D$411:D432)</f>
        <v>1.3500000000000014</v>
      </c>
      <c r="E433" s="447"/>
      <c r="G433" s="112"/>
      <c r="H433" s="448"/>
      <c r="I433" s="112"/>
      <c r="J433" s="112"/>
      <c r="K433" s="112"/>
      <c r="L433" s="112"/>
      <c r="M433" s="112"/>
      <c r="N433" s="112"/>
      <c r="O433" s="112"/>
      <c r="P433" s="112"/>
      <c r="Q433" s="112"/>
      <c r="R433" s="431"/>
    </row>
    <row r="434" spans="2:18" ht="18.95" customHeight="1">
      <c r="B434" s="297">
        <v>2.4500000000000002</v>
      </c>
      <c r="C434" s="112"/>
      <c r="D434" s="446">
        <f>SUM(B$412:B434)-SUMIF(C$411:C433,"&lt;&gt;",D$411:D433)</f>
        <v>3.8000000000000025</v>
      </c>
      <c r="E434" s="447"/>
      <c r="G434" s="112"/>
      <c r="H434" s="448"/>
      <c r="I434" s="112"/>
      <c r="J434" s="112"/>
      <c r="K434" s="112"/>
      <c r="L434" s="112"/>
      <c r="M434" s="112"/>
      <c r="N434" s="112"/>
      <c r="O434" s="112"/>
      <c r="P434" s="112"/>
      <c r="Q434" s="112"/>
      <c r="R434" s="431"/>
    </row>
    <row r="435" spans="2:18" ht="18.95" customHeight="1">
      <c r="B435" s="297">
        <v>-3.2</v>
      </c>
      <c r="C435" s="112"/>
      <c r="D435" s="446">
        <f>SUM(B$412:B435)-SUMIF(C$411:C434,"&lt;&gt;",D$411:D434)</f>
        <v>0.6000000000000032</v>
      </c>
      <c r="E435" s="447"/>
      <c r="G435" s="112"/>
      <c r="H435" s="448"/>
      <c r="I435" s="112"/>
      <c r="J435" s="112"/>
      <c r="K435" s="112"/>
      <c r="L435" s="112"/>
      <c r="M435" s="112"/>
      <c r="N435" s="112"/>
      <c r="O435" s="112"/>
      <c r="P435" s="112"/>
      <c r="Q435" s="112"/>
      <c r="R435" s="431"/>
    </row>
    <row r="436" spans="2:18" ht="18.95" customHeight="1">
      <c r="B436" s="297">
        <v>-1.7</v>
      </c>
      <c r="C436" s="112"/>
      <c r="D436" s="446">
        <f>SUM(B$412:B436)-SUMIF(C$411:C435,"&lt;&gt;",D$411:D435)</f>
        <v>-1.0999999999999961</v>
      </c>
      <c r="E436" s="447"/>
      <c r="G436" s="112"/>
      <c r="H436" s="448"/>
      <c r="I436" s="112"/>
      <c r="J436" s="112"/>
      <c r="K436" s="112"/>
      <c r="L436" s="112"/>
      <c r="M436" s="112"/>
      <c r="N436" s="112"/>
      <c r="O436" s="112"/>
      <c r="P436" s="112"/>
      <c r="Q436" s="112"/>
      <c r="R436" s="431"/>
    </row>
    <row r="437" spans="2:18" ht="18.95" customHeight="1">
      <c r="B437" s="297">
        <v>3.05</v>
      </c>
      <c r="C437" s="112"/>
      <c r="D437" s="446">
        <f>SUM(B$412:B437)-SUMIF(C$411:C436,"&lt;&gt;",D$411:D436)</f>
        <v>1.9500000000000046</v>
      </c>
      <c r="E437" s="447"/>
      <c r="G437" s="112"/>
      <c r="H437" s="448"/>
      <c r="I437" s="112"/>
      <c r="J437" s="112"/>
      <c r="K437" s="112"/>
      <c r="L437" s="112"/>
      <c r="M437" s="112"/>
      <c r="N437" s="112"/>
      <c r="O437" s="112"/>
      <c r="P437" s="112"/>
      <c r="Q437" s="112"/>
      <c r="R437" s="431"/>
    </row>
    <row r="438" spans="2:18" ht="18.95" customHeight="1">
      <c r="B438" s="297">
        <v>3.05</v>
      </c>
      <c r="C438" s="112"/>
      <c r="D438" s="446">
        <f>SUM(B$412:B438)-SUMIF(C$411:C437,"&lt;&gt;",D$411:D437)</f>
        <v>5.0000000000000053</v>
      </c>
      <c r="E438" s="447"/>
      <c r="G438" s="112"/>
      <c r="H438" s="448"/>
      <c r="I438" s="112"/>
      <c r="J438" s="112"/>
      <c r="K438" s="112"/>
      <c r="L438" s="112"/>
      <c r="M438" s="112"/>
      <c r="N438" s="112"/>
      <c r="O438" s="112"/>
      <c r="P438" s="112"/>
      <c r="Q438" s="112"/>
      <c r="R438" s="431"/>
    </row>
    <row r="439" spans="2:18" ht="18.95" customHeight="1">
      <c r="B439" s="297">
        <v>5.95</v>
      </c>
      <c r="C439" s="112"/>
      <c r="D439" s="446">
        <f>SUM(B$412:B439)-SUMIF(C$411:C438,"&lt;&gt;",D$411:D438)</f>
        <v>10.950000000000005</v>
      </c>
      <c r="E439" s="447"/>
      <c r="G439" s="112"/>
      <c r="H439" s="448"/>
      <c r="I439" s="112"/>
      <c r="J439" s="112"/>
      <c r="K439" s="112"/>
      <c r="L439" s="112"/>
      <c r="M439" s="112"/>
      <c r="N439" s="112"/>
      <c r="O439" s="112"/>
      <c r="P439" s="112"/>
      <c r="Q439" s="112"/>
      <c r="R439" s="431"/>
    </row>
    <row r="440" spans="2:18" ht="18.95" customHeight="1">
      <c r="B440" s="297">
        <v>7.45</v>
      </c>
      <c r="C440" s="112"/>
      <c r="D440" s="446">
        <f>SUM(B$412:B440)-SUMIF(C$411:C439,"&lt;&gt;",D$411:D439)</f>
        <v>18.400000000000006</v>
      </c>
      <c r="E440" s="447"/>
      <c r="G440" s="112"/>
      <c r="H440" s="448"/>
      <c r="I440" s="112"/>
      <c r="J440" s="112"/>
      <c r="K440" s="112"/>
      <c r="L440" s="112"/>
      <c r="M440" s="112"/>
      <c r="N440" s="112"/>
      <c r="O440" s="112"/>
      <c r="P440" s="112"/>
      <c r="Q440" s="112"/>
      <c r="R440" s="431"/>
    </row>
    <row r="441" spans="2:18" ht="18.95" customHeight="1">
      <c r="B441" s="297">
        <v>7.45</v>
      </c>
      <c r="C441" s="112"/>
      <c r="D441" s="446">
        <f>SUM(B$412:B441)-SUMIF(C$411:C440,"&lt;&gt;",D$411:D440)</f>
        <v>25.850000000000009</v>
      </c>
      <c r="E441" s="447"/>
      <c r="G441" s="112"/>
      <c r="H441" s="448"/>
      <c r="I441" s="112"/>
      <c r="J441" s="112"/>
      <c r="K441" s="112"/>
      <c r="L441" s="112"/>
      <c r="M441" s="112"/>
      <c r="N441" s="112"/>
      <c r="O441" s="112"/>
      <c r="P441" s="112"/>
      <c r="Q441" s="112"/>
      <c r="R441" s="431"/>
    </row>
    <row r="442" spans="2:18" ht="18.95" customHeight="1">
      <c r="B442" s="297">
        <v>4.75</v>
      </c>
      <c r="C442" s="112"/>
      <c r="D442" s="446">
        <f>SUM(B$412:B442)-SUMIF(C$411:C441,"&lt;&gt;",D$411:D441)</f>
        <v>30.600000000000009</v>
      </c>
      <c r="E442" s="447"/>
      <c r="G442" s="112"/>
      <c r="H442" s="448"/>
      <c r="I442" s="112"/>
      <c r="J442" s="112"/>
      <c r="K442" s="112"/>
      <c r="L442" s="112"/>
      <c r="M442" s="112"/>
      <c r="N442" s="112"/>
      <c r="O442" s="112"/>
      <c r="P442" s="112"/>
      <c r="Q442" s="112"/>
      <c r="R442" s="431"/>
    </row>
    <row r="443" spans="2:18" ht="18.95" customHeight="1">
      <c r="B443" s="297">
        <v>4.75</v>
      </c>
      <c r="C443" s="112"/>
      <c r="D443" s="446">
        <f>SUM(B$412:B443)-SUMIF(C$411:C442,"&lt;&gt;",D$411:D442)</f>
        <v>35.350000000000009</v>
      </c>
      <c r="E443" s="447"/>
      <c r="G443" s="112"/>
      <c r="H443" s="448"/>
      <c r="I443" s="112"/>
      <c r="J443" s="112"/>
      <c r="K443" s="112"/>
      <c r="L443" s="112"/>
      <c r="M443" s="112"/>
      <c r="N443" s="112"/>
      <c r="O443" s="112"/>
      <c r="P443" s="112"/>
      <c r="Q443" s="112"/>
      <c r="R443" s="431"/>
    </row>
    <row r="444" spans="2:18" ht="18.95" customHeight="1">
      <c r="B444" s="297">
        <v>4.75</v>
      </c>
      <c r="C444" s="112" t="s">
        <v>1600</v>
      </c>
      <c r="D444" s="446">
        <f>SUM(B$412:B444)-SUMIF(C$411:C443,"&lt;&gt;",D$411:D443)</f>
        <v>40.100000000000009</v>
      </c>
      <c r="E444" s="447">
        <f>AVERAGE(B431:B444)</f>
        <v>2.8642857142857139</v>
      </c>
      <c r="G444" s="112"/>
      <c r="H444" s="448"/>
      <c r="I444" s="112"/>
      <c r="J444" s="112"/>
      <c r="K444" s="112"/>
      <c r="L444" s="112"/>
      <c r="M444" s="112"/>
      <c r="N444" s="112"/>
      <c r="O444" s="112"/>
      <c r="P444" s="112"/>
      <c r="Q444" s="112"/>
      <c r="R444" s="431"/>
    </row>
    <row r="445" spans="2:18" ht="18.95" customHeight="1">
      <c r="B445" s="297">
        <v>4.75</v>
      </c>
      <c r="C445" s="112"/>
      <c r="D445" s="446">
        <f>SUM(B$412:B445)-SUMIF(C$411:C444,"&lt;&gt;",D$411:D444)</f>
        <v>4.75</v>
      </c>
      <c r="E445" s="447"/>
      <c r="G445" s="112"/>
      <c r="H445" s="448"/>
      <c r="I445" s="112"/>
      <c r="J445" s="112"/>
      <c r="K445" s="112"/>
      <c r="L445" s="112"/>
      <c r="M445" s="112"/>
      <c r="N445" s="112"/>
      <c r="O445" s="112"/>
      <c r="P445" s="112"/>
      <c r="Q445" s="112"/>
      <c r="R445" s="431"/>
    </row>
    <row r="446" spans="2:18" ht="18.95" customHeight="1">
      <c r="B446" s="297">
        <v>4.75</v>
      </c>
      <c r="C446" s="112"/>
      <c r="D446" s="446">
        <f>SUM(B$412:B446)-SUMIF(C$411:C445,"&lt;&gt;",D$411:D445)</f>
        <v>9.5</v>
      </c>
      <c r="E446" s="447"/>
      <c r="G446" s="112"/>
      <c r="H446" s="448"/>
      <c r="I446" s="112"/>
      <c r="J446" s="112"/>
      <c r="K446" s="112"/>
      <c r="L446" s="112"/>
      <c r="M446" s="112"/>
      <c r="N446" s="112"/>
      <c r="O446" s="112"/>
      <c r="P446" s="112"/>
      <c r="Q446" s="112"/>
      <c r="R446" s="431"/>
    </row>
    <row r="447" spans="2:18" ht="18.95" customHeight="1">
      <c r="B447" s="297">
        <v>5.95</v>
      </c>
      <c r="C447" s="112"/>
      <c r="D447" s="446">
        <f>SUM(B$412:B447)-SUMIF(C$411:C446,"&lt;&gt;",D$411:D446)</f>
        <v>15.449999999999996</v>
      </c>
      <c r="E447" s="447"/>
      <c r="G447" s="112"/>
      <c r="H447" s="448"/>
      <c r="I447" s="112"/>
      <c r="J447" s="112"/>
      <c r="K447" s="112"/>
      <c r="L447" s="112"/>
      <c r="M447" s="112"/>
      <c r="N447" s="112"/>
      <c r="O447" s="112"/>
      <c r="P447" s="112"/>
      <c r="Q447" s="112"/>
      <c r="R447" s="431"/>
    </row>
    <row r="448" spans="2:18" ht="18.95" customHeight="1">
      <c r="B448" s="297">
        <v>5.95</v>
      </c>
      <c r="C448" s="112"/>
      <c r="D448" s="446">
        <f>SUM(B$412:B448)-SUMIF(C$411:C447,"&lt;&gt;",D$411:D447)</f>
        <v>21.4</v>
      </c>
      <c r="E448" s="447"/>
      <c r="G448" s="112"/>
      <c r="H448" s="448"/>
      <c r="I448" s="112"/>
      <c r="J448" s="112"/>
      <c r="K448" s="112"/>
      <c r="L448" s="112"/>
      <c r="M448" s="112"/>
      <c r="N448" s="112"/>
      <c r="O448" s="112"/>
      <c r="P448" s="112"/>
      <c r="Q448" s="112"/>
      <c r="R448" s="431"/>
    </row>
    <row r="449" spans="2:18" ht="18.95" customHeight="1">
      <c r="B449" s="297">
        <v>3.8</v>
      </c>
      <c r="C449" s="112"/>
      <c r="D449" s="446">
        <f>SUM(B$412:B449)-SUMIF(C$411:C448,"&lt;&gt;",D$411:D448)</f>
        <v>25.199999999999996</v>
      </c>
      <c r="E449" s="447"/>
      <c r="G449" s="112"/>
      <c r="H449" s="448"/>
      <c r="I449" s="112"/>
      <c r="J449" s="112"/>
      <c r="K449" s="112"/>
      <c r="L449" s="112"/>
      <c r="M449" s="112"/>
      <c r="N449" s="112"/>
      <c r="O449" s="112"/>
      <c r="P449" s="112"/>
      <c r="Q449" s="112"/>
      <c r="R449" s="431"/>
    </row>
    <row r="450" spans="2:18" ht="18.95" customHeight="1">
      <c r="B450" s="297">
        <v>-2.7</v>
      </c>
      <c r="C450" s="112"/>
      <c r="D450" s="446">
        <f>SUM(B$412:B450)-SUMIF(C$411:C449,"&lt;&gt;",D$411:D449)</f>
        <v>22.499999999999993</v>
      </c>
      <c r="E450" s="447"/>
      <c r="G450" s="112"/>
      <c r="H450" s="448"/>
      <c r="I450" s="112"/>
      <c r="J450" s="112"/>
      <c r="K450" s="112"/>
      <c r="L450" s="112"/>
      <c r="M450" s="112"/>
      <c r="N450" s="112"/>
      <c r="O450" s="112"/>
      <c r="P450" s="112"/>
      <c r="Q450" s="112"/>
      <c r="R450" s="431"/>
    </row>
    <row r="451" spans="2:18" ht="18.95" customHeight="1">
      <c r="B451" s="297">
        <v>-3.25</v>
      </c>
      <c r="C451" s="112"/>
      <c r="D451" s="446">
        <f>SUM(B$412:B451)-SUMIF(C$411:C450,"&lt;&gt;",D$411:D450)</f>
        <v>19.249999999999993</v>
      </c>
      <c r="E451" s="447"/>
      <c r="G451" s="112"/>
      <c r="H451" s="448"/>
      <c r="I451" s="112"/>
      <c r="J451" s="112"/>
      <c r="K451" s="112"/>
      <c r="L451" s="112"/>
      <c r="M451" s="112"/>
      <c r="N451" s="112"/>
      <c r="O451" s="112"/>
      <c r="P451" s="112"/>
      <c r="Q451" s="112"/>
      <c r="R451" s="431"/>
    </row>
    <row r="452" spans="2:18" ht="18.95" customHeight="1">
      <c r="B452" s="297">
        <v>1.2</v>
      </c>
      <c r="C452" s="112"/>
      <c r="D452" s="446">
        <f>SUM(B$412:B452)-SUMIF(C$411:C451,"&lt;&gt;",D$411:D451)</f>
        <v>20.449999999999996</v>
      </c>
      <c r="E452" s="447"/>
      <c r="G452" s="112"/>
      <c r="H452" s="448"/>
      <c r="I452" s="112"/>
      <c r="J452" s="112"/>
      <c r="K452" s="112"/>
      <c r="L452" s="112"/>
      <c r="M452" s="112"/>
      <c r="N452" s="112"/>
      <c r="O452" s="112"/>
      <c r="P452" s="112"/>
      <c r="Q452" s="112"/>
      <c r="R452" s="431"/>
    </row>
    <row r="453" spans="2:18" ht="18.95" customHeight="1">
      <c r="B453" s="297">
        <v>1.2</v>
      </c>
      <c r="C453" s="112"/>
      <c r="D453" s="446">
        <f>SUM(B$412:B453)-SUMIF(C$411:C452,"&lt;&gt;",D$411:D452)</f>
        <v>21.65</v>
      </c>
      <c r="E453" s="447"/>
      <c r="G453" s="112"/>
      <c r="H453" s="448"/>
      <c r="I453" s="112"/>
      <c r="J453" s="112"/>
      <c r="K453" s="112"/>
      <c r="L453" s="112"/>
      <c r="M453" s="112"/>
      <c r="N453" s="112"/>
      <c r="O453" s="112"/>
      <c r="P453" s="112"/>
      <c r="Q453" s="112"/>
      <c r="R453" s="431"/>
    </row>
    <row r="454" spans="2:18" ht="18.95" customHeight="1">
      <c r="B454" s="297">
        <v>9.3000000000000007</v>
      </c>
      <c r="C454" s="112"/>
      <c r="D454" s="446">
        <f>SUM(B$412:B454)-SUMIF(C$411:C453,"&lt;&gt;",D$411:D453)</f>
        <v>30.949999999999996</v>
      </c>
      <c r="E454" s="447"/>
      <c r="G454" s="112"/>
      <c r="H454" s="448"/>
      <c r="I454" s="112"/>
      <c r="J454" s="112"/>
      <c r="K454" s="112"/>
      <c r="L454" s="112"/>
      <c r="M454" s="112"/>
      <c r="N454" s="112"/>
      <c r="O454" s="112"/>
      <c r="P454" s="112"/>
      <c r="Q454" s="112"/>
      <c r="R454" s="431"/>
    </row>
    <row r="455" spans="2:18" ht="18.95" customHeight="1">
      <c r="B455" s="297">
        <v>-2.7</v>
      </c>
      <c r="C455" s="112"/>
      <c r="D455" s="446">
        <f>SUM(B$412:B455)-SUMIF(C$411:C454,"&lt;&gt;",D$411:D454)</f>
        <v>28.249999999999993</v>
      </c>
      <c r="E455" s="447">
        <f>AVERAGE(B445:B455)</f>
        <v>2.5681818181818183</v>
      </c>
      <c r="G455" s="112"/>
      <c r="H455" s="448"/>
      <c r="I455" s="112"/>
      <c r="J455" s="112"/>
      <c r="K455" s="112"/>
      <c r="L455" s="112"/>
      <c r="M455" s="112"/>
      <c r="N455" s="112"/>
      <c r="O455" s="112"/>
      <c r="P455" s="112"/>
      <c r="Q455" s="112"/>
      <c r="R455" s="431"/>
    </row>
    <row r="456" spans="2:18" ht="18.95" customHeight="1">
      <c r="B456" s="297"/>
      <c r="C456" s="112"/>
      <c r="D456" s="112"/>
      <c r="E456" s="447"/>
      <c r="F456" s="112"/>
      <c r="G456" s="112"/>
      <c r="H456" s="112"/>
      <c r="I456" s="112"/>
      <c r="J456" s="112"/>
      <c r="K456" s="112"/>
      <c r="L456" s="112"/>
      <c r="M456" s="112"/>
      <c r="N456" s="112"/>
      <c r="O456" s="112"/>
      <c r="P456" s="112"/>
      <c r="Q456" s="112"/>
      <c r="R456" s="431"/>
    </row>
    <row r="457" spans="2:18" ht="18.95" customHeight="1">
      <c r="B457" s="304"/>
      <c r="C457" s="305"/>
      <c r="D457" s="305"/>
      <c r="E457" s="305"/>
      <c r="F457" s="305"/>
      <c r="G457" s="305"/>
      <c r="H457" s="305"/>
      <c r="I457" s="305"/>
      <c r="J457" s="305"/>
      <c r="K457" s="305"/>
      <c r="L457" s="305"/>
      <c r="M457" s="305"/>
      <c r="N457" s="305"/>
      <c r="O457" s="305"/>
      <c r="P457" s="305"/>
      <c r="Q457" s="305"/>
      <c r="R457" s="327"/>
    </row>
    <row r="459" spans="2:18" ht="18.95" customHeight="1">
      <c r="B459" s="333"/>
      <c r="C459" s="324"/>
      <c r="D459" s="325"/>
    </row>
    <row r="460" spans="2:18" ht="18.95" customHeight="1">
      <c r="B460" s="449" t="s">
        <v>1601</v>
      </c>
      <c r="C460" s="450" t="s">
        <v>1602</v>
      </c>
      <c r="D460" s="326"/>
    </row>
    <row r="461" spans="2:18" ht="18.95" customHeight="1">
      <c r="B461" s="449" t="s">
        <v>1603</v>
      </c>
      <c r="C461" s="451" t="str">
        <f>MID(B461,IFERROR(FIND("市",B461)+1,1),FIND("镇",B461)-IFERROR(FIND("市",B461),)-1)</f>
        <v>甘垛</v>
      </c>
      <c r="D461" s="326"/>
    </row>
    <row r="462" spans="2:18" ht="18.95" customHeight="1">
      <c r="B462" s="449" t="s">
        <v>1604</v>
      </c>
      <c r="C462" s="451" t="str">
        <f>MID(B462,IFERROR(FIND("市",B462)+1,1),FIND("镇",B462)-IFERROR(FIND("市",B462),)-1)</f>
        <v>三垛</v>
      </c>
      <c r="D462" s="326"/>
    </row>
    <row r="463" spans="2:18" ht="18.95" customHeight="1">
      <c r="B463" s="449" t="s">
        <v>1605</v>
      </c>
      <c r="C463" s="451" t="str">
        <f>MID(B463,IFERROR(FIND("市",B463)+1,1),FIND("镇",B463)-IFERROR(FIND("市",B463),)-1)</f>
        <v>卸甲</v>
      </c>
      <c r="D463" s="326"/>
    </row>
    <row r="464" spans="2:18" ht="18.95" customHeight="1">
      <c r="B464" s="449" t="s">
        <v>1606</v>
      </c>
      <c r="C464" s="451" t="str">
        <f>MID(B464,IFERROR(FIND("市",B464)+1,1),FIND("镇",B464)-IFERROR(FIND("市",B464),)-1)</f>
        <v>送桥</v>
      </c>
      <c r="D464" s="326"/>
    </row>
    <row r="465" spans="2:17" ht="18.95" customHeight="1">
      <c r="B465" s="304"/>
      <c r="C465" s="305"/>
      <c r="D465" s="327"/>
      <c r="J465" s="1" t="s">
        <v>1607</v>
      </c>
    </row>
    <row r="467" spans="2:17" ht="18.95" customHeight="1">
      <c r="B467" s="333"/>
      <c r="C467" s="324"/>
      <c r="D467" s="324"/>
      <c r="E467" s="325"/>
      <c r="F467" s="324"/>
      <c r="G467" s="324"/>
      <c r="H467" s="333"/>
      <c r="I467" s="324"/>
      <c r="J467" s="324"/>
      <c r="K467" s="324"/>
      <c r="L467" s="324"/>
      <c r="M467" s="325"/>
      <c r="N467" s="324"/>
      <c r="O467" s="324"/>
      <c r="P467" s="324"/>
      <c r="Q467" s="325"/>
    </row>
    <row r="468" spans="2:17" ht="18.95" customHeight="1">
      <c r="B468" s="288" t="s">
        <v>1608</v>
      </c>
      <c r="C468" s="105" t="s">
        <v>1609</v>
      </c>
      <c r="D468" s="105" t="s">
        <v>1610</v>
      </c>
      <c r="E468" s="452" t="s">
        <v>1611</v>
      </c>
      <c r="F468" s="105"/>
      <c r="G468" s="105"/>
      <c r="H468" s="288"/>
      <c r="I468" s="105" t="s">
        <v>1608</v>
      </c>
      <c r="J468" s="105" t="s">
        <v>1612</v>
      </c>
      <c r="K468" s="105" t="s">
        <v>1613</v>
      </c>
      <c r="L468" s="105" t="s">
        <v>1610</v>
      </c>
      <c r="M468" s="326"/>
      <c r="N468" s="116"/>
      <c r="O468" s="116"/>
      <c r="P468" s="116"/>
      <c r="Q468" s="326"/>
    </row>
    <row r="469" spans="2:17" ht="18.95" customHeight="1">
      <c r="B469" s="288" t="s">
        <v>1614</v>
      </c>
      <c r="C469" s="453">
        <v>3400</v>
      </c>
      <c r="D469" s="453">
        <v>3400</v>
      </c>
      <c r="E469" s="452" t="s">
        <v>1615</v>
      </c>
      <c r="F469" s="105"/>
      <c r="G469" s="105"/>
      <c r="H469" s="288"/>
      <c r="I469" s="105" t="s">
        <v>1614</v>
      </c>
      <c r="J469" s="315">
        <f t="array" ref="J469">INDEX($C:$C,SMALL(IF(($E$469:$E$493=LEFT(J$468,1))*($B$469:$B$493=$I469),ROW($469:$493),4^8),COUNTIF($I$469:$I493,$I469)))</f>
        <v>3400</v>
      </c>
      <c r="K469" s="454">
        <f t="array" ref="K469">INDEX($C:$C,SMALL(IF(($E$469:$E$493=LEFT(K$468,1))*($B$469:$B$493=$I469),ROW($469:$493),4^8),COUNTIF($I$469:$I493,$I469)))</f>
        <v>0</v>
      </c>
      <c r="L469" s="315">
        <f>SUM($J$469:J469)-SUM($K$469:K469)</f>
        <v>3400</v>
      </c>
      <c r="M469" s="326"/>
      <c r="N469" s="116"/>
      <c r="O469" s="116"/>
      <c r="P469" s="116"/>
      <c r="Q469" s="326"/>
    </row>
    <row r="470" spans="2:17" ht="18.95" customHeight="1">
      <c r="B470" s="288" t="s">
        <v>1616</v>
      </c>
      <c r="C470" s="105">
        <v>400</v>
      </c>
      <c r="D470" s="453">
        <v>3800</v>
      </c>
      <c r="E470" s="452" t="s">
        <v>1615</v>
      </c>
      <c r="F470" s="105"/>
      <c r="G470" s="105"/>
      <c r="H470" s="288"/>
      <c r="I470" s="105" t="s">
        <v>1616</v>
      </c>
      <c r="J470" s="454">
        <f t="array" ref="J470">INDEX($C:$C,SMALL(IF(($E$469:$E$493=LEFT(J$468,1))*($B$469:$B$493=$I470),ROW($469:$493),4^8),COUNTIF($I$469:$I494,$I470)))</f>
        <v>400</v>
      </c>
      <c r="K470" s="454">
        <f t="array" ref="K470">INDEX($C:$C,SMALL(IF(($E$469:$E$493=LEFT(K$468,1))*($B$469:$B$493=$I470),ROW($469:$493),4^8),COUNTIF($I$469:$I494,$I470)))</f>
        <v>0</v>
      </c>
      <c r="L470" s="315">
        <f>SUM($J$469:J470)-SUM($K$469:K470)</f>
        <v>3800</v>
      </c>
      <c r="M470" s="326"/>
      <c r="N470" s="116"/>
      <c r="O470" s="116"/>
      <c r="P470" s="116"/>
      <c r="Q470" s="326"/>
    </row>
    <row r="471" spans="2:17" ht="18.95" customHeight="1">
      <c r="B471" s="288" t="s">
        <v>1617</v>
      </c>
      <c r="C471" s="105">
        <v>400</v>
      </c>
      <c r="D471" s="453">
        <v>4200</v>
      </c>
      <c r="E471" s="452" t="s">
        <v>1615</v>
      </c>
      <c r="F471" s="105"/>
      <c r="G471" s="105"/>
      <c r="H471" s="288"/>
      <c r="I471" s="105" t="s">
        <v>1617</v>
      </c>
      <c r="J471" s="454">
        <f t="array" ref="J471">INDEX($C:$C,SMALL(IF(($E$469:$E$493=LEFT(J$468,1))*($B$469:$B$493=$I471),ROW($469:$493),4^8),COUNTIF($I$469:$I495,$I471)))</f>
        <v>400</v>
      </c>
      <c r="K471" s="454">
        <f t="array" ref="K471">INDEX($C:$C,SMALL(IF(($E$469:$E$493=LEFT(K$468,1))*($B$469:$B$493=$I471),ROW($469:$493),4^8),COUNTIF($I$469:$I495,$I471)))</f>
        <v>0</v>
      </c>
      <c r="L471" s="315">
        <f>SUM($J$469:J471)-SUM($K$469:K471)</f>
        <v>4200</v>
      </c>
      <c r="M471" s="326"/>
      <c r="N471" s="116"/>
      <c r="O471" s="116"/>
      <c r="P471" s="116"/>
      <c r="Q471" s="326"/>
    </row>
    <row r="472" spans="2:17" ht="18.95" customHeight="1">
      <c r="B472" s="288" t="s">
        <v>1618</v>
      </c>
      <c r="C472" s="105">
        <v>400</v>
      </c>
      <c r="D472" s="453">
        <v>4600</v>
      </c>
      <c r="E472" s="452" t="s">
        <v>1615</v>
      </c>
      <c r="F472" s="105"/>
      <c r="G472" s="105"/>
      <c r="H472" s="288"/>
      <c r="I472" s="105" t="s">
        <v>1618</v>
      </c>
      <c r="J472" s="454">
        <f t="array" ref="J472">INDEX($C:$C,SMALL(IF(($E$469:$E$493=LEFT(J$468,1))*($B$469:$B$493=$I472),ROW($469:$493),4^8),COUNTIF($I$469:$I496,$I472)))</f>
        <v>400</v>
      </c>
      <c r="K472" s="454">
        <f t="array" ref="K472">INDEX($C:$C,SMALL(IF(($E$469:$E$493=LEFT(K$468,1))*($B$469:$B$493=$I472),ROW($469:$493),4^8),COUNTIF($I$469:$I496,$I472)))</f>
        <v>0</v>
      </c>
      <c r="L472" s="315">
        <f>SUM($J$469:J472)-SUM($K$469:K472)</f>
        <v>4600</v>
      </c>
      <c r="M472" s="326"/>
      <c r="N472" s="116"/>
      <c r="O472" s="116"/>
      <c r="P472" s="116"/>
      <c r="Q472" s="326"/>
    </row>
    <row r="473" spans="2:17" ht="18.95" customHeight="1">
      <c r="B473" s="288" t="s">
        <v>1619</v>
      </c>
      <c r="C473" s="105">
        <v>200</v>
      </c>
      <c r="D473" s="453">
        <v>4800</v>
      </c>
      <c r="E473" s="452" t="s">
        <v>1615</v>
      </c>
      <c r="F473" s="105"/>
      <c r="G473" s="105"/>
      <c r="H473" s="288"/>
      <c r="I473" s="105" t="s">
        <v>1619</v>
      </c>
      <c r="J473" s="454">
        <f t="array" ref="J473">INDEX($C:$C,SMALL(IF(($E$469:$E$493=LEFT(J$468,1))*($B$469:$B$493=$I473),ROW($469:$493),4^8),COUNTIF($I$469:$I497,$I473)))</f>
        <v>200</v>
      </c>
      <c r="K473" s="454">
        <f t="array" ref="K473">INDEX($C:$C,SMALL(IF(($E$469:$E$493=LEFT(K$468,1))*($B$469:$B$493=$I473),ROW($469:$493),4^8),COUNTIF($I$469:$I497,$I473)))</f>
        <v>0</v>
      </c>
      <c r="L473" s="315">
        <f>SUM($J$469:J473)-SUM($K$469:K473)</f>
        <v>4800</v>
      </c>
      <c r="M473" s="326"/>
      <c r="N473" s="116"/>
      <c r="O473" s="116"/>
      <c r="P473" s="116"/>
      <c r="Q473" s="326"/>
    </row>
    <row r="474" spans="2:17" ht="18.95" customHeight="1">
      <c r="B474" s="288" t="s">
        <v>1620</v>
      </c>
      <c r="C474" s="105">
        <v>200</v>
      </c>
      <c r="D474" s="453">
        <v>5000</v>
      </c>
      <c r="E474" s="452" t="s">
        <v>1615</v>
      </c>
      <c r="F474" s="105"/>
      <c r="G474" s="105"/>
      <c r="H474" s="288"/>
      <c r="I474" s="105" t="s">
        <v>1620</v>
      </c>
      <c r="J474" s="454">
        <f t="array" ref="J474">INDEX($C:$C,SMALL(IF(($E$469:$E$493=LEFT(J$468,1))*($B$469:$B$493=$I474),ROW($469:$493),4^8),COUNTIF($I$469:$I499,$I474)))</f>
        <v>200</v>
      </c>
      <c r="K474" s="454">
        <f t="array" ref="K474">INDEX($C:$C,SMALL(IF(($E$469:$E$493=LEFT(K$468,1))*($B$469:$B$493=$I474),ROW($469:$493),4^8),COUNTIF($I$469:$I499,$I474)))</f>
        <v>0</v>
      </c>
      <c r="L474" s="315">
        <f>SUM($J$469:J474)-SUM($K$469:K474)</f>
        <v>5000</v>
      </c>
      <c r="M474" s="326"/>
      <c r="N474" s="116"/>
      <c r="O474" s="116"/>
      <c r="P474" s="116"/>
      <c r="Q474" s="326"/>
    </row>
    <row r="475" spans="2:17" ht="18.95" customHeight="1">
      <c r="B475" s="288" t="s">
        <v>1621</v>
      </c>
      <c r="C475" s="105">
        <v>20</v>
      </c>
      <c r="D475" s="453">
        <v>5020</v>
      </c>
      <c r="E475" s="452" t="s">
        <v>1615</v>
      </c>
      <c r="F475" s="105"/>
      <c r="G475" s="105"/>
      <c r="H475" s="288"/>
      <c r="I475" s="105" t="s">
        <v>1621</v>
      </c>
      <c r="J475" s="454">
        <f t="array" ref="J475">INDEX($C:$C,SMALL(IF(($E$469:$E$493=LEFT(J$468,1))*($B$469:$B$493=$I475),ROW($469:$493),4^8),COUNTIF($I$469:$I500,$I475)))</f>
        <v>20</v>
      </c>
      <c r="K475" s="454">
        <f t="array" ref="K475">INDEX($C:$C,SMALL(IF(($E$469:$E$493=LEFT(K$468,1))*($B$469:$B$493=$I475),ROW($469:$493),4^8),COUNTIF($I$469:$I500,$I475)))</f>
        <v>0</v>
      </c>
      <c r="L475" s="315">
        <f>SUM($J$469:J475)-SUM($K$469:K475)</f>
        <v>5020</v>
      </c>
      <c r="M475" s="326"/>
      <c r="N475" s="116"/>
      <c r="O475" s="116"/>
      <c r="P475" s="116"/>
      <c r="Q475" s="326"/>
    </row>
    <row r="476" spans="2:17" ht="18.95" customHeight="1">
      <c r="B476" s="288" t="s">
        <v>1622</v>
      </c>
      <c r="C476" s="105">
        <v>300</v>
      </c>
      <c r="D476" s="453">
        <v>5320</v>
      </c>
      <c r="E476" s="452" t="s">
        <v>1615</v>
      </c>
      <c r="F476" s="105"/>
      <c r="G476" s="105"/>
      <c r="H476" s="288"/>
      <c r="I476" s="105" t="s">
        <v>1622</v>
      </c>
      <c r="J476" s="454">
        <f t="array" ref="J476">INDEX($C:$C,SMALL(IF(($E$469:$E$493=LEFT(J$468,1))*($B$469:$B$493=$I476),ROW($469:$493),4^8),COUNTIF($I$469:$I501,$I476)))</f>
        <v>300</v>
      </c>
      <c r="K476" s="454">
        <f t="array" ref="K476">INDEX($C:$C,SMALL(IF(($E$469:$E$493=LEFT(K$468,1))*($B$469:$B$493=$I476),ROW($469:$493),4^8),COUNTIF($I$469:$I501,$I476)))</f>
        <v>0</v>
      </c>
      <c r="L476" s="315">
        <f>SUM($J$469:J476)-SUM($K$469:K476)</f>
        <v>5320</v>
      </c>
      <c r="M476" s="326"/>
      <c r="N476" s="116"/>
      <c r="O476" s="116"/>
      <c r="P476" s="116"/>
      <c r="Q476" s="326"/>
    </row>
    <row r="477" spans="2:17" ht="18.95" customHeight="1">
      <c r="B477" s="288" t="s">
        <v>1623</v>
      </c>
      <c r="C477" s="105">
        <v>300</v>
      </c>
      <c r="D477" s="453">
        <v>5620</v>
      </c>
      <c r="E477" s="452" t="s">
        <v>1615</v>
      </c>
      <c r="F477" s="105"/>
      <c r="G477" s="105"/>
      <c r="H477" s="288"/>
      <c r="I477" s="105" t="s">
        <v>1623</v>
      </c>
      <c r="J477" s="454">
        <f t="array" ref="J477">INDEX($C:$C,SMALL(IF(($E$469:$E$493=LEFT(J$468,1))*($B$469:$B$493=$I477),ROW($469:$493),4^8),COUNTIF($I$469:$I502,$I477)))</f>
        <v>300</v>
      </c>
      <c r="K477" s="454">
        <f t="array" ref="K477">INDEX($C:$C,SMALL(IF(($E$469:$E$493=LEFT(K$468,1))*($B$469:$B$493=$I477),ROW($469:$493),4^8),COUNTIF($I$469:$I502,$I477)))</f>
        <v>0</v>
      </c>
      <c r="L477" s="315">
        <f>SUM($J$469:J477)-SUM($K$469:K477)</f>
        <v>5620</v>
      </c>
      <c r="M477" s="326"/>
      <c r="N477" s="116"/>
      <c r="O477" s="116"/>
      <c r="P477" s="116"/>
      <c r="Q477" s="326"/>
    </row>
    <row r="478" spans="2:17" ht="18.95" customHeight="1">
      <c r="B478" s="288" t="s">
        <v>1624</v>
      </c>
      <c r="C478" s="105">
        <v>300</v>
      </c>
      <c r="D478" s="453">
        <v>5920</v>
      </c>
      <c r="E478" s="452" t="s">
        <v>1615</v>
      </c>
      <c r="F478" s="105"/>
      <c r="G478" s="105"/>
      <c r="H478" s="288"/>
      <c r="I478" s="105" t="s">
        <v>1624</v>
      </c>
      <c r="J478" s="454">
        <f t="array" ref="J478">INDEX($C:$C,SMALL(IF(($E$469:$E$493=LEFT(J$468,1))*($B$469:$B$493=$I478),ROW($469:$493),4^8),COUNTIF($I$469:$I503,$I478)))</f>
        <v>300</v>
      </c>
      <c r="K478" s="454">
        <f t="array" ref="K478">INDEX($C:$C,SMALL(IF(($E$469:$E$493=LEFT(K$468,1))*($B$469:$B$493=$I478),ROW($469:$493),4^8),COUNTIF($I$469:$I503,$I478)))</f>
        <v>0</v>
      </c>
      <c r="L478" s="315">
        <f>SUM($J$469:J478)-SUM($K$469:K478)</f>
        <v>5920</v>
      </c>
      <c r="M478" s="326"/>
      <c r="N478" s="116"/>
      <c r="O478" s="116"/>
      <c r="P478" s="116"/>
      <c r="Q478" s="326"/>
    </row>
    <row r="479" spans="2:17" ht="18.95" customHeight="1">
      <c r="B479" s="288" t="s">
        <v>1625</v>
      </c>
      <c r="C479" s="453">
        <v>4000</v>
      </c>
      <c r="D479" s="453">
        <v>9920</v>
      </c>
      <c r="E479" s="452" t="s">
        <v>1615</v>
      </c>
      <c r="F479" s="105"/>
      <c r="G479" s="105"/>
      <c r="H479" s="288"/>
      <c r="I479" s="105" t="s">
        <v>1625</v>
      </c>
      <c r="J479" s="454">
        <f t="array" ref="J479">INDEX($C:$C,SMALL(IF(($E$469:$E$493=LEFT(J$468,1))*($B$469:$B$493=$I479),ROW($469:$493),4^8),COUNTIF($I$469:$I504,$I479)))</f>
        <v>4000</v>
      </c>
      <c r="K479" s="454">
        <f t="array" ref="K479">INDEX($C:$C,SMALL(IF(($E$469:$E$493=LEFT(K$468,1))*($B$469:$B$493=$I479),ROW($469:$493),4^8),COUNTIF($I$469:$I504,$I479)))</f>
        <v>0</v>
      </c>
      <c r="L479" s="315">
        <f>SUM($J$469:J479)-SUM($K$469:K479)</f>
        <v>9920</v>
      </c>
      <c r="M479" s="326"/>
      <c r="N479" s="116"/>
      <c r="O479" s="116"/>
      <c r="P479" s="116"/>
      <c r="Q479" s="326"/>
    </row>
    <row r="480" spans="2:17" ht="18.95" customHeight="1">
      <c r="B480" s="288" t="s">
        <v>1626</v>
      </c>
      <c r="C480" s="453">
        <v>9400</v>
      </c>
      <c r="D480" s="105">
        <v>520</v>
      </c>
      <c r="E480" s="452" t="s">
        <v>1627</v>
      </c>
      <c r="F480" s="105"/>
      <c r="G480" s="105"/>
      <c r="H480" s="288"/>
      <c r="I480" s="105" t="s">
        <v>1626</v>
      </c>
      <c r="J480" s="454">
        <f t="array" ref="J480">INDEX($C:$C,SMALL(IF(($E$469:$E$493=LEFT(J$468,1))*($B$469:$B$493=$I480),ROW($469:$493),4^8),COUNTIF($I$469:$I505,$I480)))</f>
        <v>0</v>
      </c>
      <c r="K480" s="454">
        <f t="array" ref="K480">INDEX($C:$C,SMALL(IF(($E$469:$E$493=LEFT(K$468,1))*($B$469:$B$493=$I480),ROW($469:$493),4^8),COUNTIF($I$469:$I505,$I480)))</f>
        <v>1</v>
      </c>
      <c r="L480" s="315">
        <f>SUM($J$469:J480)-SUM($K$469:K480)</f>
        <v>9919</v>
      </c>
      <c r="M480" s="326"/>
      <c r="N480" s="116"/>
      <c r="O480" s="116"/>
      <c r="P480" s="116"/>
      <c r="Q480" s="326"/>
    </row>
    <row r="481" spans="2:17" ht="18.95" customHeight="1">
      <c r="B481" s="288" t="s">
        <v>1626</v>
      </c>
      <c r="C481" s="105">
        <v>1</v>
      </c>
      <c r="D481" s="105">
        <v>519</v>
      </c>
      <c r="E481" s="452" t="s">
        <v>1627</v>
      </c>
      <c r="F481" s="105"/>
      <c r="G481" s="105"/>
      <c r="H481" s="288"/>
      <c r="I481" s="105" t="s">
        <v>1626</v>
      </c>
      <c r="J481" s="454">
        <f t="array" ref="J481">INDEX($C:$C,SMALL(IF(($E$469:$E$493=LEFT(J$468,1))*($B$469:$B$493=$I481),ROW($469:$493),4^8),COUNTIF($I$469:$I506,$I481)))</f>
        <v>0</v>
      </c>
      <c r="K481" s="454">
        <f t="array" ref="K481">INDEX($C:$C,SMALL(IF(($E$469:$E$493=LEFT(K$468,1))*($B$469:$B$493=$I481),ROW($469:$493),4^8),COUNTIF($I$469:$I506,$I481)))</f>
        <v>1</v>
      </c>
      <c r="L481" s="315">
        <f>SUM($J$469:J481)-SUM($K$469:K481)</f>
        <v>9918</v>
      </c>
      <c r="M481" s="326"/>
      <c r="N481" s="116"/>
      <c r="O481" s="116"/>
      <c r="P481" s="116"/>
      <c r="Q481" s="326"/>
    </row>
    <row r="482" spans="2:17" ht="18.95" customHeight="1">
      <c r="B482" s="288" t="s">
        <v>1628</v>
      </c>
      <c r="C482" s="105">
        <v>7.0000000000000007E-2</v>
      </c>
      <c r="D482" s="105">
        <v>519.07000000000005</v>
      </c>
      <c r="E482" s="452" t="s">
        <v>1615</v>
      </c>
      <c r="F482" s="105"/>
      <c r="G482" s="105"/>
      <c r="H482" s="288"/>
      <c r="I482" s="105" t="s">
        <v>1628</v>
      </c>
      <c r="J482" s="454">
        <f t="array" ref="J482">INDEX($C:$C,SMALL(IF(($E$469:$E$493=LEFT(J$468,1))*($B$469:$B$493=$I482),ROW($469:$493),4^8),COUNTIF($I$469:$I507,$I482)))</f>
        <v>7.0000000000000007E-2</v>
      </c>
      <c r="K482" s="454">
        <f t="array" ref="K482">INDEX($C:$C,SMALL(IF(($E$469:$E$493=LEFT(K$468,1))*($B$469:$B$493=$I482),ROW($469:$493),4^8),COUNTIF($I$469:$I507,$I482)))</f>
        <v>0</v>
      </c>
      <c r="L482" s="315">
        <f>SUM($J$469:J482)-SUM($K$469:K482)</f>
        <v>9918.07</v>
      </c>
      <c r="M482" s="326"/>
      <c r="N482" s="116"/>
      <c r="O482" s="116"/>
      <c r="P482" s="116"/>
      <c r="Q482" s="326"/>
    </row>
    <row r="483" spans="2:17" ht="18.95" customHeight="1">
      <c r="B483" s="288" t="s">
        <v>1629</v>
      </c>
      <c r="C483" s="453">
        <v>21200</v>
      </c>
      <c r="D483" s="453">
        <v>21719.07</v>
      </c>
      <c r="E483" s="452" t="s">
        <v>1615</v>
      </c>
      <c r="F483" s="105"/>
      <c r="G483" s="105"/>
      <c r="H483" s="288"/>
      <c r="I483" s="105" t="s">
        <v>1629</v>
      </c>
      <c r="J483" s="454">
        <f t="array" ref="J483">INDEX($C:$C,SMALL(IF(($E$469:$E$493=LEFT(J$468,1))*($B$469:$B$493=$I483),ROW($469:$493),4^8),COUNTIF($I$469:$I508,$I483)))</f>
        <v>21200</v>
      </c>
      <c r="K483" s="454">
        <f t="array" ref="K483">INDEX($C:$C,SMALL(IF(($E$469:$E$493=LEFT(K$468,1))*($B$469:$B$493=$I483),ROW($469:$493),4^8),COUNTIF($I$469:$I508,$I483)))</f>
        <v>0</v>
      </c>
      <c r="L483" s="315">
        <f>SUM($J$469:J483)-SUM($K$469:K483)</f>
        <v>31118.07</v>
      </c>
      <c r="M483" s="326"/>
      <c r="N483" s="116"/>
      <c r="O483" s="116"/>
      <c r="P483" s="116"/>
      <c r="Q483" s="326"/>
    </row>
    <row r="484" spans="2:17" ht="18.95" customHeight="1">
      <c r="B484" s="288" t="s">
        <v>1630</v>
      </c>
      <c r="C484" s="453">
        <v>15600</v>
      </c>
      <c r="D484" s="453">
        <v>37319.07</v>
      </c>
      <c r="E484" s="452" t="s">
        <v>1615</v>
      </c>
      <c r="F484" s="105"/>
      <c r="G484" s="105"/>
      <c r="H484" s="288"/>
      <c r="I484" s="105" t="s">
        <v>1630</v>
      </c>
      <c r="J484" s="454">
        <f t="array" ref="J484">INDEX($C:$C,SMALL(IF(($E$469:$E$493=LEFT(J$468,1))*($B$469:$B$493=$I484),ROW($469:$493),4^8),COUNTIF($I$469:$I509,$I484)))</f>
        <v>15600</v>
      </c>
      <c r="K484" s="454">
        <f t="array" ref="K484">INDEX($C:$C,SMALL(IF(($E$469:$E$493=LEFT(K$468,1))*($B$469:$B$493=$I484),ROW($469:$493),4^8),COUNTIF($I$469:$I509,$I484)))</f>
        <v>0</v>
      </c>
      <c r="L484" s="315">
        <f>SUM($J$469:J484)-SUM($K$469:K484)</f>
        <v>46718.07</v>
      </c>
      <c r="M484" s="326"/>
      <c r="N484" s="116"/>
      <c r="O484" s="116"/>
      <c r="P484" s="116"/>
      <c r="Q484" s="326"/>
    </row>
    <row r="485" spans="2:17" ht="18.95" customHeight="1">
      <c r="B485" s="288" t="s">
        <v>1631</v>
      </c>
      <c r="C485" s="453">
        <v>2228.83</v>
      </c>
      <c r="D485" s="453">
        <v>35090.239999999998</v>
      </c>
      <c r="E485" s="452" t="s">
        <v>1627</v>
      </c>
      <c r="F485" s="105"/>
      <c r="G485" s="105"/>
      <c r="H485" s="288"/>
      <c r="I485" s="105" t="s">
        <v>1631</v>
      </c>
      <c r="J485" s="454">
        <f t="array" ref="J485">INDEX($C:$C,SMALL(IF(($E$469:$E$493=LEFT(J$468,1))*($B$469:$B$493=$I485),ROW($469:$493),4^8),COUNTIF($I$469:$I510,$I485)))</f>
        <v>0</v>
      </c>
      <c r="K485" s="454">
        <f t="array" ref="K485">INDEX($C:$C,SMALL(IF(($E$469:$E$493=LEFT(K$468,1))*($B$469:$B$493=$I485),ROW($469:$493),4^8),COUNTIF($I$469:$I510,$I485)))</f>
        <v>2228.83</v>
      </c>
      <c r="L485" s="315">
        <f>SUM($J$469:J485)-SUM($K$469:K485)</f>
        <v>44489.24</v>
      </c>
      <c r="M485" s="326"/>
      <c r="N485" s="116"/>
      <c r="O485" s="116"/>
      <c r="P485" s="116"/>
      <c r="Q485" s="326"/>
    </row>
    <row r="486" spans="2:17" ht="18.95" customHeight="1">
      <c r="B486" s="288" t="s">
        <v>1632</v>
      </c>
      <c r="C486" s="105">
        <v>864.26</v>
      </c>
      <c r="D486" s="453">
        <v>34225.980000000003</v>
      </c>
      <c r="E486" s="452" t="s">
        <v>1627</v>
      </c>
      <c r="F486" s="105"/>
      <c r="G486" s="105"/>
      <c r="H486" s="288"/>
      <c r="I486" s="105" t="s">
        <v>1632</v>
      </c>
      <c r="J486" s="454">
        <f t="array" ref="J486">INDEX($C:$C,SMALL(IF(($E$469:$E$493=LEFT(J$468,1))*($B$469:$B$493=$I486),ROW($469:$493),4^8),COUNTIF($I$469:$I511,$I486)))</f>
        <v>0</v>
      </c>
      <c r="K486" s="454">
        <f t="array" ref="K486">INDEX($C:$C,SMALL(IF(($E$469:$E$493=LEFT(K$468,1))*($B$469:$B$493=$I486),ROW($469:$493),4^8),COUNTIF($I$469:$I511,$I486)))</f>
        <v>864.26</v>
      </c>
      <c r="L486" s="315">
        <f>SUM($J$469:J486)-SUM($K$469:K486)</f>
        <v>43624.979999999996</v>
      </c>
      <c r="M486" s="326"/>
      <c r="N486" s="116"/>
      <c r="O486" s="116"/>
      <c r="P486" s="116"/>
      <c r="Q486" s="326"/>
    </row>
    <row r="487" spans="2:17" ht="18.95" customHeight="1">
      <c r="B487" s="288" t="s">
        <v>1633</v>
      </c>
      <c r="C487" s="453">
        <v>18000</v>
      </c>
      <c r="D487" s="453">
        <v>52225.98</v>
      </c>
      <c r="E487" s="452" t="s">
        <v>1615</v>
      </c>
      <c r="F487" s="105"/>
      <c r="G487" s="105"/>
      <c r="H487" s="288"/>
      <c r="I487" s="105" t="s">
        <v>1633</v>
      </c>
      <c r="J487" s="454">
        <f t="array" ref="J487">INDEX($C:$C,SMALL(IF(($E$469:$E$493=LEFT(J$468,1))*($B$469:$B$493=$I487),ROW($469:$493),4^8),COUNTIF($I$469:$I512,$I487)))</f>
        <v>18000</v>
      </c>
      <c r="K487" s="454">
        <f t="array" ref="K487">INDEX($C:$C,SMALL(IF(($E$469:$E$493=LEFT(K$468,1))*($B$469:$B$493=$I487),ROW($469:$493),4^8),COUNTIF($I$469:$I512,$I487)))</f>
        <v>0</v>
      </c>
      <c r="L487" s="315">
        <f>SUM($J$469:J487)-SUM($K$469:K487)</f>
        <v>61624.979999999996</v>
      </c>
      <c r="M487" s="326"/>
      <c r="N487" s="116"/>
      <c r="O487" s="116"/>
      <c r="P487" s="116"/>
      <c r="Q487" s="326"/>
    </row>
    <row r="488" spans="2:17" ht="18.95" customHeight="1">
      <c r="B488" s="288" t="s">
        <v>1634</v>
      </c>
      <c r="C488" s="453">
        <v>156600</v>
      </c>
      <c r="D488" s="453">
        <v>208825.98</v>
      </c>
      <c r="E488" s="452" t="s">
        <v>1615</v>
      </c>
      <c r="F488" s="105"/>
      <c r="G488" s="105"/>
      <c r="H488" s="288"/>
      <c r="I488" s="105" t="s">
        <v>1634</v>
      </c>
      <c r="J488" s="454">
        <f t="array" ref="J488">INDEX($C:$C,SMALL(IF(($E$469:$E$493=LEFT(J$468,1))*($B$469:$B$493=$I488),ROW($469:$493),4^8),COUNTIF($I$469:$I513,$I488)))</f>
        <v>156600</v>
      </c>
      <c r="K488" s="454">
        <f t="array" ref="K488">INDEX($C:$C,SMALL(IF(($E$469:$E$493=LEFT(K$468,1))*($B$469:$B$493=$I488),ROW($469:$493),4^8),COUNTIF($I$469:$I513,$I488)))</f>
        <v>0</v>
      </c>
      <c r="L488" s="315">
        <f>SUM($J$469:J488)-SUM($K$469:K488)</f>
        <v>218224.98</v>
      </c>
      <c r="M488" s="326"/>
      <c r="N488" s="116"/>
      <c r="O488" s="116"/>
      <c r="P488" s="116"/>
      <c r="Q488" s="326"/>
    </row>
    <row r="489" spans="2:17" ht="18.95" customHeight="1">
      <c r="B489" s="288" t="s">
        <v>1635</v>
      </c>
      <c r="C489" s="453">
        <v>130350</v>
      </c>
      <c r="D489" s="453">
        <v>78475.98</v>
      </c>
      <c r="E489" s="452" t="s">
        <v>1627</v>
      </c>
      <c r="F489" s="105"/>
      <c r="G489" s="105"/>
      <c r="H489" s="288"/>
      <c r="I489" s="105" t="s">
        <v>1635</v>
      </c>
      <c r="J489" s="454">
        <f t="array" ref="J489">INDEX($C:$C,SMALL(IF(($E$469:$E$493=LEFT(J$468,1))*($B$469:$B$493=$I489),ROW($469:$493),4^8),COUNTIF($I$469:$I514,$I489)))</f>
        <v>0</v>
      </c>
      <c r="K489" s="454">
        <f t="array" ref="K489">INDEX($C:$C,SMALL(IF(($E$469:$E$493=LEFT(K$468,1))*($B$469:$B$493=$I489),ROW($469:$493),4^8),COUNTIF($I$469:$I514,$I489)))</f>
        <v>15</v>
      </c>
      <c r="L489" s="315">
        <f>SUM($J$469:J489)-SUM($K$469:K489)</f>
        <v>218209.98</v>
      </c>
      <c r="M489" s="326"/>
      <c r="N489" s="116"/>
      <c r="O489" s="116"/>
      <c r="P489" s="116"/>
      <c r="Q489" s="326"/>
    </row>
    <row r="490" spans="2:17" ht="18.95" customHeight="1">
      <c r="B490" s="288" t="s">
        <v>1635</v>
      </c>
      <c r="C490" s="105">
        <v>15</v>
      </c>
      <c r="D490" s="453">
        <v>78460.98</v>
      </c>
      <c r="E490" s="452" t="s">
        <v>1627</v>
      </c>
      <c r="F490" s="105"/>
      <c r="G490" s="105"/>
      <c r="H490" s="288"/>
      <c r="I490" s="105" t="s">
        <v>1635</v>
      </c>
      <c r="J490" s="454">
        <f t="array" ref="J490">INDEX($C:$C,SMALL(IF(($E$469:$E$493=LEFT(J$468,1))*($B$469:$B$493=$I490),ROW($469:$493),4^8),COUNTIF($I$469:$I515,$I490)))</f>
        <v>0</v>
      </c>
      <c r="K490" s="454">
        <f t="array" ref="K490">INDEX($C:$C,SMALL(IF(($E$469:$E$493=LEFT(K$468,1))*($B$469:$B$493=$I490),ROW($469:$493),4^8),COUNTIF($I$469:$I515,$I490)))</f>
        <v>15</v>
      </c>
      <c r="L490" s="315">
        <f>SUM($J$469:J490)-SUM($K$469:K490)</f>
        <v>218194.98</v>
      </c>
      <c r="M490" s="326"/>
      <c r="N490" s="116"/>
      <c r="O490" s="116"/>
      <c r="P490" s="116"/>
      <c r="Q490" s="326"/>
    </row>
    <row r="491" spans="2:17" ht="18.95" customHeight="1">
      <c r="B491" s="288" t="s">
        <v>1636</v>
      </c>
      <c r="C491" s="105">
        <v>98.83</v>
      </c>
      <c r="D491" s="453">
        <v>78362.149999999994</v>
      </c>
      <c r="E491" s="452" t="s">
        <v>1627</v>
      </c>
      <c r="F491" s="105"/>
      <c r="G491" s="105"/>
      <c r="H491" s="288"/>
      <c r="I491" s="105" t="s">
        <v>1636</v>
      </c>
      <c r="J491" s="454">
        <f t="array" ref="J491">INDEX($C:$C,SMALL(IF(($E$469:$E$493=LEFT(J$468,1))*($B$469:$B$493=$I491),ROW($469:$493),4^8),COUNTIF($I$469:$I516,$I491)))</f>
        <v>0</v>
      </c>
      <c r="K491" s="454">
        <f t="array" ref="K491">INDEX($C:$C,SMALL(IF(($E$469:$E$493=LEFT(K$468,1))*($B$469:$B$493=$I491),ROW($469:$493),4^8),COUNTIF($I$469:$I516,$I491)))</f>
        <v>98.83</v>
      </c>
      <c r="L491" s="315">
        <f>SUM($J$469:J491)-SUM($K$469:K491)</f>
        <v>218096.15</v>
      </c>
      <c r="M491" s="326"/>
      <c r="N491" s="116"/>
      <c r="O491" s="116"/>
      <c r="P491" s="116"/>
      <c r="Q491" s="326"/>
    </row>
    <row r="492" spans="2:17" ht="18.95" customHeight="1">
      <c r="B492" s="288" t="s">
        <v>1637</v>
      </c>
      <c r="C492" s="105">
        <v>277.72000000000003</v>
      </c>
      <c r="D492" s="453">
        <v>78084.429999999993</v>
      </c>
      <c r="E492" s="452" t="s">
        <v>1627</v>
      </c>
      <c r="F492" s="105"/>
      <c r="G492" s="105"/>
      <c r="H492" s="288"/>
      <c r="I492" s="105" t="s">
        <v>1637</v>
      </c>
      <c r="J492" s="454">
        <f t="array" ref="J492">INDEX($C:$C,SMALL(IF(($E$469:$E$493=LEFT(J$468,1))*($B$469:$B$493=$I492),ROW($469:$493),4^8),COUNTIF($I$469:$I517,$I492)))</f>
        <v>0</v>
      </c>
      <c r="K492" s="454">
        <f t="array" ref="K492">INDEX($C:$C,SMALL(IF(($E$469:$E$493=LEFT(K$468,1))*($B$469:$B$493=$I492),ROW($469:$493),4^8),COUNTIF($I$469:$I517,$I492)))</f>
        <v>5943.14</v>
      </c>
      <c r="L492" s="315">
        <f>SUM($J$469:J492)-SUM($K$469:K492)</f>
        <v>212153.01</v>
      </c>
      <c r="M492" s="326"/>
      <c r="N492" s="116"/>
      <c r="O492" s="116"/>
      <c r="P492" s="116"/>
      <c r="Q492" s="326"/>
    </row>
    <row r="493" spans="2:17" ht="18.95" customHeight="1">
      <c r="B493" s="288" t="s">
        <v>1637</v>
      </c>
      <c r="C493" s="453">
        <v>5943.14</v>
      </c>
      <c r="D493" s="453">
        <v>72141.289999999994</v>
      </c>
      <c r="E493" s="452" t="s">
        <v>1627</v>
      </c>
      <c r="F493" s="105"/>
      <c r="G493" s="105"/>
      <c r="H493" s="288"/>
      <c r="I493" s="105" t="s">
        <v>1637</v>
      </c>
      <c r="J493" s="454">
        <f t="array" ref="J493">INDEX($C:$C,SMALL(IF(($E$469:$E$493=LEFT(J$468,1))*($B$469:$B$493=$I493),ROW($469:$493),4^8),COUNTIF($I$469:$I518,$I493)))</f>
        <v>0</v>
      </c>
      <c r="K493" s="454">
        <f t="array" ref="K493">INDEX($C:$C,SMALL(IF(($E$469:$E$493=LEFT(K$468,1))*($B$469:$B$493=$I493),ROW($469:$493),4^8),COUNTIF($I$469:$I518,$I493)))</f>
        <v>5943.14</v>
      </c>
      <c r="L493" s="315">
        <f>SUM($J$469:J493)-SUM($K$469:K493)</f>
        <v>206209.87</v>
      </c>
      <c r="M493" s="326"/>
      <c r="N493" s="116"/>
      <c r="O493" s="116"/>
      <c r="P493" s="116"/>
      <c r="Q493" s="326"/>
    </row>
    <row r="494" spans="2:17" ht="18.95" customHeight="1">
      <c r="B494" s="254"/>
      <c r="C494" s="116"/>
      <c r="D494" s="116"/>
      <c r="E494" s="326"/>
      <c r="F494" s="116"/>
      <c r="G494" s="116"/>
      <c r="H494" s="254"/>
      <c r="I494" s="116"/>
      <c r="J494" s="116"/>
      <c r="K494" s="116"/>
      <c r="L494" s="116"/>
      <c r="M494" s="326"/>
      <c r="N494" s="116"/>
      <c r="O494" s="116"/>
      <c r="P494" s="116"/>
      <c r="Q494" s="326"/>
    </row>
    <row r="495" spans="2:17" ht="18.95" customHeight="1">
      <c r="B495" s="254"/>
      <c r="C495" s="116"/>
      <c r="D495" s="116"/>
      <c r="E495" s="326"/>
      <c r="F495" s="116"/>
      <c r="G495" s="116"/>
      <c r="H495" s="254"/>
      <c r="I495" s="116"/>
      <c r="J495" s="116"/>
      <c r="K495" s="116"/>
      <c r="L495" s="116"/>
      <c r="M495" s="326"/>
      <c r="N495" s="116"/>
      <c r="O495" s="116"/>
      <c r="P495" s="116"/>
      <c r="Q495" s="326"/>
    </row>
    <row r="496" spans="2:17" ht="18.95" customHeight="1">
      <c r="B496" s="304"/>
      <c r="C496" s="305"/>
      <c r="D496" s="305"/>
      <c r="E496" s="327"/>
      <c r="F496" s="116"/>
      <c r="G496" s="116"/>
      <c r="H496" s="304"/>
      <c r="I496" s="305"/>
      <c r="J496" s="305"/>
      <c r="K496" s="305"/>
      <c r="L496" s="305"/>
      <c r="M496" s="327"/>
      <c r="N496" s="116"/>
      <c r="O496" s="116"/>
      <c r="P496" s="116"/>
      <c r="Q496" s="326"/>
    </row>
    <row r="497" spans="2:17" ht="18.95" customHeight="1">
      <c r="B497" s="254"/>
      <c r="C497" s="116"/>
      <c r="D497" s="116"/>
      <c r="E497" s="116"/>
      <c r="F497" s="116"/>
      <c r="G497" s="116"/>
      <c r="H497" s="116"/>
      <c r="I497" s="116"/>
      <c r="J497" s="116"/>
      <c r="K497" s="116"/>
      <c r="L497" s="116"/>
      <c r="M497" s="116"/>
      <c r="N497" s="116"/>
      <c r="O497" s="116"/>
      <c r="P497" s="116"/>
      <c r="Q497" s="326"/>
    </row>
    <row r="498" spans="2:17" ht="18.95" customHeight="1">
      <c r="B498" s="254"/>
      <c r="C498" s="116"/>
      <c r="D498" s="116"/>
      <c r="E498" s="1" t="s">
        <v>1638</v>
      </c>
      <c r="F498" s="116"/>
      <c r="G498" s="116"/>
      <c r="H498" s="116"/>
      <c r="I498" s="116"/>
      <c r="J498" s="116"/>
      <c r="K498" s="116"/>
      <c r="L498" s="116"/>
      <c r="M498" s="116"/>
      <c r="N498" s="116"/>
      <c r="O498" s="116"/>
      <c r="P498" s="116"/>
      <c r="Q498" s="326"/>
    </row>
    <row r="499" spans="2:17" ht="18.95" customHeight="1">
      <c r="B499" s="254"/>
      <c r="C499" s="116"/>
      <c r="D499" s="116"/>
      <c r="E499" s="1" t="s">
        <v>1639</v>
      </c>
      <c r="F499" s="116"/>
      <c r="G499" s="116"/>
      <c r="I499" s="116"/>
      <c r="J499" s="116"/>
      <c r="K499" s="116"/>
      <c r="L499" s="116"/>
      <c r="M499" s="116"/>
      <c r="N499" s="116"/>
      <c r="O499" s="116"/>
      <c r="P499" s="116"/>
      <c r="Q499" s="326"/>
    </row>
    <row r="500" spans="2:17" ht="18.95" customHeight="1">
      <c r="B500" s="304"/>
      <c r="C500" s="305"/>
      <c r="D500" s="305"/>
      <c r="E500" s="305"/>
      <c r="F500" s="305"/>
      <c r="G500" s="305"/>
      <c r="H500" s="305"/>
      <c r="I500" s="305"/>
      <c r="J500" s="305"/>
      <c r="K500" s="305"/>
      <c r="L500" s="305"/>
      <c r="M500" s="305"/>
      <c r="N500" s="305"/>
      <c r="O500" s="305"/>
      <c r="P500" s="305"/>
      <c r="Q500" s="327"/>
    </row>
    <row r="502" spans="2:17" ht="18.95" customHeight="1">
      <c r="B502" s="333"/>
      <c r="C502" s="324"/>
      <c r="D502" s="324"/>
      <c r="E502" s="324"/>
      <c r="F502" s="324"/>
      <c r="G502" s="325"/>
    </row>
    <row r="503" spans="2:17" ht="18.95" customHeight="1">
      <c r="B503" s="254" t="s">
        <v>96</v>
      </c>
      <c r="C503" s="116">
        <f t="array" ref="C503">LOOKUP(10,MID(B503,ROW($1:$6),1)/1)</f>
        <v>1</v>
      </c>
      <c r="D503" s="116"/>
      <c r="E503" s="116" t="s">
        <v>1640</v>
      </c>
      <c r="F503" s="116"/>
      <c r="G503" s="326"/>
    </row>
    <row r="504" spans="2:17" ht="18.95" customHeight="1">
      <c r="B504" s="254" t="s">
        <v>98</v>
      </c>
      <c r="C504" s="116">
        <f t="array" ref="C504">-LOOKUP(0,-MID(B504,ROW($1:$6),1))</f>
        <v>5</v>
      </c>
      <c r="D504" s="116"/>
      <c r="E504" s="116" t="s">
        <v>1641</v>
      </c>
      <c r="F504" s="116"/>
      <c r="G504" s="326"/>
    </row>
    <row r="505" spans="2:17" ht="18.95" customHeight="1">
      <c r="B505" s="254"/>
      <c r="C505" s="116"/>
      <c r="D505" s="116"/>
      <c r="E505" s="116"/>
      <c r="F505" s="116"/>
      <c r="G505" s="326"/>
    </row>
    <row r="506" spans="2:17" ht="18.95" customHeight="1">
      <c r="B506" s="254" t="s">
        <v>1642</v>
      </c>
      <c r="C506" s="116"/>
      <c r="D506" s="116" t="s">
        <v>100</v>
      </c>
      <c r="E506" s="116"/>
      <c r="F506" s="116"/>
      <c r="G506" s="326"/>
    </row>
    <row r="507" spans="2:17" ht="18.95" customHeight="1">
      <c r="B507" s="304"/>
      <c r="C507" s="305"/>
      <c r="D507" s="305"/>
      <c r="E507" s="305"/>
      <c r="F507" s="305"/>
      <c r="G507" s="327"/>
    </row>
    <row r="509" spans="2:17" ht="18.95" customHeight="1">
      <c r="B509" s="333"/>
      <c r="C509" s="324"/>
      <c r="D509" s="324"/>
      <c r="E509" s="324"/>
      <c r="F509" s="324"/>
      <c r="G509" s="324"/>
      <c r="H509" s="324"/>
      <c r="I509" s="324"/>
      <c r="J509" s="324"/>
      <c r="K509" s="324"/>
      <c r="L509" s="324"/>
      <c r="M509" s="324"/>
      <c r="N509" s="324"/>
      <c r="O509" s="324"/>
      <c r="P509" s="325"/>
    </row>
    <row r="510" spans="2:17" ht="18.95" customHeight="1">
      <c r="B510" s="297"/>
      <c r="C510" s="112" t="s">
        <v>61</v>
      </c>
      <c r="D510" s="112" t="s">
        <v>62</v>
      </c>
      <c r="E510" s="112" t="s">
        <v>63</v>
      </c>
      <c r="F510" s="116"/>
      <c r="G510" s="116"/>
      <c r="H510" s="116"/>
      <c r="I510" s="116"/>
      <c r="J510" s="116"/>
      <c r="K510" s="116"/>
      <c r="L510" s="116"/>
      <c r="M510" s="116"/>
      <c r="N510" s="116"/>
      <c r="O510" s="116"/>
      <c r="P510" s="326"/>
    </row>
    <row r="511" spans="2:17" ht="18.95" customHeight="1">
      <c r="B511" s="297" t="s">
        <v>1643</v>
      </c>
      <c r="C511" s="112">
        <v>0</v>
      </c>
      <c r="D511" s="112">
        <v>1</v>
      </c>
      <c r="E511" s="112">
        <v>2</v>
      </c>
      <c r="F511" s="116"/>
      <c r="G511" s="116" t="s">
        <v>1644</v>
      </c>
      <c r="H511" s="116"/>
      <c r="I511" s="116"/>
      <c r="J511" s="116"/>
      <c r="K511" s="116"/>
      <c r="L511" s="116"/>
      <c r="M511" s="116"/>
      <c r="N511" s="116"/>
      <c r="O511" s="116"/>
      <c r="P511" s="326"/>
    </row>
    <row r="512" spans="2:17" ht="18.95" customHeight="1">
      <c r="B512" s="297" t="s">
        <v>1645</v>
      </c>
      <c r="C512" s="112">
        <v>1</v>
      </c>
      <c r="D512" s="112">
        <v>2</v>
      </c>
      <c r="E512" s="112">
        <v>3</v>
      </c>
      <c r="F512" s="116"/>
      <c r="G512" s="116"/>
      <c r="H512" s="116"/>
      <c r="I512" s="116"/>
      <c r="J512" s="116"/>
      <c r="K512" s="116"/>
      <c r="L512" s="116"/>
      <c r="M512" s="116"/>
      <c r="N512" s="116"/>
      <c r="O512" s="116"/>
      <c r="P512" s="326"/>
    </row>
    <row r="513" spans="2:16" ht="18.95" customHeight="1">
      <c r="B513" s="297" t="s">
        <v>1646</v>
      </c>
      <c r="C513" s="112">
        <v>2</v>
      </c>
      <c r="D513" s="112">
        <v>3</v>
      </c>
      <c r="E513" s="112">
        <v>4</v>
      </c>
      <c r="F513" s="116"/>
      <c r="G513" s="455" t="s">
        <v>94</v>
      </c>
      <c r="H513" s="116"/>
      <c r="I513" s="116"/>
      <c r="J513" s="116"/>
      <c r="K513" s="116"/>
      <c r="L513" s="116"/>
      <c r="M513" s="116"/>
      <c r="N513" s="116"/>
      <c r="O513" s="116"/>
      <c r="P513" s="326"/>
    </row>
    <row r="514" spans="2:16" ht="18.95" customHeight="1">
      <c r="B514" s="254"/>
      <c r="C514" s="116"/>
      <c r="D514" s="116"/>
      <c r="E514" s="116"/>
      <c r="F514" s="116"/>
      <c r="G514" s="116"/>
      <c r="H514" s="116"/>
      <c r="I514" s="116"/>
      <c r="J514" s="116"/>
      <c r="K514" s="116"/>
      <c r="L514" s="116"/>
      <c r="M514" s="116"/>
      <c r="N514" s="116"/>
      <c r="O514" s="116"/>
      <c r="P514" s="326"/>
    </row>
    <row r="515" spans="2:16" ht="18.95" customHeight="1">
      <c r="B515" s="254" t="s">
        <v>1090</v>
      </c>
      <c r="C515" s="116" t="s">
        <v>1646</v>
      </c>
      <c r="D515" s="116">
        <v>2.5</v>
      </c>
      <c r="E515" s="112" t="str">
        <f ca="1">LOOKUP(D515,OFFSET($C$510:$E$510,MATCH(C515,B511:B513,0),,),$C$510:$E$510)</f>
        <v>a</v>
      </c>
      <c r="F515" s="116"/>
      <c r="G515" s="116" t="s">
        <v>1647</v>
      </c>
      <c r="H515" s="116"/>
      <c r="I515" s="116"/>
      <c r="J515" s="116"/>
      <c r="K515" s="116"/>
      <c r="L515" s="116"/>
      <c r="M515" s="116"/>
      <c r="N515" s="116"/>
      <c r="O515" s="116"/>
      <c r="P515" s="326"/>
    </row>
    <row r="516" spans="2:16" ht="18.95" customHeight="1">
      <c r="B516" s="254"/>
      <c r="C516" s="116"/>
      <c r="D516" s="116"/>
      <c r="E516" s="116"/>
      <c r="F516" s="116"/>
      <c r="G516" s="116"/>
      <c r="H516" s="116"/>
      <c r="I516" s="116"/>
      <c r="J516" s="116"/>
      <c r="K516" s="116"/>
      <c r="L516" s="116"/>
      <c r="M516" s="116"/>
      <c r="N516" s="116"/>
      <c r="O516" s="116"/>
      <c r="P516" s="326"/>
    </row>
    <row r="517" spans="2:16" ht="18.95" customHeight="1">
      <c r="B517" s="304"/>
      <c r="C517" s="305"/>
      <c r="D517" s="305"/>
      <c r="E517" s="305"/>
      <c r="F517" s="305"/>
      <c r="G517" s="305"/>
      <c r="H517" s="305"/>
      <c r="I517" s="305"/>
      <c r="J517" s="305"/>
      <c r="K517" s="305"/>
      <c r="L517" s="305"/>
      <c r="M517" s="305"/>
      <c r="N517" s="305"/>
      <c r="O517" s="305"/>
      <c r="P517" s="327"/>
    </row>
    <row r="520" spans="2:16" ht="18.95" customHeight="1">
      <c r="B520" s="333" t="s">
        <v>61</v>
      </c>
      <c r="C520" s="324" t="s">
        <v>744</v>
      </c>
      <c r="D520" s="324"/>
      <c r="E520" s="324"/>
      <c r="F520" s="324"/>
      <c r="G520" s="324"/>
      <c r="H520" s="324"/>
      <c r="I520" s="324"/>
      <c r="J520" s="324"/>
      <c r="K520" s="324"/>
      <c r="L520" s="324"/>
      <c r="M520" s="325"/>
    </row>
    <row r="521" spans="2:16" ht="18.95" customHeight="1">
      <c r="B521" s="254" t="s">
        <v>1648</v>
      </c>
      <c r="C521" s="112" t="str">
        <f t="array" ref="C521">IFERROR(INDEX($B$520:$B$530,SMALL(IF(LEN($B$521:$B$530)=3,ROW($B$2:$B$11),""),ROW(B1))),"")</f>
        <v>【c】</v>
      </c>
      <c r="D521" s="116"/>
      <c r="E521" s="116"/>
      <c r="F521" s="116"/>
      <c r="G521" s="116"/>
      <c r="H521" s="116"/>
      <c r="I521" s="116"/>
      <c r="J521" s="116"/>
      <c r="K521" s="116"/>
      <c r="L521" s="116"/>
      <c r="M521" s="326"/>
    </row>
    <row r="522" spans="2:16" ht="18.95" customHeight="1">
      <c r="B522" s="254" t="s">
        <v>1649</v>
      </c>
      <c r="C522" s="112" t="str">
        <f t="array" ref="C522">IFERROR(INDEX($B$520:$B$530,SMALL(IF(LEN($B$521:$B$530)=3,ROW($B$2:$B$11),""),ROW(B2))),"")</f>
        <v>【f】</v>
      </c>
      <c r="D522" s="116"/>
      <c r="E522" s="116"/>
      <c r="F522" s="116"/>
      <c r="G522" s="116"/>
      <c r="H522" s="116"/>
      <c r="I522" s="116"/>
      <c r="J522" s="116"/>
      <c r="K522" s="116"/>
      <c r="L522" s="116"/>
      <c r="M522" s="326"/>
    </row>
    <row r="523" spans="2:16" ht="18.95" customHeight="1">
      <c r="B523" s="254" t="s">
        <v>1650</v>
      </c>
      <c r="C523" s="112" t="str">
        <f t="array" ref="C523">IFERROR(INDEX($B$520:$B$530,SMALL(IF(LEN($B$521:$B$530)=3,ROW($B$2:$B$11),""),ROW(B3))),"")</f>
        <v>【h】</v>
      </c>
      <c r="D523" s="116"/>
      <c r="E523" s="116"/>
      <c r="F523" s="116"/>
      <c r="G523" s="116"/>
      <c r="H523" s="116"/>
      <c r="I523" s="116"/>
      <c r="J523" s="116"/>
      <c r="K523" s="116"/>
      <c r="L523" s="116"/>
      <c r="M523" s="326"/>
    </row>
    <row r="524" spans="2:16" ht="18.95" customHeight="1">
      <c r="B524" s="254" t="s">
        <v>1651</v>
      </c>
      <c r="C524" s="112" t="str">
        <f t="array" ref="C524">IFERROR(INDEX($B$520:$B$530,SMALL(IF(LEN($B$521:$B$530)=3,ROW($B$2:$B$11),""),ROW(B4))),"")</f>
        <v>【i】</v>
      </c>
      <c r="D524" s="116"/>
      <c r="E524" s="116"/>
      <c r="F524" s="116"/>
      <c r="G524" s="116"/>
      <c r="H524" s="116"/>
      <c r="I524" s="116"/>
      <c r="J524" s="116"/>
      <c r="K524" s="116"/>
      <c r="L524" s="116"/>
      <c r="M524" s="326"/>
    </row>
    <row r="525" spans="2:16" ht="18.95" customHeight="1">
      <c r="B525" s="254" t="s">
        <v>1652</v>
      </c>
      <c r="C525" s="112" t="str">
        <f t="array" ref="C525">IFERROR(INDEX($B$520:$B$530,SMALL(IF(LEN($B$521:$B$530)=3,ROW($B$2:$B$11),""),ROW(B5))),"")</f>
        <v>【j】</v>
      </c>
      <c r="D525" s="116"/>
      <c r="E525" s="116"/>
      <c r="F525" s="116"/>
      <c r="G525" s="116"/>
      <c r="H525" s="116"/>
      <c r="I525" s="116"/>
      <c r="J525" s="116"/>
      <c r="K525" s="116"/>
      <c r="L525" s="116"/>
      <c r="M525" s="326"/>
    </row>
    <row r="526" spans="2:16" ht="18.95" customHeight="1">
      <c r="B526" s="254" t="s">
        <v>1653</v>
      </c>
      <c r="C526" s="112" t="str">
        <f t="array" ref="C526">IFERROR(INDEX($B$520:$B$530,SMALL(IF(LEN($B$521:$B$530)=3,ROW($B$2:$B$11),""),ROW(B6))),"")</f>
        <v/>
      </c>
      <c r="D526" s="116"/>
      <c r="E526" s="116"/>
      <c r="F526" s="116"/>
      <c r="G526" s="116"/>
      <c r="H526" s="116"/>
      <c r="I526" s="116"/>
      <c r="J526" s="116"/>
      <c r="K526" s="116"/>
      <c r="L526" s="116"/>
      <c r="M526" s="326"/>
    </row>
    <row r="527" spans="2:16" ht="18.95" customHeight="1">
      <c r="B527" s="254" t="s">
        <v>1654</v>
      </c>
      <c r="C527" s="112" t="str">
        <f t="array" ref="C527">IFERROR(INDEX($B$520:$B$530,SMALL(IF(LEN($B$521:$B$530)=3,ROW($B$2:$B$11),""),ROW(B7))),"")</f>
        <v/>
      </c>
      <c r="D527" s="116"/>
      <c r="E527" s="116"/>
      <c r="F527" s="116"/>
      <c r="G527" s="116"/>
      <c r="H527" s="116"/>
      <c r="I527" s="116"/>
      <c r="J527" s="116"/>
      <c r="K527" s="116"/>
      <c r="L527" s="116"/>
      <c r="M527" s="326"/>
    </row>
    <row r="528" spans="2:16" ht="18.95" customHeight="1">
      <c r="B528" s="254" t="s">
        <v>1655</v>
      </c>
      <c r="C528" s="112" t="str">
        <f t="array" ref="C528">IFERROR(INDEX($B$520:$B$530,SMALL(IF(LEN($B$521:$B$530)=3,ROW($B$2:$B$11),""),ROW(B8))),"")</f>
        <v/>
      </c>
      <c r="D528" s="116" t="s">
        <v>1656</v>
      </c>
      <c r="E528" s="116"/>
      <c r="F528" s="116"/>
      <c r="G528" s="116"/>
      <c r="H528" s="116"/>
      <c r="I528" s="116"/>
      <c r="J528" s="116"/>
      <c r="K528" s="116"/>
      <c r="L528" s="116"/>
      <c r="M528" s="326"/>
    </row>
    <row r="529" spans="2:16" ht="18.95" customHeight="1">
      <c r="B529" s="254" t="s">
        <v>1657</v>
      </c>
      <c r="C529" s="112" t="str">
        <f t="array" ref="C529">IFERROR(INDEX($B$521:$B$530,SMALL(IF(LEN($B$521:$B$530)=3,ROW($B$2:$B$11),""),ROW(B9))),"")</f>
        <v/>
      </c>
      <c r="D529" s="116"/>
      <c r="E529" s="116"/>
      <c r="F529" s="116"/>
      <c r="G529" s="116"/>
      <c r="H529" s="116"/>
      <c r="I529" s="116"/>
      <c r="J529" s="116"/>
      <c r="K529" s="116"/>
      <c r="L529" s="116"/>
      <c r="M529" s="326"/>
    </row>
    <row r="530" spans="2:16" ht="18.95" customHeight="1">
      <c r="B530" s="254" t="s">
        <v>1658</v>
      </c>
      <c r="C530" s="116" t="str">
        <f>IFERROR(INDEX($B$1:$B$11,SMALL(IF(LEN($B$2:$B$11)=3,ROW($B$2:$B$11),""),ROW(B529))),"")</f>
        <v/>
      </c>
      <c r="D530" s="116"/>
      <c r="E530" s="116"/>
      <c r="F530" s="116"/>
      <c r="G530" s="116"/>
      <c r="H530" s="116"/>
      <c r="I530" s="116"/>
      <c r="J530" s="116"/>
      <c r="K530" s="116"/>
      <c r="L530" s="116"/>
      <c r="M530" s="326"/>
    </row>
    <row r="531" spans="2:16" ht="18.95" customHeight="1">
      <c r="B531" s="254"/>
      <c r="C531" s="116"/>
      <c r="D531" s="116"/>
      <c r="E531" s="116"/>
      <c r="F531" s="116"/>
      <c r="G531" s="116"/>
      <c r="H531" s="116"/>
      <c r="I531" s="116"/>
      <c r="J531" s="116"/>
      <c r="K531" s="116"/>
      <c r="L531" s="116"/>
      <c r="M531" s="326"/>
    </row>
    <row r="532" spans="2:16" ht="18.95" customHeight="1">
      <c r="B532" s="304"/>
      <c r="C532" s="305"/>
      <c r="D532" s="305"/>
      <c r="E532" s="305"/>
      <c r="F532" s="305"/>
      <c r="G532" s="305"/>
      <c r="H532" s="305"/>
      <c r="I532" s="305"/>
      <c r="J532" s="305"/>
      <c r="K532" s="305"/>
      <c r="L532" s="305"/>
      <c r="M532" s="327"/>
    </row>
    <row r="534" spans="2:16" ht="18.95" customHeight="1">
      <c r="B534" s="333"/>
      <c r="C534" s="324"/>
      <c r="D534" s="324"/>
      <c r="E534" s="324"/>
      <c r="F534" s="324"/>
      <c r="G534" s="324"/>
      <c r="H534" s="324"/>
      <c r="I534" s="324"/>
      <c r="J534" s="324"/>
      <c r="K534" s="324"/>
      <c r="L534" s="324"/>
      <c r="M534" s="324"/>
      <c r="N534" s="324"/>
      <c r="O534" s="324"/>
      <c r="P534" s="325"/>
    </row>
    <row r="535" spans="2:16" ht="18.95" customHeight="1">
      <c r="B535" s="217" t="s">
        <v>1659</v>
      </c>
      <c r="C535" s="218">
        <v>1</v>
      </c>
      <c r="D535" s="218">
        <v>2</v>
      </c>
      <c r="E535" s="218">
        <v>3</v>
      </c>
      <c r="F535" s="218">
        <v>4</v>
      </c>
      <c r="G535" s="218">
        <v>5</v>
      </c>
      <c r="H535" s="218">
        <v>6</v>
      </c>
      <c r="I535" s="218">
        <v>7</v>
      </c>
      <c r="J535" s="218">
        <v>8</v>
      </c>
      <c r="K535" s="218">
        <v>9</v>
      </c>
      <c r="L535" s="218">
        <v>10</v>
      </c>
      <c r="M535" s="218">
        <v>11</v>
      </c>
      <c r="N535" s="218">
        <v>12</v>
      </c>
      <c r="O535" s="218">
        <v>13</v>
      </c>
      <c r="P535" s="326"/>
    </row>
    <row r="536" spans="2:16" ht="18.95" customHeight="1">
      <c r="B536" s="217">
        <v>1</v>
      </c>
      <c r="C536" s="218">
        <v>184.86666666666699</v>
      </c>
      <c r="D536" s="218">
        <v>212.86666666666699</v>
      </c>
      <c r="E536" s="218">
        <v>240.8</v>
      </c>
      <c r="F536" s="218">
        <v>268.8</v>
      </c>
      <c r="G536" s="218">
        <v>296.8</v>
      </c>
      <c r="H536" s="218">
        <v>324.73333333333301</v>
      </c>
      <c r="I536" s="218">
        <v>352.73333333333301</v>
      </c>
      <c r="J536" s="218">
        <v>380.73333333333301</v>
      </c>
      <c r="K536" s="218">
        <v>408.66666666666703</v>
      </c>
      <c r="L536" s="218">
        <v>436.66666666666703</v>
      </c>
      <c r="M536" s="218">
        <v>464.66666666666703</v>
      </c>
      <c r="N536" s="218">
        <v>492.6</v>
      </c>
      <c r="O536" s="218">
        <v>520.6</v>
      </c>
      <c r="P536" s="326"/>
    </row>
    <row r="537" spans="2:16" ht="18.95" customHeight="1">
      <c r="B537" s="217">
        <v>2</v>
      </c>
      <c r="C537" s="218">
        <v>352.86666666666702</v>
      </c>
      <c r="D537" s="218">
        <v>385.066666666667</v>
      </c>
      <c r="E537" s="218">
        <v>417.2</v>
      </c>
      <c r="F537" s="218">
        <v>449.4</v>
      </c>
      <c r="G537" s="218">
        <v>481.6</v>
      </c>
      <c r="H537" s="218">
        <v>513.73333333333301</v>
      </c>
      <c r="I537" s="218">
        <v>545.93333333333305</v>
      </c>
      <c r="J537" s="218">
        <v>578.13333333333298</v>
      </c>
      <c r="K537" s="218">
        <v>610.26666666666699</v>
      </c>
      <c r="L537" s="218">
        <v>642.46666666666704</v>
      </c>
      <c r="M537" s="218">
        <v>674.66666666666697</v>
      </c>
      <c r="N537" s="218">
        <v>706.8</v>
      </c>
      <c r="O537" s="218">
        <v>739</v>
      </c>
      <c r="P537" s="326"/>
    </row>
    <row r="538" spans="2:16" ht="18.95" customHeight="1">
      <c r="B538" s="217">
        <v>3</v>
      </c>
      <c r="C538" s="218">
        <v>546</v>
      </c>
      <c r="D538" s="218">
        <v>583</v>
      </c>
      <c r="E538" s="218">
        <v>620</v>
      </c>
      <c r="F538" s="218">
        <v>657.06666666666695</v>
      </c>
      <c r="G538" s="218">
        <v>694.06666666666695</v>
      </c>
      <c r="H538" s="218">
        <v>731.06666666666695</v>
      </c>
      <c r="I538" s="218">
        <v>768.06666666666695</v>
      </c>
      <c r="J538" s="218">
        <v>805.06666666666695</v>
      </c>
      <c r="K538" s="218">
        <v>842.06666666666695</v>
      </c>
      <c r="L538" s="218">
        <v>879.06666666666695</v>
      </c>
      <c r="M538" s="218">
        <v>916.13333333333298</v>
      </c>
      <c r="N538" s="218">
        <v>953.13333333333298</v>
      </c>
      <c r="O538" s="218">
        <v>990.13333333333298</v>
      </c>
      <c r="P538" s="326"/>
    </row>
    <row r="539" spans="2:16" ht="18.95" customHeight="1">
      <c r="B539" s="217">
        <v>4</v>
      </c>
      <c r="C539" s="218">
        <v>768</v>
      </c>
      <c r="D539" s="218">
        <v>810.53333333333399</v>
      </c>
      <c r="E539" s="218">
        <v>853.13333333333298</v>
      </c>
      <c r="F539" s="218">
        <v>895.66666666666697</v>
      </c>
      <c r="G539" s="218">
        <v>938.2</v>
      </c>
      <c r="H539" s="218">
        <v>980.8</v>
      </c>
      <c r="I539" s="218">
        <v>1023.33333333333</v>
      </c>
      <c r="J539" s="218">
        <v>1065.86666666667</v>
      </c>
      <c r="K539" s="218">
        <v>1108.4666666666701</v>
      </c>
      <c r="L539" s="218">
        <v>1151</v>
      </c>
      <c r="M539" s="218">
        <v>1193.5333333333299</v>
      </c>
      <c r="N539" s="218">
        <v>1236.13333333333</v>
      </c>
      <c r="O539" s="218">
        <v>1278.6666666666699</v>
      </c>
      <c r="P539" s="326"/>
    </row>
    <row r="540" spans="2:16" ht="18.95" customHeight="1">
      <c r="B540" s="217">
        <v>5</v>
      </c>
      <c r="C540" s="218">
        <v>857.6875</v>
      </c>
      <c r="D540" s="218">
        <v>910.0625</v>
      </c>
      <c r="E540" s="218">
        <v>962.4375</v>
      </c>
      <c r="F540" s="218">
        <v>1014.8125</v>
      </c>
      <c r="G540" s="218">
        <v>1067.25</v>
      </c>
      <c r="H540" s="218">
        <v>1119.625</v>
      </c>
      <c r="I540" s="218">
        <v>1172</v>
      </c>
      <c r="J540" s="218">
        <v>1224.375</v>
      </c>
      <c r="K540" s="218">
        <v>1276.75</v>
      </c>
      <c r="L540" s="218">
        <v>1329.1875</v>
      </c>
      <c r="M540" s="218">
        <v>1381.5625</v>
      </c>
      <c r="N540" s="218">
        <v>1433.9375</v>
      </c>
      <c r="O540" s="218">
        <v>1486.3125</v>
      </c>
      <c r="P540" s="326"/>
    </row>
    <row r="541" spans="2:16" ht="18.95" customHeight="1">
      <c r="B541" s="217">
        <v>6</v>
      </c>
      <c r="C541" s="218">
        <v>1127.25</v>
      </c>
      <c r="D541" s="218">
        <v>1187.5</v>
      </c>
      <c r="E541" s="218">
        <v>1247.75</v>
      </c>
      <c r="F541" s="218">
        <v>1308</v>
      </c>
      <c r="G541" s="218">
        <v>1368.25</v>
      </c>
      <c r="H541" s="218">
        <v>1428.5</v>
      </c>
      <c r="I541" s="218">
        <v>1488.75</v>
      </c>
      <c r="J541" s="218">
        <v>1549</v>
      </c>
      <c r="K541" s="218">
        <v>1609.25</v>
      </c>
      <c r="L541" s="218">
        <v>1669.5</v>
      </c>
      <c r="M541" s="218">
        <v>1729.75</v>
      </c>
      <c r="N541" s="218">
        <v>1790</v>
      </c>
      <c r="O541" s="218">
        <v>1850.25</v>
      </c>
      <c r="P541" s="326"/>
    </row>
    <row r="542" spans="2:16" ht="18.95" customHeight="1">
      <c r="B542" s="217">
        <v>7</v>
      </c>
      <c r="C542" s="218">
        <v>1437.0625</v>
      </c>
      <c r="D542" s="218">
        <v>1506.3125</v>
      </c>
      <c r="E542" s="218">
        <v>1575.625</v>
      </c>
      <c r="F542" s="218">
        <v>1644.875</v>
      </c>
      <c r="G542" s="218">
        <v>1714.1875</v>
      </c>
      <c r="H542" s="218">
        <v>1783.4375</v>
      </c>
      <c r="I542" s="218">
        <v>1852.75</v>
      </c>
      <c r="J542" s="218">
        <v>1922.0625</v>
      </c>
      <c r="K542" s="218">
        <v>1991.3125</v>
      </c>
      <c r="L542" s="218">
        <v>2060.625</v>
      </c>
      <c r="M542" s="218">
        <v>2129.875</v>
      </c>
      <c r="N542" s="218">
        <v>2199.1875</v>
      </c>
      <c r="O542" s="218">
        <v>2268.4375</v>
      </c>
      <c r="P542" s="326"/>
    </row>
    <row r="543" spans="2:16" ht="18.95" customHeight="1">
      <c r="B543" s="217">
        <v>8</v>
      </c>
      <c r="C543" s="218">
        <v>1607.0833333333301</v>
      </c>
      <c r="D543" s="218">
        <v>1681.4583333333301</v>
      </c>
      <c r="E543" s="218">
        <v>1755.8333333333301</v>
      </c>
      <c r="F543" s="218">
        <v>1830.15</v>
      </c>
      <c r="G543" s="218">
        <v>1904.5250000000001</v>
      </c>
      <c r="H543" s="218">
        <v>1978.9</v>
      </c>
      <c r="I543" s="218">
        <v>2053.2750000000001</v>
      </c>
      <c r="J543" s="218">
        <v>2127.65</v>
      </c>
      <c r="K543" s="218">
        <v>2202.0250000000001</v>
      </c>
      <c r="L543" s="218">
        <v>2276.4</v>
      </c>
      <c r="M543" s="218">
        <v>2350.7166666666699</v>
      </c>
      <c r="N543" s="218">
        <v>2425.0916666666699</v>
      </c>
      <c r="O543" s="218">
        <v>2499.4666666666699</v>
      </c>
      <c r="P543" s="326"/>
    </row>
    <row r="544" spans="2:16" ht="18.95" customHeight="1">
      <c r="B544" s="217">
        <v>9</v>
      </c>
      <c r="C544" s="218">
        <v>1928.61666666667</v>
      </c>
      <c r="D544" s="218">
        <v>2024.2833333333299</v>
      </c>
      <c r="E544" s="218">
        <v>2120.00833333333</v>
      </c>
      <c r="F544" s="218">
        <v>2215.7333333333299</v>
      </c>
      <c r="G544" s="218">
        <v>2311.4583333333298</v>
      </c>
      <c r="H544" s="218">
        <v>2407.125</v>
      </c>
      <c r="I544" s="218">
        <v>2502.85</v>
      </c>
      <c r="J544" s="218">
        <v>2598.5749999999998</v>
      </c>
      <c r="K544" s="218">
        <v>2694.24166666667</v>
      </c>
      <c r="L544" s="218">
        <v>2789.9666666666699</v>
      </c>
      <c r="M544" s="218">
        <v>2885.6916666666698</v>
      </c>
      <c r="N544" s="218">
        <v>2981.4166666666702</v>
      </c>
      <c r="O544" s="218">
        <v>3077.0833333333298</v>
      </c>
      <c r="P544" s="326"/>
    </row>
    <row r="545" spans="2:16" ht="18.95" customHeight="1">
      <c r="B545" s="217">
        <v>10</v>
      </c>
      <c r="C545" s="218">
        <v>2359.4083333333301</v>
      </c>
      <c r="D545" s="218">
        <v>2469.4833333333299</v>
      </c>
      <c r="E545" s="218">
        <v>2579.5</v>
      </c>
      <c r="F545" s="218">
        <v>2689.5749999999998</v>
      </c>
      <c r="G545" s="218">
        <v>2799.65</v>
      </c>
      <c r="H545" s="218">
        <v>2909.7249999999999</v>
      </c>
      <c r="I545" s="218">
        <v>3019.8</v>
      </c>
      <c r="J545" s="218">
        <v>3129.875</v>
      </c>
      <c r="K545" s="218">
        <v>3239.95</v>
      </c>
      <c r="L545" s="218">
        <v>3350.0250000000001</v>
      </c>
      <c r="M545" s="218">
        <v>3460.1</v>
      </c>
      <c r="N545" s="218">
        <v>3570.11666666667</v>
      </c>
      <c r="O545" s="218">
        <v>3680.1916666666698</v>
      </c>
      <c r="P545" s="326"/>
    </row>
    <row r="546" spans="2:16" ht="18.95" customHeight="1">
      <c r="B546" s="217">
        <v>11</v>
      </c>
      <c r="C546" s="218">
        <v>2579.4166666666702</v>
      </c>
      <c r="D546" s="218">
        <v>2696.9583333333298</v>
      </c>
      <c r="E546" s="218">
        <v>2814.5</v>
      </c>
      <c r="F546" s="218">
        <v>2932.0416666666702</v>
      </c>
      <c r="G546" s="218">
        <v>3049.5833333333298</v>
      </c>
      <c r="H546" s="218">
        <v>3167.125</v>
      </c>
      <c r="I546" s="218">
        <v>3284.6666666666702</v>
      </c>
      <c r="J546" s="218">
        <v>3402.2083333333298</v>
      </c>
      <c r="K546" s="218">
        <v>3519.75</v>
      </c>
      <c r="L546" s="218">
        <v>3637.2916666666702</v>
      </c>
      <c r="M546" s="218">
        <v>3754.8333333333298</v>
      </c>
      <c r="N546" s="218">
        <v>3872.375</v>
      </c>
      <c r="O546" s="218">
        <v>3989.9166666666702</v>
      </c>
      <c r="P546" s="326"/>
    </row>
    <row r="547" spans="2:16" ht="18.95" customHeight="1">
      <c r="B547" s="217">
        <v>12</v>
      </c>
      <c r="C547" s="218">
        <v>3108.3541666666702</v>
      </c>
      <c r="D547" s="218">
        <v>3243.55416666667</v>
      </c>
      <c r="E547" s="218">
        <v>3378.7</v>
      </c>
      <c r="F547" s="218">
        <v>3513.9</v>
      </c>
      <c r="G547" s="218">
        <v>3649.0458333333299</v>
      </c>
      <c r="H547" s="218">
        <v>3784.2458333333302</v>
      </c>
      <c r="I547" s="218">
        <v>3919.3916666666701</v>
      </c>
      <c r="J547" s="218">
        <v>4054.5916666666699</v>
      </c>
      <c r="K547" s="218">
        <v>4189.7375000000002</v>
      </c>
      <c r="L547" s="218">
        <v>4324.9375</v>
      </c>
      <c r="M547" s="218">
        <v>4460.0833333333303</v>
      </c>
      <c r="N547" s="218">
        <v>4595.2833333333301</v>
      </c>
      <c r="O547" s="218">
        <v>4730.4291666666704</v>
      </c>
      <c r="P547" s="326"/>
    </row>
    <row r="548" spans="2:16" ht="18.95" customHeight="1">
      <c r="B548" s="217">
        <v>13</v>
      </c>
      <c r="C548" s="218">
        <v>3265.85</v>
      </c>
      <c r="D548" s="218">
        <v>3424</v>
      </c>
      <c r="E548" s="218">
        <v>3582.1</v>
      </c>
      <c r="F548" s="218">
        <v>3740.25</v>
      </c>
      <c r="G548" s="218">
        <v>3898.4</v>
      </c>
      <c r="H548" s="218">
        <v>4056.5</v>
      </c>
      <c r="I548" s="218">
        <v>4214.6499999999996</v>
      </c>
      <c r="J548" s="218">
        <v>4372.8</v>
      </c>
      <c r="K548" s="218">
        <v>4530.8999999999996</v>
      </c>
      <c r="L548" s="218">
        <v>4689.05</v>
      </c>
      <c r="M548" s="218">
        <v>4847.2</v>
      </c>
      <c r="N548" s="218">
        <v>5005.3</v>
      </c>
      <c r="O548" s="218">
        <v>5163.45</v>
      </c>
      <c r="P548" s="326"/>
    </row>
    <row r="549" spans="2:16" ht="18.95" customHeight="1">
      <c r="B549" s="217">
        <v>14</v>
      </c>
      <c r="C549" s="218">
        <v>3898.45</v>
      </c>
      <c r="D549" s="218">
        <v>4080.3</v>
      </c>
      <c r="E549" s="218">
        <v>4262.1499999999996</v>
      </c>
      <c r="F549" s="218">
        <v>4444</v>
      </c>
      <c r="G549" s="218">
        <v>4625.8500000000004</v>
      </c>
      <c r="H549" s="218">
        <v>4807.7</v>
      </c>
      <c r="I549" s="218">
        <v>4989.55</v>
      </c>
      <c r="J549" s="218">
        <v>5171.3999999999996</v>
      </c>
      <c r="K549" s="218">
        <v>5353.25</v>
      </c>
      <c r="L549" s="218">
        <v>5535.1</v>
      </c>
      <c r="M549" s="218">
        <v>5716.95</v>
      </c>
      <c r="N549" s="218">
        <v>5898.8</v>
      </c>
      <c r="O549" s="218">
        <v>6080.65</v>
      </c>
      <c r="P549" s="326"/>
    </row>
    <row r="550" spans="2:16" ht="18.95" customHeight="1">
      <c r="B550" s="217">
        <v>15</v>
      </c>
      <c r="C550" s="218">
        <v>4156.9458333333296</v>
      </c>
      <c r="D550" s="218">
        <v>4348.6666666666697</v>
      </c>
      <c r="E550" s="218">
        <v>4540.3416666666699</v>
      </c>
      <c r="F550" s="218">
        <v>4732.0625</v>
      </c>
      <c r="G550" s="218">
        <v>4923.7833333333301</v>
      </c>
      <c r="H550" s="218">
        <v>5115.4583333333303</v>
      </c>
      <c r="I550" s="218">
        <v>5307.1791666666704</v>
      </c>
      <c r="J550" s="218">
        <v>5498.9</v>
      </c>
      <c r="K550" s="218">
        <v>5690.5749999999998</v>
      </c>
      <c r="L550" s="218">
        <v>5882.2958333333299</v>
      </c>
      <c r="M550" s="218">
        <v>6074.0166666666701</v>
      </c>
      <c r="N550" s="218">
        <v>6265.6916666666702</v>
      </c>
      <c r="O550" s="218">
        <v>6457.4125000000004</v>
      </c>
      <c r="P550" s="326"/>
    </row>
    <row r="551" spans="2:16" ht="18.95" customHeight="1">
      <c r="B551" s="217">
        <v>16</v>
      </c>
      <c r="C551" s="218">
        <v>4923.8291666666701</v>
      </c>
      <c r="D551" s="218">
        <v>5144.2875000000004</v>
      </c>
      <c r="E551" s="218">
        <v>5364.7458333333298</v>
      </c>
      <c r="F551" s="218">
        <v>5585.2041666666701</v>
      </c>
      <c r="G551" s="218">
        <v>5805.6625000000004</v>
      </c>
      <c r="H551" s="218">
        <v>6026.1208333333298</v>
      </c>
      <c r="I551" s="218">
        <v>6246.5791666666701</v>
      </c>
      <c r="J551" s="218">
        <v>6467.0375000000004</v>
      </c>
      <c r="K551" s="218">
        <v>6687.4958333333298</v>
      </c>
      <c r="L551" s="218">
        <v>6907.9541666666701</v>
      </c>
      <c r="M551" s="218">
        <v>7128.4125000000004</v>
      </c>
      <c r="N551" s="218">
        <v>7348.8708333333298</v>
      </c>
      <c r="O551" s="218">
        <v>7569.3291666666701</v>
      </c>
      <c r="P551" s="326"/>
    </row>
    <row r="552" spans="2:16" ht="18.95" customHeight="1">
      <c r="B552" s="217">
        <v>17</v>
      </c>
      <c r="C552" s="218">
        <v>5864.5583333333298</v>
      </c>
      <c r="D552" s="218">
        <v>6120.3083333333298</v>
      </c>
      <c r="E552" s="218">
        <v>6376.0583333333298</v>
      </c>
      <c r="F552" s="218">
        <v>6631.8083333333298</v>
      </c>
      <c r="G552" s="218">
        <v>6887.5124999999998</v>
      </c>
      <c r="H552" s="218">
        <v>7143.2624999999998</v>
      </c>
      <c r="I552" s="218">
        <v>7399.0124999999998</v>
      </c>
      <c r="J552" s="218">
        <v>7654.7624999999998</v>
      </c>
      <c r="K552" s="218">
        <v>7910.5124999999998</v>
      </c>
      <c r="L552" s="218">
        <v>8166.2166666666699</v>
      </c>
      <c r="M552" s="218">
        <v>8421.9666666666708</v>
      </c>
      <c r="N552" s="218">
        <v>8677.7166666666708</v>
      </c>
      <c r="O552" s="218">
        <v>8933.4666666666708</v>
      </c>
      <c r="P552" s="326"/>
    </row>
    <row r="553" spans="2:16" ht="18.95" customHeight="1">
      <c r="B553" s="217">
        <v>18</v>
      </c>
      <c r="C553" s="218">
        <v>6232.3333333333303</v>
      </c>
      <c r="D553" s="218">
        <v>6502.0416666666697</v>
      </c>
      <c r="E553" s="218">
        <v>6771.7083333333303</v>
      </c>
      <c r="F553" s="218">
        <v>7041.4166666666697</v>
      </c>
      <c r="G553" s="218">
        <v>7311.0833333333303</v>
      </c>
      <c r="H553" s="218">
        <v>7580.7916666666697</v>
      </c>
      <c r="I553" s="218">
        <v>7850.4583333333303</v>
      </c>
      <c r="J553" s="218">
        <v>8120.1666666666697</v>
      </c>
      <c r="K553" s="218">
        <v>8389.8333333333303</v>
      </c>
      <c r="L553" s="218">
        <v>8659.5416666666697</v>
      </c>
      <c r="M553" s="218">
        <v>8929.2083333333303</v>
      </c>
      <c r="N553" s="218">
        <v>9198.9166666666697</v>
      </c>
      <c r="O553" s="218">
        <v>9468.5833333333303</v>
      </c>
      <c r="P553" s="326"/>
    </row>
    <row r="554" spans="2:16" ht="18.95" customHeight="1">
      <c r="B554" s="217">
        <v>19</v>
      </c>
      <c r="C554" s="218">
        <v>7383.0416666666697</v>
      </c>
      <c r="D554" s="218">
        <v>7695.875</v>
      </c>
      <c r="E554" s="218">
        <v>8008.7083333333303</v>
      </c>
      <c r="F554" s="218">
        <v>8321.5833333333303</v>
      </c>
      <c r="G554" s="218">
        <v>8634.4166666666697</v>
      </c>
      <c r="H554" s="218">
        <v>8947.25</v>
      </c>
      <c r="I554" s="218">
        <v>9260.0833333333303</v>
      </c>
      <c r="J554" s="218">
        <v>9572.9166666666697</v>
      </c>
      <c r="K554" s="218">
        <v>9885.75</v>
      </c>
      <c r="L554" s="218">
        <v>10198.583333333299</v>
      </c>
      <c r="M554" s="218">
        <v>10511.458333333299</v>
      </c>
      <c r="N554" s="218">
        <v>10824.291666666701</v>
      </c>
      <c r="O554" s="218">
        <v>11137.125</v>
      </c>
      <c r="P554" s="326"/>
    </row>
    <row r="555" spans="2:16" ht="18.95" customHeight="1">
      <c r="B555" s="217">
        <v>20</v>
      </c>
      <c r="C555" s="218">
        <v>8338.3333333333303</v>
      </c>
      <c r="D555" s="218">
        <v>8764.4583333333303</v>
      </c>
      <c r="E555" s="218">
        <v>9190.5833333333303</v>
      </c>
      <c r="F555" s="218">
        <v>9616.75</v>
      </c>
      <c r="G555" s="218">
        <v>10042.875</v>
      </c>
      <c r="H555" s="218">
        <v>10469.041666666701</v>
      </c>
      <c r="I555" s="218">
        <v>10895.166666666701</v>
      </c>
      <c r="J555" s="218">
        <v>11321.291666666701</v>
      </c>
      <c r="K555" s="218">
        <v>11747.458333333299</v>
      </c>
      <c r="L555" s="218">
        <v>12173.583333333299</v>
      </c>
      <c r="M555" s="218">
        <v>12599.75</v>
      </c>
      <c r="N555" s="218">
        <v>13025.875</v>
      </c>
      <c r="O555" s="218">
        <v>13452</v>
      </c>
      <c r="P555" s="326"/>
    </row>
    <row r="556" spans="2:16" ht="18.95" customHeight="1">
      <c r="B556" s="217">
        <v>21</v>
      </c>
      <c r="C556" s="218">
        <v>8743.2250000000004</v>
      </c>
      <c r="D556" s="218">
        <v>9188.125</v>
      </c>
      <c r="E556" s="218">
        <v>9633.0249999999996</v>
      </c>
      <c r="F556" s="218">
        <v>10077.924999999999</v>
      </c>
      <c r="G556" s="218">
        <v>10522.7875</v>
      </c>
      <c r="H556" s="218">
        <v>10967.6875</v>
      </c>
      <c r="I556" s="218">
        <v>11412.5875</v>
      </c>
      <c r="J556" s="218">
        <v>11857.487499999999</v>
      </c>
      <c r="K556" s="218">
        <v>12302.387500000001</v>
      </c>
      <c r="L556" s="218">
        <v>12747.25</v>
      </c>
      <c r="M556" s="218">
        <v>13192.15</v>
      </c>
      <c r="N556" s="218">
        <v>13637.05</v>
      </c>
      <c r="O556" s="218">
        <v>14081.95</v>
      </c>
      <c r="P556" s="326"/>
    </row>
    <row r="557" spans="2:16" ht="18.95" customHeight="1">
      <c r="B557" s="254"/>
      <c r="C557" s="116"/>
      <c r="D557" s="116"/>
      <c r="E557" s="116"/>
      <c r="F557" s="116"/>
      <c r="G557" s="116"/>
      <c r="H557" s="116"/>
      <c r="I557" s="116"/>
      <c r="J557" s="116"/>
      <c r="K557" s="116"/>
      <c r="L557" s="116"/>
      <c r="M557" s="116"/>
      <c r="N557" s="116"/>
      <c r="O557" s="116"/>
      <c r="P557" s="326"/>
    </row>
    <row r="558" spans="2:16" ht="18.95" customHeight="1">
      <c r="B558" s="254"/>
      <c r="C558" s="116"/>
      <c r="D558" s="116"/>
      <c r="E558" s="116"/>
      <c r="F558" s="116"/>
      <c r="G558" s="116"/>
      <c r="H558" s="116"/>
      <c r="I558" s="116"/>
      <c r="J558" s="116"/>
      <c r="K558" s="116"/>
      <c r="L558" s="116"/>
      <c r="M558" s="116"/>
      <c r="N558" s="116"/>
      <c r="O558" s="116"/>
      <c r="P558" s="326"/>
    </row>
    <row r="559" spans="2:16" ht="18.95" customHeight="1">
      <c r="B559" s="254" t="s">
        <v>1660</v>
      </c>
      <c r="C559" s="116"/>
      <c r="D559" s="116"/>
      <c r="E559" s="116"/>
      <c r="F559" s="116"/>
      <c r="G559" s="116"/>
      <c r="H559" s="116"/>
      <c r="I559" s="116"/>
      <c r="J559" s="116"/>
      <c r="K559" s="116"/>
      <c r="L559" s="116"/>
      <c r="M559" s="116"/>
      <c r="N559" s="116"/>
      <c r="O559" s="116"/>
      <c r="P559" s="326"/>
    </row>
    <row r="560" spans="2:16" ht="18.95" customHeight="1">
      <c r="B560" s="254" t="s">
        <v>1661</v>
      </c>
      <c r="C560" s="116"/>
      <c r="D560" s="116"/>
      <c r="E560" s="116"/>
      <c r="F560" s="116"/>
      <c r="G560" s="116"/>
      <c r="H560" s="116"/>
      <c r="I560" s="116"/>
      <c r="J560" s="116"/>
      <c r="K560" s="116"/>
      <c r="L560" s="116"/>
      <c r="M560" s="116"/>
      <c r="N560" s="116"/>
      <c r="O560" s="116"/>
      <c r="P560" s="326"/>
    </row>
    <row r="561" spans="2:16" ht="18.95" customHeight="1">
      <c r="B561" s="254" t="s">
        <v>1662</v>
      </c>
      <c r="C561" s="116"/>
      <c r="D561" s="116"/>
      <c r="E561" s="116"/>
      <c r="F561" s="116"/>
      <c r="G561" s="116"/>
      <c r="H561" s="116"/>
      <c r="I561" s="116"/>
      <c r="J561" s="116"/>
      <c r="K561" s="116"/>
      <c r="L561" s="116"/>
      <c r="M561" s="116"/>
      <c r="N561" s="116"/>
      <c r="O561" s="116"/>
      <c r="P561" s="326"/>
    </row>
    <row r="562" spans="2:16" ht="18.95" customHeight="1">
      <c r="B562" s="254"/>
      <c r="C562" s="116"/>
      <c r="D562" s="116"/>
      <c r="E562" s="116"/>
      <c r="F562" s="116"/>
      <c r="G562" s="116"/>
      <c r="H562" s="116"/>
      <c r="I562" s="116"/>
      <c r="J562" s="116"/>
      <c r="K562" s="116"/>
      <c r="L562" s="116"/>
      <c r="M562" s="116"/>
      <c r="N562" s="116"/>
      <c r="O562" s="116"/>
      <c r="P562" s="326"/>
    </row>
    <row r="563" spans="2:16" ht="18.95" customHeight="1">
      <c r="B563" s="456"/>
      <c r="C563" s="457" t="s">
        <v>1663</v>
      </c>
      <c r="D563" s="457" t="s">
        <v>1664</v>
      </c>
      <c r="E563" s="458" t="s">
        <v>1665</v>
      </c>
      <c r="F563" s="116"/>
      <c r="G563" s="116"/>
      <c r="H563" s="116"/>
      <c r="I563" s="116"/>
      <c r="J563" s="116"/>
      <c r="K563" s="116"/>
      <c r="L563" s="116"/>
      <c r="M563" s="116"/>
      <c r="N563" s="116"/>
      <c r="O563" s="116"/>
      <c r="P563" s="326"/>
    </row>
    <row r="564" spans="2:16" ht="18.95" customHeight="1">
      <c r="B564" s="456" t="s">
        <v>540</v>
      </c>
      <c r="C564" s="459" t="s">
        <v>1666</v>
      </c>
      <c r="D564" s="460" t="s">
        <v>1667</v>
      </c>
      <c r="E564" s="461">
        <f t="array" aca="1" ref="E564" ca="1">LOOKUP(0,0/IF($C$535:$O$535=VALUE(RIGHT(C564,LEN(C564)-FIND("-",C564))),1,0),OFFSET($C$535:$O$535,MATCH(VALUE(LEFT(C564,FIND("-",C564)-1)),$B$536:$B$556),))</f>
        <v>184.86666666666699</v>
      </c>
      <c r="F564" s="116"/>
      <c r="G564" s="116"/>
      <c r="H564" s="116"/>
      <c r="I564" s="116"/>
      <c r="J564" s="116"/>
      <c r="K564" s="116"/>
      <c r="L564" s="116"/>
      <c r="M564" s="116"/>
      <c r="N564" s="116"/>
      <c r="O564" s="116"/>
      <c r="P564" s="326"/>
    </row>
    <row r="565" spans="2:16" ht="18.95" customHeight="1">
      <c r="B565" s="456" t="s">
        <v>542</v>
      </c>
      <c r="C565" s="459" t="s">
        <v>1668</v>
      </c>
      <c r="D565" s="460" t="s">
        <v>1667</v>
      </c>
      <c r="E565" s="461">
        <f>VLOOKUP(VALUE(LEFT(C565,FIND("-",C565)-1)),$B$535:$O$556,MATCH(VALUE(RIGHT(C565,LEN(C565)-FIND("-",C565))),$B$535:$O$535,0),0)</f>
        <v>642.46666666666704</v>
      </c>
      <c r="F565" s="116"/>
      <c r="G565" s="116"/>
      <c r="H565" s="116"/>
      <c r="I565" s="116"/>
      <c r="J565" s="116"/>
      <c r="K565" s="116"/>
      <c r="L565" s="116"/>
      <c r="M565" s="116"/>
      <c r="N565" s="116"/>
      <c r="O565" s="116"/>
      <c r="P565" s="326"/>
    </row>
    <row r="566" spans="2:16" ht="18.95" customHeight="1">
      <c r="B566" s="456" t="s">
        <v>544</v>
      </c>
      <c r="C566" s="459" t="s">
        <v>1669</v>
      </c>
      <c r="D566" s="460" t="s">
        <v>1667</v>
      </c>
      <c r="E566" s="461">
        <f>VLOOKUP(VALUE(LEFT(C566,FIND("-",C566)-1)),$B$535:$O$556,MATCH(VALUE(RIGHT(C566,LEN(C566)-FIND("-",C566))),$B$535:$O$535,0),0)</f>
        <v>3740.25</v>
      </c>
      <c r="F566" s="116"/>
      <c r="G566" s="116" t="s">
        <v>1670</v>
      </c>
      <c r="H566" s="116"/>
      <c r="I566" s="116"/>
      <c r="J566" s="116"/>
      <c r="K566" s="116"/>
      <c r="L566" s="116"/>
      <c r="M566" s="116"/>
      <c r="N566" s="116"/>
      <c r="O566" s="116"/>
      <c r="P566" s="326"/>
    </row>
    <row r="567" spans="2:16" ht="18.95" customHeight="1">
      <c r="B567" s="254"/>
      <c r="C567" s="116"/>
      <c r="D567" s="116"/>
      <c r="E567" s="116"/>
      <c r="F567" s="116"/>
      <c r="G567" s="116"/>
      <c r="H567" s="116"/>
      <c r="I567" s="116"/>
      <c r="J567" s="116"/>
      <c r="K567" s="116"/>
      <c r="L567" s="116"/>
      <c r="M567" s="116"/>
      <c r="N567" s="116"/>
      <c r="O567" s="116"/>
      <c r="P567" s="326"/>
    </row>
    <row r="568" spans="2:16" ht="18.95" customHeight="1">
      <c r="B568" s="462" t="s">
        <v>1671</v>
      </c>
      <c r="C568" s="463" t="s">
        <v>1672</v>
      </c>
      <c r="D568" s="116"/>
      <c r="E568" s="116"/>
      <c r="F568" s="116"/>
      <c r="G568" s="116"/>
      <c r="H568" s="116"/>
      <c r="I568" s="116"/>
      <c r="J568" s="116"/>
      <c r="K568" s="116"/>
      <c r="L568" s="116"/>
      <c r="M568" s="116"/>
      <c r="N568" s="116"/>
      <c r="O568" s="116"/>
      <c r="P568" s="326"/>
    </row>
    <row r="569" spans="2:16" ht="18.95" customHeight="1">
      <c r="B569" s="462" t="s">
        <v>1227</v>
      </c>
      <c r="C569" s="463" t="s">
        <v>1673</v>
      </c>
      <c r="D569" s="116"/>
      <c r="E569" s="116"/>
      <c r="F569" s="116"/>
      <c r="G569" s="116"/>
      <c r="H569" s="116"/>
      <c r="I569" s="116"/>
      <c r="J569" s="116"/>
      <c r="K569" s="116"/>
      <c r="L569" s="116"/>
      <c r="M569" s="116"/>
      <c r="N569" s="116"/>
      <c r="O569" s="116"/>
      <c r="P569" s="326"/>
    </row>
    <row r="570" spans="2:16" ht="18.95" customHeight="1">
      <c r="B570" s="462"/>
      <c r="C570" s="463"/>
      <c r="D570" s="116"/>
      <c r="E570" s="116"/>
      <c r="F570" s="116"/>
      <c r="G570" s="116"/>
      <c r="H570" s="116"/>
      <c r="I570" s="116"/>
      <c r="J570" s="116"/>
      <c r="K570" s="116"/>
      <c r="L570" s="116"/>
      <c r="M570" s="116"/>
      <c r="N570" s="116"/>
      <c r="O570" s="116"/>
      <c r="P570" s="326"/>
    </row>
    <row r="571" spans="2:16" ht="18.95" customHeight="1">
      <c r="B571" s="254"/>
      <c r="C571" s="116" t="s">
        <v>1674</v>
      </c>
      <c r="D571" s="116"/>
      <c r="E571" s="116"/>
      <c r="F571" s="116"/>
      <c r="G571" s="116"/>
      <c r="H571" s="116"/>
      <c r="I571" s="116"/>
      <c r="J571" s="116"/>
      <c r="K571" s="116"/>
      <c r="L571" s="116"/>
      <c r="M571" s="116"/>
      <c r="N571" s="116"/>
      <c r="O571" s="116"/>
      <c r="P571" s="326"/>
    </row>
    <row r="572" spans="2:16" ht="18.95" customHeight="1">
      <c r="B572" s="254"/>
      <c r="C572" s="116"/>
      <c r="D572" s="116"/>
      <c r="E572" s="116"/>
      <c r="F572" s="116"/>
      <c r="G572" s="116"/>
      <c r="H572" s="116"/>
      <c r="I572" s="116"/>
      <c r="J572" s="116"/>
      <c r="K572" s="116"/>
      <c r="L572" s="116"/>
      <c r="M572" s="116"/>
      <c r="N572" s="116"/>
      <c r="O572" s="116"/>
      <c r="P572" s="326"/>
    </row>
    <row r="573" spans="2:16" ht="18.95" customHeight="1">
      <c r="B573" s="254"/>
      <c r="C573" s="116" t="s">
        <v>1675</v>
      </c>
      <c r="D573" s="116"/>
      <c r="E573" s="116"/>
      <c r="F573" s="116"/>
      <c r="G573" s="116"/>
      <c r="H573" s="116"/>
      <c r="I573" s="116"/>
      <c r="J573" s="116"/>
      <c r="K573" s="116"/>
      <c r="L573" s="116"/>
      <c r="M573" s="116"/>
      <c r="N573" s="116"/>
      <c r="O573" s="116"/>
      <c r="P573" s="326"/>
    </row>
    <row r="574" spans="2:16" ht="18.95" customHeight="1">
      <c r="B574" s="304"/>
      <c r="C574" s="305"/>
      <c r="D574" s="305"/>
      <c r="E574" s="305"/>
      <c r="F574" s="305"/>
      <c r="G574" s="305"/>
      <c r="H574" s="305"/>
      <c r="I574" s="305"/>
      <c r="J574" s="305"/>
      <c r="K574" s="305"/>
      <c r="L574" s="305"/>
      <c r="M574" s="305"/>
      <c r="N574" s="305"/>
      <c r="O574" s="305"/>
      <c r="P574" s="327"/>
    </row>
    <row r="576" spans="2:16" ht="18.95" customHeight="1">
      <c r="B576" s="333"/>
      <c r="C576" s="324"/>
      <c r="D576" s="324"/>
      <c r="E576" s="324"/>
      <c r="F576" s="324"/>
      <c r="G576" s="324"/>
      <c r="H576" s="324"/>
      <c r="I576" s="324"/>
      <c r="J576" s="324"/>
      <c r="K576" s="324"/>
      <c r="L576" s="324"/>
      <c r="M576" s="324"/>
      <c r="N576" s="325"/>
    </row>
    <row r="577" spans="2:15" ht="18.95" customHeight="1">
      <c r="B577" s="231" t="s">
        <v>131</v>
      </c>
      <c r="C577" s="464" t="s">
        <v>269</v>
      </c>
      <c r="D577" s="232" t="s">
        <v>1676</v>
      </c>
      <c r="E577" s="232" t="s">
        <v>1677</v>
      </c>
      <c r="F577" s="232" t="s">
        <v>1678</v>
      </c>
      <c r="G577" s="116"/>
      <c r="H577" s="116"/>
      <c r="I577" s="116"/>
      <c r="J577" s="261" t="s">
        <v>1245</v>
      </c>
      <c r="K577" s="261" t="s">
        <v>1679</v>
      </c>
      <c r="L577" s="261" t="s">
        <v>1680</v>
      </c>
      <c r="M577" s="262" t="s">
        <v>1681</v>
      </c>
      <c r="N577" s="326"/>
    </row>
    <row r="578" spans="2:15" ht="18.95" customHeight="1">
      <c r="B578" s="233" t="s">
        <v>1680</v>
      </c>
      <c r="C578" s="76" t="s">
        <v>1682</v>
      </c>
      <c r="D578" s="76">
        <v>45</v>
      </c>
      <c r="E578" s="76">
        <v>12</v>
      </c>
      <c r="F578" s="76">
        <v>5</v>
      </c>
      <c r="G578" s="116"/>
      <c r="H578" s="116"/>
      <c r="I578" s="116"/>
      <c r="J578" s="263" t="s">
        <v>1676</v>
      </c>
      <c r="K578" s="263">
        <f>INDEX($D$578:$F$580,MATCH(K$577,$B$578:$B$580,0),MATCH($J578,$D$577:$F$577,0))</f>
        <v>0</v>
      </c>
      <c r="L578" s="263">
        <f>INDEX($D$578:$F$580,MATCH(L$577,$B$578:$B$580,0),MATCH($J578,$D$577:$F$577,0))</f>
        <v>45</v>
      </c>
      <c r="M578" s="480">
        <f t="shared" ref="M578" si="11">INDEX($D$578:$F$580,MATCH(M$577,$B$578:$B$580,0),MATCH($J578,$D$577:$F$577,0))</f>
        <v>10</v>
      </c>
      <c r="N578" s="326"/>
    </row>
    <row r="579" spans="2:15" ht="18.95" customHeight="1">
      <c r="B579" s="233" t="s">
        <v>1679</v>
      </c>
      <c r="C579" s="99"/>
      <c r="D579" s="76"/>
      <c r="E579" s="76">
        <v>32</v>
      </c>
      <c r="F579" s="76"/>
      <c r="G579" s="116"/>
      <c r="H579" s="116"/>
      <c r="I579" s="116"/>
      <c r="J579" s="242" t="s">
        <v>1677</v>
      </c>
      <c r="K579" s="242">
        <f t="shared" ref="K579:M580" si="12">INDEX($D$578:$F$580,MATCH(K$577,$B$578:$B$580,0),MATCH($J579,$D$577:$F$577,0))</f>
        <v>32</v>
      </c>
      <c r="L579" s="242">
        <f>INDEX($D$578:$F$580,MATCH(L$577,$B$578:$B$580,0),MATCH($J579,$D$577:$F$577,0))</f>
        <v>12</v>
      </c>
      <c r="M579" s="481">
        <f t="shared" si="12"/>
        <v>0</v>
      </c>
      <c r="N579" s="326"/>
    </row>
    <row r="580" spans="2:15" ht="18.95" customHeight="1">
      <c r="B580" s="233" t="s">
        <v>1681</v>
      </c>
      <c r="C580" s="99"/>
      <c r="D580" s="76">
        <v>10</v>
      </c>
      <c r="E580" s="76"/>
      <c r="F580" s="76">
        <v>45</v>
      </c>
      <c r="G580" s="116"/>
      <c r="H580" s="116"/>
      <c r="I580" s="116"/>
      <c r="J580" s="268" t="s">
        <v>1678</v>
      </c>
      <c r="K580" s="268">
        <f t="shared" si="12"/>
        <v>0</v>
      </c>
      <c r="L580" s="268">
        <f>INDEX($D$578:$F$580,MATCH(L$577,$B$578:$B$580,0),MATCH($J580,$D$577:$F$577,0))</f>
        <v>5</v>
      </c>
      <c r="M580" s="482">
        <f t="shared" si="12"/>
        <v>45</v>
      </c>
      <c r="N580" s="326"/>
    </row>
    <row r="581" spans="2:15" ht="18.95" customHeight="1">
      <c r="B581" s="254"/>
      <c r="C581" s="116"/>
      <c r="D581" s="116"/>
      <c r="E581" s="116"/>
      <c r="F581" s="116"/>
      <c r="G581" s="116"/>
      <c r="H581" s="116"/>
      <c r="I581" s="116"/>
      <c r="J581" s="116"/>
      <c r="K581" s="116"/>
      <c r="L581" s="116"/>
      <c r="M581" s="116"/>
      <c r="N581" s="326"/>
    </row>
    <row r="582" spans="2:15" ht="18.95" customHeight="1">
      <c r="B582" s="254" t="s">
        <v>1683</v>
      </c>
      <c r="C582" s="116"/>
      <c r="D582" s="116"/>
      <c r="E582" s="116"/>
      <c r="F582" s="116"/>
      <c r="G582" s="116"/>
      <c r="H582" s="116"/>
      <c r="I582" s="116"/>
      <c r="J582" s="116"/>
      <c r="K582" s="116"/>
      <c r="L582" s="116"/>
      <c r="M582" s="116"/>
      <c r="N582" s="326"/>
    </row>
    <row r="583" spans="2:15" ht="18.95" customHeight="1">
      <c r="B583" s="304"/>
      <c r="C583" s="305"/>
      <c r="D583" s="305"/>
      <c r="E583" s="305"/>
      <c r="F583" s="305"/>
      <c r="G583" s="305"/>
      <c r="H583" s="305"/>
      <c r="I583" s="305"/>
      <c r="J583" s="305"/>
      <c r="K583" s="305"/>
      <c r="L583" s="305"/>
      <c r="M583" s="305"/>
      <c r="N583" s="327"/>
    </row>
    <row r="586" spans="2:15" ht="18.95" customHeight="1">
      <c r="B586" s="333"/>
      <c r="C586" s="324"/>
      <c r="D586" s="324"/>
      <c r="E586" s="324"/>
      <c r="F586" s="324"/>
      <c r="G586" s="324"/>
      <c r="H586" s="324"/>
      <c r="I586" s="324"/>
      <c r="J586" s="324"/>
      <c r="K586" s="324"/>
      <c r="L586" s="324"/>
      <c r="M586" s="324"/>
      <c r="N586" s="324"/>
      <c r="O586" s="325"/>
    </row>
    <row r="587" spans="2:15" ht="18.95" customHeight="1">
      <c r="B587" s="254" t="s">
        <v>1684</v>
      </c>
      <c r="C587" s="116"/>
      <c r="D587" s="116"/>
      <c r="E587" s="116"/>
      <c r="F587" s="116"/>
      <c r="G587" s="116"/>
      <c r="H587" s="116"/>
      <c r="I587" s="116"/>
      <c r="J587" s="116"/>
      <c r="K587" s="116"/>
      <c r="L587" s="116"/>
      <c r="M587" s="116"/>
      <c r="N587" s="116"/>
      <c r="O587" s="326"/>
    </row>
    <row r="588" spans="2:15" ht="18.95" customHeight="1">
      <c r="B588" s="1186" t="s">
        <v>1685</v>
      </c>
      <c r="C588" s="1187"/>
      <c r="D588" s="1187"/>
      <c r="E588" s="465"/>
      <c r="F588" s="465" t="s">
        <v>1686</v>
      </c>
      <c r="G588" s="465" t="s">
        <v>1687</v>
      </c>
      <c r="H588" s="465" t="s">
        <v>1688</v>
      </c>
      <c r="I588" s="465" t="s">
        <v>1689</v>
      </c>
      <c r="J588" s="483" t="s">
        <v>29</v>
      </c>
      <c r="K588" s="116"/>
      <c r="L588" s="272" t="s">
        <v>1690</v>
      </c>
      <c r="M588" s="272" t="s">
        <v>1208</v>
      </c>
      <c r="N588" s="273" t="s">
        <v>1691</v>
      </c>
      <c r="O588" s="326"/>
    </row>
    <row r="589" spans="2:15" ht="18.95" customHeight="1">
      <c r="B589" s="466">
        <v>0</v>
      </c>
      <c r="C589" s="467"/>
      <c r="D589" s="467">
        <v>80</v>
      </c>
      <c r="E589" s="467"/>
      <c r="F589" s="467">
        <v>1</v>
      </c>
      <c r="G589" s="467"/>
      <c r="H589" s="467"/>
      <c r="I589" s="467">
        <v>1</v>
      </c>
      <c r="J589" s="484">
        <f t="shared" ref="J589:J597" si="13">SUM(F589:I589)</f>
        <v>2</v>
      </c>
      <c r="K589" s="116"/>
      <c r="L589" s="275">
        <v>272</v>
      </c>
      <c r="M589" s="276" t="s">
        <v>1686</v>
      </c>
      <c r="N589" s="485">
        <f ca="1">LOOKUP(L589,$B$589:$B$599,OFFSET(E589:E599,,MATCH(M589,$F$588:$I$588,0),))</f>
        <v>2</v>
      </c>
      <c r="O589" s="326"/>
    </row>
    <row r="590" spans="2:15" ht="18.95" customHeight="1">
      <c r="B590" s="468">
        <v>80</v>
      </c>
      <c r="C590" s="469" t="s">
        <v>1692</v>
      </c>
      <c r="D590" s="469">
        <v>200</v>
      </c>
      <c r="E590" s="469"/>
      <c r="F590" s="469">
        <v>1</v>
      </c>
      <c r="G590" s="469"/>
      <c r="H590" s="469"/>
      <c r="I590" s="469">
        <v>2</v>
      </c>
      <c r="J590" s="486">
        <f t="shared" si="13"/>
        <v>3</v>
      </c>
      <c r="K590" s="116"/>
      <c r="L590" s="133">
        <v>599</v>
      </c>
      <c r="M590" s="278" t="s">
        <v>1689</v>
      </c>
      <c r="N590" s="487">
        <f ca="1">LOOKUP(L590,$B$589:$B$599,OFFSET(E590:E600,,MATCH(M590,$F$588:$I$588,0),))</f>
        <v>4</v>
      </c>
      <c r="O590" s="326"/>
    </row>
    <row r="591" spans="2:15" ht="18.95" customHeight="1">
      <c r="B591" s="468">
        <v>200</v>
      </c>
      <c r="C591" s="469" t="s">
        <v>1692</v>
      </c>
      <c r="D591" s="469">
        <v>350</v>
      </c>
      <c r="E591" s="469"/>
      <c r="F591" s="469">
        <v>2</v>
      </c>
      <c r="G591" s="469"/>
      <c r="H591" s="469"/>
      <c r="I591" s="469">
        <v>3</v>
      </c>
      <c r="J591" s="486">
        <f t="shared" si="13"/>
        <v>5</v>
      </c>
      <c r="K591" s="116"/>
      <c r="L591" s="138">
        <v>601</v>
      </c>
      <c r="M591" s="279" t="s">
        <v>1688</v>
      </c>
      <c r="N591" s="488">
        <f ca="1">LOOKUP(L591,$B$589:$B$599,OFFSET(E591:E600,,MATCH(M591,$F$588:$I$588,0),))</f>
        <v>2</v>
      </c>
      <c r="O591" s="326"/>
    </row>
    <row r="592" spans="2:15" ht="18.95" customHeight="1">
      <c r="B592" s="468">
        <v>350</v>
      </c>
      <c r="C592" s="469" t="s">
        <v>1692</v>
      </c>
      <c r="D592" s="469">
        <v>450</v>
      </c>
      <c r="E592" s="469"/>
      <c r="F592" s="469">
        <v>1</v>
      </c>
      <c r="G592" s="469"/>
      <c r="H592" s="469">
        <v>1</v>
      </c>
      <c r="I592" s="469">
        <v>3</v>
      </c>
      <c r="J592" s="486">
        <f t="shared" si="13"/>
        <v>5</v>
      </c>
      <c r="K592" s="116"/>
      <c r="L592" s="116"/>
      <c r="M592" s="116"/>
      <c r="N592" s="116"/>
      <c r="O592" s="326"/>
    </row>
    <row r="593" spans="2:15" ht="18.95" customHeight="1">
      <c r="B593" s="468">
        <v>450</v>
      </c>
      <c r="C593" s="469" t="s">
        <v>1692</v>
      </c>
      <c r="D593" s="469">
        <v>600</v>
      </c>
      <c r="E593" s="469"/>
      <c r="F593" s="469">
        <v>1</v>
      </c>
      <c r="G593" s="469">
        <v>1</v>
      </c>
      <c r="H593" s="469">
        <v>1</v>
      </c>
      <c r="I593" s="469">
        <v>3</v>
      </c>
      <c r="J593" s="486">
        <f t="shared" si="13"/>
        <v>6</v>
      </c>
      <c r="K593" s="116"/>
      <c r="L593" s="116"/>
      <c r="M593" s="116"/>
      <c r="N593" s="116"/>
      <c r="O593" s="326"/>
    </row>
    <row r="594" spans="2:15" ht="18.95" customHeight="1">
      <c r="B594" s="468">
        <v>600</v>
      </c>
      <c r="C594" s="469" t="s">
        <v>1692</v>
      </c>
      <c r="D594" s="469">
        <v>750</v>
      </c>
      <c r="E594" s="469"/>
      <c r="F594" s="469">
        <v>1</v>
      </c>
      <c r="G594" s="469">
        <v>1</v>
      </c>
      <c r="H594" s="469">
        <v>1</v>
      </c>
      <c r="I594" s="469">
        <v>4</v>
      </c>
      <c r="J594" s="486">
        <f t="shared" si="13"/>
        <v>7</v>
      </c>
      <c r="K594" s="116"/>
      <c r="L594" s="116"/>
      <c r="M594" s="116"/>
      <c r="N594" s="116"/>
      <c r="O594" s="326"/>
    </row>
    <row r="595" spans="2:15" ht="18.95" customHeight="1">
      <c r="B595" s="468">
        <v>750</v>
      </c>
      <c r="C595" s="469" t="s">
        <v>1692</v>
      </c>
      <c r="D595" s="469">
        <v>900</v>
      </c>
      <c r="E595" s="469"/>
      <c r="F595" s="469">
        <v>1</v>
      </c>
      <c r="G595" s="469">
        <v>1</v>
      </c>
      <c r="H595" s="469">
        <v>2</v>
      </c>
      <c r="I595" s="469">
        <v>4</v>
      </c>
      <c r="J595" s="486">
        <f t="shared" si="13"/>
        <v>8</v>
      </c>
      <c r="K595" s="116"/>
      <c r="L595" s="116"/>
      <c r="M595" s="116"/>
      <c r="N595" s="116"/>
      <c r="O595" s="326"/>
    </row>
    <row r="596" spans="2:15" ht="18.95" customHeight="1">
      <c r="B596" s="468">
        <v>900</v>
      </c>
      <c r="C596" s="469" t="s">
        <v>1692</v>
      </c>
      <c r="D596" s="469">
        <v>1050</v>
      </c>
      <c r="E596" s="469"/>
      <c r="F596" s="469">
        <v>1</v>
      </c>
      <c r="G596" s="469">
        <v>1</v>
      </c>
      <c r="H596" s="469">
        <v>2</v>
      </c>
      <c r="I596" s="469">
        <v>5</v>
      </c>
      <c r="J596" s="486">
        <f t="shared" si="13"/>
        <v>9</v>
      </c>
      <c r="K596" s="116"/>
      <c r="L596" s="116"/>
      <c r="M596" s="116"/>
      <c r="N596" s="116"/>
      <c r="O596" s="326"/>
    </row>
    <row r="597" spans="2:15" ht="18.95" customHeight="1">
      <c r="B597" s="468">
        <v>1050</v>
      </c>
      <c r="C597" s="469" t="s">
        <v>1692</v>
      </c>
      <c r="D597" s="469">
        <v>1200</v>
      </c>
      <c r="E597" s="469"/>
      <c r="F597" s="469">
        <v>1</v>
      </c>
      <c r="G597" s="469">
        <v>2</v>
      </c>
      <c r="H597" s="469">
        <v>2</v>
      </c>
      <c r="I597" s="469">
        <v>5</v>
      </c>
      <c r="J597" s="486">
        <f t="shared" si="13"/>
        <v>10</v>
      </c>
      <c r="K597" s="116"/>
      <c r="L597" s="116"/>
      <c r="M597" s="116"/>
      <c r="N597" s="116"/>
      <c r="O597" s="326"/>
    </row>
    <row r="598" spans="2:15" ht="18.95" customHeight="1">
      <c r="B598" s="468">
        <v>1200</v>
      </c>
      <c r="C598" s="469" t="s">
        <v>1692</v>
      </c>
      <c r="D598" s="469">
        <v>1350</v>
      </c>
      <c r="E598" s="469"/>
      <c r="F598" s="469">
        <v>1</v>
      </c>
      <c r="G598" s="469">
        <v>2</v>
      </c>
      <c r="H598" s="469">
        <v>2</v>
      </c>
      <c r="I598" s="469">
        <v>6</v>
      </c>
      <c r="J598" s="486">
        <v>11</v>
      </c>
      <c r="K598" s="116"/>
      <c r="L598" s="116"/>
      <c r="M598" s="116"/>
      <c r="N598" s="116"/>
      <c r="O598" s="326"/>
    </row>
    <row r="599" spans="2:15" ht="18.95" customHeight="1">
      <c r="B599" s="470">
        <v>1350</v>
      </c>
      <c r="C599" s="471" t="s">
        <v>1692</v>
      </c>
      <c r="D599" s="471"/>
      <c r="E599" s="471"/>
      <c r="F599" s="471">
        <v>1</v>
      </c>
      <c r="G599" s="471">
        <v>2</v>
      </c>
      <c r="H599" s="471">
        <v>2</v>
      </c>
      <c r="I599" s="471">
        <v>6</v>
      </c>
      <c r="J599" s="489">
        <v>12</v>
      </c>
      <c r="K599" s="116"/>
      <c r="L599" s="116"/>
      <c r="M599" s="116"/>
      <c r="N599" s="116"/>
      <c r="O599" s="326"/>
    </row>
    <row r="600" spans="2:15" ht="18.95" customHeight="1">
      <c r="B600" s="254"/>
      <c r="C600" s="116"/>
      <c r="D600" s="116"/>
      <c r="E600" s="116"/>
      <c r="F600" s="116"/>
      <c r="G600" s="116"/>
      <c r="H600" s="116"/>
      <c r="I600" s="116"/>
      <c r="J600" s="116"/>
      <c r="K600" s="116"/>
      <c r="L600" s="116"/>
      <c r="M600" s="116"/>
      <c r="N600" s="116"/>
      <c r="O600" s="326"/>
    </row>
    <row r="601" spans="2:15" ht="18.95" customHeight="1">
      <c r="B601" s="304"/>
      <c r="C601" s="305"/>
      <c r="D601" s="305"/>
      <c r="E601" s="305"/>
      <c r="F601" s="305"/>
      <c r="G601" s="305"/>
      <c r="H601" s="305"/>
      <c r="I601" s="305"/>
      <c r="J601" s="305"/>
      <c r="K601" s="305"/>
      <c r="L601" s="305"/>
      <c r="M601" s="305"/>
      <c r="N601" s="305"/>
      <c r="O601" s="327"/>
    </row>
    <row r="603" spans="2:15" ht="18.95" customHeight="1">
      <c r="B603" s="333"/>
      <c r="C603" s="324"/>
      <c r="D603" s="324"/>
      <c r="E603" s="324"/>
      <c r="F603" s="324"/>
      <c r="G603" s="324"/>
      <c r="H603" s="324"/>
      <c r="I603" s="324"/>
      <c r="J603" s="325"/>
    </row>
    <row r="604" spans="2:15" ht="18.95" customHeight="1">
      <c r="B604" s="472" t="s">
        <v>1693</v>
      </c>
      <c r="C604" s="243" t="s">
        <v>1694</v>
      </c>
      <c r="D604" s="244" t="s">
        <v>44</v>
      </c>
      <c r="E604" s="116"/>
      <c r="F604" s="116"/>
      <c r="G604" s="1188" t="s">
        <v>1695</v>
      </c>
      <c r="H604" s="1189"/>
      <c r="I604" s="116"/>
      <c r="J604" s="326"/>
    </row>
    <row r="605" spans="2:15" ht="18.95" customHeight="1">
      <c r="B605" s="473">
        <v>44621</v>
      </c>
      <c r="C605" s="116" t="s">
        <v>1696</v>
      </c>
      <c r="D605" s="246">
        <v>1</v>
      </c>
      <c r="E605" s="116"/>
      <c r="F605" s="116"/>
      <c r="G605" s="99" t="s">
        <v>1694</v>
      </c>
      <c r="H605" s="99" t="s">
        <v>1697</v>
      </c>
      <c r="I605" s="116"/>
      <c r="J605" s="490"/>
    </row>
    <row r="606" spans="2:15" ht="18.95" customHeight="1">
      <c r="B606" s="473">
        <v>44621</v>
      </c>
      <c r="C606" s="116" t="s">
        <v>1698</v>
      </c>
      <c r="D606" s="246">
        <v>3</v>
      </c>
      <c r="E606" s="116"/>
      <c r="F606" s="116"/>
      <c r="G606" s="99" t="str">
        <f t="array" ref="G606">IFERROR(LOOKUP(1,0/(COUNTIF($G$605:G605,$C$605:$C$618)-1),$C$605:$C$618),"")</f>
        <v>山竹</v>
      </c>
      <c r="H606" s="99">
        <f t="array" aca="1" ref="H606" ca="1">SUMPRODUCT(($C$605:$C$618=G606)*$D$605:$D$618*(COUNTIF(OFFSET($C$604,,,ROW($1:$14),),G606)&gt;=(COUNTIF($C$605:$C$618,G606)-5)))</f>
        <v>5</v>
      </c>
      <c r="I606" s="116"/>
      <c r="J606" s="326"/>
    </row>
    <row r="607" spans="2:15" ht="18.95" customHeight="1">
      <c r="B607" s="473">
        <v>44622</v>
      </c>
      <c r="C607" s="116" t="s">
        <v>1250</v>
      </c>
      <c r="D607" s="246">
        <v>5</v>
      </c>
      <c r="E607" s="116"/>
      <c r="F607" s="116"/>
      <c r="G607" s="99" t="str">
        <f t="array" ref="G607">IFERROR(LOOKUP(1,0/(COUNTIF($G$605:G606,$C$605:$C$618)-1),$C$605:$C$618),"")</f>
        <v>苹果</v>
      </c>
      <c r="H607" s="99">
        <f t="array" aca="1" ref="H607" ca="1">SUMPRODUCT(($C$605:$C$618=G607)*$D$605:$D$618*(COUNTIF(OFFSET($C$604,,,ROW($1:$14),),G607)&gt;=(COUNTIF($C$605:$C$618,G607)-5)))</f>
        <v>29</v>
      </c>
      <c r="I607" s="116"/>
      <c r="J607" s="326"/>
    </row>
    <row r="608" spans="2:15" ht="18.95" customHeight="1">
      <c r="B608" s="473">
        <v>44623</v>
      </c>
      <c r="C608" s="116" t="s">
        <v>1696</v>
      </c>
      <c r="D608" s="246">
        <v>9</v>
      </c>
      <c r="E608" s="116"/>
      <c r="F608" s="116"/>
      <c r="G608" s="99" t="str">
        <f t="array" ref="G608">IFERROR(LOOKUP(1,0/(COUNTIF($G$605:G607,$C$605:$C$618)-1),$C$605:$C$618),"")</f>
        <v>车厘子</v>
      </c>
      <c r="H608" s="99">
        <f t="array" aca="1" ref="H608" ca="1">SUMPRODUCT(($C$605:$C$618=G608)*$D$605:$D$618*(COUNTIF(OFFSET($C$604,,,ROW($1:$14),),G608)&gt;=(COUNTIF($C$605:$C$618,G608)-5)))</f>
        <v>12</v>
      </c>
      <c r="I608" s="116"/>
      <c r="J608" s="326"/>
    </row>
    <row r="609" spans="2:10" ht="18.95" customHeight="1">
      <c r="B609" s="473">
        <v>44624</v>
      </c>
      <c r="C609" s="116" t="s">
        <v>1698</v>
      </c>
      <c r="D609" s="246">
        <v>4</v>
      </c>
      <c r="E609" s="116"/>
      <c r="F609" s="116"/>
      <c r="G609" s="99" t="str">
        <f t="array" ref="G609">IFERROR(LOOKUP(1,0/(COUNTIF($G$605:G608,$C$605:$C$618)-1),$C$605:$C$618),"")</f>
        <v>菠萝</v>
      </c>
      <c r="H609" s="99">
        <f t="array" aca="1" ref="H609" ca="1">SUMPRODUCT(($C$605:$C$618=G609)*$D$605:$D$618*(COUNTIF(OFFSET($C$604,,,ROW($1:$14),),G609)&gt;=(COUNTIF($C$605:$C$618,G609)-5)))</f>
        <v>19</v>
      </c>
      <c r="I609" s="116"/>
      <c r="J609" s="326"/>
    </row>
    <row r="610" spans="2:10" ht="18.95" customHeight="1">
      <c r="B610" s="473">
        <v>44625</v>
      </c>
      <c r="C610" s="116" t="s">
        <v>1696</v>
      </c>
      <c r="D610" s="246">
        <v>8</v>
      </c>
      <c r="E610" s="116"/>
      <c r="F610" s="116"/>
      <c r="G610" s="99" t="str">
        <f t="array" ref="G610">IFERROR(LOOKUP(1,0/(COUNTIF($G$605:G609,$C$605:$C$618)-1),$C$605:$C$618),"")</f>
        <v/>
      </c>
      <c r="H610" s="99">
        <f t="array" aca="1" ref="H610" ca="1">SUMPRODUCT(($C$605:$C$618=G610)*$D$605:$D$618*(COUNTIF(OFFSET($C$604,,,ROW($1:$14),),G610)&gt;=(COUNTIF($C$605:$C$618,G610)-5)))</f>
        <v>0</v>
      </c>
      <c r="I610" s="116"/>
      <c r="J610" s="326"/>
    </row>
    <row r="611" spans="2:10" ht="18.95" customHeight="1">
      <c r="B611" s="473">
        <v>44626</v>
      </c>
      <c r="C611" s="116" t="s">
        <v>1699</v>
      </c>
      <c r="D611" s="246">
        <v>1</v>
      </c>
      <c r="E611" s="116"/>
      <c r="F611" s="116"/>
      <c r="G611" s="99" t="str">
        <f t="array" ref="G611">IFERROR(LOOKUP(1,0/(COUNTIF($G$605:G610,$C$605:$C$618)-1),$C$605:$C$618),"")</f>
        <v/>
      </c>
      <c r="H611" s="99">
        <f t="array" aca="1" ref="H611" ca="1">SUMPRODUCT(($C$605:$C$618=G611)*$D$605:$D$618*(COUNTIF(OFFSET($C$604,,,ROW($1:$14),),G611)&gt;=(COUNTIF($C$605:$C$618,G611)-5)))</f>
        <v>0</v>
      </c>
      <c r="I611" s="116"/>
      <c r="J611" s="326"/>
    </row>
    <row r="612" spans="2:10" ht="18.95" customHeight="1">
      <c r="B612" s="473">
        <v>44627</v>
      </c>
      <c r="C612" s="116" t="s">
        <v>1250</v>
      </c>
      <c r="D612" s="246">
        <v>6</v>
      </c>
      <c r="E612" s="116"/>
      <c r="F612" s="116"/>
      <c r="G612" s="99" t="str">
        <f t="array" ref="G612">IFERROR(LOOKUP(1,0/(COUNTIF($G$605:G611,$C$605:$C$618)-1),$C$605:$C$618),"")</f>
        <v/>
      </c>
      <c r="H612" s="99">
        <f t="array" aca="1" ref="H612" ca="1">SUMPRODUCT(($C$605:$C$618=G612)*$D$605:$D$618*(COUNTIF(OFFSET($C$604,,,ROW($1:$14),),G612)&gt;=(COUNTIF($C$605:$C$618,G612)-5)))</f>
        <v>0</v>
      </c>
      <c r="I612" s="116"/>
      <c r="J612" s="326"/>
    </row>
    <row r="613" spans="2:10" ht="18.95" customHeight="1">
      <c r="B613" s="473">
        <v>44628</v>
      </c>
      <c r="C613" s="116" t="s">
        <v>1696</v>
      </c>
      <c r="D613" s="246">
        <v>4</v>
      </c>
      <c r="E613" s="116"/>
      <c r="F613" s="116"/>
      <c r="G613" s="99" t="str">
        <f t="array" ref="G613">IFERROR(LOOKUP(1,0/(COUNTIF($G$605:G612,$C$605:$C$618)-1),$C$605:$C$618),"")</f>
        <v/>
      </c>
      <c r="H613" s="99">
        <f t="array" aca="1" ref="H613" ca="1">SUMPRODUCT(($C$605:$C$618=G613)*$D$605:$D$618*(COUNTIF(OFFSET($C$604,,,ROW($1:$14),),G613)&gt;=(COUNTIF($C$605:$C$618,G613)-5)))</f>
        <v>0</v>
      </c>
      <c r="I613" s="116"/>
      <c r="J613" s="326"/>
    </row>
    <row r="614" spans="2:10" ht="18.95" customHeight="1">
      <c r="B614" s="473">
        <v>44629</v>
      </c>
      <c r="C614" s="116" t="s">
        <v>1250</v>
      </c>
      <c r="D614" s="246">
        <v>8</v>
      </c>
      <c r="E614" s="116"/>
      <c r="F614" s="116"/>
      <c r="G614" s="99" t="str">
        <f t="array" ref="G614">IFERROR(LOOKUP(1,0/(COUNTIF($G$605:G613,$C$605:$C$618)-1),$C$605:$C$618),"")</f>
        <v/>
      </c>
      <c r="H614" s="99">
        <f t="array" aca="1" ref="H614" ca="1">SUMPRODUCT(($C$605:$C$618=G614)*$D$605:$D$618*(COUNTIF(OFFSET($C$604,,,ROW($1:$14),),G614)&gt;=(COUNTIF($C$605:$C$618,G614)-5)))</f>
        <v>0</v>
      </c>
      <c r="I614" s="116"/>
      <c r="J614" s="326"/>
    </row>
    <row r="615" spans="2:10" ht="18.95" customHeight="1">
      <c r="B615" s="473">
        <v>44630</v>
      </c>
      <c r="C615" s="116" t="s">
        <v>1696</v>
      </c>
      <c r="D615" s="246">
        <v>2</v>
      </c>
      <c r="E615" s="116"/>
      <c r="F615" s="116"/>
      <c r="G615" s="99" t="str">
        <f t="array" ref="G615">IFERROR(LOOKUP(1,0/(COUNTIF($G$605:G614,$C$605:$C$618)-1),$C$605:$C$618),"")</f>
        <v/>
      </c>
      <c r="H615" s="99">
        <f t="array" aca="1" ref="H615" ca="1">SUMPRODUCT(($C$605:$C$618=G615)*$D$605:$D$618*(COUNTIF(OFFSET($C$604,,,ROW($1:$14),),G615)&gt;=(COUNTIF($C$605:$C$618,G615)-5)))</f>
        <v>0</v>
      </c>
      <c r="I615" s="116"/>
      <c r="J615" s="326"/>
    </row>
    <row r="616" spans="2:10" ht="18.95" customHeight="1">
      <c r="B616" s="473">
        <v>44631</v>
      </c>
      <c r="C616" s="116" t="s">
        <v>1698</v>
      </c>
      <c r="D616" s="246">
        <v>5</v>
      </c>
      <c r="E616" s="116"/>
      <c r="F616" s="116"/>
      <c r="G616" s="99" t="str">
        <f t="array" ref="G616">IFERROR(LOOKUP(1,0/(COUNTIF($G$605:G615,$C$605:$C$618)-1),$C$605:$C$618),"")</f>
        <v/>
      </c>
      <c r="H616" s="99">
        <f t="array" aca="1" ref="H616" ca="1">SUMPRODUCT(($C$605:$C$618=G616)*$D$605:$D$618*(COUNTIF(OFFSET($C$604,,,ROW($1:$14),),G616)&gt;=(COUNTIF($C$605:$C$618,G616)-5)))</f>
        <v>0</v>
      </c>
      <c r="I616" s="116"/>
      <c r="J616" s="326"/>
    </row>
    <row r="617" spans="2:10" ht="18.95" customHeight="1">
      <c r="B617" s="473">
        <v>44632</v>
      </c>
      <c r="C617" s="116" t="s">
        <v>1696</v>
      </c>
      <c r="D617" s="246">
        <v>6</v>
      </c>
      <c r="E617" s="116"/>
      <c r="F617" s="116"/>
      <c r="G617" s="116"/>
      <c r="H617" s="116"/>
      <c r="I617" s="116"/>
      <c r="J617" s="326"/>
    </row>
    <row r="618" spans="2:10" ht="18.95" customHeight="1">
      <c r="B618" s="474">
        <v>44633</v>
      </c>
      <c r="C618" s="250" t="s">
        <v>1699</v>
      </c>
      <c r="D618" s="251">
        <v>4</v>
      </c>
      <c r="E618" s="116"/>
      <c r="F618" s="116"/>
      <c r="G618" s="116"/>
      <c r="H618" s="116"/>
      <c r="I618" s="116"/>
      <c r="J618" s="326"/>
    </row>
    <row r="619" spans="2:10" ht="18.95" customHeight="1">
      <c r="B619" s="254"/>
      <c r="C619" s="116"/>
      <c r="D619" s="116"/>
      <c r="E619" s="116"/>
      <c r="F619" s="116"/>
      <c r="G619" s="116"/>
      <c r="H619" s="116"/>
      <c r="I619" s="116"/>
      <c r="J619" s="326"/>
    </row>
    <row r="620" spans="2:10" ht="18.95" customHeight="1">
      <c r="B620" s="254"/>
      <c r="C620" s="116"/>
      <c r="D620" s="116"/>
      <c r="E620" s="116"/>
      <c r="F620" s="116"/>
      <c r="G620" s="116"/>
      <c r="H620" s="116"/>
      <c r="I620" s="116"/>
      <c r="J620" s="326"/>
    </row>
    <row r="621" spans="2:10" ht="18.95" customHeight="1">
      <c r="B621" s="304"/>
      <c r="C621" s="305"/>
      <c r="D621" s="305"/>
      <c r="E621" s="305"/>
      <c r="F621" s="305"/>
      <c r="G621" s="305"/>
      <c r="H621" s="305"/>
      <c r="I621" s="305"/>
      <c r="J621" s="327"/>
    </row>
    <row r="623" spans="2:10" ht="18.95" customHeight="1">
      <c r="B623" s="333"/>
      <c r="C623" s="324"/>
      <c r="D623" s="324"/>
      <c r="E623" s="324"/>
      <c r="F623" s="324"/>
      <c r="G623" s="324"/>
      <c r="H623" s="324"/>
      <c r="I623" s="324"/>
      <c r="J623" s="325"/>
    </row>
    <row r="624" spans="2:10" ht="18.95" customHeight="1">
      <c r="B624" s="254"/>
      <c r="C624" s="116"/>
      <c r="D624" s="116"/>
      <c r="E624" s="116"/>
      <c r="F624" s="116"/>
      <c r="G624" s="116"/>
      <c r="H624" s="116"/>
      <c r="I624" s="116"/>
      <c r="J624" s="326"/>
    </row>
    <row r="625" spans="2:10" ht="18.95" customHeight="1">
      <c r="B625" s="475" t="s">
        <v>1700</v>
      </c>
      <c r="C625" s="476" t="s">
        <v>1701</v>
      </c>
      <c r="D625" s="476" t="s">
        <v>1702</v>
      </c>
      <c r="E625" s="116"/>
      <c r="F625" s="1192" t="s">
        <v>1703</v>
      </c>
      <c r="G625" s="116"/>
      <c r="H625" s="116" t="s">
        <v>1704</v>
      </c>
      <c r="I625" s="116"/>
      <c r="J625" s="326"/>
    </row>
    <row r="626" spans="2:10" ht="18.95" customHeight="1">
      <c r="B626" s="254" t="s">
        <v>32</v>
      </c>
      <c r="C626" s="116" t="s">
        <v>1705</v>
      </c>
      <c r="D626" s="116" t="s">
        <v>1706</v>
      </c>
      <c r="E626" s="116"/>
      <c r="F626" s="1192"/>
      <c r="G626" s="116"/>
      <c r="H626" s="116"/>
      <c r="I626" s="116"/>
      <c r="J626" s="326"/>
    </row>
    <row r="627" spans="2:10" ht="18.95" customHeight="1">
      <c r="B627" s="254" t="s">
        <v>34</v>
      </c>
      <c r="C627" s="116" t="s">
        <v>1707</v>
      </c>
      <c r="D627" s="116" t="s">
        <v>1708</v>
      </c>
      <c r="E627" s="116"/>
      <c r="F627" s="1192"/>
      <c r="G627" s="116"/>
      <c r="H627" s="477" t="s">
        <v>1700</v>
      </c>
      <c r="I627" s="477" t="s">
        <v>1700</v>
      </c>
      <c r="J627" s="326"/>
    </row>
    <row r="628" spans="2:10" ht="18.95" customHeight="1">
      <c r="B628" s="254" t="s">
        <v>36</v>
      </c>
      <c r="C628" s="116" t="s">
        <v>1705</v>
      </c>
      <c r="D628" s="116" t="s">
        <v>1706</v>
      </c>
      <c r="E628" s="116"/>
      <c r="F628" s="1192"/>
      <c r="G628" s="116"/>
      <c r="H628" s="477" t="s">
        <v>1709</v>
      </c>
      <c r="I628" s="323" t="str">
        <f t="array" ref="I628">IFERROR(INDEX($B$624:$B$638,SMALL(IF(($C$626:$C$638="优秀")*($D$626:$D$638="女"),ROW($3:$15),""),ROW(A1))),"")</f>
        <v>J</v>
      </c>
      <c r="J628" s="326" t="str">
        <f t="array" ref="J628">IFERROR(INDEX($A$1:$A$15,SMALL(IF(($B$3:$B$15="优秀")*($C$3:$C$15="女"),ROW($A$3:$A$15),""),ROW(B624))),"")</f>
        <v/>
      </c>
    </row>
    <row r="629" spans="2:10" ht="18.95" customHeight="1">
      <c r="B629" s="254" t="s">
        <v>1373</v>
      </c>
      <c r="C629" s="116" t="s">
        <v>1710</v>
      </c>
      <c r="D629" s="116" t="s">
        <v>1708</v>
      </c>
      <c r="E629" s="116"/>
      <c r="F629" s="1192"/>
      <c r="G629" s="116"/>
      <c r="H629" s="477" t="s">
        <v>1711</v>
      </c>
      <c r="I629" s="323" t="str">
        <f t="array" ref="I629">IFERROR(INDEX($B$624:$B$638,SMALL(IF(($C$626:$C$638="优秀")*($D$626:$D$638="女"),ROW($3:$15),""),ROW(A2))),"")</f>
        <v>M</v>
      </c>
      <c r="J629" s="326" t="str">
        <f t="array" ref="J629">IFERROR(INDEX($A$1:$A$15,SMALL(IF(($B$3:$B$15="优秀")*($C$3:$C$15="女"),ROW($A$3:$A$15),""),ROW(B625))),"")</f>
        <v/>
      </c>
    </row>
    <row r="630" spans="2:10" ht="18.95" customHeight="1">
      <c r="B630" s="254" t="s">
        <v>1376</v>
      </c>
      <c r="C630" s="116" t="s">
        <v>1707</v>
      </c>
      <c r="D630" s="116" t="s">
        <v>1708</v>
      </c>
      <c r="E630" s="116"/>
      <c r="F630" s="1192"/>
      <c r="G630" s="116"/>
      <c r="H630" s="116"/>
      <c r="I630" s="116"/>
      <c r="J630" s="326" t="str">
        <f t="array" ref="J630">IFERROR(INDEX($A$1:$A$15,SMALL(IF(($B$3:$B$15="优秀")*($C$3:$C$15="女"),ROW($A$3:$A$15),""),ROW(B626))),"")</f>
        <v/>
      </c>
    </row>
    <row r="631" spans="2:10" ht="18.95" customHeight="1">
      <c r="B631" s="254" t="s">
        <v>1391</v>
      </c>
      <c r="C631" s="116" t="s">
        <v>1707</v>
      </c>
      <c r="D631" s="116" t="s">
        <v>1706</v>
      </c>
      <c r="E631" s="116"/>
      <c r="F631" s="1192"/>
      <c r="G631" s="116"/>
      <c r="H631" s="116"/>
      <c r="I631" s="116"/>
      <c r="J631" s="326" t="str">
        <f t="array" ref="J631">IFERROR(INDEX($A$1:$A$15,SMALL(IF(($B$3:$B$15="优秀")*($C$3:$C$15="女"),ROW($A$3:$A$15),""),ROW(B627))),"")</f>
        <v/>
      </c>
    </row>
    <row r="632" spans="2:10" ht="18.95" customHeight="1">
      <c r="B632" s="254" t="s">
        <v>1395</v>
      </c>
      <c r="C632" s="116" t="s">
        <v>1705</v>
      </c>
      <c r="D632" s="116" t="s">
        <v>1706</v>
      </c>
      <c r="E632" s="116"/>
      <c r="F632" s="1192"/>
      <c r="G632" s="116"/>
      <c r="H632" s="116"/>
      <c r="I632" s="116"/>
      <c r="J632" s="326" t="str">
        <f t="array" ref="J632">IFERROR(INDEX($A$1:$A$15,SMALL(IF(($B$3:$B$15="优秀")*($C$3:$C$15="女"),ROW($A$3:$A$15),""),ROW(B628))),"")</f>
        <v/>
      </c>
    </row>
    <row r="633" spans="2:10" ht="18.95" customHeight="1">
      <c r="B633" s="254" t="s">
        <v>1393</v>
      </c>
      <c r="C633" s="116" t="s">
        <v>1710</v>
      </c>
      <c r="D633" s="116" t="s">
        <v>1708</v>
      </c>
      <c r="E633" s="116"/>
      <c r="F633" s="1192"/>
      <c r="G633" s="116"/>
      <c r="H633" s="116"/>
      <c r="I633" s="116"/>
      <c r="J633" s="326" t="str">
        <f t="array" ref="J633">IFERROR(INDEX($A$1:$A$15,SMALL(IF(($B$3:$B$15="优秀")*($C$3:$C$15="女"),ROW($A$3:$A$15),""),ROW(B629))),"")</f>
        <v/>
      </c>
    </row>
    <row r="634" spans="2:10" ht="18.95" customHeight="1">
      <c r="B634" s="254" t="s">
        <v>1712</v>
      </c>
      <c r="C634" s="116" t="s">
        <v>1707</v>
      </c>
      <c r="D634" s="116" t="s">
        <v>1706</v>
      </c>
      <c r="E634" s="116"/>
      <c r="F634" s="1192"/>
      <c r="G634" s="116"/>
      <c r="H634" s="116"/>
      <c r="I634" s="116"/>
      <c r="J634" s="326" t="str">
        <f t="array" ref="J634">IFERROR(INDEX($A$1:$A$15,SMALL(IF(($B$3:$B$15="优秀")*($C$3:$C$15="女"),ROW($A$3:$A$15),""),ROW(B630))),"")</f>
        <v/>
      </c>
    </row>
    <row r="635" spans="2:10" ht="18.95" customHeight="1">
      <c r="B635" s="254" t="s">
        <v>1709</v>
      </c>
      <c r="C635" s="478" t="s">
        <v>1705</v>
      </c>
      <c r="D635" s="478" t="s">
        <v>1708</v>
      </c>
      <c r="E635" s="116"/>
      <c r="F635" s="1192"/>
      <c r="G635" s="116"/>
      <c r="H635" s="116"/>
      <c r="I635" s="116"/>
      <c r="J635" s="326" t="str">
        <f t="array" ref="J635">IFERROR(INDEX($A$1:$A$15,SMALL(IF(($B$3:$B$15="优秀")*($C$3:$C$15="女"),ROW($A$3:$A$15),""),ROW(B631))),"")</f>
        <v/>
      </c>
    </row>
    <row r="636" spans="2:10" ht="18.95" customHeight="1">
      <c r="B636" s="254" t="s">
        <v>1713</v>
      </c>
      <c r="C636" s="116" t="s">
        <v>1705</v>
      </c>
      <c r="D636" s="116" t="s">
        <v>1706</v>
      </c>
      <c r="E636" s="116"/>
      <c r="F636" s="1192"/>
      <c r="G636" s="116"/>
      <c r="H636" s="116"/>
      <c r="I636" s="116"/>
      <c r="J636" s="326"/>
    </row>
    <row r="637" spans="2:10" ht="18.95" customHeight="1">
      <c r="B637" s="254" t="s">
        <v>1714</v>
      </c>
      <c r="C637" s="116" t="s">
        <v>1710</v>
      </c>
      <c r="D637" s="116" t="s">
        <v>1708</v>
      </c>
      <c r="E637" s="116"/>
      <c r="F637" s="1192"/>
      <c r="G637" s="116"/>
      <c r="H637" s="116"/>
      <c r="I637" s="116"/>
      <c r="J637" s="326"/>
    </row>
    <row r="638" spans="2:10" ht="18.95" customHeight="1">
      <c r="B638" s="254" t="s">
        <v>1711</v>
      </c>
      <c r="C638" s="478" t="s">
        <v>1705</v>
      </c>
      <c r="D638" s="478" t="s">
        <v>1708</v>
      </c>
      <c r="E638" s="116"/>
      <c r="F638" s="1192"/>
      <c r="G638" s="116"/>
      <c r="H638" s="116"/>
      <c r="I638" s="116"/>
      <c r="J638" s="326"/>
    </row>
    <row r="639" spans="2:10" ht="18.95" customHeight="1">
      <c r="B639" s="254"/>
      <c r="C639" s="116"/>
      <c r="D639" s="116"/>
      <c r="F639" s="116"/>
      <c r="G639" s="116"/>
      <c r="H639" s="116"/>
      <c r="I639" s="116"/>
      <c r="J639" s="326"/>
    </row>
    <row r="640" spans="2:10" ht="18.95" customHeight="1">
      <c r="B640" s="254"/>
      <c r="C640" s="479" t="s">
        <v>1715</v>
      </c>
      <c r="D640" s="116"/>
      <c r="E640" s="116"/>
      <c r="F640" s="116"/>
      <c r="G640" s="116"/>
      <c r="H640" s="116"/>
      <c r="I640" s="116"/>
      <c r="J640" s="326"/>
    </row>
    <row r="641" spans="2:16" ht="18.95" customHeight="1">
      <c r="B641" s="304"/>
      <c r="C641" s="305"/>
      <c r="D641" s="305"/>
      <c r="E641" s="305"/>
      <c r="F641" s="305"/>
      <c r="G641" s="305"/>
      <c r="H641" s="305"/>
      <c r="I641" s="305"/>
      <c r="J641" s="327"/>
    </row>
    <row r="643" spans="2:16" ht="18.95" customHeight="1">
      <c r="B643" s="1190" t="s">
        <v>1716</v>
      </c>
      <c r="C643" s="1191"/>
      <c r="D643" s="324" t="s">
        <v>1717</v>
      </c>
      <c r="E643" s="324" t="s">
        <v>1718</v>
      </c>
      <c r="F643" s="325" t="s">
        <v>1719</v>
      </c>
    </row>
    <row r="644" spans="2:16" ht="18.95" customHeight="1">
      <c r="B644" s="1154" t="s">
        <v>1720</v>
      </c>
      <c r="C644" s="1155"/>
      <c r="D644" s="116" t="str">
        <f>IFERROR(MID($B644,FIND(D$643,$B644)-2,1),0)</f>
        <v>1</v>
      </c>
      <c r="E644" s="116">
        <f t="shared" ref="E644:F644" si="14">IFERROR(MID($B644,FIND(E$643,$B644)-2,1),0)</f>
        <v>0</v>
      </c>
      <c r="F644" s="326">
        <f t="shared" si="14"/>
        <v>0</v>
      </c>
    </row>
    <row r="645" spans="2:16" ht="18.95" customHeight="1">
      <c r="B645" s="1154" t="s">
        <v>1721</v>
      </c>
      <c r="C645" s="1155"/>
      <c r="D645" s="116" t="str">
        <f t="shared" ref="D645:F646" si="15">IFERROR(MID($B645,FIND(D$643,$B645)-2,1),0)</f>
        <v>5</v>
      </c>
      <c r="E645" s="116" t="str">
        <f t="shared" si="15"/>
        <v>6</v>
      </c>
      <c r="F645" s="326" t="str">
        <f t="shared" si="15"/>
        <v>7</v>
      </c>
    </row>
    <row r="646" spans="2:16" ht="18.95" customHeight="1">
      <c r="B646" s="1156" t="s">
        <v>1722</v>
      </c>
      <c r="C646" s="1157"/>
      <c r="D646" s="305">
        <f t="shared" si="15"/>
        <v>0</v>
      </c>
      <c r="E646" s="305">
        <f t="shared" si="15"/>
        <v>0</v>
      </c>
      <c r="F646" s="327">
        <f t="shared" si="15"/>
        <v>0</v>
      </c>
    </row>
    <row r="648" spans="2:16" ht="18.95" customHeight="1">
      <c r="B648" s="333"/>
      <c r="C648" s="324"/>
      <c r="D648" s="324"/>
      <c r="E648" s="324"/>
      <c r="F648" s="324"/>
      <c r="G648" s="324"/>
      <c r="H648" s="324"/>
      <c r="I648" s="324"/>
      <c r="J648" s="324"/>
      <c r="K648" s="324"/>
      <c r="L648" s="324"/>
      <c r="M648" s="324"/>
      <c r="N648" s="324"/>
      <c r="O648" s="324"/>
      <c r="P648" s="325"/>
    </row>
    <row r="649" spans="2:16" ht="18.95" customHeight="1">
      <c r="B649" s="491" t="s">
        <v>1723</v>
      </c>
      <c r="C649" s="492" t="s">
        <v>1724</v>
      </c>
      <c r="D649" s="492" t="s">
        <v>1725</v>
      </c>
      <c r="E649" s="493"/>
      <c r="F649" s="1158" t="s">
        <v>1726</v>
      </c>
      <c r="G649" s="1158"/>
      <c r="H649" s="1158"/>
      <c r="I649" s="1158"/>
      <c r="J649" s="1158"/>
      <c r="K649" s="494"/>
      <c r="L649" s="499"/>
      <c r="M649" s="499"/>
      <c r="N649" s="499"/>
      <c r="O649" s="499"/>
      <c r="P649" s="513"/>
    </row>
    <row r="650" spans="2:16" ht="18.95" customHeight="1">
      <c r="B650" s="495" t="s">
        <v>1727</v>
      </c>
      <c r="C650" s="186">
        <v>575</v>
      </c>
      <c r="D650" s="186" t="s">
        <v>1728</v>
      </c>
      <c r="E650" s="186"/>
      <c r="F650" s="1160" t="s">
        <v>1348</v>
      </c>
      <c r="G650" s="1160" t="s">
        <v>1723</v>
      </c>
      <c r="H650" s="1160" t="s">
        <v>1724</v>
      </c>
      <c r="I650" s="1160" t="s">
        <v>1729</v>
      </c>
      <c r="J650" s="1159" t="s">
        <v>1730</v>
      </c>
      <c r="K650" s="514"/>
      <c r="L650" s="515"/>
      <c r="M650" s="515"/>
      <c r="N650" s="515"/>
      <c r="O650" s="515"/>
      <c r="P650" s="516"/>
    </row>
    <row r="651" spans="2:16" ht="18.95" customHeight="1">
      <c r="B651" s="495" t="s">
        <v>1731</v>
      </c>
      <c r="C651" s="186">
        <v>574</v>
      </c>
      <c r="D651" s="186" t="s">
        <v>1728</v>
      </c>
      <c r="E651" s="186"/>
      <c r="F651" s="1160"/>
      <c r="G651" s="1160"/>
      <c r="H651" s="1160"/>
      <c r="I651" s="1160"/>
      <c r="J651" s="1159"/>
      <c r="K651" s="514"/>
      <c r="L651" s="515"/>
      <c r="M651" s="515"/>
      <c r="N651" s="1145" t="s">
        <v>1732</v>
      </c>
      <c r="O651" s="1146"/>
      <c r="P651" s="1147"/>
    </row>
    <row r="652" spans="2:16" ht="18.95" customHeight="1">
      <c r="B652" s="495" t="s">
        <v>1733</v>
      </c>
      <c r="C652" s="186">
        <v>573</v>
      </c>
      <c r="D652" s="186" t="s">
        <v>1728</v>
      </c>
      <c r="E652" s="186"/>
      <c r="F652" s="496">
        <v>1</v>
      </c>
      <c r="G652" s="497" t="s">
        <v>1734</v>
      </c>
      <c r="H652" s="497">
        <v>111</v>
      </c>
      <c r="I652" s="517">
        <v>1</v>
      </c>
      <c r="J652" s="518" t="str">
        <f t="array" ref="J652">INDEX($D$649:$D$670,LARGE(IF(($B$650:$B$670=G652)*($C$650:$C$670=H652),ROW($E$2:$E$22),0),1))</f>
        <v>2022年02月</v>
      </c>
      <c r="K652" s="519" t="s">
        <v>1735</v>
      </c>
      <c r="L652" s="519" t="str">
        <f t="array" ref="L652">TEXT(MAX(--IF($C$650:$C$670=H652,D$650:D$670)),"e年mm月")</f>
        <v>2022年02月</v>
      </c>
      <c r="M652" s="515" t="b">
        <f t="shared" ref="M652:M665" si="16">J652=L652</f>
        <v>1</v>
      </c>
      <c r="N652" s="1146"/>
      <c r="O652" s="1146"/>
      <c r="P652" s="1147"/>
    </row>
    <row r="653" spans="2:16" ht="18.95" customHeight="1">
      <c r="B653" s="495" t="s">
        <v>1736</v>
      </c>
      <c r="C653" s="186">
        <v>572</v>
      </c>
      <c r="D653" s="186" t="s">
        <v>1728</v>
      </c>
      <c r="E653" s="186"/>
      <c r="F653" s="496">
        <v>3</v>
      </c>
      <c r="G653" s="497" t="s">
        <v>1734</v>
      </c>
      <c r="H653" s="497">
        <v>112</v>
      </c>
      <c r="I653" s="517">
        <v>1</v>
      </c>
      <c r="J653" s="518" t="str">
        <f t="array" ref="J653">INDEX($D$649:$D$670,LARGE(IF(($B$650:$B$670=G653)*($C$650:$C$670=H653),ROW($E$2:$E$22),0),1))</f>
        <v>2022年03月</v>
      </c>
      <c r="K653" s="519" t="s">
        <v>1728</v>
      </c>
      <c r="L653" s="519" t="str">
        <f t="array" ref="L653">TEXT(MAX(--IF($C$650:$C$670=H653,D$650:D$670)),"e年mm月")</f>
        <v>2022年03月</v>
      </c>
      <c r="M653" s="515" t="b">
        <f t="shared" si="16"/>
        <v>1</v>
      </c>
      <c r="N653" s="1146"/>
      <c r="O653" s="1146"/>
      <c r="P653" s="1147"/>
    </row>
    <row r="654" spans="2:16" ht="18.95" customHeight="1">
      <c r="B654" s="495" t="s">
        <v>1737</v>
      </c>
      <c r="C654" s="186">
        <v>571</v>
      </c>
      <c r="D654" s="186" t="s">
        <v>1728</v>
      </c>
      <c r="E654" s="186"/>
      <c r="F654" s="496">
        <v>6</v>
      </c>
      <c r="G654" s="497" t="s">
        <v>1738</v>
      </c>
      <c r="H654" s="497">
        <v>211</v>
      </c>
      <c r="I654" s="517">
        <v>1</v>
      </c>
      <c r="J654" s="518" t="str">
        <f t="array" ref="J654">INDEX($D$649:$D$670,LARGE(IF(($B$650:$B$670=G654)*($C$650:$C$670=H654),ROW($E$2:$E$22),0),1))</f>
        <v>2022年03月</v>
      </c>
      <c r="K654" s="519" t="s">
        <v>1728</v>
      </c>
      <c r="L654" s="519" t="str">
        <f t="array" ref="L654">TEXT(MAX(--IF($C$650:$C$670=H654,D$650:D$670)),"e年mm月")</f>
        <v>2022年03月</v>
      </c>
      <c r="M654" s="515" t="b">
        <f t="shared" si="16"/>
        <v>1</v>
      </c>
      <c r="N654" s="1146"/>
      <c r="O654" s="1146"/>
      <c r="P654" s="1147"/>
    </row>
    <row r="655" spans="2:16" ht="18.95" customHeight="1">
      <c r="B655" s="495" t="s">
        <v>1739</v>
      </c>
      <c r="C655" s="186">
        <v>570</v>
      </c>
      <c r="D655" s="186" t="s">
        <v>1728</v>
      </c>
      <c r="E655" s="186"/>
      <c r="F655" s="496">
        <v>9</v>
      </c>
      <c r="G655" s="497" t="s">
        <v>1740</v>
      </c>
      <c r="H655" s="497">
        <v>322</v>
      </c>
      <c r="I655" s="517">
        <v>1</v>
      </c>
      <c r="J655" s="518" t="str">
        <f t="array" ref="J655">INDEX($D$649:$D$670,LARGE(IF(($B$650:$B$670=G655)*($C$650:$C$670=H655),ROW($E$2:$E$22),0),1))</f>
        <v>2022年03月</v>
      </c>
      <c r="K655" s="519" t="s">
        <v>1728</v>
      </c>
      <c r="L655" s="519" t="str">
        <f t="array" ref="L655">TEXT(MAX(--IF($C$650:$C$670=H655,D$650:D$670)),"e年mm月")</f>
        <v>2022年03月</v>
      </c>
      <c r="M655" s="515" t="b">
        <f t="shared" si="16"/>
        <v>1</v>
      </c>
      <c r="N655" s="1146"/>
      <c r="O655" s="1146"/>
      <c r="P655" s="1147"/>
    </row>
    <row r="656" spans="2:16" ht="18.95" customHeight="1">
      <c r="B656" s="495" t="s">
        <v>1741</v>
      </c>
      <c r="C656" s="186">
        <v>569</v>
      </c>
      <c r="D656" s="186" t="s">
        <v>1728</v>
      </c>
      <c r="E656" s="186"/>
      <c r="F656" s="496">
        <v>12</v>
      </c>
      <c r="G656" s="497" t="s">
        <v>1742</v>
      </c>
      <c r="H656" s="497">
        <v>456</v>
      </c>
      <c r="I656" s="517">
        <v>1</v>
      </c>
      <c r="J656" s="518" t="str">
        <f t="array" ref="J656">INDEX($D$649:$D$670,LARGE(IF(($B$650:$B$670=G656)*($C$650:$C$670=H656),ROW($E$2:$E$22),0),1))</f>
        <v>2022年03月</v>
      </c>
      <c r="K656" s="519" t="s">
        <v>1728</v>
      </c>
      <c r="L656" s="519" t="str">
        <f t="array" ref="L656">TEXT(MAX(--IF($C$650:$C$670=H656,D$650:D$670)),"e年mm月")</f>
        <v>2022年03月</v>
      </c>
      <c r="M656" s="515" t="b">
        <f t="shared" si="16"/>
        <v>1</v>
      </c>
      <c r="N656" s="515"/>
      <c r="O656" s="515"/>
      <c r="P656" s="516"/>
    </row>
    <row r="657" spans="2:16" ht="18.95" customHeight="1">
      <c r="B657" s="495" t="s">
        <v>1743</v>
      </c>
      <c r="C657" s="186">
        <v>568</v>
      </c>
      <c r="D657" s="186" t="s">
        <v>1728</v>
      </c>
      <c r="E657" s="186"/>
      <c r="F657" s="496">
        <v>13</v>
      </c>
      <c r="G657" s="497" t="s">
        <v>1744</v>
      </c>
      <c r="H657" s="497">
        <v>567</v>
      </c>
      <c r="I657" s="517">
        <v>1</v>
      </c>
      <c r="J657" s="518" t="str">
        <f t="array" ref="J657">INDEX($D$649:$D$670,LARGE(IF(($B$650:$B$670=G657)*($C$650:$C$670=H657),ROW($E$2:$E$22),0),1))</f>
        <v>2022年03月</v>
      </c>
      <c r="K657" s="519" t="s">
        <v>1728</v>
      </c>
      <c r="L657" s="519" t="str">
        <f t="array" ref="L657">TEXT(MAX(--IF($C$650:$C$670=H657,D$650:D$670)),"e年mm月")</f>
        <v>2022年03月</v>
      </c>
      <c r="M657" s="515" t="b">
        <f t="shared" si="16"/>
        <v>1</v>
      </c>
      <c r="N657" s="515"/>
      <c r="O657" s="515"/>
      <c r="P657" s="516"/>
    </row>
    <row r="658" spans="2:16" ht="18.95" customHeight="1">
      <c r="B658" s="495" t="s">
        <v>1744</v>
      </c>
      <c r="C658" s="186">
        <v>567</v>
      </c>
      <c r="D658" s="186" t="s">
        <v>1728</v>
      </c>
      <c r="E658" s="186"/>
      <c r="F658" s="496">
        <v>14</v>
      </c>
      <c r="G658" s="497" t="s">
        <v>1743</v>
      </c>
      <c r="H658" s="497">
        <v>568</v>
      </c>
      <c r="I658" s="517">
        <v>1</v>
      </c>
      <c r="J658" s="518" t="str">
        <f t="array" ref="J658">INDEX($D$649:$D$670,LARGE(IF(($B$650:$B$670=G658)*($C$650:$C$670=H658),ROW($E$2:$E$22),0),1))</f>
        <v>2022年03月</v>
      </c>
      <c r="K658" s="519" t="s">
        <v>1728</v>
      </c>
      <c r="L658" s="519" t="str">
        <f t="array" ref="L658">TEXT(MAX(--IF($C$650:$C$670=H658,D$650:D$670)),"e年mm月")</f>
        <v>2022年03月</v>
      </c>
      <c r="M658" s="515" t="b">
        <f t="shared" si="16"/>
        <v>1</v>
      </c>
      <c r="N658" s="515"/>
      <c r="O658" s="515"/>
      <c r="P658" s="516"/>
    </row>
    <row r="659" spans="2:16" ht="18.95" customHeight="1">
      <c r="B659" s="495" t="s">
        <v>1742</v>
      </c>
      <c r="C659" s="186">
        <v>456</v>
      </c>
      <c r="D659" s="186" t="s">
        <v>1745</v>
      </c>
      <c r="E659" s="186"/>
      <c r="F659" s="496">
        <v>15</v>
      </c>
      <c r="G659" s="497" t="s">
        <v>1741</v>
      </c>
      <c r="H659" s="497">
        <v>569</v>
      </c>
      <c r="I659" s="517">
        <v>1</v>
      </c>
      <c r="J659" s="518" t="str">
        <f t="array" ref="J659">INDEX($D$649:$D$670,LARGE(IF(($B$650:$B$670=G659)*($C$650:$C$670=H659),ROW($E$2:$E$22),0),1))</f>
        <v>2022年03月</v>
      </c>
      <c r="K659" s="519" t="s">
        <v>1728</v>
      </c>
      <c r="L659" s="519" t="str">
        <f t="array" ref="L659">TEXT(MAX(--IF($C$650:$C$670=H659,D$650:D$670)),"e年mm月")</f>
        <v>2022年03月</v>
      </c>
      <c r="M659" s="515" t="b">
        <f t="shared" si="16"/>
        <v>1</v>
      </c>
      <c r="N659" s="515"/>
      <c r="O659" s="515"/>
      <c r="P659" s="516"/>
    </row>
    <row r="660" spans="2:16" ht="18.95" customHeight="1">
      <c r="B660" s="495" t="s">
        <v>1742</v>
      </c>
      <c r="C660" s="186">
        <v>456</v>
      </c>
      <c r="D660" s="186" t="s">
        <v>1735</v>
      </c>
      <c r="E660" s="186"/>
      <c r="F660" s="496">
        <v>16</v>
      </c>
      <c r="G660" s="497" t="s">
        <v>1739</v>
      </c>
      <c r="H660" s="497">
        <v>570</v>
      </c>
      <c r="I660" s="517">
        <v>1</v>
      </c>
      <c r="J660" s="518" t="str">
        <f t="array" ref="J660">INDEX($D$649:$D$670,LARGE(IF(($B$650:$B$670=G660)*($C$650:$C$670=H660),ROW($E$2:$E$22),0),1))</f>
        <v>2022年03月</v>
      </c>
      <c r="K660" s="519" t="s">
        <v>1728</v>
      </c>
      <c r="L660" s="519" t="str">
        <f t="array" ref="L660">TEXT(MAX(--IF($C$650:$C$670=H660,D$650:D$670)),"e年mm月")</f>
        <v>2022年03月</v>
      </c>
      <c r="M660" s="515" t="b">
        <f t="shared" si="16"/>
        <v>1</v>
      </c>
      <c r="N660" s="515"/>
      <c r="O660" s="515"/>
      <c r="P660" s="516"/>
    </row>
    <row r="661" spans="2:16" ht="18.95" customHeight="1">
      <c r="B661" s="495" t="s">
        <v>1742</v>
      </c>
      <c r="C661" s="186">
        <v>456</v>
      </c>
      <c r="D661" s="186" t="s">
        <v>1728</v>
      </c>
      <c r="E661" s="186"/>
      <c r="F661" s="496">
        <v>17</v>
      </c>
      <c r="G661" s="497" t="s">
        <v>1737</v>
      </c>
      <c r="H661" s="497">
        <v>571</v>
      </c>
      <c r="I661" s="517">
        <v>1</v>
      </c>
      <c r="J661" s="518" t="str">
        <f t="array" ref="J661">INDEX($D$649:$D$670,LARGE(IF(($B$650:$B$670=G661)*($C$650:$C$670=H661),ROW($E$2:$E$22),0),1))</f>
        <v>2022年03月</v>
      </c>
      <c r="K661" s="519" t="s">
        <v>1728</v>
      </c>
      <c r="L661" s="519" t="str">
        <f t="array" ref="L661">TEXT(MAX(--IF($C$650:$C$670=H661,D$650:D$670)),"e年mm月")</f>
        <v>2022年03月</v>
      </c>
      <c r="M661" s="515" t="b">
        <f t="shared" si="16"/>
        <v>1</v>
      </c>
      <c r="N661" s="515"/>
      <c r="O661" s="515"/>
      <c r="P661" s="516"/>
    </row>
    <row r="662" spans="2:16" ht="18.95" customHeight="1">
      <c r="B662" s="495" t="s">
        <v>1740</v>
      </c>
      <c r="C662" s="186">
        <v>322</v>
      </c>
      <c r="D662" s="186" t="s">
        <v>1745</v>
      </c>
      <c r="E662" s="186"/>
      <c r="F662" s="496">
        <v>18</v>
      </c>
      <c r="G662" s="497" t="s">
        <v>1736</v>
      </c>
      <c r="H662" s="497">
        <v>572</v>
      </c>
      <c r="I662" s="517">
        <v>1</v>
      </c>
      <c r="J662" s="518" t="str">
        <f t="array" ref="J662">INDEX($D$649:$D$670,LARGE(IF(($B$650:$B$670=G662)*($C$650:$C$670=H662),ROW($E$2:$E$22),0),1))</f>
        <v>2022年03月</v>
      </c>
      <c r="K662" s="519" t="s">
        <v>1728</v>
      </c>
      <c r="L662" s="519" t="str">
        <f t="array" ref="L662">TEXT(MAX(--IF($C$650:$C$670=H662,D$650:D$670)),"e年mm月")</f>
        <v>2022年03月</v>
      </c>
      <c r="M662" s="515" t="b">
        <f t="shared" si="16"/>
        <v>1</v>
      </c>
      <c r="N662" s="515"/>
      <c r="O662" s="515"/>
      <c r="P662" s="516"/>
    </row>
    <row r="663" spans="2:16" ht="18.95" customHeight="1">
      <c r="B663" s="495" t="s">
        <v>1740</v>
      </c>
      <c r="C663" s="186">
        <v>322</v>
      </c>
      <c r="D663" s="186" t="s">
        <v>1735</v>
      </c>
      <c r="E663" s="186"/>
      <c r="F663" s="496">
        <v>19</v>
      </c>
      <c r="G663" s="497" t="s">
        <v>1733</v>
      </c>
      <c r="H663" s="497">
        <v>573</v>
      </c>
      <c r="I663" s="517">
        <v>1</v>
      </c>
      <c r="J663" s="518" t="str">
        <f t="array" ref="J663">INDEX($D$649:$D$670,LARGE(IF(($B$650:$B$670=G663)*($C$650:$C$670=H663),ROW($E$2:$E$22),0),1))</f>
        <v>2022年03月</v>
      </c>
      <c r="K663" s="519" t="s">
        <v>1728</v>
      </c>
      <c r="L663" s="519" t="str">
        <f t="array" ref="L663">TEXT(MAX(--IF($C$650:$C$670=H663,D$650:D$670)),"e年mm月")</f>
        <v>2022年03月</v>
      </c>
      <c r="M663" s="515" t="b">
        <f t="shared" si="16"/>
        <v>1</v>
      </c>
      <c r="N663" s="515"/>
      <c r="O663" s="515"/>
      <c r="P663" s="516"/>
    </row>
    <row r="664" spans="2:16" ht="18.95" customHeight="1">
      <c r="B664" s="495" t="s">
        <v>1740</v>
      </c>
      <c r="C664" s="186">
        <v>322</v>
      </c>
      <c r="D664" s="186" t="s">
        <v>1728</v>
      </c>
      <c r="E664" s="186"/>
      <c r="F664" s="496">
        <v>20</v>
      </c>
      <c r="G664" s="497" t="s">
        <v>1731</v>
      </c>
      <c r="H664" s="497">
        <v>574</v>
      </c>
      <c r="I664" s="517">
        <v>1</v>
      </c>
      <c r="J664" s="518" t="str">
        <f t="array" ref="J664">INDEX($D$649:$D$670,LARGE(IF(($B$650:$B$670=G664)*($C$650:$C$670=H664),ROW($E$2:$E$22),0),1))</f>
        <v>2022年03月</v>
      </c>
      <c r="K664" s="519" t="s">
        <v>1728</v>
      </c>
      <c r="L664" s="519" t="str">
        <f t="array" ref="L664">TEXT(MAX(--IF($C$650:$C$670=H664,D$650:D$670)),"e年mm月")</f>
        <v>2022年03月</v>
      </c>
      <c r="M664" s="515" t="b">
        <f t="shared" si="16"/>
        <v>1</v>
      </c>
      <c r="N664" s="515"/>
      <c r="O664" s="515"/>
      <c r="P664" s="516"/>
    </row>
    <row r="665" spans="2:16" ht="18.95" customHeight="1">
      <c r="B665" s="495" t="s">
        <v>1738</v>
      </c>
      <c r="C665" s="186">
        <v>211</v>
      </c>
      <c r="D665" s="186" t="s">
        <v>1745</v>
      </c>
      <c r="E665" s="186"/>
      <c r="F665" s="496">
        <v>21</v>
      </c>
      <c r="G665" s="497" t="s">
        <v>1727</v>
      </c>
      <c r="H665" s="497">
        <v>575</v>
      </c>
      <c r="I665" s="517">
        <v>1</v>
      </c>
      <c r="J665" s="518" t="str">
        <f t="array" ref="J665">INDEX($D$649:$D$670,LARGE(IF(($B$650:$B$670=G665)*($C$650:$C$670=H665),ROW($E$2:$E$22),0),1))</f>
        <v>2022年03月</v>
      </c>
      <c r="K665" s="519" t="s">
        <v>1728</v>
      </c>
      <c r="L665" s="519" t="str">
        <f t="array" ref="L665">TEXT(MAX(--IF($C$650:$C$670=H665,D$650:D$670)),"e年mm月")</f>
        <v>2022年03月</v>
      </c>
      <c r="M665" s="515" t="b">
        <f t="shared" si="16"/>
        <v>1</v>
      </c>
      <c r="N665" s="515"/>
      <c r="O665" s="515"/>
      <c r="P665" s="516"/>
    </row>
    <row r="666" spans="2:16" ht="18.95" customHeight="1">
      <c r="B666" s="495" t="s">
        <v>1738</v>
      </c>
      <c r="C666" s="186">
        <v>211</v>
      </c>
      <c r="D666" s="186" t="s">
        <v>1735</v>
      </c>
      <c r="E666" s="498"/>
      <c r="F666" s="499"/>
      <c r="G666" s="499"/>
      <c r="H666" s="499"/>
      <c r="I666" s="499"/>
      <c r="J666" s="499"/>
      <c r="K666" s="499"/>
      <c r="L666" s="499"/>
      <c r="M666" s="499"/>
      <c r="N666" s="499"/>
      <c r="O666" s="499"/>
      <c r="P666" s="513"/>
    </row>
    <row r="667" spans="2:16" ht="18.95" customHeight="1">
      <c r="B667" s="495" t="s">
        <v>1738</v>
      </c>
      <c r="C667" s="186">
        <v>211</v>
      </c>
      <c r="D667" s="186" t="s">
        <v>1728</v>
      </c>
      <c r="E667" s="498"/>
      <c r="F667" s="500" t="s">
        <v>1746</v>
      </c>
      <c r="G667" s="499"/>
      <c r="H667" s="499"/>
      <c r="I667" s="499"/>
      <c r="J667" s="499"/>
      <c r="K667" s="499"/>
      <c r="L667" s="499"/>
      <c r="M667" s="499"/>
      <c r="N667" s="499"/>
      <c r="O667" s="499"/>
      <c r="P667" s="513"/>
    </row>
    <row r="668" spans="2:16" ht="18.95" customHeight="1">
      <c r="B668" s="495" t="s">
        <v>1734</v>
      </c>
      <c r="C668" s="186">
        <v>112</v>
      </c>
      <c r="D668" s="186" t="s">
        <v>1728</v>
      </c>
      <c r="E668" s="498"/>
      <c r="F668" s="499"/>
      <c r="G668" s="499"/>
      <c r="H668" s="499"/>
      <c r="I668" s="499"/>
      <c r="J668" s="499"/>
      <c r="K668" s="499"/>
      <c r="L668" s="499"/>
      <c r="M668" s="499"/>
      <c r="N668" s="499"/>
      <c r="O668" s="499"/>
      <c r="P668" s="513"/>
    </row>
    <row r="669" spans="2:16" ht="18.95" customHeight="1">
      <c r="B669" s="495" t="s">
        <v>1734</v>
      </c>
      <c r="C669" s="186">
        <v>111</v>
      </c>
      <c r="D669" s="186" t="s">
        <v>1745</v>
      </c>
      <c r="E669" s="498"/>
      <c r="F669" s="500" t="s">
        <v>1747</v>
      </c>
      <c r="G669" s="499"/>
      <c r="H669" s="499"/>
      <c r="I669" s="499"/>
      <c r="J669" s="499"/>
      <c r="K669" s="499"/>
      <c r="L669" s="499"/>
      <c r="M669" s="499"/>
      <c r="N669" s="499"/>
      <c r="O669" s="499"/>
      <c r="P669" s="513"/>
    </row>
    <row r="670" spans="2:16" ht="18.95" customHeight="1">
      <c r="B670" s="495" t="s">
        <v>1734</v>
      </c>
      <c r="C670" s="186">
        <v>111</v>
      </c>
      <c r="D670" s="186" t="s">
        <v>1735</v>
      </c>
      <c r="E670" s="498"/>
      <c r="F670" s="499"/>
      <c r="G670" s="499"/>
      <c r="H670" s="499"/>
      <c r="I670" s="499"/>
      <c r="J670" s="499"/>
      <c r="K670" s="499"/>
      <c r="L670" s="499"/>
      <c r="M670" s="499"/>
      <c r="N670" s="499"/>
      <c r="O670" s="499"/>
      <c r="P670" s="513"/>
    </row>
    <row r="671" spans="2:16" ht="18.95" customHeight="1">
      <c r="B671" s="254"/>
      <c r="C671" s="116"/>
      <c r="D671" s="116"/>
      <c r="E671" s="116"/>
      <c r="F671" s="116"/>
      <c r="G671" s="116"/>
      <c r="H671" s="116"/>
      <c r="I671" s="116"/>
      <c r="J671" s="116"/>
      <c r="K671" s="116"/>
      <c r="L671" s="116"/>
      <c r="M671" s="116"/>
      <c r="N671" s="116"/>
      <c r="O671" s="116"/>
      <c r="P671" s="326"/>
    </row>
    <row r="672" spans="2:16" ht="18.95" customHeight="1">
      <c r="B672" s="304"/>
      <c r="C672" s="305"/>
      <c r="D672" s="305"/>
      <c r="E672" s="305"/>
      <c r="F672" s="305"/>
      <c r="G672" s="305"/>
      <c r="H672" s="305"/>
      <c r="I672" s="305"/>
      <c r="J672" s="305"/>
      <c r="K672" s="305"/>
      <c r="L672" s="305"/>
      <c r="M672" s="305"/>
      <c r="N672" s="305"/>
      <c r="O672" s="305"/>
      <c r="P672" s="327"/>
    </row>
    <row r="674" spans="2:16" ht="18.95" customHeight="1">
      <c r="B674" s="333"/>
      <c r="C674" s="324"/>
      <c r="D674" s="324"/>
      <c r="E674" s="324"/>
      <c r="F674" s="324"/>
      <c r="G674" s="324"/>
      <c r="H674" s="324"/>
      <c r="I674" s="324"/>
      <c r="J674" s="324"/>
      <c r="K674" s="324"/>
      <c r="L674" s="324"/>
      <c r="M674" s="324"/>
      <c r="N674" s="324"/>
      <c r="O674" s="324"/>
      <c r="P674" s="325"/>
    </row>
    <row r="675" spans="2:16" ht="18.95" customHeight="1">
      <c r="B675" s="501" t="s">
        <v>131</v>
      </c>
      <c r="C675" s="502" t="s">
        <v>1748</v>
      </c>
      <c r="D675" s="502" t="s">
        <v>1749</v>
      </c>
      <c r="E675" s="116"/>
      <c r="F675" s="116"/>
      <c r="G675" s="1176" t="s">
        <v>1750</v>
      </c>
      <c r="H675" s="1176"/>
      <c r="I675" s="1176"/>
      <c r="J675" s="1176"/>
      <c r="K675" s="1176"/>
      <c r="L675" s="1176"/>
      <c r="M675" s="1176"/>
      <c r="N675" s="116"/>
      <c r="O675" s="116"/>
      <c r="P675" s="326"/>
    </row>
    <row r="676" spans="2:16" ht="18.95" customHeight="1">
      <c r="B676" s="391" t="s">
        <v>1751</v>
      </c>
      <c r="C676" s="392" t="s">
        <v>1752</v>
      </c>
      <c r="D676" s="392">
        <v>101</v>
      </c>
      <c r="E676" s="116"/>
      <c r="F676" s="116"/>
      <c r="G676" s="1117" t="s">
        <v>1753</v>
      </c>
      <c r="H676" s="1161" t="s">
        <v>1754</v>
      </c>
      <c r="I676" s="1161" t="s">
        <v>1755</v>
      </c>
      <c r="J676" s="1162" t="s">
        <v>1756</v>
      </c>
      <c r="K676" s="1162"/>
      <c r="L676" s="1162"/>
      <c r="M676" s="1162"/>
      <c r="N676" s="116"/>
      <c r="O676" s="116">
        <f t="array" ref="O676:O697">IF((C676:C697=G678)*(D676:D697=H678),1)</f>
        <v>1</v>
      </c>
      <c r="P676" s="326">
        <f t="array" ref="P676">IF(AND((C676:C697=G678),(D676:D697=H678)),1,0)</f>
        <v>0</v>
      </c>
    </row>
    <row r="677" spans="2:16" ht="18.95" customHeight="1">
      <c r="B677" s="391" t="s">
        <v>1757</v>
      </c>
      <c r="C677" s="392" t="s">
        <v>1752</v>
      </c>
      <c r="D677" s="392">
        <v>101</v>
      </c>
      <c r="E677" s="116"/>
      <c r="F677" s="116"/>
      <c r="G677" s="1117"/>
      <c r="H677" s="1161"/>
      <c r="I677" s="1161"/>
      <c r="J677" s="392" t="s">
        <v>1758</v>
      </c>
      <c r="K677" s="392" t="s">
        <v>1759</v>
      </c>
      <c r="L677" s="392" t="s">
        <v>1760</v>
      </c>
      <c r="M677" s="392" t="s">
        <v>1761</v>
      </c>
      <c r="N677" s="116"/>
      <c r="O677" s="116">
        <v>1</v>
      </c>
      <c r="P677" s="326"/>
    </row>
    <row r="678" spans="2:16" ht="18.95" customHeight="1">
      <c r="B678" s="391" t="s">
        <v>1762</v>
      </c>
      <c r="C678" s="392" t="s">
        <v>1752</v>
      </c>
      <c r="D678" s="392">
        <v>101</v>
      </c>
      <c r="F678" s="116"/>
      <c r="G678" s="503" t="s">
        <v>1752</v>
      </c>
      <c r="H678" s="503">
        <v>101</v>
      </c>
      <c r="I678" s="503">
        <v>4</v>
      </c>
      <c r="J678" s="503" t="str">
        <f t="array" ref="J678">INDEX($B$675:$B$66662,SMALL(IF(($C$676:$C$697=$G678)*($D$676:$D$697=$H678),ROW($A$2:$A$23),4^8),COLUMN(A678))&amp;"")</f>
        <v>陈珂</v>
      </c>
      <c r="K678" s="503" t="str">
        <f t="array" ref="K678">INDEX($B$675:$B$66662,SMALL(IF(($C$676:$C$697=$G678)*($D$676:$D$697=$H678),ROW($A$2:$A$23),4^8),COLUMN(B678))&amp;"")</f>
        <v>冯宇翔</v>
      </c>
      <c r="L678" s="503" t="str">
        <f t="array" ref="L678">INDEX($B$675:$B$66662,SMALL(IF(($C$676:$C$697=$G678)*($D$676:$D$697=$H678),ROW($A$2:$A$23),4^8),COLUMN(C678))&amp;"")</f>
        <v>何阳迪</v>
      </c>
      <c r="M678" s="503" t="str">
        <f t="array" ref="M678">INDEX($B$675:$B$66662,SMALL(IF(($C$676:$C$697=$G678)*($D$676:$D$697=$H678),ROW($A$2:$A$23),4^8),COLUMN(D678))&amp;"")</f>
        <v>李慕阳</v>
      </c>
      <c r="N678" s="116"/>
      <c r="O678" s="116">
        <v>1</v>
      </c>
      <c r="P678" s="326"/>
    </row>
    <row r="679" spans="2:16" ht="18.95" customHeight="1">
      <c r="B679" s="391" t="s">
        <v>1763</v>
      </c>
      <c r="C679" s="392" t="s">
        <v>1752</v>
      </c>
      <c r="D679" s="392">
        <v>101</v>
      </c>
      <c r="E679" s="116"/>
      <c r="F679" s="116"/>
      <c r="G679" s="503" t="s">
        <v>1752</v>
      </c>
      <c r="H679" s="503">
        <v>102</v>
      </c>
      <c r="I679" s="503">
        <v>4</v>
      </c>
      <c r="J679" s="503" t="str">
        <f t="array" ref="J679">INDEX($B$675:$B$66662,SMALL(IF(($C$676:$C$697=$G679)*($D$676:$D$697=$H679),ROW($A$2:$A$23),4^8),COLUMN(A679))&amp;"")</f>
        <v>付茗精</v>
      </c>
      <c r="K679" s="503" t="str">
        <f t="array" ref="K679">INDEX($B$675:$B$66662,SMALL(IF(($C$676:$C$697=$G679)*($D$676:$D$697=$H679),ROW($A$2:$A$23),4^8),COLUMN(B679))&amp;"")</f>
        <v>庞嘉伟</v>
      </c>
      <c r="L679" s="503" t="str">
        <f t="array" ref="L679">INDEX($B$675:$B$66662,SMALL(IF(($C$676:$C$697=$G679)*($D$676:$D$697=$H679),ROW($A$2:$A$23),4^8),COLUMN(C679))&amp;"")</f>
        <v>张柏磊</v>
      </c>
      <c r="M679" s="503" t="str">
        <f t="array" ref="M679">INDEX($B$675:$B$66662,SMALL(IF(($C$676:$C$697=$G679)*($D$676:$D$697=$H679),ROW($A$2:$A$23),4^8),COLUMN(D679))&amp;"")</f>
        <v>罗彭</v>
      </c>
      <c r="N679" s="116"/>
      <c r="O679" s="116">
        <v>1</v>
      </c>
      <c r="P679" s="326"/>
    </row>
    <row r="680" spans="2:16" ht="18.95" customHeight="1">
      <c r="B680" s="391" t="s">
        <v>1764</v>
      </c>
      <c r="C680" s="392" t="s">
        <v>1752</v>
      </c>
      <c r="D680" s="392">
        <v>102</v>
      </c>
      <c r="E680" s="116"/>
      <c r="F680" s="116"/>
      <c r="G680" s="503" t="s">
        <v>1752</v>
      </c>
      <c r="H680" s="503">
        <v>103</v>
      </c>
      <c r="I680" s="503">
        <v>4</v>
      </c>
      <c r="J680" s="503" t="str">
        <f t="array" ref="J680">INDEX($B$675:$B$66662,SMALL(IF(($C$676:$C$697=$G680)*($D$676:$D$697=$H680),ROW($A$2:$A$23),4^8),COLUMN(A680))&amp;"")</f>
        <v>滕袁烨</v>
      </c>
      <c r="K680" s="503" t="str">
        <f t="array" ref="K680">INDEX($B$675:$B$66662,SMALL(IF(($C$676:$C$697=$G680)*($D$676:$D$697=$H680),ROW($A$2:$A$23),4^8),COLUMN(B680))&amp;"")</f>
        <v>王鑫隆</v>
      </c>
      <c r="L680" s="503" t="str">
        <f t="array" ref="L680">INDEX($B$675:$B$66662,SMALL(IF(($C$676:$C$697=$G680)*($D$676:$D$697=$H680),ROW($A$2:$A$23),4^8),COLUMN(C680))&amp;"")</f>
        <v>王湛淇</v>
      </c>
      <c r="M680" s="503" t="str">
        <f t="array" ref="M680">INDEX($B$675:$B$66662,SMALL(IF(($C$676:$C$697=$G680)*($D$676:$D$697=$H680),ROW($A$2:$A$23),4^8),COLUMN(D680))&amp;"")</f>
        <v>吴浩</v>
      </c>
      <c r="N680" s="116"/>
      <c r="O680" s="116" t="b">
        <v>0</v>
      </c>
      <c r="P680" s="326"/>
    </row>
    <row r="681" spans="2:16" ht="18.95" customHeight="1">
      <c r="B681" s="391" t="s">
        <v>1765</v>
      </c>
      <c r="C681" s="392" t="s">
        <v>1752</v>
      </c>
      <c r="D681" s="392">
        <v>102</v>
      </c>
      <c r="E681" s="116"/>
      <c r="F681" s="116"/>
      <c r="G681" s="503" t="s">
        <v>1752</v>
      </c>
      <c r="H681" s="503">
        <v>104</v>
      </c>
      <c r="I681" s="503">
        <v>4</v>
      </c>
      <c r="J681" s="503" t="str">
        <f t="array" ref="J681">INDEX($B$675:$B$66662,SMALL(IF(($C$676:$C$697=$G681)*($D$676:$D$697=$H681),ROW($A$2:$A$23),4^8),COLUMN(A681))&amp;"")</f>
        <v>梁相亮</v>
      </c>
      <c r="K681" s="503" t="str">
        <f t="array" ref="K681">INDEX($B$675:$B$66662,SMALL(IF(($C$676:$C$697=$G681)*($D$676:$D$697=$H681),ROW($A$2:$A$23),4^8),COLUMN(B681))&amp;"")</f>
        <v>杨锦渝</v>
      </c>
      <c r="L681" s="503" t="str">
        <f t="array" ref="L681">INDEX($B$675:$B$66662,SMALL(IF(($C$676:$C$697=$G681)*($D$676:$D$697=$H681),ROW($A$2:$A$23),4^8),COLUMN(C681))&amp;"")</f>
        <v>于钦标</v>
      </c>
      <c r="M681" s="503">
        <f t="array" ref="M681">INDEX($B$675:$B$66662,SMALL(IF(($C$676:$C$697=$G681)*($D$676:$D$697=$H681),ROW($A$2:$A$23),4^8),COLUMN(D681))&amp;"")</f>
        <v>0</v>
      </c>
      <c r="N681" s="116"/>
      <c r="O681" s="116" t="b">
        <v>0</v>
      </c>
      <c r="P681" s="326"/>
    </row>
    <row r="682" spans="2:16" ht="18.95" customHeight="1">
      <c r="B682" s="391" t="s">
        <v>1766</v>
      </c>
      <c r="C682" s="392" t="s">
        <v>1752</v>
      </c>
      <c r="D682" s="392">
        <v>102</v>
      </c>
      <c r="E682" s="116"/>
      <c r="F682" s="116"/>
      <c r="G682" s="503" t="s">
        <v>1752</v>
      </c>
      <c r="H682" s="503">
        <v>105</v>
      </c>
      <c r="I682" s="503">
        <v>4</v>
      </c>
      <c r="J682" s="503" t="str">
        <f t="array" ref="J682">INDEX($B$675:$B$66662,SMALL(IF(($C$676:$C$697=$G682)*($D$676:$D$697=$H682),ROW($A$2:$A$23),4^8),COLUMN(A682))&amp;"")</f>
        <v>张淼</v>
      </c>
      <c r="K682" s="503" t="str">
        <f t="array" ref="K682">INDEX($B$675:$B$66662,SMALL(IF(($C$676:$C$697=$G682)*($D$676:$D$697=$H682),ROW($A$2:$A$23),4^8),COLUMN(B682))&amp;"")</f>
        <v>周子琛</v>
      </c>
      <c r="L682" s="503" t="str">
        <f t="array" ref="L682">INDEX($B$675:$B$66662,SMALL(IF(($C$676:$C$697=$G682)*($D$676:$D$697=$H682),ROW($A$2:$A$23),4^8),COLUMN(C682))&amp;"")</f>
        <v>朱峪晨</v>
      </c>
      <c r="M682" s="503">
        <f t="array" ref="M682">INDEX($B$675:$B$66662,SMALL(IF(($C$676:$C$697=$G682)*($D$676:$D$697=$H682),ROW($A$2:$A$23),4^8),COLUMN(D682))&amp;"")</f>
        <v>0</v>
      </c>
      <c r="N682" s="116"/>
      <c r="O682" s="116" t="b">
        <v>0</v>
      </c>
      <c r="P682" s="326"/>
    </row>
    <row r="683" spans="2:16" ht="18.95" customHeight="1">
      <c r="B683" s="391" t="s">
        <v>1767</v>
      </c>
      <c r="C683" s="392" t="s">
        <v>1752</v>
      </c>
      <c r="D683" s="392">
        <v>102</v>
      </c>
      <c r="E683" s="116"/>
      <c r="F683" s="116"/>
      <c r="G683" s="503" t="s">
        <v>1752</v>
      </c>
      <c r="H683" s="503">
        <v>106</v>
      </c>
      <c r="I683" s="503">
        <v>4</v>
      </c>
      <c r="J683" s="503" t="str">
        <f t="array" ref="J683">INDEX($B$675:$B$66662,SMALL(IF(($C$676:$C$697=$G683)*($D$676:$D$697=$H683),ROW($A$2:$A$23),4^8),COLUMN(A683))&amp;"")</f>
        <v>李汶霜</v>
      </c>
      <c r="K683" s="503" t="str">
        <f t="array" ref="K683">INDEX($B$675:$B$66662,SMALL(IF(($C$676:$C$697=$G683)*($D$676:$D$697=$H683),ROW($A$2:$A$23),4^8),COLUMN(B683))&amp;"")</f>
        <v>吴民权</v>
      </c>
      <c r="L683" s="503" t="str">
        <f t="array" ref="L683">INDEX($B$675:$B$66662,SMALL(IF(($C$676:$C$697=$G683)*($D$676:$D$697=$H683),ROW($A$2:$A$23),4^8),COLUMN(C683))&amp;"")</f>
        <v>徐杭</v>
      </c>
      <c r="M683" s="503" t="str">
        <f t="array" ref="M683">INDEX($B$675:$B$66662,SMALL(IF(($C$676:$C$697=$G683)*($D$676:$D$697=$H683),ROW($A$2:$A$23),4^8),COLUMN(D683))&amp;"")</f>
        <v>杨越</v>
      </c>
      <c r="N683" s="116"/>
      <c r="O683" s="116" t="b">
        <v>0</v>
      </c>
      <c r="P683" s="326"/>
    </row>
    <row r="684" spans="2:16" ht="18.95" customHeight="1">
      <c r="B684" s="391" t="s">
        <v>1768</v>
      </c>
      <c r="C684" s="392" t="s">
        <v>1752</v>
      </c>
      <c r="D684" s="392">
        <v>103</v>
      </c>
      <c r="E684" s="116"/>
      <c r="F684" s="116"/>
      <c r="G684" s="116"/>
      <c r="H684" s="116"/>
      <c r="I684" s="116"/>
      <c r="J684" s="116"/>
      <c r="K684" s="116"/>
      <c r="L684" s="116"/>
      <c r="M684" s="116"/>
      <c r="N684" s="116"/>
      <c r="O684" s="116" t="b">
        <v>0</v>
      </c>
      <c r="P684" s="326"/>
    </row>
    <row r="685" spans="2:16" ht="18.95" customHeight="1">
      <c r="B685" s="391" t="s">
        <v>1769</v>
      </c>
      <c r="C685" s="392" t="s">
        <v>1752</v>
      </c>
      <c r="D685" s="392">
        <v>103</v>
      </c>
      <c r="E685" s="116"/>
      <c r="F685" s="116"/>
      <c r="G685" s="116"/>
      <c r="H685" s="116"/>
      <c r="I685" s="116"/>
      <c r="J685" s="116"/>
      <c r="K685" s="116"/>
      <c r="L685" s="116"/>
      <c r="M685" s="116"/>
      <c r="N685" s="116"/>
      <c r="O685" s="116" t="b">
        <v>0</v>
      </c>
      <c r="P685" s="326"/>
    </row>
    <row r="686" spans="2:16" ht="18.95" customHeight="1">
      <c r="B686" s="391" t="s">
        <v>1770</v>
      </c>
      <c r="C686" s="392" t="s">
        <v>1752</v>
      </c>
      <c r="D686" s="392">
        <v>103</v>
      </c>
      <c r="E686" s="116"/>
      <c r="G686" s="116"/>
      <c r="H686" s="116"/>
      <c r="I686" s="116"/>
      <c r="J686" s="116"/>
      <c r="K686" s="116"/>
      <c r="L686" s="116"/>
      <c r="M686" s="116"/>
      <c r="N686" s="116"/>
      <c r="O686" s="116" t="b">
        <v>0</v>
      </c>
      <c r="P686" s="326"/>
    </row>
    <row r="687" spans="2:16" ht="18.95" customHeight="1">
      <c r="B687" s="391" t="s">
        <v>1771</v>
      </c>
      <c r="C687" s="392" t="s">
        <v>1752</v>
      </c>
      <c r="D687" s="392">
        <v>103</v>
      </c>
      <c r="E687" s="116"/>
      <c r="F687" s="116"/>
      <c r="H687" s="116"/>
      <c r="I687" s="116"/>
      <c r="J687" s="116"/>
      <c r="K687" s="116"/>
      <c r="L687" s="116"/>
      <c r="M687" s="116"/>
      <c r="N687" s="116"/>
      <c r="O687" s="116" t="b">
        <v>0</v>
      </c>
      <c r="P687" s="326"/>
    </row>
    <row r="688" spans="2:16" ht="18.95" customHeight="1">
      <c r="B688" s="391" t="s">
        <v>1772</v>
      </c>
      <c r="C688" s="392" t="s">
        <v>1752</v>
      </c>
      <c r="D688" s="392">
        <v>104</v>
      </c>
      <c r="E688" s="116"/>
      <c r="H688" s="116" t="s">
        <v>1773</v>
      </c>
      <c r="J688" s="116"/>
      <c r="K688" s="116"/>
      <c r="M688" s="116"/>
      <c r="N688" s="116"/>
      <c r="O688" s="116" t="b">
        <v>0</v>
      </c>
      <c r="P688" s="326"/>
    </row>
    <row r="689" spans="2:16" ht="18.95" customHeight="1">
      <c r="B689" s="391" t="s">
        <v>1774</v>
      </c>
      <c r="C689" s="392" t="s">
        <v>1752</v>
      </c>
      <c r="D689" s="392">
        <v>104</v>
      </c>
      <c r="E689" s="116"/>
      <c r="H689" s="116"/>
      <c r="I689" s="1" t="s">
        <v>1775</v>
      </c>
      <c r="J689" s="116"/>
      <c r="K689" s="116"/>
      <c r="L689" s="116"/>
      <c r="M689" s="116"/>
      <c r="N689" s="116"/>
      <c r="O689" s="116" t="b">
        <v>0</v>
      </c>
      <c r="P689" s="326"/>
    </row>
    <row r="690" spans="2:16" ht="18.95" customHeight="1">
      <c r="B690" s="391" t="s">
        <v>1776</v>
      </c>
      <c r="C690" s="392" t="s">
        <v>1752</v>
      </c>
      <c r="D690" s="392">
        <v>104</v>
      </c>
      <c r="E690" s="116"/>
      <c r="H690" s="116"/>
      <c r="I690" s="116"/>
      <c r="J690" s="116" t="s">
        <v>1777</v>
      </c>
      <c r="K690" s="116"/>
      <c r="L690" s="116"/>
      <c r="M690" s="116"/>
      <c r="N690" s="116"/>
      <c r="O690" s="116" t="b">
        <v>0</v>
      </c>
      <c r="P690" s="326"/>
    </row>
    <row r="691" spans="2:16" ht="18.95" customHeight="1">
      <c r="B691" s="391" t="s">
        <v>1778</v>
      </c>
      <c r="C691" s="392" t="s">
        <v>1752</v>
      </c>
      <c r="D691" s="392">
        <v>105</v>
      </c>
      <c r="E691" s="116"/>
      <c r="F691" s="504" t="s">
        <v>1777</v>
      </c>
      <c r="G691" s="504"/>
      <c r="H691" s="504"/>
      <c r="I691" s="504"/>
      <c r="J691" s="504" t="s">
        <v>1779</v>
      </c>
      <c r="K691" s="504"/>
      <c r="L691" s="504"/>
      <c r="M691" s="504"/>
      <c r="N691" s="504"/>
      <c r="O691" s="116" t="b">
        <v>0</v>
      </c>
      <c r="P691" s="326"/>
    </row>
    <row r="692" spans="2:16" ht="18.95" customHeight="1">
      <c r="B692" s="391" t="s">
        <v>1780</v>
      </c>
      <c r="C692" s="392" t="s">
        <v>1752</v>
      </c>
      <c r="D692" s="392">
        <v>105</v>
      </c>
      <c r="E692" s="116"/>
      <c r="F692" s="116"/>
      <c r="G692" s="116"/>
      <c r="H692" s="116"/>
      <c r="I692" s="116"/>
      <c r="J692" s="116"/>
      <c r="K692" s="116"/>
      <c r="L692" s="116"/>
      <c r="M692" s="116"/>
      <c r="N692" s="116"/>
      <c r="O692" s="116" t="b">
        <v>0</v>
      </c>
      <c r="P692" s="326"/>
    </row>
    <row r="693" spans="2:16" ht="18.95" customHeight="1">
      <c r="B693" s="391" t="s">
        <v>1781</v>
      </c>
      <c r="C693" s="392" t="s">
        <v>1752</v>
      </c>
      <c r="D693" s="392">
        <v>105</v>
      </c>
      <c r="E693" s="116"/>
      <c r="H693" s="116" t="s">
        <v>1782</v>
      </c>
      <c r="I693" s="116"/>
      <c r="J693" s="116"/>
      <c r="K693" s="116"/>
      <c r="L693" s="116"/>
      <c r="M693" s="116"/>
      <c r="N693" s="116"/>
      <c r="O693" s="116" t="b">
        <v>0</v>
      </c>
      <c r="P693" s="326"/>
    </row>
    <row r="694" spans="2:16" ht="18.95" customHeight="1">
      <c r="B694" s="391" t="s">
        <v>1783</v>
      </c>
      <c r="C694" s="392" t="s">
        <v>1752</v>
      </c>
      <c r="D694" s="392">
        <v>106</v>
      </c>
      <c r="E694" s="116"/>
      <c r="H694" s="116"/>
      <c r="I694" s="116" t="s">
        <v>1784</v>
      </c>
      <c r="J694" s="116"/>
      <c r="K694" s="116"/>
      <c r="L694" s="116"/>
      <c r="M694" s="116"/>
      <c r="N694" s="116"/>
      <c r="O694" s="116" t="b">
        <v>0</v>
      </c>
      <c r="P694" s="326"/>
    </row>
    <row r="695" spans="2:16" ht="18.95" customHeight="1">
      <c r="B695" s="391" t="s">
        <v>1785</v>
      </c>
      <c r="C695" s="392" t="s">
        <v>1752</v>
      </c>
      <c r="D695" s="392">
        <v>106</v>
      </c>
      <c r="E695" s="116"/>
      <c r="I695" s="116"/>
      <c r="J695" s="116" t="s">
        <v>1786</v>
      </c>
      <c r="K695" s="116"/>
      <c r="L695" s="116"/>
      <c r="M695" s="116"/>
      <c r="N695" s="116"/>
      <c r="O695" s="116" t="b">
        <v>0</v>
      </c>
      <c r="P695" s="326"/>
    </row>
    <row r="696" spans="2:16" ht="18.95" customHeight="1">
      <c r="B696" s="391" t="s">
        <v>1787</v>
      </c>
      <c r="C696" s="392" t="s">
        <v>1752</v>
      </c>
      <c r="D696" s="392">
        <v>106</v>
      </c>
      <c r="E696" s="116"/>
      <c r="F696" s="505" t="s">
        <v>1786</v>
      </c>
      <c r="G696" s="505"/>
      <c r="H696" s="505"/>
      <c r="I696" s="505"/>
      <c r="J696" s="505" t="b">
        <v>0</v>
      </c>
      <c r="K696" s="116"/>
      <c r="L696" s="116"/>
      <c r="M696" s="116"/>
      <c r="N696" s="116"/>
      <c r="O696" s="116" t="b">
        <v>0</v>
      </c>
      <c r="P696" s="326"/>
    </row>
    <row r="697" spans="2:16" ht="18.95" customHeight="1">
      <c r="B697" s="391" t="s">
        <v>1788</v>
      </c>
      <c r="C697" s="392" t="s">
        <v>1752</v>
      </c>
      <c r="D697" s="392">
        <v>106</v>
      </c>
      <c r="E697" s="116"/>
      <c r="F697" s="116"/>
      <c r="G697" s="116"/>
      <c r="H697" s="116"/>
      <c r="I697" s="116"/>
      <c r="J697" s="116"/>
      <c r="K697" s="116"/>
      <c r="L697" s="116"/>
      <c r="M697" s="116"/>
      <c r="N697" s="116"/>
      <c r="O697" s="116" t="b">
        <v>0</v>
      </c>
      <c r="P697" s="326"/>
    </row>
    <row r="698" spans="2:16" ht="18.95" customHeight="1">
      <c r="B698" s="472"/>
      <c r="C698" s="116"/>
      <c r="D698" s="116"/>
      <c r="E698" s="116"/>
      <c r="G698" s="116"/>
      <c r="H698" s="116"/>
      <c r="I698" s="116"/>
      <c r="J698" s="116"/>
      <c r="K698" s="116"/>
      <c r="L698" s="116"/>
      <c r="M698" s="116"/>
      <c r="N698" s="116"/>
      <c r="O698" s="116"/>
      <c r="P698" s="326"/>
    </row>
    <row r="699" spans="2:16" ht="18.95" customHeight="1">
      <c r="B699" s="506" t="s">
        <v>1789</v>
      </c>
      <c r="C699" s="305"/>
      <c r="D699" s="305"/>
      <c r="E699" s="305"/>
      <c r="F699" s="305"/>
      <c r="G699" s="305"/>
      <c r="H699" s="305"/>
      <c r="I699" s="305"/>
      <c r="J699" s="305"/>
      <c r="K699" s="305"/>
      <c r="L699" s="305"/>
      <c r="M699" s="305"/>
      <c r="N699" s="305"/>
      <c r="O699" s="305"/>
      <c r="P699" s="327"/>
    </row>
    <row r="701" spans="2:16" ht="18.95" customHeight="1">
      <c r="B701" s="333"/>
      <c r="C701" s="324"/>
      <c r="D701" s="324"/>
      <c r="E701" s="324"/>
      <c r="F701" s="324"/>
      <c r="G701" s="324"/>
      <c r="H701" s="324"/>
      <c r="I701" s="324"/>
      <c r="J701" s="325"/>
    </row>
    <row r="702" spans="2:16" ht="18.95" customHeight="1">
      <c r="B702" s="254"/>
      <c r="C702" s="116"/>
      <c r="D702" s="116"/>
      <c r="E702" s="116"/>
      <c r="F702" s="116"/>
      <c r="G702" s="116"/>
      <c r="H702" s="116"/>
      <c r="I702" s="116"/>
      <c r="J702" s="326"/>
    </row>
    <row r="703" spans="2:16" ht="18.95" customHeight="1">
      <c r="B703" s="507" t="s">
        <v>1790</v>
      </c>
      <c r="C703" s="116"/>
      <c r="D703" s="116"/>
      <c r="E703" s="116"/>
      <c r="F703" s="508" t="s">
        <v>1791</v>
      </c>
      <c r="G703" s="509" t="s">
        <v>1376</v>
      </c>
      <c r="H703" s="510" t="s">
        <v>32</v>
      </c>
      <c r="I703" s="116"/>
      <c r="J703" s="326"/>
    </row>
    <row r="704" spans="2:16" ht="18.95" customHeight="1">
      <c r="B704" s="233" t="s">
        <v>62</v>
      </c>
      <c r="C704" s="116"/>
      <c r="D704" s="116"/>
      <c r="E704" s="116"/>
      <c r="F704" s="511" t="s">
        <v>34</v>
      </c>
      <c r="G704" s="512" t="s">
        <v>1391</v>
      </c>
      <c r="H704" s="112" t="s">
        <v>1393</v>
      </c>
      <c r="I704" s="116"/>
      <c r="J704" s="326"/>
    </row>
    <row r="705" spans="2:12" ht="18.95" customHeight="1">
      <c r="B705" s="254"/>
      <c r="C705" s="116"/>
      <c r="D705" s="116"/>
      <c r="E705" s="116"/>
      <c r="F705" s="446" t="s">
        <v>36</v>
      </c>
      <c r="G705" s="520" t="s">
        <v>1395</v>
      </c>
      <c r="H705" s="521" t="s">
        <v>1373</v>
      </c>
      <c r="I705" s="116"/>
      <c r="J705" s="326"/>
    </row>
    <row r="706" spans="2:12" ht="18.95" customHeight="1">
      <c r="B706" s="254" t="s">
        <v>1792</v>
      </c>
      <c r="C706" s="116"/>
      <c r="D706" s="116"/>
      <c r="E706" s="116"/>
      <c r="F706" s="116"/>
      <c r="G706" s="116"/>
      <c r="H706" s="116"/>
      <c r="I706" s="116"/>
      <c r="J706" s="326"/>
    </row>
    <row r="707" spans="2:12" ht="18.95" customHeight="1">
      <c r="B707" s="254"/>
      <c r="C707" s="116"/>
      <c r="D707" s="116"/>
      <c r="E707" s="116"/>
      <c r="F707" s="116"/>
      <c r="G707" s="116"/>
      <c r="H707" s="116"/>
      <c r="I707" s="116"/>
      <c r="J707" s="326"/>
    </row>
    <row r="708" spans="2:12" ht="18.95" customHeight="1">
      <c r="B708" s="254" t="s">
        <v>1793</v>
      </c>
      <c r="C708" s="116"/>
      <c r="D708" s="116"/>
      <c r="E708" s="116"/>
      <c r="F708" s="116"/>
      <c r="G708" s="116"/>
      <c r="H708" s="116"/>
      <c r="I708" s="116"/>
      <c r="J708" s="326"/>
    </row>
    <row r="709" spans="2:12" ht="18.95" customHeight="1">
      <c r="B709" s="254" t="s">
        <v>1794</v>
      </c>
      <c r="C709" s="116"/>
      <c r="D709" s="116"/>
      <c r="E709" s="116"/>
      <c r="F709" s="116"/>
      <c r="G709" s="116"/>
      <c r="H709" s="116"/>
      <c r="I709" s="116"/>
      <c r="J709" s="326"/>
    </row>
    <row r="710" spans="2:12" ht="18.95" customHeight="1">
      <c r="B710" s="254"/>
      <c r="C710" s="116"/>
      <c r="D710" s="116"/>
      <c r="E710" s="116"/>
      <c r="F710" s="116"/>
      <c r="G710" s="116"/>
      <c r="H710" s="116"/>
      <c r="I710" s="116"/>
      <c r="J710" s="326"/>
    </row>
    <row r="711" spans="2:12" ht="18.95" customHeight="1">
      <c r="B711" s="254"/>
      <c r="C711" s="116"/>
      <c r="D711" s="116"/>
      <c r="E711" s="116"/>
      <c r="F711" s="116"/>
      <c r="G711" s="116"/>
      <c r="H711" s="116"/>
      <c r="I711" s="116"/>
      <c r="J711" s="326"/>
    </row>
    <row r="712" spans="2:12" ht="18.95" customHeight="1">
      <c r="B712" s="254"/>
      <c r="C712" s="116"/>
      <c r="D712" s="116"/>
      <c r="E712" s="116"/>
      <c r="F712" s="116"/>
      <c r="G712" s="116"/>
      <c r="H712" s="116"/>
      <c r="I712" s="116"/>
      <c r="J712" s="326"/>
    </row>
    <row r="713" spans="2:12" ht="18.95" customHeight="1">
      <c r="B713" s="297" t="s">
        <v>1790</v>
      </c>
      <c r="C713" s="112"/>
      <c r="D713" s="112"/>
      <c r="E713" s="112"/>
      <c r="F713" s="508" t="s">
        <v>1791</v>
      </c>
      <c r="G713" s="509" t="s">
        <v>1376</v>
      </c>
      <c r="H713" s="510" t="s">
        <v>32</v>
      </c>
      <c r="I713" s="116"/>
      <c r="J713" s="326"/>
    </row>
    <row r="714" spans="2:12" ht="18.95" customHeight="1">
      <c r="B714" s="233" t="s">
        <v>61</v>
      </c>
      <c r="C714" s="112"/>
      <c r="D714" s="112"/>
      <c r="E714" s="112"/>
      <c r="F714" s="511" t="s">
        <v>34</v>
      </c>
      <c r="G714" s="512" t="s">
        <v>1391</v>
      </c>
      <c r="H714" s="112" t="s">
        <v>1393</v>
      </c>
      <c r="I714" s="116"/>
      <c r="J714" s="326"/>
    </row>
    <row r="715" spans="2:12" ht="18.95" customHeight="1">
      <c r="B715" s="297"/>
      <c r="C715" s="112"/>
      <c r="D715" s="112"/>
      <c r="E715" s="112"/>
      <c r="F715" s="446" t="s">
        <v>36</v>
      </c>
      <c r="G715" s="520" t="s">
        <v>1395</v>
      </c>
      <c r="H715" s="521" t="s">
        <v>1373</v>
      </c>
      <c r="I715" s="116"/>
      <c r="J715" s="326"/>
    </row>
    <row r="716" spans="2:12" ht="18.95" customHeight="1">
      <c r="B716" s="254" t="s">
        <v>1795</v>
      </c>
      <c r="C716" s="116"/>
      <c r="D716" s="116"/>
      <c r="E716" s="116"/>
      <c r="F716" s="116"/>
      <c r="G716" s="116"/>
      <c r="H716" s="116"/>
      <c r="I716" s="116"/>
      <c r="J716" s="326"/>
    </row>
    <row r="717" spans="2:12" ht="18.95" customHeight="1">
      <c r="B717" s="304"/>
      <c r="C717" s="305"/>
      <c r="D717" s="305"/>
      <c r="E717" s="305"/>
      <c r="F717" s="305"/>
      <c r="G717" s="305"/>
      <c r="H717" s="305"/>
      <c r="I717" s="305"/>
      <c r="J717" s="327"/>
    </row>
    <row r="719" spans="2:12" ht="18.95" customHeight="1">
      <c r="B719" s="333"/>
      <c r="C719" s="324"/>
      <c r="D719" s="324"/>
      <c r="E719" s="324"/>
      <c r="F719" s="324"/>
      <c r="G719" s="324"/>
      <c r="H719" s="324"/>
      <c r="I719" s="324"/>
      <c r="J719" s="324"/>
      <c r="K719" s="324"/>
      <c r="L719" s="325"/>
    </row>
    <row r="720" spans="2:12" ht="18.95" customHeight="1">
      <c r="B720" s="472" t="s">
        <v>1796</v>
      </c>
      <c r="C720" s="243" t="s">
        <v>1797</v>
      </c>
      <c r="D720" s="522" t="s">
        <v>1798</v>
      </c>
      <c r="E720" s="244" t="s">
        <v>1693</v>
      </c>
      <c r="F720" s="116"/>
      <c r="G720" s="116"/>
      <c r="H720" s="116"/>
      <c r="I720" s="116"/>
      <c r="J720" s="116"/>
      <c r="K720" s="116"/>
      <c r="L720" s="326"/>
    </row>
    <row r="721" spans="2:12" ht="18.95" customHeight="1">
      <c r="B721" s="254" t="s">
        <v>1799</v>
      </c>
      <c r="C721" s="116" t="s">
        <v>1800</v>
      </c>
      <c r="D721" s="323" t="s">
        <v>1801</v>
      </c>
      <c r="E721" s="523">
        <v>44593</v>
      </c>
      <c r="F721" s="116"/>
      <c r="G721" s="116"/>
      <c r="H721" s="116"/>
      <c r="I721" s="116"/>
      <c r="J721" s="116"/>
      <c r="K721" s="116"/>
      <c r="L721" s="326"/>
    </row>
    <row r="722" spans="2:12" ht="18.95" customHeight="1">
      <c r="B722" s="254" t="s">
        <v>1802</v>
      </c>
      <c r="C722" s="116" t="s">
        <v>1800</v>
      </c>
      <c r="D722" s="323" t="s">
        <v>1803</v>
      </c>
      <c r="E722" s="523">
        <v>44614</v>
      </c>
      <c r="F722" s="116"/>
      <c r="G722" s="116"/>
      <c r="H722" s="116"/>
      <c r="I722" s="478" t="s">
        <v>1804</v>
      </c>
      <c r="J722" s="116"/>
      <c r="K722" s="116"/>
      <c r="L722" s="326"/>
    </row>
    <row r="723" spans="2:12" ht="18.95" customHeight="1">
      <c r="B723" s="254" t="s">
        <v>1805</v>
      </c>
      <c r="C723" s="116" t="s">
        <v>32</v>
      </c>
      <c r="D723" s="323" t="s">
        <v>1801</v>
      </c>
      <c r="E723" s="523">
        <v>44623</v>
      </c>
      <c r="F723" s="116"/>
      <c r="G723" s="116"/>
      <c r="H723" s="116"/>
      <c r="I723" s="116"/>
      <c r="J723" s="116"/>
      <c r="K723" s="116"/>
      <c r="L723" s="326"/>
    </row>
    <row r="724" spans="2:12" ht="18.95" customHeight="1">
      <c r="B724" s="254" t="s">
        <v>1806</v>
      </c>
      <c r="C724" s="116" t="s">
        <v>36</v>
      </c>
      <c r="D724" s="323" t="s">
        <v>1801</v>
      </c>
      <c r="E724" s="523">
        <v>44596</v>
      </c>
      <c r="F724" s="116"/>
      <c r="G724" s="116"/>
      <c r="H724" s="116"/>
      <c r="I724" s="116"/>
      <c r="J724" s="116"/>
      <c r="K724" s="116"/>
      <c r="L724" s="326"/>
    </row>
    <row r="725" spans="2:12" ht="18.95" customHeight="1">
      <c r="B725" s="254" t="s">
        <v>1807</v>
      </c>
      <c r="C725" s="116" t="s">
        <v>1373</v>
      </c>
      <c r="D725" s="323" t="s">
        <v>1801</v>
      </c>
      <c r="E725" s="523">
        <v>44597</v>
      </c>
      <c r="F725" s="116"/>
      <c r="G725" s="116"/>
      <c r="H725" s="116"/>
      <c r="I725" s="116"/>
      <c r="J725" s="116"/>
      <c r="K725" s="116"/>
      <c r="L725" s="326"/>
    </row>
    <row r="726" spans="2:12" ht="18.95" customHeight="1">
      <c r="B726" s="254" t="s">
        <v>1808</v>
      </c>
      <c r="C726" s="116" t="s">
        <v>34</v>
      </c>
      <c r="D726" s="323" t="s">
        <v>1803</v>
      </c>
      <c r="E726" s="523">
        <v>44598</v>
      </c>
      <c r="F726" s="116"/>
      <c r="G726" s="116"/>
      <c r="H726" s="116" t="s">
        <v>1809</v>
      </c>
      <c r="I726" s="116"/>
      <c r="J726" s="116"/>
      <c r="K726" s="116"/>
      <c r="L726" s="326"/>
    </row>
    <row r="727" spans="2:12" ht="18.95" customHeight="1">
      <c r="B727" s="254" t="s">
        <v>1810</v>
      </c>
      <c r="C727" s="116" t="s">
        <v>1800</v>
      </c>
      <c r="D727" s="323" t="s">
        <v>1801</v>
      </c>
      <c r="E727" s="523">
        <v>44598</v>
      </c>
      <c r="F727" s="116"/>
      <c r="G727" s="323" t="str">
        <f t="array" ref="G727">LOOKUP(1,0/(MID(G732,ROW($1:$6),1)),(MID(G732,ROW($1:$6),1)))</f>
        <v>3</v>
      </c>
      <c r="H727" s="116" t="s">
        <v>1811</v>
      </c>
      <c r="I727" s="116"/>
      <c r="J727" s="116"/>
      <c r="K727" s="116"/>
      <c r="L727" s="326"/>
    </row>
    <row r="728" spans="2:12" ht="18.95" customHeight="1">
      <c r="B728" s="524" t="s">
        <v>1812</v>
      </c>
      <c r="C728" s="250" t="s">
        <v>1800</v>
      </c>
      <c r="D728" s="525" t="s">
        <v>1801</v>
      </c>
      <c r="E728" s="526">
        <v>44598</v>
      </c>
      <c r="F728" s="116"/>
      <c r="G728" s="116"/>
      <c r="H728" s="116" t="s">
        <v>1813</v>
      </c>
      <c r="I728" s="116"/>
      <c r="J728" s="116"/>
      <c r="K728" s="116"/>
      <c r="L728" s="326"/>
    </row>
    <row r="729" spans="2:12" ht="18.95" customHeight="1">
      <c r="B729" s="254"/>
      <c r="C729" s="116"/>
      <c r="D729" s="116"/>
      <c r="E729" s="116"/>
      <c r="F729" s="116"/>
      <c r="G729" s="116"/>
      <c r="H729" s="116"/>
      <c r="I729" s="116"/>
      <c r="J729" s="116"/>
      <c r="K729" s="116"/>
      <c r="L729" s="326"/>
    </row>
    <row r="730" spans="2:12" ht="18.95" customHeight="1">
      <c r="B730" s="254"/>
      <c r="C730" s="116"/>
      <c r="D730" s="116"/>
      <c r="E730" s="116"/>
      <c r="F730" s="116"/>
      <c r="G730" s="116"/>
      <c r="H730" s="116"/>
      <c r="I730" s="116"/>
      <c r="J730" s="116"/>
      <c r="K730" s="116"/>
      <c r="L730" s="326"/>
    </row>
    <row r="731" spans="2:12" ht="18.95" customHeight="1">
      <c r="B731" s="254"/>
      <c r="C731" s="116"/>
      <c r="D731" s="116"/>
      <c r="E731" s="116"/>
      <c r="F731" s="116"/>
      <c r="G731" s="116"/>
      <c r="H731" s="116"/>
      <c r="I731" s="116"/>
      <c r="J731" s="116"/>
      <c r="K731" s="116"/>
      <c r="L731" s="326"/>
    </row>
    <row r="732" spans="2:12" ht="18.95" customHeight="1">
      <c r="B732" s="1136" t="s">
        <v>1814</v>
      </c>
      <c r="C732" s="1137"/>
      <c r="D732" s="1137"/>
      <c r="E732" s="1137"/>
      <c r="F732" s="1137"/>
      <c r="G732" s="1138" t="s">
        <v>1815</v>
      </c>
      <c r="H732" s="1138"/>
      <c r="I732" s="1138"/>
      <c r="J732" s="1138"/>
      <c r="K732" s="1138"/>
      <c r="L732" s="326"/>
    </row>
    <row r="733" spans="2:12" ht="18.95" customHeight="1">
      <c r="B733" s="456" t="s">
        <v>1800</v>
      </c>
      <c r="C733" s="99" t="s">
        <v>32</v>
      </c>
      <c r="D733" s="99" t="s">
        <v>34</v>
      </c>
      <c r="E733" s="99" t="s">
        <v>36</v>
      </c>
      <c r="F733" s="99" t="s">
        <v>1373</v>
      </c>
      <c r="G733" s="99" t="s">
        <v>1800</v>
      </c>
      <c r="H733" s="99" t="s">
        <v>32</v>
      </c>
      <c r="I733" s="99" t="s">
        <v>34</v>
      </c>
      <c r="J733" s="99" t="s">
        <v>36</v>
      </c>
      <c r="K733" s="99" t="s">
        <v>1373</v>
      </c>
      <c r="L733" s="326"/>
    </row>
    <row r="734" spans="2:12" ht="18.95" customHeight="1">
      <c r="B734" s="527" t="str">
        <f t="array" ref="B734">INDEX($B$721:$B$99994,SMALL(IF(($D$721:$D$728="是")*($C$721:$C$728=B$733)*(MONTH($E$721:$E$728)=2),ROW($A$1:$A$8),4^8),ROW(A1)))&amp;""</f>
        <v>张三1</v>
      </c>
      <c r="C734" s="353" t="str">
        <f t="array" ref="C734">INDEX($B$721:$B$99994,SMALL(IF(($D$721:$D$728="是")*($C$721:$C$728=C$733)*(MONTH($E$721:$E$728)=2),ROW($A$1:$A$8),4^8),ROW(B1)))&amp;""</f>
        <v/>
      </c>
      <c r="D734" s="353" t="str">
        <f t="array" ref="D734">INDEX($B$721:$B$99994,SMALL(IF(($D$721:$D$728="是")*($C$721:$C$728=D$733)*(MONTH($E$721:$E$728)=2),ROW($A$1:$A$8),4^8),ROW(C1)))&amp;""</f>
        <v/>
      </c>
      <c r="E734" s="353" t="str">
        <f t="array" ref="E734">INDEX($B$721:$B$99994,SMALL(IF(($D$721:$D$728="是")*($C$721:$C$728=E$733)*(MONTH($E$721:$E$728)=2),ROW($A$1:$A$8),4^8),ROW(D1)))&amp;""</f>
        <v>张三4</v>
      </c>
      <c r="F734" s="353" t="str">
        <f t="array" ref="F734">INDEX($B$721:$B$99994,SMALL(IF(($D$721:$D$728="是")*($C$721:$C$728=F$733)*(MONTH($E$721:$E$728)=2),ROW($A$1:$A$8),4^8),ROW(E1)))&amp;""</f>
        <v>张三5</v>
      </c>
      <c r="G734" s="353" t="str">
        <f t="array" ref="G734">INDEX($B$721:$B$99994,SMALL(IF(($D$721:$D$728="是")*($C$721:$C$728=B$733)*(MONTH($E$721:$E$728)=3),ROW($A$1:$A$8),4^8),ROW(A1)))&amp;""</f>
        <v/>
      </c>
      <c r="H734" s="353" t="str">
        <f t="array" ref="H734">INDEX($B$721:$B$99994,SMALL(IF(($D$721:$D$728="是")*($C$721:$C$728=C$733)*(MONTH($E$721:$E$728)=3),ROW($A$1:$A$8),4^8),ROW(B1)))&amp;""</f>
        <v>张三3</v>
      </c>
      <c r="I734" s="353" t="str">
        <f t="array" ref="I734">INDEX($B$721:$B$99994,SMALL(IF(($D$721:$D$728="是")*($C$721:$C$728=D$733)*(MONTH($E$721:$E$728)=3),ROW($A$1:$A$8),4^8),ROW(C1)))&amp;""</f>
        <v/>
      </c>
      <c r="J734" s="353" t="str">
        <f t="array" ref="J734">INDEX($B$721:$B$99994,SMALL(IF(($D$721:$D$728="是")*($C$721:$C$728=E$733)*(MONTH($E$721:$E$728)=3),ROW($A$1:$A$8),4^8),ROW(D1)))&amp;""</f>
        <v/>
      </c>
      <c r="K734" s="353" t="str">
        <f t="array" ref="K734">INDEX($B$721:$B$99994,SMALL(IF(($D$721:$D$728="是")*($C$721:$C$728=F$733)*(MONTH($E$721:$E$728)=3),ROW($A$1:$A$8),4^8),ROW(E1)))&amp;""</f>
        <v/>
      </c>
      <c r="L734" s="326"/>
    </row>
    <row r="735" spans="2:12" ht="18.95" customHeight="1">
      <c r="B735" s="527" t="str">
        <f t="array" ref="B735">INDEX($B$721:$B$99994,SMALL(IF(($D$721:$D$728="是")*($C$721:$C$728=B$733)*(MONTH($E$721:$E$728)=2),ROW($A$1:$A$8),4^8),ROW(A2)))&amp;""</f>
        <v>张三7</v>
      </c>
      <c r="C735" s="353" t="str">
        <f t="array" ref="C735">INDEX($B$721:$B$99994,SMALL(IF(($D$721:$D$728="是")*($C$721:$C$728=C$733)*(MONTH($E$721:$E$728)=2),ROW($A$1:$A$8),4^8),ROW(B2)))&amp;""</f>
        <v/>
      </c>
      <c r="D735" s="353" t="str">
        <f t="array" ref="D735">INDEX($B$721:$B$99994,SMALL(IF(($D$721:$D$728="是")*($C$721:$C$728=D$733)*(MONTH($E$721:$E$728)=2),ROW($A$1:$A$8),4^8),ROW(C2)))&amp;""</f>
        <v/>
      </c>
      <c r="E735" s="353" t="str">
        <f t="array" ref="E735">INDEX($B$721:$B$99994,SMALL(IF(($D$721:$D$728="是")*($C$721:$C$728=E$733)*(MONTH($E$721:$E$728)=2),ROW($A$1:$A$8),4^8),ROW(D2)))&amp;""</f>
        <v/>
      </c>
      <c r="F735" s="353" t="str">
        <f t="array" ref="F735">INDEX($B$721:$B$99994,SMALL(IF(($D$721:$D$728="是")*($C$721:$C$728=F$733)*(MONTH($E$721:$E$728)=2),ROW($A$1:$A$8),4^8),ROW(E2)))&amp;""</f>
        <v/>
      </c>
      <c r="G735" s="353" t="str">
        <f t="array" ref="G735">INDEX($B$721:$B$99994,SMALL(IF(($D$721:$D$728="是")*($C$721:$C$728=B$733)*(MONTH($E$721:$E$728)=3),ROW($A$1:$A$8),4^8),ROW(A2)))&amp;""</f>
        <v/>
      </c>
      <c r="H735" s="353" t="str">
        <f t="array" ref="H735">INDEX($B$721:$B$99994,SMALL(IF(($D$721:$D$728="是")*($C$721:$C$728=C$733)*(MONTH($E$721:$E$728)=3),ROW($A$1:$A$8),4^8),ROW(B2)))&amp;""</f>
        <v/>
      </c>
      <c r="I735" s="353" t="str">
        <f t="array" ref="I735">INDEX($B$721:$B$99994,SMALL(IF(($D$721:$D$728="是")*($C$721:$C$728=D$733)*(MONTH($E$721:$E$728)=3),ROW($A$1:$A$8),4^8),ROW(C2)))&amp;""</f>
        <v/>
      </c>
      <c r="J735" s="353" t="str">
        <f t="array" ref="J735">INDEX($B$721:$B$99994,SMALL(IF(($D$721:$D$728="是")*($C$721:$C$728=E$733)*(MONTH($E$721:$E$728)=3),ROW($A$1:$A$8),4^8),ROW(D2)))&amp;""</f>
        <v/>
      </c>
      <c r="K735" s="353" t="str">
        <f t="array" ref="K735">INDEX($B$721:$B$99994,SMALL(IF(($D$721:$D$728="是")*($C$721:$C$728=F$733)*(MONTH($E$721:$E$728)=3),ROW($A$1:$A$8),4^8),ROW(E2)))&amp;""</f>
        <v/>
      </c>
      <c r="L735" s="326"/>
    </row>
    <row r="736" spans="2:12" ht="18.95" customHeight="1">
      <c r="B736" s="527" t="str">
        <f t="array" ref="B736">INDEX($B$721:$B$99994,SMALL(IF(($D$721:$D$728="是")*($C$721:$C$728=B$733)*(MONTH($E$721:$E$728)=2),ROW($A$1:$A$8),4^8),ROW(A3)))&amp;""</f>
        <v>张三8</v>
      </c>
      <c r="C736" s="353" t="str">
        <f t="array" ref="C736">INDEX($B$721:$B$99994,SMALL(IF(($D$721:$D$728="是")*($C$721:$C$728=C$733)*(MONTH($E$721:$E$728)=2),ROW($A$1:$A$8),4^8),ROW(B3)))&amp;""</f>
        <v/>
      </c>
      <c r="D736" s="353" t="str">
        <f t="array" ref="D736">INDEX($B$721:$B$99994,SMALL(IF(($D$721:$D$728="是")*($C$721:$C$728=D$733)*(MONTH($E$721:$E$728)=2),ROW($A$1:$A$8),4^8),ROW(C3)))&amp;""</f>
        <v/>
      </c>
      <c r="E736" s="353" t="str">
        <f t="array" ref="E736">INDEX($B$721:$B$99994,SMALL(IF(($D$721:$D$728="是")*($C$721:$C$728=E$733)*(MONTH($E$721:$E$728)=2),ROW($A$1:$A$8),4^8),ROW(D3)))&amp;""</f>
        <v/>
      </c>
      <c r="F736" s="353" t="str">
        <f t="array" ref="F736">INDEX($B$721:$B$99994,SMALL(IF(($D$721:$D$728="是")*($C$721:$C$728=F$733)*(MONTH($E$721:$E$728)=2),ROW($A$1:$A$8),4^8),ROW(E3)))&amp;""</f>
        <v/>
      </c>
      <c r="G736" s="353" t="str">
        <f t="array" ref="G736">INDEX($B$721:$B$99994,SMALL(IF(($D$721:$D$728="是")*($C$721:$C$728=B$733)*(MONTH($E$721:$E$728)=3),ROW($A$1:$A$8),4^8),ROW(A3)))&amp;""</f>
        <v/>
      </c>
      <c r="H736" s="353" t="str">
        <f t="array" ref="H736">INDEX($B$721:$B$99994,SMALL(IF(($D$721:$D$728="是")*($C$721:$C$728=C$733)*(MONTH($E$721:$E$728)=3),ROW($A$1:$A$8),4^8),ROW(B3)))&amp;""</f>
        <v/>
      </c>
      <c r="I736" s="353" t="str">
        <f t="array" ref="I736">INDEX($B$721:$B$99994,SMALL(IF(($D$721:$D$728="是")*($C$721:$C$728=D$733)*(MONTH($E$721:$E$728)=3),ROW($A$1:$A$8),4^8),ROW(C3)))&amp;""</f>
        <v/>
      </c>
      <c r="J736" s="353" t="str">
        <f t="array" ref="J736">INDEX($B$721:$B$99994,SMALL(IF(($D$721:$D$728="是")*($C$721:$C$728=E$733)*(MONTH($E$721:$E$728)=3),ROW($A$1:$A$8),4^8),ROW(D3)))&amp;""</f>
        <v/>
      </c>
      <c r="K736" s="353" t="str">
        <f t="array" ref="K736">INDEX($B$721:$B$99994,SMALL(IF(($D$721:$D$728="是")*($C$721:$C$728=F$733)*(MONTH($E$721:$E$728)=3),ROW($A$1:$A$8),4^8),ROW(E3)))&amp;""</f>
        <v/>
      </c>
      <c r="L736" s="326"/>
    </row>
    <row r="737" spans="2:23" ht="18.95" customHeight="1">
      <c r="B737" s="527" t="str">
        <f t="array" ref="B737">INDEX($B$721:$B$99994,SMALL(IF(($D$721:$D$728="是")*($C$721:$C$728=B$733)*(MONTH($E$721:$E$728)=2),ROW($A$1:$A$8),4^8),ROW(A4)))&amp;""</f>
        <v/>
      </c>
      <c r="C737" s="353" t="str">
        <f t="array" ref="C737">INDEX($B$721:$B$99994,SMALL(IF(($D$721:$D$728="是")*($C$721:$C$728=C$733)*(MONTH($E$721:$E$728)=2),ROW($A$1:$A$8),4^8),ROW(B4)))&amp;""</f>
        <v/>
      </c>
      <c r="D737" s="353" t="str">
        <f t="array" ref="D737">INDEX($B$721:$B$99994,SMALL(IF(($D$721:$D$728="是")*($C$721:$C$728=D$733)*(MONTH($E$721:$E$728)=2),ROW($A$1:$A$8),4^8),ROW(C4)))&amp;""</f>
        <v/>
      </c>
      <c r="E737" s="353" t="str">
        <f t="array" ref="E737">INDEX($B$721:$B$99994,SMALL(IF(($D$721:$D$728="是")*($C$721:$C$728=E$733)*(MONTH($E$721:$E$728)=2),ROW($A$1:$A$8),4^8),ROW(D4)))&amp;""</f>
        <v/>
      </c>
      <c r="F737" s="353" t="str">
        <f t="array" ref="F737">INDEX($B$721:$B$99994,SMALL(IF(($D$721:$D$728="是")*($C$721:$C$728=F$733)*(MONTH($E$721:$E$728)=2),ROW($A$1:$A$8),4^8),ROW(E4)))&amp;""</f>
        <v/>
      </c>
      <c r="G737" s="353" t="str">
        <f t="array" ref="G737">INDEX($B$721:$B$99994,SMALL(IF(($D$721:$D$728="是")*($C$721:$C$728=B$733)*(MONTH($E$721:$E$728)=3),ROW($A$1:$A$8),4^8),ROW(A4)))&amp;""</f>
        <v/>
      </c>
      <c r="H737" s="353" t="str">
        <f t="array" ref="H737">INDEX($B$721:$B$99994,SMALL(IF(($D$721:$D$728="是")*($C$721:$C$728=C$733)*(MONTH($E$721:$E$728)=3),ROW($A$1:$A$8),4^8),ROW(B4)))&amp;""</f>
        <v/>
      </c>
      <c r="I737" s="353" t="str">
        <f t="array" ref="I737">INDEX($B$721:$B$99994,SMALL(IF(($D$721:$D$728="是")*($C$721:$C$728=D$733)*(MONTH($E$721:$E$728)=3),ROW($A$1:$A$8),4^8),ROW(C4)))&amp;""</f>
        <v/>
      </c>
      <c r="J737" s="353" t="str">
        <f t="array" ref="J737">INDEX($B$721:$B$99994,SMALL(IF(($D$721:$D$728="是")*($C$721:$C$728=E$733)*(MONTH($E$721:$E$728)=3),ROW($A$1:$A$8),4^8),ROW(D4)))&amp;""</f>
        <v/>
      </c>
      <c r="K737" s="353" t="str">
        <f t="array" ref="K737">INDEX($B$721:$B$99994,SMALL(IF(($D$721:$D$728="是")*($C$721:$C$728=F$733)*(MONTH($E$721:$E$728)=3),ROW($A$1:$A$8),4^8),ROW(E4)))&amp;""</f>
        <v/>
      </c>
      <c r="L737" s="326"/>
    </row>
    <row r="738" spans="2:23" ht="18.95" customHeight="1">
      <c r="B738" s="527" t="str">
        <f t="array" ref="B738">INDEX($B$721:$B$99994,SMALL(IF(($D$721:$D$728="是")*($C$721:$C$728=B$733)*(MONTH($E$721:$E$728)=2),ROW($A$1:$A$8),4^8),ROW(A5)))&amp;""</f>
        <v/>
      </c>
      <c r="C738" s="353" t="str">
        <f t="array" ref="C738">INDEX($B$721:$B$99994,SMALL(IF(($D$721:$D$728="是")*($C$721:$C$728=C$733)*(MONTH($E$721:$E$728)=2),ROW($A$1:$A$8),4^8),ROW(B5)))&amp;""</f>
        <v/>
      </c>
      <c r="D738" s="353" t="str">
        <f t="array" ref="D738">INDEX($B$721:$B$99994,SMALL(IF(($D$721:$D$728="是")*($C$721:$C$728=D$733)*(MONTH($E$721:$E$728)=2),ROW($A$1:$A$8),4^8),ROW(C5)))&amp;""</f>
        <v/>
      </c>
      <c r="E738" s="353" t="str">
        <f t="array" ref="E738">INDEX($B$721:$B$99994,SMALL(IF(($D$721:$D$728="是")*($C$721:$C$728=E$733)*(MONTH($E$721:$E$728)=2),ROW($A$1:$A$8),4^8),ROW(D5)))&amp;""</f>
        <v/>
      </c>
      <c r="F738" s="353" t="str">
        <f t="array" ref="F738">INDEX($B$721:$B$99994,SMALL(IF(($D$721:$D$728="是")*($C$721:$C$728=F$733)*(MONTH($E$721:$E$728)=2),ROW($A$1:$A$8),4^8),ROW(E5)))&amp;""</f>
        <v/>
      </c>
      <c r="G738" s="353" t="str">
        <f t="array" ref="G738">INDEX($B$721:$B$99994,SMALL(IF(($D$721:$D$728="是")*($C$721:$C$728=B$733)*(MONTH($E$721:$E$728)=3),ROW($A$1:$A$8),4^8),ROW(A5)))&amp;""</f>
        <v/>
      </c>
      <c r="H738" s="353" t="str">
        <f t="array" ref="H738">INDEX($B$721:$B$99994,SMALL(IF(($D$721:$D$728="是")*($C$721:$C$728=C$733)*(MONTH($E$721:$E$728)=3),ROW($A$1:$A$8),4^8),ROW(B5)))&amp;""</f>
        <v/>
      </c>
      <c r="I738" s="353" t="str">
        <f t="array" ref="I738">INDEX($B$721:$B$99994,SMALL(IF(($D$721:$D$728="是")*($C$721:$C$728=D$733)*(MONTH($E$721:$E$728)=3),ROW($A$1:$A$8),4^8),ROW(C5)))&amp;""</f>
        <v/>
      </c>
      <c r="J738" s="353" t="str">
        <f t="array" ref="J738">INDEX($B$721:$B$99994,SMALL(IF(($D$721:$D$728="是")*($C$721:$C$728=E$733)*(MONTH($E$721:$E$728)=3),ROW($A$1:$A$8),4^8),ROW(D5)))&amp;""</f>
        <v/>
      </c>
      <c r="K738" s="353" t="str">
        <f t="array" ref="K738">INDEX($B$721:$B$99994,SMALL(IF(($D$721:$D$728="是")*($C$721:$C$728=F$733)*(MONTH($E$721:$E$728)=3),ROW($A$1:$A$8),4^8),ROW(E5)))&amp;""</f>
        <v/>
      </c>
      <c r="L738" s="326"/>
    </row>
    <row r="739" spans="2:23" ht="18.95" customHeight="1">
      <c r="B739" s="527" t="str">
        <f t="array" ref="B739">INDEX($B$721:$B$99994,SMALL(IF(($D$721:$D$728="是")*($C$721:$C$728=B$733)*(MONTH($E$721:$E$728)=2),ROW($A$1:$A$8),4^8),ROW(A6)))&amp;""</f>
        <v/>
      </c>
      <c r="C739" s="353" t="str">
        <f t="array" ref="C739">INDEX($B$721:$B$99994,SMALL(IF(($D$721:$D$728="是")*($C$721:$C$728=C$733)*(MONTH($E$721:$E$728)=2),ROW($A$1:$A$8),4^8),ROW(B6)))&amp;""</f>
        <v/>
      </c>
      <c r="D739" s="353" t="str">
        <f t="array" ref="D739">INDEX($B$721:$B$99994,SMALL(IF(($D$721:$D$728="是")*($C$721:$C$728=D$733)*(MONTH($E$721:$E$728)=2),ROW($A$1:$A$8),4^8),ROW(C6)))&amp;""</f>
        <v/>
      </c>
      <c r="E739" s="353" t="str">
        <f t="array" ref="E739">INDEX($B$721:$B$99994,SMALL(IF(($D$721:$D$728="是")*($C$721:$C$728=E$733)*(MONTH($E$721:$E$728)=2),ROW($A$1:$A$8),4^8),ROW(D6)))&amp;""</f>
        <v/>
      </c>
      <c r="F739" s="353" t="str">
        <f t="array" ref="F739">INDEX($B$721:$B$99994,SMALL(IF(($D$721:$D$728="是")*($C$721:$C$728=F$733)*(MONTH($E$721:$E$728)=2),ROW($A$1:$A$8),4^8),ROW(E6)))&amp;""</f>
        <v/>
      </c>
      <c r="G739" s="353" t="str">
        <f t="array" ref="G739">INDEX($B$721:$B$99994,SMALL(IF(($D$721:$D$728="是")*($C$721:$C$728=B$733)*(MONTH($E$721:$E$728)=3),ROW($A$1:$A$8),4^8),ROW(A6)))&amp;""</f>
        <v/>
      </c>
      <c r="H739" s="353" t="str">
        <f t="array" ref="H739">INDEX($B$721:$B$99994,SMALL(IF(($D$721:$D$728="是")*($C$721:$C$728=C$733)*(MONTH($E$721:$E$728)=3),ROW($A$1:$A$8),4^8),ROW(B6)))&amp;""</f>
        <v/>
      </c>
      <c r="I739" s="353" t="str">
        <f t="array" ref="I739">INDEX($B$721:$B$99994,SMALL(IF(($D$721:$D$728="是")*($C$721:$C$728=D$733)*(MONTH($E$721:$E$728)=3),ROW($A$1:$A$8),4^8),ROW(C6)))&amp;""</f>
        <v/>
      </c>
      <c r="J739" s="353" t="str">
        <f t="array" ref="J739">INDEX($B$721:$B$99994,SMALL(IF(($D$721:$D$728="是")*($C$721:$C$728=E$733)*(MONTH($E$721:$E$728)=3),ROW($A$1:$A$8),4^8),ROW(D6)))&amp;""</f>
        <v/>
      </c>
      <c r="K739" s="353" t="str">
        <f t="array" ref="K739">INDEX($B$721:$B$99994,SMALL(IF(($D$721:$D$728="是")*($C$721:$C$728=F$733)*(MONTH($E$721:$E$728)=3),ROW($A$1:$A$8),4^8),ROW(E6)))&amp;""</f>
        <v/>
      </c>
      <c r="L739" s="326"/>
    </row>
    <row r="740" spans="2:23" ht="18.95" customHeight="1">
      <c r="B740" s="527" t="str">
        <f t="array" ref="B740">INDEX($B$721:$B$99994,SMALL(IF(($D$721:$D$728="是")*($C$721:$C$728=B$733)*(MONTH($E$721:$E$728)=2),ROW($A$1:$A$8),4^8),ROW(A7)))&amp;""</f>
        <v/>
      </c>
      <c r="C740" s="353" t="str">
        <f t="array" ref="C740">INDEX($B$721:$B$99994,SMALL(IF(($D$721:$D$728="是")*($C$721:$C$728=C$733)*(MONTH($E$721:$E$728)=2),ROW($A$1:$A$8),4^8),ROW(B7)))&amp;""</f>
        <v/>
      </c>
      <c r="D740" s="353" t="str">
        <f t="array" ref="D740">INDEX($B$721:$B$99994,SMALL(IF(($D$721:$D$728="是")*($C$721:$C$728=D$733)*(MONTH($E$721:$E$728)=2),ROW($A$1:$A$8),4^8),ROW(C7)))&amp;""</f>
        <v/>
      </c>
      <c r="E740" s="353" t="str">
        <f t="array" ref="E740">INDEX($B$721:$B$99994,SMALL(IF(($D$721:$D$728="是")*($C$721:$C$728=E$733)*(MONTH($E$721:$E$728)=2),ROW($A$1:$A$8),4^8),ROW(D7)))&amp;""</f>
        <v/>
      </c>
      <c r="F740" s="353" t="str">
        <f t="array" ref="F740">INDEX($B$721:$B$99994,SMALL(IF(($D$721:$D$728="是")*($C$721:$C$728=F$733)*(MONTH($E$721:$E$728)=2),ROW($A$1:$A$8),4^8),ROW(E7)))&amp;""</f>
        <v/>
      </c>
      <c r="G740" s="353" t="str">
        <f t="array" ref="G740">INDEX($B$721:$B$99994,SMALL(IF(($D$721:$D$728="是")*($C$721:$C$728=B$733)*(MONTH($E$721:$E$728)=3),ROW($A$1:$A$8),4^8),ROW(A7)))&amp;""</f>
        <v/>
      </c>
      <c r="H740" s="353" t="str">
        <f t="array" ref="H740">INDEX($B$721:$B$99994,SMALL(IF(($D$721:$D$728="是")*($C$721:$C$728=C$733)*(MONTH($E$721:$E$728)=3),ROW($A$1:$A$8),4^8),ROW(B7)))&amp;""</f>
        <v/>
      </c>
      <c r="I740" s="353" t="str">
        <f t="array" ref="I740">INDEX($B$721:$B$99994,SMALL(IF(($D$721:$D$728="是")*($C$721:$C$728=D$733)*(MONTH($E$721:$E$728)=3),ROW($A$1:$A$8),4^8),ROW(C7)))&amp;""</f>
        <v/>
      </c>
      <c r="J740" s="353" t="str">
        <f t="array" ref="J740">INDEX($B$721:$B$99994,SMALL(IF(($D$721:$D$728="是")*($C$721:$C$728=E$733)*(MONTH($E$721:$E$728)=3),ROW($A$1:$A$8),4^8),ROW(D7)))&amp;""</f>
        <v/>
      </c>
      <c r="K740" s="353" t="str">
        <f t="array" ref="K740">INDEX($B$721:$B$99994,SMALL(IF(($D$721:$D$728="是")*($C$721:$C$728=F$733)*(MONTH($E$721:$E$728)=3),ROW($A$1:$A$8),4^8),ROW(E7)))&amp;""</f>
        <v/>
      </c>
      <c r="L740" s="326"/>
    </row>
    <row r="741" spans="2:23" ht="18.95" customHeight="1">
      <c r="B741" s="254"/>
      <c r="C741" s="116"/>
      <c r="D741" s="116"/>
      <c r="E741" s="116"/>
      <c r="F741" s="116"/>
      <c r="G741" s="116"/>
      <c r="H741" s="116"/>
      <c r="I741" s="116"/>
      <c r="J741" s="116"/>
      <c r="K741" s="116"/>
      <c r="L741" s="326"/>
    </row>
    <row r="742" spans="2:23" ht="18.95" customHeight="1">
      <c r="B742" s="304"/>
      <c r="C742" s="305"/>
      <c r="D742" s="305"/>
      <c r="E742" s="305"/>
      <c r="F742" s="305"/>
      <c r="G742" s="305"/>
      <c r="H742" s="305"/>
      <c r="I742" s="305"/>
      <c r="J742" s="305"/>
      <c r="K742" s="305"/>
      <c r="L742" s="327"/>
    </row>
    <row r="744" spans="2:23" ht="18.95" customHeight="1">
      <c r="B744" s="333"/>
      <c r="C744" s="324"/>
      <c r="D744" s="324"/>
      <c r="E744" s="324"/>
      <c r="F744" s="324"/>
      <c r="G744" s="324"/>
      <c r="H744" s="324"/>
      <c r="I744" s="324"/>
      <c r="J744" s="324"/>
      <c r="K744" s="324"/>
      <c r="L744" s="324"/>
      <c r="M744" s="324"/>
      <c r="N744" s="324"/>
      <c r="O744" s="324"/>
      <c r="P744" s="324"/>
      <c r="Q744" s="324"/>
      <c r="R744" s="324"/>
      <c r="S744" s="324"/>
      <c r="T744" s="324"/>
      <c r="U744" s="324"/>
      <c r="V744" s="324"/>
      <c r="W744" s="325"/>
    </row>
    <row r="745" spans="2:23" ht="18.95" customHeight="1">
      <c r="B745" s="472" t="s">
        <v>1348</v>
      </c>
      <c r="C745" s="243" t="s">
        <v>1816</v>
      </c>
      <c r="D745" s="243" t="s">
        <v>1817</v>
      </c>
      <c r="E745" s="243" t="s">
        <v>131</v>
      </c>
      <c r="F745" s="243" t="s">
        <v>1818</v>
      </c>
      <c r="G745" s="243" t="s">
        <v>1819</v>
      </c>
      <c r="H745" s="243" t="s">
        <v>1820</v>
      </c>
      <c r="I745" s="243" t="s">
        <v>1821</v>
      </c>
      <c r="J745" s="243"/>
      <c r="K745" s="243" t="s">
        <v>1822</v>
      </c>
      <c r="L745" s="243"/>
      <c r="M745" s="243" t="s">
        <v>1823</v>
      </c>
      <c r="N745" s="243"/>
      <c r="O745" s="243" t="s">
        <v>1824</v>
      </c>
      <c r="P745" s="243"/>
      <c r="Q745" s="243" t="s">
        <v>1825</v>
      </c>
      <c r="R745" s="243"/>
      <c r="S745" s="243" t="s">
        <v>1826</v>
      </c>
      <c r="T745" s="243"/>
      <c r="U745" s="243" t="s">
        <v>1827</v>
      </c>
      <c r="V745" s="244"/>
      <c r="W745" s="326"/>
    </row>
    <row r="746" spans="2:23" ht="18.95" customHeight="1">
      <c r="B746" s="254"/>
      <c r="C746" s="116"/>
      <c r="D746" s="116"/>
      <c r="E746" s="116"/>
      <c r="F746" s="116"/>
      <c r="G746" s="116"/>
      <c r="H746" s="116"/>
      <c r="I746" s="116" t="s">
        <v>1828</v>
      </c>
      <c r="J746" s="116" t="s">
        <v>1829</v>
      </c>
      <c r="K746" s="116" t="s">
        <v>1828</v>
      </c>
      <c r="L746" s="116" t="s">
        <v>1829</v>
      </c>
      <c r="M746" s="116" t="s">
        <v>1828</v>
      </c>
      <c r="N746" s="116" t="s">
        <v>1829</v>
      </c>
      <c r="O746" s="116" t="s">
        <v>1828</v>
      </c>
      <c r="P746" s="116" t="s">
        <v>1829</v>
      </c>
      <c r="Q746" s="116" t="s">
        <v>1828</v>
      </c>
      <c r="R746" s="116" t="s">
        <v>1829</v>
      </c>
      <c r="S746" s="116" t="s">
        <v>1828</v>
      </c>
      <c r="T746" s="116" t="s">
        <v>1829</v>
      </c>
      <c r="U746" s="116" t="s">
        <v>1828</v>
      </c>
      <c r="V746" s="246" t="s">
        <v>1829</v>
      </c>
      <c r="W746" s="326"/>
    </row>
    <row r="747" spans="2:23" ht="18.95" customHeight="1">
      <c r="B747" s="254">
        <v>1</v>
      </c>
      <c r="C747" s="116" t="s">
        <v>1830</v>
      </c>
      <c r="D747" s="116" t="s">
        <v>1831</v>
      </c>
      <c r="E747" s="116" t="s">
        <v>1832</v>
      </c>
      <c r="F747" s="116" t="s">
        <v>1833</v>
      </c>
      <c r="G747" s="116" t="s">
        <v>1834</v>
      </c>
      <c r="H747" s="116" t="s">
        <v>1835</v>
      </c>
      <c r="I747" s="116" t="s">
        <v>1836</v>
      </c>
      <c r="J747" s="116" t="s">
        <v>1837</v>
      </c>
      <c r="K747" s="116" t="s">
        <v>1838</v>
      </c>
      <c r="L747" s="116" t="s">
        <v>1839</v>
      </c>
      <c r="M747" s="116" t="s">
        <v>1840</v>
      </c>
      <c r="N747" s="116" t="s">
        <v>1837</v>
      </c>
      <c r="O747" s="116" t="s">
        <v>1841</v>
      </c>
      <c r="P747" s="116" t="s">
        <v>1839</v>
      </c>
      <c r="Q747" s="116" t="s">
        <v>1838</v>
      </c>
      <c r="R747" s="116" t="s">
        <v>1839</v>
      </c>
      <c r="S747" s="116">
        <v>2021.9</v>
      </c>
      <c r="T747" s="116" t="s">
        <v>1839</v>
      </c>
      <c r="U747" s="116" t="s">
        <v>1842</v>
      </c>
      <c r="V747" s="246" t="s">
        <v>1837</v>
      </c>
      <c r="W747" s="326"/>
    </row>
    <row r="748" spans="2:23" ht="18.95" customHeight="1">
      <c r="B748" s="254">
        <v>2</v>
      </c>
      <c r="C748" s="116" t="s">
        <v>1843</v>
      </c>
      <c r="D748" s="116" t="s">
        <v>1844</v>
      </c>
      <c r="E748" s="116" t="s">
        <v>1845</v>
      </c>
      <c r="F748" s="116" t="s">
        <v>1833</v>
      </c>
      <c r="G748" s="116" t="s">
        <v>1834</v>
      </c>
      <c r="H748" s="116"/>
      <c r="I748" s="116" t="s">
        <v>1846</v>
      </c>
      <c r="J748" s="116" t="s">
        <v>1837</v>
      </c>
      <c r="K748" s="116" t="s">
        <v>1847</v>
      </c>
      <c r="L748" s="116" t="s">
        <v>1839</v>
      </c>
      <c r="M748" s="116"/>
      <c r="N748" s="116" t="e">
        <v>#VALUE!</v>
      </c>
      <c r="O748" s="116" t="s">
        <v>1846</v>
      </c>
      <c r="P748" s="116" t="s">
        <v>1839</v>
      </c>
      <c r="Q748" s="116" t="s">
        <v>1847</v>
      </c>
      <c r="R748" s="116" t="s">
        <v>1837</v>
      </c>
      <c r="S748" s="116" t="s">
        <v>1846</v>
      </c>
      <c r="T748" s="116" t="s">
        <v>1837</v>
      </c>
      <c r="U748" s="116" t="s">
        <v>1847</v>
      </c>
      <c r="V748" s="246" t="s">
        <v>1837</v>
      </c>
      <c r="W748" s="326"/>
    </row>
    <row r="749" spans="2:23" ht="18.95" customHeight="1">
      <c r="B749" s="254">
        <v>3</v>
      </c>
      <c r="C749" s="116" t="s">
        <v>1830</v>
      </c>
      <c r="D749" s="116" t="s">
        <v>1831</v>
      </c>
      <c r="E749" s="116" t="s">
        <v>1848</v>
      </c>
      <c r="F749" s="116" t="s">
        <v>1833</v>
      </c>
      <c r="G749" s="116" t="s">
        <v>1834</v>
      </c>
      <c r="H749" s="116" t="s">
        <v>1849</v>
      </c>
      <c r="I749" s="116" t="s">
        <v>1850</v>
      </c>
      <c r="J749" s="116" t="e">
        <v>#VALUE!</v>
      </c>
      <c r="K749" s="116" t="s">
        <v>1850</v>
      </c>
      <c r="L749" s="116" t="e">
        <v>#VALUE!</v>
      </c>
      <c r="M749" s="116" t="s">
        <v>1850</v>
      </c>
      <c r="N749" s="116" t="e">
        <v>#VALUE!</v>
      </c>
      <c r="O749" s="116" t="s">
        <v>1850</v>
      </c>
      <c r="P749" s="116" t="e">
        <v>#VALUE!</v>
      </c>
      <c r="Q749" s="116" t="s">
        <v>1850</v>
      </c>
      <c r="R749" s="116" t="e">
        <v>#VALUE!</v>
      </c>
      <c r="S749" s="116" t="s">
        <v>1850</v>
      </c>
      <c r="T749" s="116" t="e">
        <v>#VALUE!</v>
      </c>
      <c r="U749" s="116" t="s">
        <v>1850</v>
      </c>
      <c r="V749" s="246" t="e">
        <v>#VALUE!</v>
      </c>
      <c r="W749" s="326"/>
    </row>
    <row r="750" spans="2:23" ht="18.95" customHeight="1">
      <c r="B750" s="254">
        <v>4</v>
      </c>
      <c r="C750" s="116" t="s">
        <v>1851</v>
      </c>
      <c r="D750" s="116" t="s">
        <v>1852</v>
      </c>
      <c r="E750" s="116" t="s">
        <v>1853</v>
      </c>
      <c r="F750" s="116" t="s">
        <v>1833</v>
      </c>
      <c r="G750" s="116" t="s">
        <v>1854</v>
      </c>
      <c r="H750" s="116" t="s">
        <v>1855</v>
      </c>
      <c r="I750" s="116" t="s">
        <v>1856</v>
      </c>
      <c r="J750" s="116" t="s">
        <v>1837</v>
      </c>
      <c r="K750" s="116" t="s">
        <v>1847</v>
      </c>
      <c r="L750" s="116" t="s">
        <v>1839</v>
      </c>
      <c r="M750" s="116" t="s">
        <v>1857</v>
      </c>
      <c r="N750" s="116" t="s">
        <v>1837</v>
      </c>
      <c r="O750" s="116" t="s">
        <v>1858</v>
      </c>
      <c r="P750" s="116" t="s">
        <v>1837</v>
      </c>
      <c r="Q750" s="116" t="s">
        <v>1858</v>
      </c>
      <c r="R750" s="116" t="s">
        <v>1839</v>
      </c>
      <c r="S750" s="116"/>
      <c r="T750" s="116" t="e">
        <v>#VALUE!</v>
      </c>
      <c r="U750" s="116" t="s">
        <v>1859</v>
      </c>
      <c r="V750" s="246" t="s">
        <v>1837</v>
      </c>
      <c r="W750" s="326"/>
    </row>
    <row r="751" spans="2:23" ht="18.95" customHeight="1">
      <c r="B751" s="254">
        <v>5</v>
      </c>
      <c r="C751" s="116" t="s">
        <v>1860</v>
      </c>
      <c r="D751" s="116" t="s">
        <v>1831</v>
      </c>
      <c r="E751" s="116" t="s">
        <v>1861</v>
      </c>
      <c r="F751" s="116" t="s">
        <v>1833</v>
      </c>
      <c r="G751" s="116" t="s">
        <v>1834</v>
      </c>
      <c r="H751" s="116" t="s">
        <v>1835</v>
      </c>
      <c r="I751" s="116" t="s">
        <v>1862</v>
      </c>
      <c r="J751" s="116" t="s">
        <v>1837</v>
      </c>
      <c r="K751" s="116" t="s">
        <v>1863</v>
      </c>
      <c r="L751" s="116" t="s">
        <v>1837</v>
      </c>
      <c r="M751" s="116" t="s">
        <v>1864</v>
      </c>
      <c r="N751" s="116" t="s">
        <v>1839</v>
      </c>
      <c r="O751" s="116" t="s">
        <v>1864</v>
      </c>
      <c r="P751" s="116" t="s">
        <v>1839</v>
      </c>
      <c r="Q751" s="116" t="s">
        <v>1865</v>
      </c>
      <c r="R751" s="116" t="s">
        <v>1839</v>
      </c>
      <c r="S751" s="116" t="s">
        <v>1866</v>
      </c>
      <c r="T751" s="116" t="s">
        <v>1839</v>
      </c>
      <c r="U751" s="116" t="s">
        <v>1867</v>
      </c>
      <c r="V751" s="246" t="s">
        <v>1839</v>
      </c>
      <c r="W751" s="326"/>
    </row>
    <row r="752" spans="2:23" ht="18.95" customHeight="1">
      <c r="B752" s="254">
        <v>6</v>
      </c>
      <c r="C752" s="116" t="s">
        <v>1868</v>
      </c>
      <c r="D752" s="116" t="s">
        <v>1844</v>
      </c>
      <c r="E752" s="116" t="s">
        <v>1869</v>
      </c>
      <c r="F752" s="116" t="s">
        <v>1833</v>
      </c>
      <c r="G752" s="116" t="s">
        <v>1834</v>
      </c>
      <c r="H752" s="116"/>
      <c r="I752" s="116" t="s">
        <v>1870</v>
      </c>
      <c r="J752" s="116" t="s">
        <v>1837</v>
      </c>
      <c r="K752" s="116" t="s">
        <v>1871</v>
      </c>
      <c r="L752" s="116" t="s">
        <v>1837</v>
      </c>
      <c r="M752" s="116" t="s">
        <v>1872</v>
      </c>
      <c r="N752" s="116" t="s">
        <v>1837</v>
      </c>
      <c r="O752" s="116" t="s">
        <v>1873</v>
      </c>
      <c r="P752" s="116" t="s">
        <v>1839</v>
      </c>
      <c r="Q752" s="116" t="s">
        <v>1859</v>
      </c>
      <c r="R752" s="116" t="s">
        <v>1839</v>
      </c>
      <c r="S752" s="116" t="s">
        <v>1874</v>
      </c>
      <c r="T752" s="116" t="s">
        <v>1837</v>
      </c>
      <c r="U752" s="116" t="s">
        <v>1870</v>
      </c>
      <c r="V752" s="246" t="s">
        <v>1839</v>
      </c>
      <c r="W752" s="326"/>
    </row>
    <row r="753" spans="2:23" ht="18.95" customHeight="1">
      <c r="B753" s="254">
        <v>7</v>
      </c>
      <c r="C753" s="116" t="s">
        <v>1868</v>
      </c>
      <c r="D753" s="116" t="s">
        <v>1875</v>
      </c>
      <c r="E753" s="116" t="s">
        <v>1876</v>
      </c>
      <c r="F753" s="116" t="s">
        <v>1833</v>
      </c>
      <c r="G753" s="116" t="s">
        <v>1834</v>
      </c>
      <c r="H753" s="116"/>
      <c r="I753" s="116" t="s">
        <v>1877</v>
      </c>
      <c r="J753" s="116" t="s">
        <v>1839</v>
      </c>
      <c r="K753" s="116" t="s">
        <v>1878</v>
      </c>
      <c r="L753" s="116" t="s">
        <v>1839</v>
      </c>
      <c r="M753" s="116" t="s">
        <v>1879</v>
      </c>
      <c r="N753" s="116" t="s">
        <v>1837</v>
      </c>
      <c r="O753" s="116" t="s">
        <v>1874</v>
      </c>
      <c r="P753" s="116" t="s">
        <v>1839</v>
      </c>
      <c r="Q753" s="116" t="s">
        <v>1878</v>
      </c>
      <c r="R753" s="116" t="s">
        <v>1839</v>
      </c>
      <c r="S753" s="116" t="s">
        <v>1874</v>
      </c>
      <c r="T753" s="116" t="s">
        <v>1837</v>
      </c>
      <c r="U753" s="116" t="s">
        <v>1874</v>
      </c>
      <c r="V753" s="246" t="s">
        <v>1839</v>
      </c>
      <c r="W753" s="326"/>
    </row>
    <row r="754" spans="2:23" ht="18.95" customHeight="1">
      <c r="B754" s="254">
        <v>8</v>
      </c>
      <c r="C754" s="116">
        <v>74</v>
      </c>
      <c r="D754" s="116">
        <v>41</v>
      </c>
      <c r="E754" s="116" t="s">
        <v>1880</v>
      </c>
      <c r="F754" s="116" t="s">
        <v>1833</v>
      </c>
      <c r="G754" s="116" t="s">
        <v>1834</v>
      </c>
      <c r="H754" s="116" t="s">
        <v>1881</v>
      </c>
      <c r="I754" s="116" t="s">
        <v>1877</v>
      </c>
      <c r="J754" s="116" t="s">
        <v>1839</v>
      </c>
      <c r="K754" s="116" t="s">
        <v>1882</v>
      </c>
      <c r="L754" s="116" t="s">
        <v>1839</v>
      </c>
      <c r="M754" s="116" t="s">
        <v>1836</v>
      </c>
      <c r="N754" s="116" t="s">
        <v>1839</v>
      </c>
      <c r="O754" s="116" t="s">
        <v>1882</v>
      </c>
      <c r="P754" s="116" t="s">
        <v>1839</v>
      </c>
      <c r="Q754" s="116" t="s">
        <v>1883</v>
      </c>
      <c r="R754" s="116" t="s">
        <v>1839</v>
      </c>
      <c r="S754" s="116" t="s">
        <v>1884</v>
      </c>
      <c r="T754" s="116" t="s">
        <v>1839</v>
      </c>
      <c r="U754" s="116" t="s">
        <v>1885</v>
      </c>
      <c r="V754" s="246" t="s">
        <v>1839</v>
      </c>
      <c r="W754" s="326"/>
    </row>
    <row r="755" spans="2:23" ht="18.95" customHeight="1">
      <c r="B755" s="254">
        <v>9</v>
      </c>
      <c r="C755" s="116" t="s">
        <v>1860</v>
      </c>
      <c r="D755" s="116" t="s">
        <v>1886</v>
      </c>
      <c r="E755" s="116" t="s">
        <v>1887</v>
      </c>
      <c r="F755" s="116" t="s">
        <v>1833</v>
      </c>
      <c r="G755" s="116" t="s">
        <v>1834</v>
      </c>
      <c r="H755" s="116" t="s">
        <v>1888</v>
      </c>
      <c r="I755" s="116" t="s">
        <v>1884</v>
      </c>
      <c r="J755" s="116" t="s">
        <v>1837</v>
      </c>
      <c r="K755" s="116" t="s">
        <v>1867</v>
      </c>
      <c r="L755" s="116" t="s">
        <v>1839</v>
      </c>
      <c r="M755" s="116" t="s">
        <v>1889</v>
      </c>
      <c r="N755" s="116" t="s">
        <v>1837</v>
      </c>
      <c r="O755" s="116" t="s">
        <v>1890</v>
      </c>
      <c r="P755" s="116" t="s">
        <v>1839</v>
      </c>
      <c r="Q755" s="116" t="s">
        <v>1883</v>
      </c>
      <c r="R755" s="116" t="s">
        <v>1839</v>
      </c>
      <c r="S755" s="116" t="s">
        <v>1891</v>
      </c>
      <c r="T755" s="116" t="e">
        <v>#NUM!</v>
      </c>
      <c r="U755" s="116" t="s">
        <v>1870</v>
      </c>
      <c r="V755" s="246" t="s">
        <v>1839</v>
      </c>
      <c r="W755" s="326"/>
    </row>
    <row r="756" spans="2:23" ht="18.95" customHeight="1">
      <c r="B756" s="254">
        <v>10</v>
      </c>
      <c r="C756" s="116" t="s">
        <v>1830</v>
      </c>
      <c r="D756" s="116" t="s">
        <v>1892</v>
      </c>
      <c r="E756" s="116" t="s">
        <v>1893</v>
      </c>
      <c r="F756" s="116" t="s">
        <v>1833</v>
      </c>
      <c r="G756" s="116" t="s">
        <v>1834</v>
      </c>
      <c r="H756" s="116" t="s">
        <v>1894</v>
      </c>
      <c r="I756" s="116" t="s">
        <v>1877</v>
      </c>
      <c r="J756" s="116" t="s">
        <v>1839</v>
      </c>
      <c r="K756" s="116" t="s">
        <v>1867</v>
      </c>
      <c r="L756" s="116" t="s">
        <v>1839</v>
      </c>
      <c r="M756" s="116" t="s">
        <v>1840</v>
      </c>
      <c r="N756" s="116" t="s">
        <v>1837</v>
      </c>
      <c r="O756" s="116" t="s">
        <v>1895</v>
      </c>
      <c r="P756" s="116" t="s">
        <v>1837</v>
      </c>
      <c r="Q756" s="116" t="s">
        <v>1896</v>
      </c>
      <c r="R756" s="116" t="s">
        <v>1839</v>
      </c>
      <c r="S756" s="116" t="s">
        <v>1897</v>
      </c>
      <c r="T756" s="116" t="s">
        <v>1837</v>
      </c>
      <c r="U756" s="116" t="s">
        <v>1898</v>
      </c>
      <c r="V756" s="246" t="s">
        <v>1837</v>
      </c>
      <c r="W756" s="326"/>
    </row>
    <row r="757" spans="2:23" ht="18.95" customHeight="1">
      <c r="B757" s="254">
        <v>11</v>
      </c>
      <c r="C757" s="116" t="s">
        <v>1860</v>
      </c>
      <c r="D757" s="116" t="s">
        <v>1886</v>
      </c>
      <c r="E757" s="116" t="s">
        <v>1899</v>
      </c>
      <c r="F757" s="116" t="s">
        <v>1833</v>
      </c>
      <c r="G757" s="116" t="s">
        <v>1834</v>
      </c>
      <c r="H757" s="116" t="s">
        <v>1900</v>
      </c>
      <c r="I757" s="116" t="s">
        <v>1884</v>
      </c>
      <c r="J757" s="116" t="s">
        <v>1837</v>
      </c>
      <c r="K757" s="116" t="s">
        <v>1867</v>
      </c>
      <c r="L757" s="116" t="s">
        <v>1839</v>
      </c>
      <c r="M757" s="116" t="s">
        <v>1872</v>
      </c>
      <c r="N757" s="116" t="s">
        <v>1837</v>
      </c>
      <c r="O757" s="116" t="s">
        <v>1901</v>
      </c>
      <c r="P757" s="116" t="s">
        <v>1839</v>
      </c>
      <c r="Q757" s="116" t="s">
        <v>1883</v>
      </c>
      <c r="R757" s="116" t="s">
        <v>1839</v>
      </c>
      <c r="S757" s="116" t="s">
        <v>1841</v>
      </c>
      <c r="T757" s="116" t="s">
        <v>1839</v>
      </c>
      <c r="U757" s="116" t="s">
        <v>1867</v>
      </c>
      <c r="V757" s="246" t="s">
        <v>1839</v>
      </c>
      <c r="W757" s="326"/>
    </row>
    <row r="758" spans="2:23" ht="18.95" customHeight="1">
      <c r="B758" s="254">
        <v>12</v>
      </c>
      <c r="C758" s="116" t="s">
        <v>1843</v>
      </c>
      <c r="D758" s="116" t="s">
        <v>1875</v>
      </c>
      <c r="E758" s="116" t="s">
        <v>1902</v>
      </c>
      <c r="F758" s="116" t="s">
        <v>1833</v>
      </c>
      <c r="G758" s="116" t="s">
        <v>1903</v>
      </c>
      <c r="H758" s="116" t="s">
        <v>1855</v>
      </c>
      <c r="I758" s="116" t="s">
        <v>1862</v>
      </c>
      <c r="J758" s="116" t="s">
        <v>1837</v>
      </c>
      <c r="K758" s="116" t="s">
        <v>1904</v>
      </c>
      <c r="L758" s="116" t="s">
        <v>1837</v>
      </c>
      <c r="M758" s="116" t="s">
        <v>1840</v>
      </c>
      <c r="N758" s="116" t="s">
        <v>1837</v>
      </c>
      <c r="O758" s="116" t="s">
        <v>1885</v>
      </c>
      <c r="P758" s="116" t="s">
        <v>1839</v>
      </c>
      <c r="Q758" s="116" t="s">
        <v>1904</v>
      </c>
      <c r="R758" s="116" t="s">
        <v>1837</v>
      </c>
      <c r="S758" s="116" t="s">
        <v>1890</v>
      </c>
      <c r="T758" s="116" t="s">
        <v>1839</v>
      </c>
      <c r="U758" s="116" t="s">
        <v>1878</v>
      </c>
      <c r="V758" s="246" t="s">
        <v>1837</v>
      </c>
      <c r="W758" s="326"/>
    </row>
    <row r="759" spans="2:23" ht="18.95" customHeight="1">
      <c r="B759" s="254">
        <v>13</v>
      </c>
      <c r="C759" s="116" t="s">
        <v>1860</v>
      </c>
      <c r="D759" s="116" t="s">
        <v>1905</v>
      </c>
      <c r="E759" s="116" t="s">
        <v>1906</v>
      </c>
      <c r="F759" s="116" t="s">
        <v>1833</v>
      </c>
      <c r="G759" s="116" t="s">
        <v>1907</v>
      </c>
      <c r="H759" s="116" t="s">
        <v>1908</v>
      </c>
      <c r="I759" s="116" t="s">
        <v>1909</v>
      </c>
      <c r="J759" s="116" t="s">
        <v>1839</v>
      </c>
      <c r="K759" s="116" t="s">
        <v>1838</v>
      </c>
      <c r="L759" s="116" t="s">
        <v>1839</v>
      </c>
      <c r="M759" s="116" t="s">
        <v>1910</v>
      </c>
      <c r="N759" s="116" t="s">
        <v>1839</v>
      </c>
      <c r="O759" s="116" t="s">
        <v>1911</v>
      </c>
      <c r="P759" s="116" t="s">
        <v>1837</v>
      </c>
      <c r="Q759" s="116" t="s">
        <v>1912</v>
      </c>
      <c r="R759" s="116" t="s">
        <v>1839</v>
      </c>
      <c r="S759" s="116" t="s">
        <v>1890</v>
      </c>
      <c r="T759" s="116" t="s">
        <v>1839</v>
      </c>
      <c r="U759" s="116" t="s">
        <v>1870</v>
      </c>
      <c r="V759" s="246" t="s">
        <v>1839</v>
      </c>
      <c r="W759" s="326"/>
    </row>
    <row r="760" spans="2:23" ht="18.95" customHeight="1">
      <c r="B760" s="254">
        <v>14</v>
      </c>
      <c r="C760" s="116" t="s">
        <v>1843</v>
      </c>
      <c r="D760" s="116" t="s">
        <v>1905</v>
      </c>
      <c r="E760" s="116" t="s">
        <v>1913</v>
      </c>
      <c r="F760" s="116" t="s">
        <v>1833</v>
      </c>
      <c r="G760" s="116" t="s">
        <v>1834</v>
      </c>
      <c r="H760" s="116" t="s">
        <v>1908</v>
      </c>
      <c r="I760" s="116" t="s">
        <v>1914</v>
      </c>
      <c r="J760" s="116" t="s">
        <v>1837</v>
      </c>
      <c r="K760" s="116" t="s">
        <v>1904</v>
      </c>
      <c r="L760" s="116" t="s">
        <v>1837</v>
      </c>
      <c r="M760" s="116" t="s">
        <v>1840</v>
      </c>
      <c r="N760" s="116" t="s">
        <v>1837</v>
      </c>
      <c r="O760" s="116" t="s">
        <v>1910</v>
      </c>
      <c r="P760" s="116" t="s">
        <v>1839</v>
      </c>
      <c r="Q760" s="116" t="s">
        <v>1915</v>
      </c>
      <c r="R760" s="116" t="s">
        <v>1839</v>
      </c>
      <c r="S760" s="116" t="s">
        <v>1890</v>
      </c>
      <c r="T760" s="116" t="s">
        <v>1839</v>
      </c>
      <c r="U760" s="116" t="s">
        <v>1867</v>
      </c>
      <c r="V760" s="246" t="s">
        <v>1839</v>
      </c>
      <c r="W760" s="326"/>
    </row>
    <row r="761" spans="2:23" ht="18.95" customHeight="1">
      <c r="B761" s="254">
        <v>15</v>
      </c>
      <c r="C761" s="116" t="s">
        <v>1860</v>
      </c>
      <c r="D761" s="116" t="s">
        <v>1905</v>
      </c>
      <c r="E761" s="116" t="s">
        <v>1916</v>
      </c>
      <c r="F761" s="116" t="s">
        <v>1833</v>
      </c>
      <c r="G761" s="116" t="s">
        <v>1834</v>
      </c>
      <c r="H761" s="116" t="s">
        <v>1917</v>
      </c>
      <c r="I761" s="116" t="s">
        <v>1884</v>
      </c>
      <c r="J761" s="116" t="s">
        <v>1837</v>
      </c>
      <c r="K761" s="116" t="s">
        <v>1867</v>
      </c>
      <c r="L761" s="116" t="s">
        <v>1839</v>
      </c>
      <c r="M761" s="116" t="s">
        <v>1910</v>
      </c>
      <c r="N761" s="116" t="s">
        <v>1839</v>
      </c>
      <c r="O761" s="116" t="s">
        <v>1890</v>
      </c>
      <c r="P761" s="116" t="s">
        <v>1839</v>
      </c>
      <c r="Q761" s="116" t="s">
        <v>1865</v>
      </c>
      <c r="R761" s="116" t="s">
        <v>1839</v>
      </c>
      <c r="S761" s="116" t="s">
        <v>1890</v>
      </c>
      <c r="T761" s="116" t="s">
        <v>1839</v>
      </c>
      <c r="U761" s="116" t="s">
        <v>1885</v>
      </c>
      <c r="V761" s="246" t="s">
        <v>1839</v>
      </c>
      <c r="W761" s="326"/>
    </row>
    <row r="762" spans="2:23" ht="18.95" customHeight="1">
      <c r="B762" s="254">
        <v>16</v>
      </c>
      <c r="C762" s="116" t="s">
        <v>1843</v>
      </c>
      <c r="D762" s="116" t="s">
        <v>1844</v>
      </c>
      <c r="E762" s="116" t="s">
        <v>1918</v>
      </c>
      <c r="F762" s="116" t="s">
        <v>1833</v>
      </c>
      <c r="G762" s="116" t="s">
        <v>1834</v>
      </c>
      <c r="H762" s="116"/>
      <c r="I762" s="116" t="s">
        <v>1836</v>
      </c>
      <c r="J762" s="116" t="s">
        <v>1837</v>
      </c>
      <c r="K762" s="116" t="s">
        <v>1919</v>
      </c>
      <c r="L762" s="116" t="s">
        <v>1839</v>
      </c>
      <c r="M762" s="116" t="s">
        <v>1920</v>
      </c>
      <c r="N762" s="116" t="e">
        <v>#NUM!</v>
      </c>
      <c r="O762" s="116" t="s">
        <v>1910</v>
      </c>
      <c r="P762" s="116" t="s">
        <v>1839</v>
      </c>
      <c r="Q762" s="116" t="s">
        <v>1921</v>
      </c>
      <c r="R762" s="116" t="s">
        <v>1839</v>
      </c>
      <c r="S762" s="116" t="s">
        <v>1890</v>
      </c>
      <c r="T762" s="116" t="s">
        <v>1839</v>
      </c>
      <c r="U762" s="116" t="s">
        <v>1874</v>
      </c>
      <c r="V762" s="246" t="s">
        <v>1839</v>
      </c>
      <c r="W762" s="326"/>
    </row>
    <row r="763" spans="2:23" ht="18.95" customHeight="1">
      <c r="B763" s="254">
        <v>17</v>
      </c>
      <c r="C763" s="116" t="s">
        <v>1843</v>
      </c>
      <c r="D763" s="116" t="s">
        <v>1875</v>
      </c>
      <c r="E763" s="116" t="s">
        <v>1922</v>
      </c>
      <c r="F763" s="116" t="s">
        <v>1833</v>
      </c>
      <c r="G763" s="116" t="s">
        <v>1923</v>
      </c>
      <c r="H763" s="116" t="s">
        <v>1908</v>
      </c>
      <c r="I763" s="116" t="s">
        <v>1884</v>
      </c>
      <c r="J763" s="116" t="s">
        <v>1837</v>
      </c>
      <c r="K763" s="116" t="s">
        <v>1921</v>
      </c>
      <c r="L763" s="116" t="s">
        <v>1839</v>
      </c>
      <c r="M763" s="116" t="s">
        <v>1872</v>
      </c>
      <c r="N763" s="116" t="s">
        <v>1837</v>
      </c>
      <c r="O763" s="116" t="s">
        <v>1924</v>
      </c>
      <c r="P763" s="116" t="s">
        <v>1839</v>
      </c>
      <c r="Q763" s="116" t="s">
        <v>1925</v>
      </c>
      <c r="R763" s="116" t="s">
        <v>1839</v>
      </c>
      <c r="S763" s="116" t="s">
        <v>1870</v>
      </c>
      <c r="T763" s="116" t="s">
        <v>1839</v>
      </c>
      <c r="U763" s="116" t="s">
        <v>1867</v>
      </c>
      <c r="V763" s="246" t="s">
        <v>1839</v>
      </c>
      <c r="W763" s="326"/>
    </row>
    <row r="764" spans="2:23" ht="18.95" customHeight="1">
      <c r="B764" s="524">
        <v>18</v>
      </c>
      <c r="C764" s="250" t="s">
        <v>1830</v>
      </c>
      <c r="D764" s="250" t="s">
        <v>1831</v>
      </c>
      <c r="E764" s="250" t="s">
        <v>1926</v>
      </c>
      <c r="F764" s="250" t="s">
        <v>1833</v>
      </c>
      <c r="G764" s="250" t="s">
        <v>1834</v>
      </c>
      <c r="H764" s="250" t="s">
        <v>1888</v>
      </c>
      <c r="I764" s="250" t="s">
        <v>1877</v>
      </c>
      <c r="J764" s="250" t="s">
        <v>1839</v>
      </c>
      <c r="K764" s="250" t="s">
        <v>1838</v>
      </c>
      <c r="L764" s="250" t="s">
        <v>1839</v>
      </c>
      <c r="M764" s="250" t="s">
        <v>1927</v>
      </c>
      <c r="N764" s="250" t="s">
        <v>1837</v>
      </c>
      <c r="O764" s="250" t="s">
        <v>1928</v>
      </c>
      <c r="P764" s="250" t="s">
        <v>1839</v>
      </c>
      <c r="Q764" s="250" t="s">
        <v>1883</v>
      </c>
      <c r="R764" s="250" t="s">
        <v>1839</v>
      </c>
      <c r="S764" s="250" t="s">
        <v>1882</v>
      </c>
      <c r="T764" s="250" t="s">
        <v>1839</v>
      </c>
      <c r="U764" s="250" t="s">
        <v>1870</v>
      </c>
      <c r="V764" s="251" t="s">
        <v>1839</v>
      </c>
      <c r="W764" s="326"/>
    </row>
    <row r="765" spans="2:23" ht="18.95" customHeight="1">
      <c r="B765" s="254"/>
      <c r="C765" s="116"/>
      <c r="D765" s="116"/>
      <c r="E765" s="116"/>
      <c r="F765" s="116"/>
      <c r="G765" s="116"/>
      <c r="H765" s="116"/>
      <c r="I765" s="116"/>
      <c r="J765" s="116"/>
      <c r="K765" s="116"/>
      <c r="L765" s="116"/>
      <c r="M765" s="116"/>
      <c r="N765" s="116"/>
      <c r="O765" s="116"/>
      <c r="P765" s="116"/>
      <c r="Q765" s="116"/>
      <c r="R765" s="116"/>
      <c r="S765" s="116"/>
      <c r="T765" s="116"/>
      <c r="U765" s="116"/>
      <c r="V765" s="116"/>
      <c r="W765" s="326"/>
    </row>
    <row r="766" spans="2:23" ht="18.95" customHeight="1">
      <c r="B766" s="226"/>
      <c r="C766" s="1139" t="s">
        <v>1929</v>
      </c>
      <c r="D766" s="1139"/>
      <c r="E766" s="1139"/>
      <c r="F766" s="1139"/>
      <c r="G766" s="1139"/>
      <c r="H766" s="1139"/>
      <c r="I766" s="1140"/>
      <c r="J766" s="116"/>
      <c r="K766" s="116"/>
      <c r="L766" s="116"/>
      <c r="M766" s="116"/>
      <c r="N766" s="116"/>
      <c r="O766" s="116"/>
      <c r="P766" s="116"/>
      <c r="Q766" s="116"/>
      <c r="R766" s="116"/>
      <c r="S766" s="116"/>
      <c r="T766" s="116"/>
      <c r="U766" s="116"/>
      <c r="V766" s="116"/>
      <c r="W766" s="326"/>
    </row>
    <row r="767" spans="2:23" ht="18.95" customHeight="1">
      <c r="B767" s="1141">
        <f ca="1">TODAY()</f>
        <v>44923</v>
      </c>
      <c r="C767" s="1142"/>
      <c r="D767" s="1142"/>
      <c r="E767" s="1142"/>
      <c r="F767" s="1142"/>
      <c r="G767" s="1142"/>
      <c r="H767" s="1142"/>
      <c r="I767" s="1143"/>
      <c r="J767" s="116"/>
      <c r="K767" s="116"/>
      <c r="L767" s="116"/>
      <c r="M767" s="116"/>
      <c r="N767" s="116"/>
      <c r="O767" s="116"/>
      <c r="P767" s="116"/>
      <c r="Q767" s="116"/>
      <c r="R767" s="116"/>
      <c r="S767" s="116"/>
      <c r="T767" s="116"/>
      <c r="U767" s="116"/>
      <c r="V767" s="116"/>
      <c r="W767" s="326"/>
    </row>
    <row r="768" spans="2:23" ht="18.95" customHeight="1">
      <c r="B768" s="528" t="s">
        <v>1930</v>
      </c>
      <c r="C768" s="492" t="s">
        <v>1821</v>
      </c>
      <c r="D768" s="492" t="s">
        <v>1822</v>
      </c>
      <c r="E768" s="492" t="s">
        <v>1823</v>
      </c>
      <c r="F768" s="492" t="s">
        <v>1824</v>
      </c>
      <c r="G768" s="492" t="s">
        <v>1825</v>
      </c>
      <c r="H768" s="492" t="s">
        <v>1826</v>
      </c>
      <c r="I768" s="492" t="s">
        <v>1827</v>
      </c>
      <c r="J768" s="116"/>
      <c r="K768" s="116"/>
      <c r="L768" s="116"/>
      <c r="M768" s="116"/>
      <c r="N768" s="116"/>
      <c r="O768" s="116"/>
      <c r="P768" s="116"/>
      <c r="Q768" s="116"/>
      <c r="R768" s="116"/>
      <c r="S768" s="116"/>
      <c r="T768" s="116"/>
      <c r="U768" s="116"/>
      <c r="V768" s="116"/>
      <c r="W768" s="326"/>
    </row>
    <row r="769" spans="2:23" ht="18.95" customHeight="1">
      <c r="B769" s="233">
        <v>1</v>
      </c>
      <c r="C769" s="363" t="str">
        <f t="array" aca="1" ref="C769" ca="1">INDEX($E$747:$E$766439,SMALL(IF(IFERROR(OFFSET($B$747:$B$764,,MATCH(C$768,$B$745:$U$745,0)),"")="已到期",ROW($1:$18),4^8),ROW(A1)))&amp;""</f>
        <v>满自楠</v>
      </c>
      <c r="D769" s="363" t="str">
        <f t="array" aca="1" ref="D769" ca="1">INDEX($E$747:$E$766439,SMALL(IF(IFERROR(OFFSET($B$747:$B$764,,MATCH(D$768,$B$745:$U$745,0)),"")="已到期",ROW($1:$18),4^8),ROW(B1)))&amp;""</f>
        <v>陈刚</v>
      </c>
      <c r="E769" s="363" t="str">
        <f t="array" aca="1" ref="E769" ca="1">INDEX($E$747:$E$766439,SMALL(IF(IFERROR(OFFSET($B$747:$B$764,,MATCH(E$768,$B$745:$U$745,0)),"")="已到期",ROW($1:$18),4^8),ROW(C1)))&amp;""</f>
        <v>满自楠</v>
      </c>
      <c r="F769" s="363" t="str">
        <f t="array" aca="1" ref="F769" ca="1">INDEX($E$747:$E$766439,SMALL(IF(IFERROR(OFFSET($B$747:$B$764,,MATCH(F$768,$B$745:$U$745,0)),"")="已到期",ROW($1:$18),4^8),ROW(D1)))&amp;""</f>
        <v>曹勇</v>
      </c>
      <c r="G769" s="363" t="str">
        <f t="array" aca="1" ref="G769" ca="1">INDEX($E$747:$E$766439,SMALL(IF(IFERROR(OFFSET($B$747:$B$764,,MATCH(G$768,$B$745:$U$745,0)),"")="已到期",ROW($1:$18),4^8),ROW(E1)))&amp;""</f>
        <v>阿迪力.克力木</v>
      </c>
      <c r="H769" s="363" t="str">
        <f t="array" aca="1" ref="H769" ca="1">INDEX($E$747:$E$766439,SMALL(IF(IFERROR(OFFSET($B$747:$B$764,,MATCH(H$768,$B$745:$U$745,0)),"")="已到期",ROW($1:$18),4^8),ROW(F1)))&amp;""</f>
        <v>阿迪力.克力木</v>
      </c>
      <c r="I769" s="363" t="str">
        <f t="array" aca="1" ref="I769" ca="1">INDEX($E$747:$E$766439,SMALL(IF(IFERROR(OFFSET($B$747:$B$764,,MATCH(I$768,$B$745:$U$745,0)),"")="已到期",ROW($1:$18),4^8),ROW(G1)))&amp;""</f>
        <v>满自楠</v>
      </c>
      <c r="J769" s="116"/>
      <c r="K769" s="116"/>
      <c r="L769" s="116"/>
      <c r="M769" s="116"/>
      <c r="N769" s="116"/>
      <c r="O769" s="116"/>
      <c r="P769" s="116"/>
      <c r="Q769" s="116"/>
      <c r="R769" s="116"/>
      <c r="S769" s="116"/>
      <c r="T769" s="116"/>
      <c r="U769" s="116"/>
      <c r="V769" s="116"/>
      <c r="W769" s="326"/>
    </row>
    <row r="770" spans="2:23" ht="18.95" customHeight="1">
      <c r="B770" s="233">
        <v>2</v>
      </c>
      <c r="C770" s="363" t="str">
        <f t="array" aca="1" ref="C770" ca="1">INDEX($E$747:$E$766439,SMALL(IF(IFERROR(OFFSET($B$747:$B$764,,MATCH(C$768,$B$745:$U$745,0)),"")="已到期",ROW($1:$18),4^8),ROW(A2)))&amp;""</f>
        <v>阿迪力.克力木</v>
      </c>
      <c r="D770" s="363" t="str">
        <f t="array" aca="1" ref="D770" ca="1">INDEX($E$747:$E$766439,SMALL(IF(IFERROR(OFFSET($B$747:$B$764,,MATCH(D$768,$B$745:$U$745,0)),"")="已到期",ROW($1:$18),4^8),ROW(B2)))&amp;""</f>
        <v>李君亭</v>
      </c>
      <c r="E770" s="363" t="str">
        <f t="array" aca="1" ref="E770" ca="1">INDEX($E$747:$E$766439,SMALL(IF(IFERROR(OFFSET($B$747:$B$764,,MATCH(E$768,$B$745:$U$745,0)),"")="已到期",ROW($1:$18),4^8),ROW(C2)))&amp;""</f>
        <v>曹勇</v>
      </c>
      <c r="F770" s="363" t="str">
        <f t="array" aca="1" ref="F770" ca="1">INDEX($E$747:$E$766439,SMALL(IF(IFERROR(OFFSET($B$747:$B$764,,MATCH(F$768,$B$745:$U$745,0)),"")="已到期",ROW($1:$18),4^8),ROW(D2)))&amp;""</f>
        <v>吴淑珍</v>
      </c>
      <c r="G770" s="363" t="str">
        <f t="array" aca="1" ref="G770" ca="1">INDEX($E$747:$E$766439,SMALL(IF(IFERROR(OFFSET($B$747:$B$764,,MATCH(G$768,$B$745:$U$745,0)),"")="已到期",ROW($1:$18),4^8),ROW(E2)))&amp;""</f>
        <v>李建华</v>
      </c>
      <c r="H770" s="363" t="str">
        <f t="array" aca="1" ref="H770" ca="1">INDEX($E$747:$E$766439,SMALL(IF(IFERROR(OFFSET($B$747:$B$764,,MATCH(H$768,$B$745:$U$745,0)),"")="已到期",ROW($1:$18),4^8),ROW(F2)))&amp;""</f>
        <v>李君亭</v>
      </c>
      <c r="I770" s="363" t="str">
        <f t="array" aca="1" ref="I770" ca="1">INDEX($E$747:$E$766439,SMALL(IF(IFERROR(OFFSET($B$747:$B$764,,MATCH(I$768,$B$745:$U$745,0)),"")="已到期",ROW($1:$18),4^8),ROW(G2)))&amp;""</f>
        <v>阿迪力.克力木</v>
      </c>
      <c r="J770" s="116"/>
      <c r="K770" s="116"/>
      <c r="L770" s="116"/>
      <c r="M770" s="116"/>
      <c r="N770" s="116"/>
      <c r="O770" s="116"/>
      <c r="P770" s="116"/>
      <c r="Q770" s="116"/>
      <c r="R770" s="116"/>
      <c r="S770" s="116"/>
      <c r="T770" s="116"/>
      <c r="U770" s="116"/>
      <c r="V770" s="116"/>
      <c r="W770" s="326"/>
    </row>
    <row r="771" spans="2:23" ht="18.95" customHeight="1">
      <c r="B771" s="233">
        <v>3</v>
      </c>
      <c r="C771" s="363" t="str">
        <f t="array" aca="1" ref="C771" ca="1">INDEX($E$747:$E$766439,SMALL(IF(IFERROR(OFFSET($B$747:$B$764,,MATCH(C$768,$B$745:$U$745,0)),"")="已到期",ROW($1:$18),4^8),ROW(A3)))&amp;""</f>
        <v>曹勇</v>
      </c>
      <c r="D771" s="363" t="str">
        <f t="array" aca="1" ref="D771" ca="1">INDEX($E$747:$E$766439,SMALL(IF(IFERROR(OFFSET($B$747:$B$764,,MATCH(D$768,$B$745:$U$745,0)),"")="已到期",ROW($1:$18),4^8),ROW(B3)))&amp;""</f>
        <v>李建华</v>
      </c>
      <c r="E771" s="363" t="str">
        <f t="array" aca="1" ref="E771" ca="1">INDEX($E$747:$E$766439,SMALL(IF(IFERROR(OFFSET($B$747:$B$764,,MATCH(E$768,$B$745:$U$745,0)),"")="已到期",ROW($1:$18),4^8),ROW(C3)))&amp;""</f>
        <v>李君亭</v>
      </c>
      <c r="F771" s="363" t="str">
        <f t="array" aca="1" ref="F771" ca="1">INDEX($E$747:$E$766439,SMALL(IF(IFERROR(OFFSET($B$747:$B$764,,MATCH(F$768,$B$745:$U$745,0)),"")="已到期",ROW($1:$18),4^8),ROW(D3)))&amp;""</f>
        <v>米吉提艾则孜2011.3</v>
      </c>
      <c r="G771" s="363" t="str">
        <f t="array" aca="1" ref="G771" ca="1">INDEX($E$747:$E$766439,SMALL(IF(IFERROR(OFFSET($B$747:$B$764,,MATCH(G$768,$B$745:$U$745,0)),"")="已到期",ROW($1:$18),4^8),ROW(E3)))&amp;""</f>
        <v/>
      </c>
      <c r="H771" s="363" t="str">
        <f t="array" aca="1" ref="H771" ca="1">INDEX($E$747:$E$766439,SMALL(IF(IFERROR(OFFSET($B$747:$B$764,,MATCH(H$768,$B$745:$U$745,0)),"")="已到期",ROW($1:$18),4^8),ROW(F3)))&amp;""</f>
        <v>米尔再克木.沙拉依丁</v>
      </c>
      <c r="I771" s="363" t="str">
        <f t="array" aca="1" ref="I771" ca="1">INDEX($E$747:$E$766439,SMALL(IF(IFERROR(OFFSET($B$747:$B$764,,MATCH(I$768,$B$745:$U$745,0)),"")="已到期",ROW($1:$18),4^8),ROW(G3)))&amp;""</f>
        <v>曹勇</v>
      </c>
      <c r="J771" s="116"/>
      <c r="K771" s="116"/>
      <c r="M771" s="116"/>
      <c r="N771" s="116"/>
      <c r="O771" s="116"/>
      <c r="P771" s="116"/>
      <c r="Q771" s="116"/>
      <c r="R771" s="116"/>
      <c r="S771" s="116"/>
      <c r="T771" s="116"/>
      <c r="U771" s="116"/>
      <c r="V771" s="116"/>
      <c r="W771" s="326"/>
    </row>
    <row r="772" spans="2:23" ht="18.95" customHeight="1">
      <c r="B772" s="233">
        <v>4</v>
      </c>
      <c r="C772" s="363" t="str">
        <f t="array" aca="1" ref="C772" ca="1">INDEX($E$747:$E$766439,SMALL(IF(IFERROR(OFFSET($B$747:$B$764,,MATCH(C$768,$B$745:$U$745,0)),"")="已到期",ROW($1:$18),4^8),ROW(A4)))&amp;""</f>
        <v>陈刚</v>
      </c>
      <c r="D772" s="363" t="str">
        <f t="array" aca="1" ref="D772" ca="1">INDEX($E$747:$E$766439,SMALL(IF(IFERROR(OFFSET($B$747:$B$764,,MATCH(D$768,$B$745:$U$745,0)),"")="已到期",ROW($1:$18),4^8),ROW(B4)))&amp;""</f>
        <v>冶峰</v>
      </c>
      <c r="E772" s="363" t="str">
        <f t="array" aca="1" ref="E772" ca="1">INDEX($E$747:$E$766439,SMALL(IF(IFERROR(OFFSET($B$747:$B$764,,MATCH(E$768,$B$745:$U$745,0)),"")="已到期",ROW($1:$18),4^8),ROW(C4)))&amp;""</f>
        <v>米尔再克木.沙拉依丁</v>
      </c>
      <c r="F772" s="363" t="str">
        <f t="array" aca="1" ref="F772" ca="1">INDEX($E$747:$E$766439,SMALL(IF(IFERROR(OFFSET($B$747:$B$764,,MATCH(F$768,$B$745:$U$745,0)),"")="已到期",ROW($1:$18),4^8),ROW(D4)))&amp;""</f>
        <v/>
      </c>
      <c r="G772" s="363" t="str">
        <f t="array" aca="1" ref="G772" ca="1">INDEX($E$747:$E$766439,SMALL(IF(IFERROR(OFFSET($B$747:$B$764,,MATCH(G$768,$B$745:$U$745,0)),"")="已到期",ROW($1:$18),4^8),ROW(E4)))&amp;""</f>
        <v/>
      </c>
      <c r="H772" s="363" t="str">
        <f t="array" aca="1" ref="H772" ca="1">INDEX($E$747:$E$766439,SMALL(IF(IFERROR(OFFSET($B$747:$B$764,,MATCH(H$768,$B$745:$U$745,0)),"")="已到期",ROW($1:$18),4^8),ROW(F4)))&amp;""</f>
        <v>吴淑珍</v>
      </c>
      <c r="I772" s="363" t="str">
        <f t="array" aca="1" ref="I772" ca="1">INDEX($E$747:$E$766439,SMALL(IF(IFERROR(OFFSET($B$747:$B$764,,MATCH(I$768,$B$745:$U$745,0)),"")="已到期",ROW($1:$18),4^8),ROW(G4)))&amp;""</f>
        <v>吴淑珍</v>
      </c>
      <c r="J772" s="116"/>
      <c r="K772" s="116"/>
      <c r="L772" s="116"/>
      <c r="M772" s="116"/>
      <c r="N772" s="116"/>
      <c r="O772" s="116"/>
      <c r="P772" s="116"/>
      <c r="Q772" s="116"/>
      <c r="R772" s="116"/>
      <c r="S772" s="116"/>
      <c r="T772" s="116"/>
      <c r="U772" s="116"/>
      <c r="V772" s="116"/>
      <c r="W772" s="326"/>
    </row>
    <row r="773" spans="2:23" ht="18.95" customHeight="1">
      <c r="B773" s="233">
        <v>5</v>
      </c>
      <c r="C773" s="363" t="str">
        <f t="array" aca="1" ref="C773" ca="1">INDEX($E$747:$E$766439,SMALL(IF(IFERROR(OFFSET($B$747:$B$764,,MATCH(C$768,$B$745:$U$745,0)),"")="已到期",ROW($1:$18),4^8),ROW(A5)))&amp;""</f>
        <v>李君亭</v>
      </c>
      <c r="D773" s="363" t="str">
        <f t="array" aca="1" ref="D773" ca="1">INDEX($E$747:$E$766439,SMALL(IF(IFERROR(OFFSET($B$747:$B$764,,MATCH(D$768,$B$745:$U$745,0)),"")="已到期",ROW($1:$18),4^8),ROW(B5)))&amp;""</f>
        <v/>
      </c>
      <c r="E773" s="363" t="str">
        <f t="array" aca="1" ref="E773" ca="1">INDEX($E$747:$E$766439,SMALL(IF(IFERROR(OFFSET($B$747:$B$764,,MATCH(E$768,$B$745:$U$745,0)),"")="已到期",ROW($1:$18),4^8),ROW(C5)))&amp;""</f>
        <v>阿瓦汗.阿不来提</v>
      </c>
      <c r="F773" s="363" t="str">
        <f t="array" aca="1" ref="F773" ca="1">INDEX($E$747:$E$766439,SMALL(IF(IFERROR(OFFSET($B$747:$B$764,,MATCH(F$768,$B$745:$U$745,0)),"")="已到期",ROW($1:$18),4^8),ROW(D5)))&amp;""</f>
        <v/>
      </c>
      <c r="G773" s="363" t="str">
        <f t="array" aca="1" ref="G773" ca="1">INDEX($E$747:$E$766439,SMALL(IF(IFERROR(OFFSET($B$747:$B$764,,MATCH(G$768,$B$745:$U$745,0)),"")="已到期",ROW($1:$18),4^8),ROW(E5)))&amp;""</f>
        <v/>
      </c>
      <c r="H773" s="363" t="str">
        <f t="array" aca="1" ref="H773" ca="1">INDEX($E$747:$E$766439,SMALL(IF(IFERROR(OFFSET($B$747:$B$764,,MATCH(H$768,$B$745:$U$745,0)),"")="已到期",ROW($1:$18),4^8),ROW(F5)))&amp;""</f>
        <v/>
      </c>
      <c r="I773" s="363" t="str">
        <f t="array" aca="1" ref="I773" ca="1">INDEX($E$747:$E$766439,SMALL(IF(IFERROR(OFFSET($B$747:$B$764,,MATCH(I$768,$B$745:$U$745,0)),"")="已到期",ROW($1:$18),4^8),ROW(G5)))&amp;""</f>
        <v>李建华</v>
      </c>
      <c r="J773" s="116"/>
      <c r="K773" s="116" t="s">
        <v>1931</v>
      </c>
      <c r="L773" s="116"/>
      <c r="M773" s="116"/>
      <c r="N773" s="116"/>
      <c r="O773" s="116"/>
      <c r="P773" s="116"/>
      <c r="Q773" s="116"/>
      <c r="R773" s="116"/>
      <c r="S773" s="116"/>
      <c r="T773" s="116"/>
      <c r="U773" s="116"/>
      <c r="V773" s="116"/>
      <c r="W773" s="326"/>
    </row>
    <row r="774" spans="2:23" ht="18.95" customHeight="1">
      <c r="B774" s="233">
        <v>6</v>
      </c>
      <c r="C774" s="363" t="str">
        <f t="array" aca="1" ref="C774" ca="1">INDEX($E$747:$E$766439,SMALL(IF(IFERROR(OFFSET($B$747:$B$764,,MATCH(C$768,$B$745:$U$745,0)),"")="已到期",ROW($1:$18),4^8),ROW(A6)))&amp;""</f>
        <v>阿瓦汗.阿不来提</v>
      </c>
      <c r="D774" s="363" t="str">
        <f t="array" aca="1" ref="D774" ca="1">INDEX($E$747:$E$766439,SMALL(IF(IFERROR(OFFSET($B$747:$B$764,,MATCH(D$768,$B$745:$U$745,0)),"")="已到期",ROW($1:$18),4^8),ROW(B6)))&amp;""</f>
        <v/>
      </c>
      <c r="E774" s="363" t="str">
        <f t="array" aca="1" ref="E774" ca="1">INDEX($E$747:$E$766439,SMALL(IF(IFERROR(OFFSET($B$747:$B$764,,MATCH(E$768,$B$745:$U$745,0)),"")="已到期",ROW($1:$18),4^8),ROW(C6)))&amp;""</f>
        <v>吴淑珍</v>
      </c>
      <c r="F774" s="363" t="str">
        <f t="array" aca="1" ref="F774" ca="1">INDEX($E$747:$E$766439,SMALL(IF(IFERROR(OFFSET($B$747:$B$764,,MATCH(F$768,$B$745:$U$745,0)),"")="已到期",ROW($1:$18),4^8),ROW(D6)))&amp;""</f>
        <v/>
      </c>
      <c r="G774" s="363" t="str">
        <f t="array" aca="1" ref="G774" ca="1">INDEX($E$747:$E$766439,SMALL(IF(IFERROR(OFFSET($B$747:$B$764,,MATCH(G$768,$B$745:$U$745,0)),"")="已到期",ROW($1:$18),4^8),ROW(E6)))&amp;""</f>
        <v/>
      </c>
      <c r="H774" s="363" t="str">
        <f t="array" aca="1" ref="H774" ca="1">INDEX($E$747:$E$766439,SMALL(IF(IFERROR(OFFSET($B$747:$B$764,,MATCH(H$768,$B$745:$U$745,0)),"")="已到期",ROW($1:$18),4^8),ROW(F6)))&amp;""</f>
        <v/>
      </c>
      <c r="I774" s="363" t="str">
        <f t="array" aca="1" ref="I774" ca="1">INDEX($E$747:$E$766439,SMALL(IF(IFERROR(OFFSET($B$747:$B$764,,MATCH(I$768,$B$745:$U$745,0)),"")="已到期",ROW($1:$18),4^8),ROW(G6)))&amp;""</f>
        <v/>
      </c>
      <c r="J774" s="116"/>
      <c r="K774" s="116"/>
      <c r="L774" s="116"/>
      <c r="M774" s="116"/>
      <c r="N774" s="116"/>
      <c r="O774" s="116"/>
      <c r="P774" s="116"/>
      <c r="Q774" s="116"/>
      <c r="R774" s="116"/>
      <c r="S774" s="116"/>
      <c r="T774" s="116"/>
      <c r="U774" s="116"/>
      <c r="V774" s="116"/>
      <c r="W774" s="326"/>
    </row>
    <row r="775" spans="2:23" ht="18.95" customHeight="1">
      <c r="B775" s="254"/>
      <c r="C775" s="116"/>
      <c r="D775" s="116"/>
      <c r="E775" s="116"/>
      <c r="F775" s="116"/>
      <c r="G775" s="116"/>
      <c r="H775" s="116"/>
      <c r="I775" s="116"/>
      <c r="J775" s="116"/>
      <c r="K775" s="116"/>
      <c r="L775" s="116"/>
      <c r="M775" s="116"/>
      <c r="N775" s="116"/>
      <c r="O775" s="116"/>
      <c r="P775" s="116"/>
      <c r="Q775" s="116"/>
      <c r="R775" s="116"/>
      <c r="S775" s="116"/>
      <c r="T775" s="116"/>
      <c r="U775" s="116"/>
      <c r="V775" s="116"/>
      <c r="W775" s="326"/>
    </row>
    <row r="776" spans="2:23" ht="18.95" customHeight="1">
      <c r="B776" s="254"/>
      <c r="C776" s="116"/>
      <c r="D776" s="116"/>
      <c r="E776" s="116"/>
      <c r="F776" s="116"/>
      <c r="G776" s="116"/>
      <c r="H776" s="116"/>
      <c r="I776" s="116" t="s">
        <v>1932</v>
      </c>
      <c r="J776" s="116"/>
      <c r="K776" s="116"/>
      <c r="L776" s="116"/>
      <c r="M776" s="116"/>
      <c r="N776" s="116"/>
      <c r="O776" s="116"/>
      <c r="P776" s="116"/>
      <c r="Q776" s="116"/>
      <c r="R776" s="116"/>
      <c r="S776" s="116"/>
      <c r="T776" s="116"/>
      <c r="U776" s="116"/>
      <c r="V776" s="116"/>
      <c r="W776" s="326"/>
    </row>
    <row r="777" spans="2:23" ht="18.95" customHeight="1">
      <c r="B777" s="304"/>
      <c r="C777" s="305"/>
      <c r="D777" s="305"/>
      <c r="E777" s="305"/>
      <c r="F777" s="305"/>
      <c r="G777" s="305"/>
      <c r="H777" s="305"/>
      <c r="I777" s="305"/>
      <c r="J777" s="305"/>
      <c r="K777" s="305"/>
      <c r="L777" s="305"/>
      <c r="M777" s="305"/>
      <c r="N777" s="305"/>
      <c r="O777" s="305"/>
      <c r="P777" s="305"/>
      <c r="Q777" s="305"/>
      <c r="R777" s="305"/>
      <c r="S777" s="305"/>
      <c r="T777" s="305"/>
      <c r="U777" s="305"/>
      <c r="V777" s="305"/>
      <c r="W777" s="327"/>
    </row>
    <row r="779" spans="2:23" ht="18.95" customHeight="1">
      <c r="B779" s="333"/>
      <c r="C779" s="324"/>
      <c r="D779" s="324"/>
      <c r="E779" s="324"/>
      <c r="F779" s="324"/>
      <c r="G779" s="324"/>
      <c r="H779" s="324"/>
      <c r="I779" s="324"/>
      <c r="J779" s="324"/>
      <c r="K779" s="324"/>
      <c r="L779" s="324"/>
      <c r="M779" s="324"/>
      <c r="N779" s="324"/>
      <c r="O779" s="324"/>
      <c r="P779" s="324"/>
      <c r="Q779" s="324"/>
      <c r="R779" s="324"/>
      <c r="S779" s="324"/>
      <c r="T779" s="325"/>
    </row>
    <row r="780" spans="2:23" ht="18.95" customHeight="1">
      <c r="B780" s="456" t="s">
        <v>1933</v>
      </c>
      <c r="C780" s="99" t="s">
        <v>1457</v>
      </c>
      <c r="D780" s="99" t="s">
        <v>1934</v>
      </c>
      <c r="E780" s="116">
        <v>1025</v>
      </c>
      <c r="F780" s="116"/>
      <c r="G780" s="116"/>
      <c r="H780" s="116" t="s">
        <v>1935</v>
      </c>
      <c r="I780" s="534" t="s">
        <v>1936</v>
      </c>
      <c r="J780" s="116">
        <f>MATCH(I780,B780:B789,0)</f>
        <v>4</v>
      </c>
      <c r="K780" s="116"/>
      <c r="L780" s="116" t="s">
        <v>1457</v>
      </c>
      <c r="M780" s="116">
        <f>MATCH(L780,B780:D780,0)</f>
        <v>2</v>
      </c>
      <c r="N780" s="116"/>
      <c r="O780" s="116"/>
      <c r="P780" s="116"/>
      <c r="Q780" s="116"/>
      <c r="R780" s="116"/>
      <c r="S780" s="116"/>
      <c r="T780" s="326"/>
    </row>
    <row r="781" spans="2:23" ht="18.95" customHeight="1">
      <c r="B781" s="456" t="s">
        <v>1937</v>
      </c>
      <c r="C781" s="99" t="s">
        <v>1938</v>
      </c>
      <c r="D781" s="99" t="s">
        <v>1939</v>
      </c>
      <c r="E781" s="116">
        <v>1026</v>
      </c>
      <c r="F781" s="116"/>
      <c r="G781" s="116"/>
      <c r="H781" s="116"/>
      <c r="I781" s="116"/>
      <c r="J781" s="116"/>
      <c r="K781" s="116"/>
      <c r="L781" s="116"/>
      <c r="M781" s="116"/>
      <c r="N781" s="116"/>
      <c r="O781" s="116"/>
      <c r="P781" s="116"/>
      <c r="Q781" s="116"/>
      <c r="R781" s="116"/>
      <c r="S781" s="116"/>
      <c r="T781" s="326"/>
    </row>
    <row r="782" spans="2:23" ht="18.95" customHeight="1">
      <c r="B782" s="456" t="s">
        <v>1940</v>
      </c>
      <c r="C782" s="99" t="s">
        <v>1941</v>
      </c>
      <c r="D782" s="99" t="s">
        <v>1942</v>
      </c>
      <c r="E782" s="116">
        <v>1027</v>
      </c>
      <c r="F782" s="116"/>
      <c r="G782" s="116"/>
      <c r="H782" s="116" t="s">
        <v>1943</v>
      </c>
      <c r="I782" s="534" t="s">
        <v>1936</v>
      </c>
      <c r="J782" s="116" t="e">
        <f>INDEX(表格,J780,M780)</f>
        <v>#NAME?</v>
      </c>
      <c r="K782" s="116"/>
      <c r="L782" s="116"/>
      <c r="M782" s="116"/>
      <c r="N782" s="116"/>
      <c r="O782" s="116"/>
      <c r="P782" s="116"/>
      <c r="Q782" s="116"/>
      <c r="R782" s="116"/>
      <c r="S782" s="116"/>
      <c r="T782" s="326"/>
    </row>
    <row r="783" spans="2:23" ht="18.95" customHeight="1">
      <c r="B783" s="456" t="s">
        <v>1936</v>
      </c>
      <c r="C783" s="99" t="s">
        <v>1944</v>
      </c>
      <c r="D783" s="99" t="s">
        <v>1945</v>
      </c>
      <c r="E783" s="116">
        <v>1028</v>
      </c>
      <c r="F783" s="116"/>
      <c r="G783" s="116"/>
      <c r="H783" s="116"/>
      <c r="I783" s="116"/>
      <c r="J783" s="116"/>
      <c r="K783" s="116"/>
      <c r="L783" s="116"/>
      <c r="M783" s="116"/>
      <c r="N783" s="116"/>
      <c r="O783" s="116"/>
      <c r="P783" s="116"/>
      <c r="Q783" s="116"/>
      <c r="R783" s="116"/>
      <c r="S783" s="116"/>
      <c r="T783" s="326"/>
    </row>
    <row r="784" spans="2:23" ht="18.95" customHeight="1">
      <c r="B784" s="456" t="s">
        <v>1946</v>
      </c>
      <c r="C784" s="99" t="s">
        <v>1947</v>
      </c>
      <c r="D784" s="99" t="s">
        <v>1948</v>
      </c>
      <c r="E784" s="116">
        <v>1029</v>
      </c>
      <c r="F784" s="116"/>
      <c r="G784" s="116"/>
      <c r="H784" s="116" t="s">
        <v>1949</v>
      </c>
      <c r="I784" s="116"/>
      <c r="J784" s="116"/>
      <c r="K784" s="116"/>
      <c r="L784" s="116"/>
      <c r="M784" s="116"/>
      <c r="N784" s="116"/>
      <c r="O784" s="116"/>
      <c r="P784" s="116"/>
      <c r="Q784" s="116"/>
      <c r="R784" s="116"/>
      <c r="S784" s="116"/>
      <c r="T784" s="326"/>
    </row>
    <row r="785" spans="2:20" ht="18.95" customHeight="1">
      <c r="B785" s="456" t="s">
        <v>1950</v>
      </c>
      <c r="C785" s="99" t="s">
        <v>1951</v>
      </c>
      <c r="D785" s="99" t="s">
        <v>1952</v>
      </c>
      <c r="E785" s="116">
        <v>1030</v>
      </c>
      <c r="F785" s="116"/>
      <c r="G785" s="116"/>
      <c r="H785" s="116"/>
      <c r="I785" s="246" t="s">
        <v>1942</v>
      </c>
      <c r="J785" s="116" t="str">
        <f>VLOOKUP(I785,CHOOSE({1,2,3},D780:D789,B780:B789,C780:C789),3,FALSE)</f>
        <v>小黄</v>
      </c>
      <c r="K785" s="116"/>
      <c r="L785" s="116"/>
      <c r="M785" s="116"/>
      <c r="N785" s="116"/>
      <c r="O785" s="116"/>
      <c r="P785" s="116"/>
      <c r="Q785" s="116"/>
      <c r="R785" s="116"/>
      <c r="S785" s="116"/>
      <c r="T785" s="326"/>
    </row>
    <row r="786" spans="2:20" ht="18.95" customHeight="1">
      <c r="B786" s="456" t="s">
        <v>1953</v>
      </c>
      <c r="C786" s="99" t="s">
        <v>1954</v>
      </c>
      <c r="D786" s="99" t="s">
        <v>1955</v>
      </c>
      <c r="E786" s="116">
        <v>1031</v>
      </c>
      <c r="F786" s="116"/>
      <c r="G786" s="116"/>
      <c r="H786" s="116" t="s">
        <v>1956</v>
      </c>
      <c r="I786" s="116" t="str">
        <f>CHOOSE(M780,"a","b","c","d")</f>
        <v>b</v>
      </c>
      <c r="J786" s="116"/>
      <c r="K786" s="116"/>
      <c r="L786" s="116"/>
      <c r="M786" s="116"/>
      <c r="N786" s="116"/>
      <c r="O786" s="116"/>
      <c r="P786" s="116"/>
      <c r="Q786" s="116"/>
      <c r="R786" s="116"/>
      <c r="S786" s="116"/>
      <c r="T786" s="326"/>
    </row>
    <row r="787" spans="2:20" ht="18.95" customHeight="1">
      <c r="B787" s="456" t="s">
        <v>1957</v>
      </c>
      <c r="C787" s="99" t="s">
        <v>1958</v>
      </c>
      <c r="D787" s="353" t="s">
        <v>1959</v>
      </c>
      <c r="E787" s="323">
        <v>1032</v>
      </c>
      <c r="F787" s="116"/>
      <c r="G787" s="116"/>
      <c r="H787" s="116"/>
      <c r="I787" s="116"/>
      <c r="J787" s="116"/>
      <c r="K787" s="116"/>
      <c r="L787" s="116"/>
      <c r="M787" s="116"/>
      <c r="N787" s="116"/>
      <c r="O787" s="116"/>
      <c r="P787" s="116"/>
      <c r="Q787" s="116"/>
      <c r="R787" s="116"/>
      <c r="S787" s="116"/>
      <c r="T787" s="326"/>
    </row>
    <row r="788" spans="2:20" ht="18.95" customHeight="1">
      <c r="B788" s="456" t="s">
        <v>1960</v>
      </c>
      <c r="C788" s="99" t="s">
        <v>1961</v>
      </c>
      <c r="D788" s="353" t="s">
        <v>1962</v>
      </c>
      <c r="E788" s="323">
        <v>1033</v>
      </c>
      <c r="F788" s="116"/>
      <c r="G788" s="116"/>
      <c r="H788" s="116" t="s">
        <v>1963</v>
      </c>
      <c r="I788" s="116" t="s">
        <v>1954</v>
      </c>
      <c r="J788" s="116" t="str">
        <f>IF(I788="小白","yes","no")</f>
        <v>no</v>
      </c>
      <c r="K788" s="116"/>
      <c r="L788" s="116"/>
      <c r="M788" s="116"/>
      <c r="N788" s="116"/>
      <c r="O788" s="116"/>
      <c r="P788" s="116"/>
      <c r="Q788" s="116"/>
      <c r="R788" s="116"/>
      <c r="S788" s="116"/>
      <c r="T788" s="326"/>
    </row>
    <row r="789" spans="2:20" ht="18.95" customHeight="1">
      <c r="B789" s="456" t="s">
        <v>1964</v>
      </c>
      <c r="C789" s="99" t="s">
        <v>1965</v>
      </c>
      <c r="D789" s="99" t="s">
        <v>1966</v>
      </c>
      <c r="E789" s="116">
        <v>1034</v>
      </c>
      <c r="F789" s="116"/>
      <c r="G789" s="116"/>
      <c r="H789" s="116"/>
      <c r="I789" s="116"/>
      <c r="J789" s="116"/>
      <c r="K789" s="116"/>
      <c r="L789" s="116"/>
      <c r="M789" s="116"/>
      <c r="N789" s="116"/>
      <c r="O789" s="116"/>
      <c r="P789" s="116"/>
      <c r="Q789" s="116"/>
      <c r="R789" s="116"/>
      <c r="S789" s="116"/>
      <c r="T789" s="326"/>
    </row>
    <row r="790" spans="2:20" ht="18.95" customHeight="1">
      <c r="B790" s="254"/>
      <c r="C790" s="116"/>
      <c r="D790" s="116"/>
      <c r="E790" s="116"/>
      <c r="F790" s="116"/>
      <c r="G790" s="116"/>
      <c r="H790" s="116" t="s">
        <v>1967</v>
      </c>
      <c r="I790" s="116">
        <v>1030</v>
      </c>
      <c r="J790" s="116">
        <f>_xlfn.RANK.EQ(I790,E780:E789,1)</f>
        <v>6</v>
      </c>
      <c r="K790" s="116"/>
      <c r="L790" s="116"/>
      <c r="M790" s="116"/>
      <c r="N790" s="116"/>
      <c r="O790" s="116"/>
      <c r="P790" s="116"/>
      <c r="Q790" s="116"/>
      <c r="R790" s="116"/>
      <c r="S790" s="116"/>
      <c r="T790" s="326"/>
    </row>
    <row r="791" spans="2:20" ht="18.95" customHeight="1">
      <c r="B791" s="254"/>
      <c r="C791" s="116"/>
      <c r="D791" s="116"/>
      <c r="E791" s="116"/>
      <c r="F791" s="116"/>
      <c r="G791" s="116"/>
      <c r="H791" s="116"/>
      <c r="I791" s="116"/>
      <c r="J791" s="116"/>
      <c r="K791" s="116"/>
      <c r="L791" s="116"/>
      <c r="M791" s="116"/>
      <c r="N791" s="116"/>
      <c r="O791" s="116"/>
      <c r="P791" s="116"/>
      <c r="Q791" s="116"/>
      <c r="R791" s="116"/>
      <c r="S791" s="116"/>
      <c r="T791" s="326"/>
    </row>
    <row r="792" spans="2:20" ht="18.95" customHeight="1">
      <c r="B792" s="254"/>
      <c r="C792" s="116"/>
      <c r="D792" s="116"/>
      <c r="E792" s="116"/>
      <c r="F792" s="116"/>
      <c r="G792" s="116"/>
      <c r="H792" s="116" t="s">
        <v>1968</v>
      </c>
      <c r="I792" s="116"/>
      <c r="J792" s="116" t="str">
        <f t="array" aca="1" ref="J792" ca="1">OFFSET(C783,4,1,2,2)</f>
        <v>俞任袁柳</v>
      </c>
      <c r="K792" s="116">
        <f ca="1">OFFSET(D783,4,1,1,1)</f>
        <v>1032</v>
      </c>
      <c r="L792" s="116"/>
      <c r="M792" s="116"/>
      <c r="N792" s="116"/>
      <c r="O792" s="116"/>
      <c r="P792" s="116"/>
      <c r="Q792" s="116"/>
      <c r="R792" s="116"/>
      <c r="S792" s="116"/>
      <c r="T792" s="326"/>
    </row>
    <row r="793" spans="2:20" ht="18.95" customHeight="1">
      <c r="B793" s="254"/>
      <c r="C793" s="116"/>
      <c r="D793" s="116"/>
      <c r="E793" s="116"/>
      <c r="F793" s="116"/>
      <c r="G793" s="116"/>
      <c r="H793" s="116"/>
      <c r="I793" s="116"/>
      <c r="J793" s="116"/>
      <c r="K793" s="116"/>
      <c r="L793" s="116"/>
      <c r="M793" s="116"/>
      <c r="N793" s="116"/>
      <c r="O793" s="116"/>
      <c r="P793" s="116"/>
      <c r="Q793" s="116"/>
      <c r="R793" s="116"/>
      <c r="S793" s="116"/>
      <c r="T793" s="326"/>
    </row>
    <row r="794" spans="2:20" ht="18.95" customHeight="1">
      <c r="B794" s="529">
        <v>1</v>
      </c>
      <c r="C794" s="116"/>
      <c r="D794" s="116"/>
      <c r="E794" s="116"/>
      <c r="F794" s="116"/>
      <c r="G794" s="116"/>
      <c r="H794" s="116" t="s">
        <v>1969</v>
      </c>
      <c r="I794" s="116"/>
      <c r="J794" s="116" t="s">
        <v>1970</v>
      </c>
      <c r="K794" s="116"/>
      <c r="L794" s="116"/>
      <c r="M794" s="116"/>
      <c r="N794" s="116"/>
      <c r="O794" s="116"/>
      <c r="P794" s="116"/>
      <c r="Q794" s="116"/>
      <c r="R794" s="116"/>
      <c r="S794" s="116"/>
      <c r="T794" s="326"/>
    </row>
    <row r="795" spans="2:20" ht="18.95" customHeight="1">
      <c r="B795" s="254">
        <v>2</v>
      </c>
      <c r="C795" s="116"/>
      <c r="D795" s="116"/>
      <c r="E795" s="116"/>
      <c r="F795" s="116"/>
      <c r="G795" s="116"/>
      <c r="H795" s="116"/>
      <c r="I795" s="116"/>
      <c r="J795" s="116"/>
      <c r="K795" s="116"/>
      <c r="L795" s="116"/>
      <c r="M795" s="116"/>
      <c r="N795" s="116"/>
      <c r="O795" s="116"/>
      <c r="P795" s="116"/>
      <c r="Q795" s="116"/>
      <c r="R795" s="116"/>
      <c r="S795" s="116"/>
      <c r="T795" s="326"/>
    </row>
    <row r="796" spans="2:20" ht="18.95" customHeight="1">
      <c r="B796" s="254"/>
      <c r="C796" s="116"/>
      <c r="D796" s="116"/>
      <c r="E796" s="116"/>
      <c r="F796" s="116"/>
      <c r="G796" s="116"/>
      <c r="H796" s="116" t="s">
        <v>1971</v>
      </c>
      <c r="I796" s="116">
        <v>3.25</v>
      </c>
      <c r="J796" s="116">
        <f>INT(I796)</f>
        <v>3</v>
      </c>
      <c r="K796" s="116"/>
      <c r="L796" s="116"/>
      <c r="M796" s="116"/>
      <c r="N796" s="116"/>
      <c r="O796" s="116"/>
      <c r="P796" s="116"/>
      <c r="Q796" s="116"/>
      <c r="R796" s="116"/>
      <c r="S796" s="116"/>
      <c r="T796" s="326"/>
    </row>
    <row r="797" spans="2:20" ht="18.95" customHeight="1">
      <c r="B797" s="530">
        <v>41481.5</v>
      </c>
      <c r="C797" s="116"/>
      <c r="D797" s="116"/>
      <c r="E797" s="116"/>
      <c r="F797" s="116"/>
      <c r="G797" s="116"/>
      <c r="H797" s="116"/>
      <c r="I797" s="116"/>
      <c r="J797" s="116"/>
      <c r="K797" s="116"/>
      <c r="L797" s="116"/>
      <c r="M797" s="116"/>
      <c r="N797" s="116"/>
      <c r="O797" s="116"/>
      <c r="P797" s="116"/>
      <c r="Q797" s="116"/>
      <c r="R797" s="116"/>
      <c r="S797" s="116"/>
      <c r="T797" s="326"/>
    </row>
    <row r="798" spans="2:20" ht="18.95" customHeight="1">
      <c r="B798" s="254"/>
      <c r="C798" s="116"/>
      <c r="D798" s="116"/>
      <c r="E798" s="116"/>
      <c r="F798" s="116"/>
      <c r="G798" s="116"/>
      <c r="H798" s="116" t="s">
        <v>1972</v>
      </c>
      <c r="I798" s="116"/>
      <c r="J798" s="535" t="s">
        <v>1973</v>
      </c>
      <c r="K798" s="116"/>
      <c r="L798" s="116"/>
      <c r="M798" s="116"/>
      <c r="N798" s="116"/>
      <c r="O798" s="116"/>
      <c r="P798" s="116"/>
      <c r="Q798" s="116"/>
      <c r="R798" s="116"/>
      <c r="S798" s="116"/>
      <c r="T798" s="326"/>
    </row>
    <row r="799" spans="2:20" ht="18.95" customHeight="1">
      <c r="B799" s="254">
        <v>44297</v>
      </c>
      <c r="C799" s="116"/>
      <c r="D799" s="116"/>
      <c r="E799" s="116"/>
      <c r="F799" s="116"/>
      <c r="G799" s="116"/>
      <c r="H799" s="116"/>
      <c r="I799" s="116"/>
      <c r="J799" s="116"/>
      <c r="K799" s="116"/>
      <c r="L799" s="116"/>
      <c r="M799" s="116"/>
      <c r="N799" s="116"/>
      <c r="O799" s="116"/>
      <c r="P799" s="116"/>
      <c r="Q799" s="116"/>
      <c r="R799" s="116"/>
      <c r="S799" s="116"/>
      <c r="T799" s="326"/>
    </row>
    <row r="800" spans="2:20" ht="18.95" customHeight="1">
      <c r="B800" s="254"/>
      <c r="C800" s="116"/>
      <c r="D800" s="116"/>
      <c r="E800" s="116"/>
      <c r="F800" s="116"/>
      <c r="G800" s="116"/>
      <c r="H800" s="116" t="s">
        <v>1974</v>
      </c>
      <c r="I800" s="116"/>
      <c r="J800" s="116">
        <f ca="1">COUNTA(J780:J796)</f>
        <v>8</v>
      </c>
      <c r="K800" s="116"/>
      <c r="L800" s="116"/>
      <c r="M800" s="116"/>
      <c r="N800" s="116"/>
      <c r="O800" s="116"/>
      <c r="P800" s="116"/>
      <c r="Q800" s="116"/>
      <c r="R800" s="116"/>
      <c r="S800" s="116"/>
      <c r="T800" s="326"/>
    </row>
    <row r="801" spans="2:20" ht="18.95" customHeight="1">
      <c r="B801" s="254"/>
      <c r="C801" s="116"/>
      <c r="D801" s="116" t="s">
        <v>1975</v>
      </c>
      <c r="E801" s="116"/>
      <c r="F801" s="116"/>
      <c r="G801" s="116"/>
      <c r="H801" s="116"/>
      <c r="I801" s="116"/>
      <c r="J801" s="116"/>
      <c r="K801" s="116"/>
      <c r="L801" s="116"/>
      <c r="M801" s="116"/>
      <c r="N801" s="116"/>
      <c r="O801" s="116"/>
      <c r="P801" s="116"/>
      <c r="Q801" s="116"/>
      <c r="R801" s="116"/>
      <c r="S801" s="116"/>
      <c r="T801" s="326"/>
    </row>
    <row r="802" spans="2:20" ht="18.95" customHeight="1">
      <c r="B802" s="254"/>
      <c r="C802" s="116"/>
      <c r="D802" s="116" t="s">
        <v>1976</v>
      </c>
      <c r="E802" s="116"/>
      <c r="F802" s="116"/>
      <c r="G802" s="116"/>
      <c r="H802" s="116" t="s">
        <v>1977</v>
      </c>
      <c r="I802" s="116">
        <v>1</v>
      </c>
      <c r="J802" s="116">
        <f>CONVERT(I802,"in","m")</f>
        <v>2.5399999999999999E-2</v>
      </c>
      <c r="K802" s="116"/>
      <c r="L802" s="116"/>
      <c r="M802" s="116"/>
      <c r="N802" s="116"/>
      <c r="O802" s="116"/>
      <c r="P802" s="116"/>
      <c r="Q802" s="116"/>
      <c r="R802" s="116"/>
      <c r="S802" s="116"/>
      <c r="T802" s="326"/>
    </row>
    <row r="803" spans="2:20" ht="18.95" customHeight="1">
      <c r="B803" s="254"/>
      <c r="C803" s="116"/>
      <c r="D803" s="116"/>
      <c r="E803" s="116"/>
      <c r="F803" s="116"/>
      <c r="G803" s="116"/>
      <c r="H803" s="116"/>
      <c r="I803" s="116"/>
      <c r="J803" s="116"/>
      <c r="K803" s="116"/>
      <c r="L803" s="116" t="s">
        <v>1024</v>
      </c>
      <c r="M803" s="116" t="s">
        <v>1026</v>
      </c>
      <c r="N803" s="116" t="s">
        <v>1028</v>
      </c>
      <c r="O803" s="116"/>
      <c r="P803" s="116" t="s">
        <v>1978</v>
      </c>
      <c r="Q803" s="116"/>
      <c r="R803" s="116"/>
      <c r="S803" s="116"/>
      <c r="T803" s="326"/>
    </row>
    <row r="804" spans="2:20" ht="18.95" customHeight="1">
      <c r="B804" s="254"/>
      <c r="C804" s="116"/>
      <c r="D804" s="116"/>
      <c r="E804" s="116"/>
      <c r="F804" s="116"/>
      <c r="G804" s="116"/>
      <c r="H804" s="116" t="s">
        <v>1979</v>
      </c>
      <c r="I804" s="116"/>
      <c r="J804" s="536" t="s">
        <v>660</v>
      </c>
      <c r="K804" s="116"/>
      <c r="L804" s="116" t="s">
        <v>1980</v>
      </c>
      <c r="M804" s="116" t="s">
        <v>1981</v>
      </c>
      <c r="N804" s="116" t="s">
        <v>1982</v>
      </c>
      <c r="O804" s="116"/>
      <c r="P804" s="536">
        <v>44297</v>
      </c>
      <c r="Q804" s="116"/>
      <c r="R804" s="116"/>
      <c r="S804" s="116"/>
      <c r="T804" s="326"/>
    </row>
    <row r="805" spans="2:20" ht="18.95" customHeight="1">
      <c r="B805" s="254"/>
      <c r="C805" s="116"/>
      <c r="D805" s="116"/>
      <c r="E805" s="116"/>
      <c r="F805" s="116"/>
      <c r="G805" s="116"/>
      <c r="H805" s="116"/>
      <c r="I805" s="116"/>
      <c r="J805" s="116"/>
      <c r="K805" s="116"/>
      <c r="L805" s="116" t="s">
        <v>1983</v>
      </c>
      <c r="M805" s="116"/>
      <c r="N805" s="116"/>
      <c r="O805" s="116"/>
      <c r="P805" s="116" t="s">
        <v>1984</v>
      </c>
      <c r="Q805" s="116"/>
      <c r="R805" s="539">
        <v>44297</v>
      </c>
      <c r="S805" s="116"/>
      <c r="T805" s="326"/>
    </row>
    <row r="806" spans="2:20" ht="18.95" customHeight="1">
      <c r="B806" s="254"/>
      <c r="C806" s="116"/>
      <c r="D806" s="116"/>
      <c r="E806" s="116"/>
      <c r="F806" s="116"/>
      <c r="G806" s="116"/>
      <c r="H806" s="116" t="s">
        <v>1985</v>
      </c>
      <c r="I806" s="116"/>
      <c r="J806" s="537" t="s">
        <v>662</v>
      </c>
      <c r="K806" s="116"/>
      <c r="L806" s="116" t="s">
        <v>1986</v>
      </c>
      <c r="M806" s="116" t="s">
        <v>1987</v>
      </c>
      <c r="N806" s="116" t="s">
        <v>1988</v>
      </c>
      <c r="O806" s="116"/>
      <c r="P806" s="538">
        <v>0.848518518518519</v>
      </c>
      <c r="Q806" s="116"/>
      <c r="R806" s="540">
        <v>44298</v>
      </c>
      <c r="S806" s="116"/>
      <c r="T806" s="326"/>
    </row>
    <row r="807" spans="2:20" ht="18.95" customHeight="1">
      <c r="B807" s="254"/>
      <c r="C807" s="116"/>
      <c r="D807" s="116"/>
      <c r="E807" s="116"/>
      <c r="F807" s="116"/>
      <c r="G807" s="116"/>
      <c r="H807" s="116"/>
      <c r="I807" s="116"/>
      <c r="J807" s="116"/>
      <c r="K807" s="116"/>
      <c r="L807" s="116"/>
      <c r="M807" s="116"/>
      <c r="N807" s="116"/>
      <c r="O807" s="116"/>
      <c r="P807" s="116"/>
      <c r="Q807" s="116"/>
      <c r="R807" s="540">
        <v>44299</v>
      </c>
      <c r="S807" s="116"/>
      <c r="T807" s="326"/>
    </row>
    <row r="808" spans="2:20" ht="18.95" customHeight="1">
      <c r="B808" s="254"/>
      <c r="C808" s="116"/>
      <c r="D808" s="116"/>
      <c r="E808" s="116"/>
      <c r="F808" s="116"/>
      <c r="G808" s="116"/>
      <c r="H808" s="116" t="s">
        <v>1989</v>
      </c>
      <c r="I808" s="116"/>
      <c r="J808" s="116"/>
      <c r="K808" s="116"/>
      <c r="L808" s="116"/>
      <c r="M808" s="116"/>
      <c r="N808" s="116"/>
      <c r="O808" s="116"/>
      <c r="P808" s="116"/>
      <c r="Q808" s="116"/>
      <c r="R808" s="540">
        <v>44300</v>
      </c>
      <c r="S808" s="116"/>
      <c r="T808" s="326"/>
    </row>
    <row r="809" spans="2:20" ht="18.95" customHeight="1">
      <c r="B809" s="254"/>
      <c r="C809" s="116"/>
      <c r="D809" s="116"/>
      <c r="E809" s="116"/>
      <c r="F809" s="116"/>
      <c r="G809" s="116"/>
      <c r="H809" s="116"/>
      <c r="I809" s="116"/>
      <c r="J809" s="116"/>
      <c r="K809" s="116"/>
      <c r="L809" s="116"/>
      <c r="M809" s="116"/>
      <c r="N809" s="116"/>
      <c r="O809" s="116"/>
      <c r="P809" s="116"/>
      <c r="Q809" s="116"/>
      <c r="R809" s="540">
        <v>44301</v>
      </c>
      <c r="S809" s="116"/>
      <c r="T809" s="326"/>
    </row>
    <row r="810" spans="2:20" ht="18.95" customHeight="1">
      <c r="B810" s="254"/>
      <c r="C810" s="116"/>
      <c r="D810" s="116"/>
      <c r="E810" s="116"/>
      <c r="F810" s="116"/>
      <c r="G810" s="116"/>
      <c r="H810" s="116"/>
      <c r="I810" s="116"/>
      <c r="J810" s="116"/>
      <c r="K810" s="116"/>
      <c r="L810" s="116"/>
      <c r="M810" s="116"/>
      <c r="N810" s="116"/>
      <c r="O810" s="116"/>
      <c r="P810" s="116"/>
      <c r="Q810" s="116"/>
      <c r="R810" s="540">
        <v>44302</v>
      </c>
      <c r="S810" s="116"/>
      <c r="T810" s="326"/>
    </row>
    <row r="811" spans="2:20" ht="18.95" customHeight="1">
      <c r="B811" s="304"/>
      <c r="C811" s="305"/>
      <c r="D811" s="305"/>
      <c r="E811" s="305"/>
      <c r="F811" s="305"/>
      <c r="G811" s="305"/>
      <c r="H811" s="305"/>
      <c r="I811" s="305"/>
      <c r="J811" s="305"/>
      <c r="K811" s="305"/>
      <c r="L811" s="305"/>
      <c r="M811" s="305"/>
      <c r="N811" s="305"/>
      <c r="O811" s="305"/>
      <c r="P811" s="305"/>
      <c r="Q811" s="305"/>
      <c r="R811" s="541"/>
      <c r="S811" s="305"/>
      <c r="T811" s="327"/>
    </row>
    <row r="813" spans="2:20" ht="18.95" customHeight="1">
      <c r="B813" s="333"/>
      <c r="C813" s="324"/>
      <c r="D813" s="324"/>
      <c r="E813" s="324"/>
      <c r="F813" s="324"/>
      <c r="G813" s="324"/>
      <c r="H813" s="324"/>
      <c r="I813" s="324"/>
      <c r="J813" s="324"/>
      <c r="K813" s="324"/>
      <c r="L813" s="324"/>
      <c r="M813" s="324"/>
      <c r="N813" s="324"/>
      <c r="O813" s="324"/>
      <c r="P813" s="324"/>
      <c r="Q813" s="324"/>
      <c r="R813" s="325"/>
    </row>
    <row r="814" spans="2:20" ht="18.95" customHeight="1">
      <c r="B814" s="531" t="s">
        <v>1990</v>
      </c>
      <c r="C814" s="532" t="s">
        <v>1991</v>
      </c>
      <c r="D814" s="532" t="s">
        <v>1992</v>
      </c>
      <c r="E814" s="532" t="s">
        <v>1993</v>
      </c>
      <c r="F814" s="532" t="s">
        <v>1994</v>
      </c>
      <c r="G814" s="532" t="s">
        <v>1154</v>
      </c>
      <c r="H814" s="116"/>
      <c r="I814" s="116"/>
      <c r="J814" s="116"/>
      <c r="K814" s="116"/>
      <c r="L814" s="116"/>
      <c r="M814" s="116"/>
      <c r="N814" s="116"/>
      <c r="O814" s="116"/>
      <c r="P814" s="116"/>
      <c r="Q814" s="116"/>
      <c r="R814" s="326"/>
    </row>
    <row r="815" spans="2:20" ht="18.95" customHeight="1">
      <c r="B815" s="533" t="s">
        <v>1995</v>
      </c>
      <c r="C815" s="76" t="s">
        <v>1996</v>
      </c>
      <c r="D815" s="76" t="s">
        <v>1997</v>
      </c>
      <c r="E815" s="76" t="s">
        <v>1998</v>
      </c>
      <c r="F815" s="76" t="s">
        <v>1999</v>
      </c>
      <c r="G815" s="363" t="str">
        <f t="shared" ref="G815:G828" ca="1" si="17">IF(COUNTIFS(B:B,B815,F:F,"剩余*")&gt;0,"","此ID系列用尽")</f>
        <v/>
      </c>
      <c r="H815" s="116"/>
      <c r="I815" s="116" t="s">
        <v>2000</v>
      </c>
      <c r="J815" s="116"/>
      <c r="K815" s="116"/>
      <c r="L815" s="116"/>
      <c r="M815" s="116"/>
      <c r="N815" s="116"/>
      <c r="O815" s="116"/>
      <c r="P815" s="116"/>
      <c r="Q815" s="116"/>
      <c r="R815" s="326"/>
    </row>
    <row r="816" spans="2:20" ht="18.95" customHeight="1">
      <c r="B816" s="533" t="s">
        <v>2001</v>
      </c>
      <c r="C816" s="76" t="s">
        <v>2002</v>
      </c>
      <c r="D816" s="76" t="s">
        <v>2003</v>
      </c>
      <c r="E816" s="76" t="s">
        <v>1998</v>
      </c>
      <c r="F816" s="76" t="s">
        <v>2004</v>
      </c>
      <c r="G816" s="76" t="str">
        <f t="shared" ca="1" si="17"/>
        <v/>
      </c>
      <c r="H816" s="116"/>
      <c r="I816" s="116"/>
      <c r="J816" s="116"/>
      <c r="K816" s="116"/>
      <c r="L816" s="116"/>
      <c r="M816" s="116"/>
      <c r="N816" s="116"/>
      <c r="O816" s="116"/>
      <c r="P816" s="116"/>
      <c r="Q816" s="116"/>
      <c r="R816" s="326"/>
    </row>
    <row r="817" spans="2:18" ht="18.95" customHeight="1">
      <c r="B817" s="533" t="s">
        <v>2005</v>
      </c>
      <c r="C817" s="76" t="s">
        <v>2006</v>
      </c>
      <c r="D817" s="76" t="s">
        <v>2007</v>
      </c>
      <c r="E817" s="76" t="s">
        <v>1998</v>
      </c>
      <c r="F817" s="76" t="s">
        <v>1999</v>
      </c>
      <c r="G817" s="186" t="str">
        <f t="shared" ca="1" si="17"/>
        <v>此ID系列用尽</v>
      </c>
      <c r="H817" s="116"/>
      <c r="I817" s="116" t="s">
        <v>2008</v>
      </c>
      <c r="J817" s="116"/>
      <c r="K817" s="116"/>
      <c r="L817" s="116"/>
      <c r="M817" s="116"/>
      <c r="N817" s="116"/>
      <c r="O817" s="116"/>
      <c r="P817" s="116"/>
      <c r="Q817" s="116"/>
      <c r="R817" s="326"/>
    </row>
    <row r="818" spans="2:18" ht="18.95" customHeight="1">
      <c r="B818" s="533" t="s">
        <v>2009</v>
      </c>
      <c r="C818" s="76" t="s">
        <v>2010</v>
      </c>
      <c r="D818" s="76" t="s">
        <v>2011</v>
      </c>
      <c r="E818" s="76" t="s">
        <v>1998</v>
      </c>
      <c r="F818" s="76" t="s">
        <v>1999</v>
      </c>
      <c r="G818" s="186" t="str">
        <f t="shared" ca="1" si="17"/>
        <v>此ID系列用尽</v>
      </c>
      <c r="H818" s="116"/>
      <c r="I818" s="116"/>
      <c r="J818" s="116"/>
      <c r="K818" s="116"/>
      <c r="L818" s="116"/>
      <c r="M818" s="116"/>
      <c r="N818" s="116"/>
      <c r="O818" s="116"/>
      <c r="P818" s="116"/>
      <c r="Q818" s="116"/>
      <c r="R818" s="326"/>
    </row>
    <row r="819" spans="2:18" ht="18.95" customHeight="1">
      <c r="B819" s="533" t="s">
        <v>2012</v>
      </c>
      <c r="C819" s="76" t="s">
        <v>2013</v>
      </c>
      <c r="D819" s="76" t="s">
        <v>2014</v>
      </c>
      <c r="E819" s="76" t="s">
        <v>1998</v>
      </c>
      <c r="F819" s="76" t="s">
        <v>1999</v>
      </c>
      <c r="G819" s="186" t="str">
        <f t="shared" ca="1" si="17"/>
        <v/>
      </c>
      <c r="H819" s="116"/>
      <c r="I819" s="116"/>
      <c r="J819" s="116"/>
      <c r="K819" s="116"/>
      <c r="L819" s="116"/>
      <c r="M819" s="116"/>
      <c r="N819" s="116"/>
      <c r="O819" s="116"/>
      <c r="P819" s="116"/>
      <c r="Q819" s="116"/>
      <c r="R819" s="326"/>
    </row>
    <row r="820" spans="2:18" ht="18.95" customHeight="1">
      <c r="B820" s="533" t="s">
        <v>2015</v>
      </c>
      <c r="C820" s="76" t="s">
        <v>2016</v>
      </c>
      <c r="D820" s="76" t="s">
        <v>2017</v>
      </c>
      <c r="E820" s="76" t="s">
        <v>1998</v>
      </c>
      <c r="F820" s="76" t="s">
        <v>2018</v>
      </c>
      <c r="G820" s="186" t="str">
        <f t="shared" ca="1" si="17"/>
        <v/>
      </c>
      <c r="H820" s="116"/>
      <c r="I820" s="116"/>
      <c r="J820" s="116"/>
      <c r="K820" s="116"/>
      <c r="L820" s="116"/>
      <c r="M820" s="116"/>
      <c r="N820" s="116"/>
      <c r="O820" s="116"/>
      <c r="P820" s="116"/>
      <c r="Q820" s="116"/>
      <c r="R820" s="326"/>
    </row>
    <row r="821" spans="2:18" ht="18.95" customHeight="1">
      <c r="B821" s="533" t="s">
        <v>2019</v>
      </c>
      <c r="C821" s="76" t="s">
        <v>2020</v>
      </c>
      <c r="D821" s="76" t="s">
        <v>2017</v>
      </c>
      <c r="E821" s="76" t="s">
        <v>1998</v>
      </c>
      <c r="F821" s="76" t="s">
        <v>2021</v>
      </c>
      <c r="G821" s="186" t="str">
        <f t="shared" ca="1" si="17"/>
        <v/>
      </c>
      <c r="H821" s="116"/>
      <c r="I821" s="116"/>
      <c r="J821" s="116"/>
      <c r="K821" s="116"/>
      <c r="L821" s="116"/>
      <c r="M821" s="116"/>
      <c r="N821" s="116"/>
      <c r="O821" s="116"/>
      <c r="P821" s="116"/>
      <c r="Q821" s="116"/>
      <c r="R821" s="326"/>
    </row>
    <row r="822" spans="2:18" ht="18.95" customHeight="1">
      <c r="B822" s="533" t="s">
        <v>2022</v>
      </c>
      <c r="C822" s="76" t="s">
        <v>2023</v>
      </c>
      <c r="D822" s="76" t="s">
        <v>2017</v>
      </c>
      <c r="E822" s="76" t="s">
        <v>1998</v>
      </c>
      <c r="F822" s="76" t="s">
        <v>2024</v>
      </c>
      <c r="G822" s="186" t="str">
        <f t="shared" ca="1" si="17"/>
        <v/>
      </c>
      <c r="H822" s="116"/>
      <c r="I822" s="116"/>
      <c r="J822" s="116"/>
      <c r="K822" s="116"/>
      <c r="L822" s="116"/>
      <c r="M822" s="116"/>
      <c r="N822" s="116"/>
      <c r="O822" s="116"/>
      <c r="P822" s="116"/>
      <c r="Q822" s="116"/>
      <c r="R822" s="326"/>
    </row>
    <row r="823" spans="2:18" ht="18.95" customHeight="1">
      <c r="B823" s="533" t="s">
        <v>1995</v>
      </c>
      <c r="C823" s="76" t="s">
        <v>2025</v>
      </c>
      <c r="D823" s="76" t="s">
        <v>2017</v>
      </c>
      <c r="E823" s="76" t="s">
        <v>1998</v>
      </c>
      <c r="F823" s="76" t="s">
        <v>2026</v>
      </c>
      <c r="G823" s="186" t="str">
        <f t="shared" ca="1" si="17"/>
        <v/>
      </c>
      <c r="H823" s="116"/>
      <c r="I823" s="116"/>
      <c r="J823" s="116"/>
      <c r="K823" s="116"/>
      <c r="L823" s="116"/>
      <c r="M823" s="116"/>
      <c r="N823" s="116"/>
      <c r="O823" s="116"/>
      <c r="P823" s="116"/>
      <c r="Q823" s="116"/>
      <c r="R823" s="326"/>
    </row>
    <row r="824" spans="2:18" ht="18.95" customHeight="1">
      <c r="B824" s="533" t="s">
        <v>2001</v>
      </c>
      <c r="C824" s="76" t="s">
        <v>2027</v>
      </c>
      <c r="D824" s="76" t="s">
        <v>2017</v>
      </c>
      <c r="E824" s="76" t="s">
        <v>1998</v>
      </c>
      <c r="F824" s="76" t="s">
        <v>1999</v>
      </c>
      <c r="G824" s="186" t="str">
        <f t="shared" ca="1" si="17"/>
        <v/>
      </c>
      <c r="H824" s="116"/>
      <c r="I824" s="116"/>
      <c r="J824" s="116"/>
      <c r="K824" s="116"/>
      <c r="L824" s="116"/>
      <c r="M824" s="116"/>
      <c r="N824" s="116"/>
      <c r="O824" s="116"/>
      <c r="P824" s="116"/>
      <c r="Q824" s="116"/>
      <c r="R824" s="326"/>
    </row>
    <row r="825" spans="2:18" ht="18.95" customHeight="1">
      <c r="B825" s="533" t="s">
        <v>2005</v>
      </c>
      <c r="C825" s="76" t="s">
        <v>2028</v>
      </c>
      <c r="D825" s="76" t="s">
        <v>2029</v>
      </c>
      <c r="E825" s="76" t="s">
        <v>1998</v>
      </c>
      <c r="F825" s="76" t="s">
        <v>1999</v>
      </c>
      <c r="G825" s="186" t="str">
        <f t="shared" ca="1" si="17"/>
        <v>此ID系列用尽</v>
      </c>
      <c r="H825" s="116"/>
      <c r="I825" s="116"/>
      <c r="J825" s="116"/>
      <c r="K825" s="116"/>
      <c r="L825" s="116"/>
      <c r="M825" s="116"/>
      <c r="N825" s="116"/>
      <c r="O825" s="116"/>
      <c r="P825" s="116"/>
      <c r="Q825" s="116"/>
      <c r="R825" s="326"/>
    </row>
    <row r="826" spans="2:18" ht="18.95" customHeight="1">
      <c r="B826" s="533" t="s">
        <v>2009</v>
      </c>
      <c r="C826" s="76" t="s">
        <v>2030</v>
      </c>
      <c r="D826" s="76" t="s">
        <v>2029</v>
      </c>
      <c r="E826" s="76" t="s">
        <v>1998</v>
      </c>
      <c r="F826" s="76" t="s">
        <v>1999</v>
      </c>
      <c r="G826" s="186" t="str">
        <f t="shared" ca="1" si="17"/>
        <v>此ID系列用尽</v>
      </c>
      <c r="H826" s="116"/>
      <c r="I826" s="116"/>
      <c r="J826" s="116"/>
      <c r="K826" s="116"/>
      <c r="L826" s="116"/>
      <c r="M826" s="116"/>
      <c r="N826" s="116"/>
      <c r="O826" s="116"/>
      <c r="P826" s="116"/>
      <c r="Q826" s="116"/>
      <c r="R826" s="326"/>
    </row>
    <row r="827" spans="2:18" ht="18.95" customHeight="1">
      <c r="B827" s="533" t="s">
        <v>2012</v>
      </c>
      <c r="C827" s="76" t="s">
        <v>2031</v>
      </c>
      <c r="D827" s="76" t="s">
        <v>2029</v>
      </c>
      <c r="E827" s="76" t="s">
        <v>1998</v>
      </c>
      <c r="F827" s="76" t="s">
        <v>2026</v>
      </c>
      <c r="G827" s="186" t="str">
        <f t="shared" ca="1" si="17"/>
        <v/>
      </c>
      <c r="H827" s="116"/>
      <c r="I827" s="116"/>
      <c r="J827" s="116"/>
      <c r="K827" s="116"/>
      <c r="L827" s="116"/>
      <c r="M827" s="116"/>
      <c r="N827" s="116"/>
      <c r="O827" s="116"/>
      <c r="P827" s="116"/>
      <c r="Q827" s="116"/>
      <c r="R827" s="326"/>
    </row>
    <row r="828" spans="2:18" ht="18.95" customHeight="1">
      <c r="B828" s="533" t="s">
        <v>2015</v>
      </c>
      <c r="C828" s="76" t="s">
        <v>2032</v>
      </c>
      <c r="D828" s="76" t="s">
        <v>2029</v>
      </c>
      <c r="E828" s="76" t="s">
        <v>1998</v>
      </c>
      <c r="F828" s="76" t="s">
        <v>2033</v>
      </c>
      <c r="G828" s="186" t="str">
        <f t="shared" ca="1" si="17"/>
        <v/>
      </c>
      <c r="H828" s="116"/>
      <c r="I828" s="116"/>
      <c r="J828" s="116"/>
      <c r="K828" s="116"/>
      <c r="L828" s="116"/>
      <c r="M828" s="116"/>
      <c r="N828" s="116"/>
      <c r="O828" s="116"/>
      <c r="P828" s="116"/>
      <c r="Q828" s="116"/>
      <c r="R828" s="326"/>
    </row>
    <row r="829" spans="2:18" ht="18.95" customHeight="1">
      <c r="B829" s="533" t="s">
        <v>1995</v>
      </c>
      <c r="C829" s="76" t="s">
        <v>2034</v>
      </c>
      <c r="D829" s="76" t="s">
        <v>2035</v>
      </c>
      <c r="E829" s="76" t="s">
        <v>2036</v>
      </c>
      <c r="F829" s="76" t="s">
        <v>1999</v>
      </c>
      <c r="G829" s="393" t="str">
        <f t="shared" ref="G829:G850" ca="1" si="18">IF(COUNTIFS(B:B,B829)=COUNTIFS(B:B,B829,F:F,"无余"),"此ID系列用尽","")</f>
        <v/>
      </c>
      <c r="H829" s="116"/>
      <c r="I829" s="116" t="s">
        <v>2037</v>
      </c>
      <c r="J829" s="116"/>
      <c r="K829" s="116"/>
      <c r="L829" s="116"/>
      <c r="M829" s="116"/>
      <c r="N829" s="116"/>
      <c r="O829" s="116"/>
      <c r="P829" s="116"/>
      <c r="Q829" s="116"/>
      <c r="R829" s="326"/>
    </row>
    <row r="830" spans="2:18" ht="18.95" customHeight="1">
      <c r="B830" s="533" t="s">
        <v>2001</v>
      </c>
      <c r="C830" s="76" t="s">
        <v>2038</v>
      </c>
      <c r="D830" s="76" t="s">
        <v>2039</v>
      </c>
      <c r="E830" s="76" t="s">
        <v>1998</v>
      </c>
      <c r="F830" s="76" t="s">
        <v>1999</v>
      </c>
      <c r="G830" s="186" t="str">
        <f t="shared" ca="1" si="18"/>
        <v/>
      </c>
      <c r="H830" s="116"/>
      <c r="I830" s="116"/>
      <c r="J830" s="116"/>
      <c r="K830" s="116"/>
      <c r="L830" s="116"/>
      <c r="M830" s="116"/>
      <c r="N830" s="116"/>
      <c r="O830" s="116"/>
      <c r="P830" s="116"/>
      <c r="Q830" s="116"/>
      <c r="R830" s="326"/>
    </row>
    <row r="831" spans="2:18" ht="18.95" customHeight="1">
      <c r="B831" s="533" t="s">
        <v>2005</v>
      </c>
      <c r="C831" s="76" t="s">
        <v>2040</v>
      </c>
      <c r="D831" s="76" t="s">
        <v>2039</v>
      </c>
      <c r="E831" s="76" t="s">
        <v>1998</v>
      </c>
      <c r="F831" s="76" t="s">
        <v>1999</v>
      </c>
      <c r="G831" s="186" t="str">
        <f t="shared" ca="1" si="18"/>
        <v>此ID系列用尽</v>
      </c>
      <c r="H831" s="116"/>
      <c r="I831" s="116"/>
      <c r="J831" s="116"/>
      <c r="K831" s="116"/>
      <c r="L831" s="116"/>
      <c r="M831" s="116"/>
      <c r="N831" s="116"/>
      <c r="O831" s="116"/>
      <c r="P831" s="116"/>
      <c r="Q831" s="116"/>
      <c r="R831" s="326"/>
    </row>
    <row r="832" spans="2:18" ht="18.95" customHeight="1">
      <c r="B832" s="533" t="s">
        <v>2009</v>
      </c>
      <c r="C832" s="76" t="s">
        <v>2041</v>
      </c>
      <c r="D832" s="76" t="s">
        <v>2039</v>
      </c>
      <c r="E832" s="76" t="s">
        <v>2042</v>
      </c>
      <c r="F832" s="76" t="s">
        <v>1999</v>
      </c>
      <c r="G832" s="186" t="str">
        <f t="shared" ca="1" si="18"/>
        <v>此ID系列用尽</v>
      </c>
      <c r="H832" s="116"/>
      <c r="I832" s="116"/>
      <c r="J832" s="116"/>
      <c r="K832" s="116"/>
      <c r="L832" s="116"/>
      <c r="M832" s="116"/>
      <c r="N832" s="116"/>
      <c r="O832" s="116"/>
      <c r="P832" s="116"/>
      <c r="Q832" s="116"/>
      <c r="R832" s="326"/>
    </row>
    <row r="833" spans="2:18" ht="18.95" customHeight="1">
      <c r="B833" s="533" t="s">
        <v>1995</v>
      </c>
      <c r="C833" s="76" t="s">
        <v>2043</v>
      </c>
      <c r="D833" s="76" t="s">
        <v>2044</v>
      </c>
      <c r="E833" s="76" t="s">
        <v>2045</v>
      </c>
      <c r="F833" s="76" t="s">
        <v>1999</v>
      </c>
      <c r="G833" s="186" t="str">
        <f t="shared" ca="1" si="18"/>
        <v/>
      </c>
      <c r="H833" s="116"/>
      <c r="I833" s="116"/>
      <c r="J833" s="116"/>
      <c r="K833" s="116"/>
      <c r="L833" s="116"/>
      <c r="M833" s="116"/>
      <c r="N833" s="116"/>
      <c r="O833" s="116"/>
      <c r="P833" s="116"/>
      <c r="Q833" s="116"/>
      <c r="R833" s="326"/>
    </row>
    <row r="834" spans="2:18" ht="18.95" customHeight="1">
      <c r="B834" s="533" t="s">
        <v>2015</v>
      </c>
      <c r="C834" s="76" t="s">
        <v>2046</v>
      </c>
      <c r="D834" s="76" t="s">
        <v>2044</v>
      </c>
      <c r="E834" s="76" t="s">
        <v>2045</v>
      </c>
      <c r="F834" s="76" t="s">
        <v>1999</v>
      </c>
      <c r="G834" s="186" t="str">
        <f t="shared" ca="1" si="18"/>
        <v/>
      </c>
      <c r="H834" s="116"/>
      <c r="I834" s="116"/>
      <c r="J834" s="116"/>
      <c r="K834" s="116"/>
      <c r="L834" s="116"/>
      <c r="M834" s="116"/>
      <c r="N834" s="116"/>
      <c r="O834" s="116"/>
      <c r="P834" s="116"/>
      <c r="Q834" s="116"/>
      <c r="R834" s="326"/>
    </row>
    <row r="835" spans="2:18" ht="18.95" customHeight="1">
      <c r="B835" s="533" t="s">
        <v>2019</v>
      </c>
      <c r="C835" s="76" t="s">
        <v>2047</v>
      </c>
      <c r="D835" s="76" t="s">
        <v>2048</v>
      </c>
      <c r="E835" s="76" t="s">
        <v>2045</v>
      </c>
      <c r="F835" s="76" t="s">
        <v>1999</v>
      </c>
      <c r="G835" s="186" t="str">
        <f t="shared" ca="1" si="18"/>
        <v/>
      </c>
      <c r="H835" s="116"/>
      <c r="I835" s="116"/>
      <c r="J835" s="116"/>
      <c r="K835" s="116"/>
      <c r="L835" s="116"/>
      <c r="M835" s="116"/>
      <c r="N835" s="116"/>
      <c r="O835" s="116"/>
      <c r="P835" s="116"/>
      <c r="Q835" s="116"/>
      <c r="R835" s="326"/>
    </row>
    <row r="836" spans="2:18" ht="18.95" customHeight="1">
      <c r="B836" s="533" t="s">
        <v>2022</v>
      </c>
      <c r="C836" s="76" t="s">
        <v>2049</v>
      </c>
      <c r="D836" s="76" t="s">
        <v>2050</v>
      </c>
      <c r="E836" s="76" t="s">
        <v>2045</v>
      </c>
      <c r="F836" s="76" t="s">
        <v>2051</v>
      </c>
      <c r="G836" s="186" t="str">
        <f t="shared" ca="1" si="18"/>
        <v/>
      </c>
      <c r="H836" s="116"/>
      <c r="I836" s="116"/>
      <c r="J836" s="116"/>
      <c r="K836" s="116"/>
      <c r="L836" s="116"/>
      <c r="M836" s="116"/>
      <c r="N836" s="116"/>
      <c r="O836" s="116"/>
      <c r="P836" s="116"/>
      <c r="Q836" s="116"/>
      <c r="R836" s="326"/>
    </row>
    <row r="837" spans="2:18" ht="18.95" customHeight="1">
      <c r="B837" s="533" t="s">
        <v>1995</v>
      </c>
      <c r="C837" s="76" t="s">
        <v>2052</v>
      </c>
      <c r="D837" s="76" t="s">
        <v>2050</v>
      </c>
      <c r="E837" s="76" t="s">
        <v>2045</v>
      </c>
      <c r="F837" s="76" t="s">
        <v>1999</v>
      </c>
      <c r="G837" s="186" t="str">
        <f t="shared" ca="1" si="18"/>
        <v/>
      </c>
      <c r="H837" s="116"/>
      <c r="I837" s="116"/>
      <c r="J837" s="116"/>
      <c r="K837" s="116"/>
      <c r="L837" s="116"/>
      <c r="M837" s="116"/>
      <c r="N837" s="116"/>
      <c r="O837" s="116"/>
      <c r="P837" s="116"/>
      <c r="Q837" s="116"/>
      <c r="R837" s="326"/>
    </row>
    <row r="838" spans="2:18" ht="18.95" customHeight="1">
      <c r="B838" s="533" t="s">
        <v>2001</v>
      </c>
      <c r="C838" s="76" t="s">
        <v>2053</v>
      </c>
      <c r="D838" s="76" t="s">
        <v>2054</v>
      </c>
      <c r="E838" s="76" t="s">
        <v>2045</v>
      </c>
      <c r="F838" s="76" t="s">
        <v>2055</v>
      </c>
      <c r="G838" s="186" t="str">
        <f t="shared" ca="1" si="18"/>
        <v/>
      </c>
      <c r="H838" s="116"/>
      <c r="I838" s="116"/>
      <c r="J838" s="116"/>
      <c r="K838" s="116"/>
      <c r="L838" s="116"/>
      <c r="M838" s="116"/>
      <c r="N838" s="116"/>
      <c r="O838" s="116"/>
      <c r="P838" s="116"/>
      <c r="Q838" s="116"/>
      <c r="R838" s="326"/>
    </row>
    <row r="839" spans="2:18" ht="18.95" customHeight="1">
      <c r="B839" s="533" t="s">
        <v>2005</v>
      </c>
      <c r="C839" s="76" t="s">
        <v>2056</v>
      </c>
      <c r="D839" s="76" t="s">
        <v>2057</v>
      </c>
      <c r="E839" s="76" t="s">
        <v>2058</v>
      </c>
      <c r="F839" s="76" t="s">
        <v>1999</v>
      </c>
      <c r="G839" s="186" t="str">
        <f t="shared" ca="1" si="18"/>
        <v>此ID系列用尽</v>
      </c>
      <c r="H839" s="116"/>
      <c r="I839" s="116"/>
      <c r="J839" s="116"/>
      <c r="K839" s="116"/>
      <c r="L839" s="116"/>
      <c r="M839" s="116"/>
      <c r="N839" s="116"/>
      <c r="O839" s="116"/>
      <c r="P839" s="116"/>
      <c r="Q839" s="116"/>
      <c r="R839" s="326"/>
    </row>
    <row r="840" spans="2:18" ht="18.95" customHeight="1">
      <c r="B840" s="533" t="s">
        <v>2022</v>
      </c>
      <c r="C840" s="76" t="s">
        <v>2059</v>
      </c>
      <c r="D840" s="76" t="s">
        <v>2060</v>
      </c>
      <c r="E840" s="76" t="s">
        <v>2061</v>
      </c>
      <c r="F840" s="76" t="s">
        <v>1999</v>
      </c>
      <c r="G840" s="186" t="str">
        <f t="shared" ca="1" si="18"/>
        <v/>
      </c>
      <c r="H840" s="116"/>
      <c r="I840" s="116"/>
      <c r="J840" s="116"/>
      <c r="K840" s="116"/>
      <c r="L840" s="116"/>
      <c r="M840" s="116"/>
      <c r="N840" s="116"/>
      <c r="O840" s="116"/>
      <c r="P840" s="116"/>
      <c r="Q840" s="116"/>
      <c r="R840" s="326"/>
    </row>
    <row r="841" spans="2:18" ht="18.95" customHeight="1">
      <c r="B841" s="533" t="s">
        <v>2015</v>
      </c>
      <c r="C841" s="76" t="s">
        <v>2010</v>
      </c>
      <c r="D841" s="76" t="s">
        <v>2062</v>
      </c>
      <c r="E841" s="76" t="s">
        <v>2063</v>
      </c>
      <c r="F841" s="76" t="s">
        <v>1999</v>
      </c>
      <c r="G841" s="186" t="str">
        <f t="shared" ca="1" si="18"/>
        <v/>
      </c>
      <c r="H841" s="116"/>
      <c r="I841" s="116"/>
      <c r="J841" s="116"/>
      <c r="K841" s="116"/>
      <c r="L841" s="116"/>
      <c r="M841" s="116"/>
      <c r="N841" s="116"/>
      <c r="O841" s="116"/>
      <c r="P841" s="116"/>
      <c r="Q841" s="116"/>
      <c r="R841" s="326"/>
    </row>
    <row r="842" spans="2:18" ht="18.95" customHeight="1">
      <c r="B842" s="533" t="s">
        <v>2019</v>
      </c>
      <c r="C842" s="76" t="s">
        <v>2013</v>
      </c>
      <c r="D842" s="76" t="s">
        <v>2064</v>
      </c>
      <c r="E842" s="76" t="s">
        <v>2065</v>
      </c>
      <c r="F842" s="76" t="s">
        <v>2066</v>
      </c>
      <c r="G842" s="186" t="str">
        <f t="shared" ca="1" si="18"/>
        <v/>
      </c>
      <c r="H842" s="116"/>
      <c r="I842" s="116"/>
      <c r="J842" s="116"/>
      <c r="K842" s="116"/>
      <c r="L842" s="116"/>
      <c r="M842" s="116"/>
      <c r="N842" s="116"/>
      <c r="O842" s="116"/>
      <c r="P842" s="116"/>
      <c r="Q842" s="116"/>
      <c r="R842" s="326"/>
    </row>
    <row r="843" spans="2:18" ht="18.95" customHeight="1">
      <c r="B843" s="533" t="s">
        <v>2022</v>
      </c>
      <c r="C843" s="76" t="s">
        <v>2016</v>
      </c>
      <c r="D843" s="76" t="s">
        <v>2067</v>
      </c>
      <c r="E843" s="76" t="s">
        <v>2068</v>
      </c>
      <c r="F843" s="76" t="s">
        <v>1999</v>
      </c>
      <c r="G843" s="186" t="str">
        <f t="shared" ca="1" si="18"/>
        <v/>
      </c>
      <c r="H843" s="116"/>
      <c r="I843" s="116"/>
      <c r="J843" s="116"/>
      <c r="K843" s="116"/>
      <c r="L843" s="116"/>
      <c r="M843" s="116"/>
      <c r="N843" s="116"/>
      <c r="O843" s="116"/>
      <c r="P843" s="116"/>
      <c r="Q843" s="116"/>
      <c r="R843" s="326"/>
    </row>
    <row r="844" spans="2:18" ht="18.95" customHeight="1">
      <c r="B844" s="533" t="s">
        <v>1995</v>
      </c>
      <c r="C844" s="76" t="s">
        <v>2020</v>
      </c>
      <c r="D844" s="76" t="s">
        <v>2069</v>
      </c>
      <c r="E844" s="76" t="s">
        <v>2070</v>
      </c>
      <c r="F844" s="76" t="s">
        <v>1999</v>
      </c>
      <c r="G844" s="186" t="str">
        <f t="shared" ca="1" si="18"/>
        <v/>
      </c>
      <c r="H844" s="116"/>
      <c r="I844" s="116"/>
      <c r="J844" s="116"/>
      <c r="K844" s="116"/>
      <c r="L844" s="116"/>
      <c r="M844" s="116"/>
      <c r="N844" s="116"/>
      <c r="O844" s="116"/>
      <c r="P844" s="116"/>
      <c r="Q844" s="116"/>
      <c r="R844" s="326"/>
    </row>
    <row r="845" spans="2:18" ht="18.95" customHeight="1">
      <c r="B845" s="533" t="s">
        <v>2001</v>
      </c>
      <c r="C845" s="76" t="s">
        <v>2023</v>
      </c>
      <c r="D845" s="76" t="s">
        <v>2071</v>
      </c>
      <c r="E845" s="76" t="s">
        <v>2072</v>
      </c>
      <c r="F845" s="76" t="s">
        <v>1999</v>
      </c>
      <c r="G845" s="186" t="str">
        <f t="shared" ca="1" si="18"/>
        <v/>
      </c>
      <c r="H845" s="116"/>
      <c r="I845" s="116"/>
      <c r="J845" s="116"/>
      <c r="K845" s="116"/>
      <c r="L845" s="116"/>
      <c r="M845" s="116"/>
      <c r="N845" s="116"/>
      <c r="O845" s="116"/>
      <c r="P845" s="116"/>
      <c r="Q845" s="116"/>
      <c r="R845" s="326"/>
    </row>
    <row r="846" spans="2:18" ht="18.95" customHeight="1">
      <c r="B846" s="533" t="s">
        <v>1995</v>
      </c>
      <c r="C846" s="76" t="s">
        <v>2025</v>
      </c>
      <c r="D846" s="76" t="s">
        <v>2073</v>
      </c>
      <c r="E846" s="76" t="s">
        <v>2074</v>
      </c>
      <c r="F846" s="76" t="s">
        <v>1999</v>
      </c>
      <c r="G846" s="186" t="str">
        <f t="shared" ca="1" si="18"/>
        <v/>
      </c>
      <c r="H846" s="116"/>
      <c r="I846" s="116"/>
      <c r="J846" s="116"/>
      <c r="K846" s="116"/>
      <c r="L846" s="116"/>
      <c r="M846" s="116"/>
      <c r="N846" s="116"/>
      <c r="O846" s="116"/>
      <c r="P846" s="116"/>
      <c r="Q846" s="116"/>
      <c r="R846" s="326"/>
    </row>
    <row r="847" spans="2:18" ht="18.95" customHeight="1">
      <c r="B847" s="533" t="s">
        <v>2001</v>
      </c>
      <c r="C847" s="76" t="s">
        <v>2027</v>
      </c>
      <c r="D847" s="76" t="s">
        <v>2075</v>
      </c>
      <c r="E847" s="76" t="s">
        <v>2076</v>
      </c>
      <c r="F847" s="76" t="s">
        <v>1999</v>
      </c>
      <c r="G847" s="186" t="str">
        <f t="shared" ca="1" si="18"/>
        <v/>
      </c>
      <c r="H847" s="116"/>
      <c r="I847" s="116"/>
      <c r="J847" s="116"/>
      <c r="K847" s="116"/>
      <c r="L847" s="116"/>
      <c r="M847" s="116"/>
      <c r="N847" s="116"/>
      <c r="O847" s="116"/>
      <c r="P847" s="116"/>
      <c r="Q847" s="116"/>
      <c r="R847" s="326"/>
    </row>
    <row r="848" spans="2:18" ht="18.95" customHeight="1">
      <c r="B848" s="533" t="s">
        <v>2005</v>
      </c>
      <c r="C848" s="76" t="s">
        <v>2028</v>
      </c>
      <c r="D848" s="76" t="s">
        <v>2077</v>
      </c>
      <c r="E848" s="76" t="s">
        <v>2078</v>
      </c>
      <c r="F848" s="76" t="s">
        <v>1999</v>
      </c>
      <c r="G848" s="186" t="str">
        <f t="shared" ca="1" si="18"/>
        <v>此ID系列用尽</v>
      </c>
      <c r="H848" s="116"/>
      <c r="I848" s="116"/>
      <c r="J848" s="116"/>
      <c r="K848" s="116"/>
      <c r="L848" s="116"/>
      <c r="M848" s="116"/>
      <c r="N848" s="116"/>
      <c r="O848" s="116"/>
      <c r="P848" s="116"/>
      <c r="Q848" s="116"/>
      <c r="R848" s="326"/>
    </row>
    <row r="849" spans="2:18" ht="18.95" customHeight="1">
      <c r="B849" s="533" t="s">
        <v>2022</v>
      </c>
      <c r="C849" s="76" t="s">
        <v>2030</v>
      </c>
      <c r="D849" s="76" t="s">
        <v>2079</v>
      </c>
      <c r="E849" s="76" t="s">
        <v>2080</v>
      </c>
      <c r="F849" s="76" t="s">
        <v>1999</v>
      </c>
      <c r="G849" s="186" t="str">
        <f t="shared" ca="1" si="18"/>
        <v/>
      </c>
      <c r="H849" s="116"/>
      <c r="I849" s="116"/>
      <c r="J849" s="116"/>
      <c r="K849" s="116"/>
      <c r="L849" s="116"/>
      <c r="M849" s="116"/>
      <c r="N849" s="116"/>
      <c r="O849" s="116"/>
      <c r="P849" s="116"/>
      <c r="Q849" s="116"/>
      <c r="R849" s="326"/>
    </row>
    <row r="850" spans="2:18" ht="18.95" customHeight="1">
      <c r="B850" s="533" t="s">
        <v>2015</v>
      </c>
      <c r="C850" s="76" t="s">
        <v>2031</v>
      </c>
      <c r="D850" s="76" t="s">
        <v>2081</v>
      </c>
      <c r="E850" s="76" t="s">
        <v>2082</v>
      </c>
      <c r="F850" s="76" t="s">
        <v>1999</v>
      </c>
      <c r="G850" s="186" t="str">
        <f t="shared" ca="1" si="18"/>
        <v/>
      </c>
      <c r="H850" s="116"/>
      <c r="I850" s="116"/>
      <c r="J850" s="116"/>
      <c r="K850" s="116"/>
      <c r="L850" s="116"/>
      <c r="M850" s="116"/>
      <c r="N850" s="116"/>
      <c r="O850" s="116"/>
      <c r="P850" s="116"/>
      <c r="Q850" s="116"/>
      <c r="R850" s="326"/>
    </row>
    <row r="851" spans="2:18" ht="18.95" customHeight="1">
      <c r="B851" s="304"/>
      <c r="C851" s="305"/>
      <c r="D851" s="305"/>
      <c r="E851" s="305"/>
      <c r="F851" s="305"/>
      <c r="G851" s="305"/>
      <c r="H851" s="305"/>
      <c r="I851" s="305"/>
      <c r="J851" s="305"/>
      <c r="K851" s="305"/>
      <c r="L851" s="305"/>
      <c r="M851" s="305"/>
      <c r="N851" s="305"/>
      <c r="O851" s="305"/>
      <c r="P851" s="305"/>
      <c r="Q851" s="305"/>
      <c r="R851" s="327"/>
    </row>
    <row r="853" spans="2:18" ht="18.95" customHeight="1">
      <c r="B853" s="333"/>
      <c r="C853" s="324"/>
      <c r="D853" s="324"/>
      <c r="E853" s="324"/>
      <c r="F853" s="324"/>
      <c r="G853" s="324"/>
      <c r="H853" s="324"/>
      <c r="I853" s="324"/>
      <c r="J853" s="324"/>
      <c r="K853" s="324"/>
      <c r="L853" s="324"/>
      <c r="M853" s="324"/>
      <c r="N853" s="324"/>
      <c r="O853" s="324"/>
      <c r="P853" s="324"/>
      <c r="Q853" s="324"/>
      <c r="R853" s="325"/>
    </row>
    <row r="854" spans="2:18" ht="18.95" customHeight="1">
      <c r="B854" s="254" t="s">
        <v>2083</v>
      </c>
      <c r="C854" s="116"/>
      <c r="D854" s="116"/>
      <c r="E854" s="116"/>
      <c r="F854" s="116"/>
      <c r="G854" s="116"/>
      <c r="H854" s="116"/>
      <c r="I854" s="116"/>
      <c r="J854" s="116"/>
      <c r="K854" s="116"/>
      <c r="L854" s="116"/>
      <c r="M854" s="116"/>
      <c r="N854" s="116"/>
      <c r="O854" s="116"/>
      <c r="P854" s="116"/>
      <c r="Q854" s="116"/>
      <c r="R854" s="326"/>
    </row>
    <row r="855" spans="2:18" ht="18.95" customHeight="1">
      <c r="B855" s="254"/>
      <c r="C855" s="1135" t="s">
        <v>2084</v>
      </c>
      <c r="D855" s="1135"/>
      <c r="E855" s="1135"/>
      <c r="F855" s="1135"/>
      <c r="G855" s="1135"/>
      <c r="H855" s="116"/>
      <c r="I855" s="116" t="s">
        <v>2085</v>
      </c>
      <c r="J855" s="116"/>
      <c r="K855" s="116"/>
      <c r="L855" s="116"/>
      <c r="M855" s="116"/>
      <c r="N855" s="116"/>
      <c r="O855" s="116"/>
      <c r="P855" s="116"/>
      <c r="Q855" s="116"/>
      <c r="R855" s="326"/>
    </row>
    <row r="856" spans="2:18" ht="18.95" customHeight="1">
      <c r="B856" s="542" t="s">
        <v>2086</v>
      </c>
      <c r="C856" s="543" t="s">
        <v>2087</v>
      </c>
      <c r="D856" s="543" t="s">
        <v>1800</v>
      </c>
      <c r="E856" s="543" t="s">
        <v>1711</v>
      </c>
      <c r="F856" s="543" t="s">
        <v>1714</v>
      </c>
      <c r="G856" s="543" t="s">
        <v>2088</v>
      </c>
      <c r="H856" s="76" t="s">
        <v>2089</v>
      </c>
      <c r="I856" s="116"/>
      <c r="J856" s="116"/>
      <c r="K856" s="116"/>
      <c r="L856" s="116"/>
      <c r="M856" s="116"/>
      <c r="N856" s="116"/>
      <c r="O856" s="116"/>
      <c r="P856" s="116"/>
      <c r="Q856" s="116"/>
      <c r="R856" s="326"/>
    </row>
    <row r="857" spans="2:18" ht="18.95" customHeight="1">
      <c r="B857" s="544" t="s">
        <v>2090</v>
      </c>
      <c r="C857" s="545"/>
      <c r="D857" s="517">
        <v>50</v>
      </c>
      <c r="E857" s="517"/>
      <c r="F857" s="546"/>
      <c r="G857" s="517"/>
      <c r="H857" s="1015">
        <f t="array" ref="H857">(LOOKUP(1,0/(($J$860:$J$874=B857)*(LOOKUP(1,0/(C857:G857),$C$856:$G$856)=$K$860:$K$874)),$L$860:$L$874))*SUM(C857:G857)</f>
        <v>8.25</v>
      </c>
      <c r="I857" s="116"/>
      <c r="J857" s="116"/>
      <c r="K857" s="116"/>
      <c r="L857" s="116"/>
      <c r="M857" s="116"/>
      <c r="N857" s="116"/>
      <c r="O857" s="116"/>
      <c r="P857" s="116"/>
      <c r="Q857" s="116"/>
      <c r="R857" s="326"/>
    </row>
    <row r="858" spans="2:18" ht="18.95" customHeight="1">
      <c r="B858" s="544" t="s">
        <v>2090</v>
      </c>
      <c r="C858" s="545"/>
      <c r="D858" s="517"/>
      <c r="E858" s="517">
        <v>1200</v>
      </c>
      <c r="F858" s="546"/>
      <c r="G858" s="517"/>
      <c r="H858" s="1015">
        <f t="array" ref="H858">(LOOKUP(1,0/(($J$860:$J$874=B858)*(LOOKUP(1,0/(C858:G858),$C$856:$G$856)=$K$860:$K$874)),$L$860:$L$874))*SUM(C858:G858)</f>
        <v>554.4</v>
      </c>
      <c r="I858" s="116"/>
      <c r="J858" s="116" t="s">
        <v>2091</v>
      </c>
      <c r="K858" s="116"/>
      <c r="L858" s="116"/>
      <c r="M858" s="116"/>
      <c r="N858" s="116"/>
      <c r="O858" s="116"/>
      <c r="P858" s="116"/>
      <c r="Q858" s="116"/>
      <c r="R858" s="326"/>
    </row>
    <row r="859" spans="2:18" ht="18.95" customHeight="1">
      <c r="B859" s="544" t="s">
        <v>2090</v>
      </c>
      <c r="C859" s="545"/>
      <c r="D859" s="517"/>
      <c r="E859" s="517">
        <v>50</v>
      </c>
      <c r="F859" s="546"/>
      <c r="G859" s="517"/>
      <c r="H859" s="1015">
        <f t="array" ref="H859">(LOOKUP(1,0/(($J$860:$J$874=B859)*(LOOKUP(1,0/(C859:G859),$C$856:$G$856)=$K$860:$K$874)),$L$860:$L$874))*SUM(C859:G859)</f>
        <v>23.1</v>
      </c>
      <c r="I859" s="116"/>
      <c r="J859" s="99" t="s">
        <v>2086</v>
      </c>
      <c r="K859" s="99" t="s">
        <v>2084</v>
      </c>
      <c r="L859" s="548" t="s">
        <v>2089</v>
      </c>
      <c r="M859" s="116"/>
      <c r="N859" s="116"/>
      <c r="O859" s="116"/>
      <c r="P859" s="116"/>
      <c r="Q859" s="116"/>
      <c r="R859" s="326"/>
    </row>
    <row r="860" spans="2:18" ht="18.95" customHeight="1">
      <c r="B860" s="544" t="s">
        <v>2090</v>
      </c>
      <c r="C860" s="545"/>
      <c r="D860" s="517"/>
      <c r="E860" s="517"/>
      <c r="F860" s="546">
        <v>1200</v>
      </c>
      <c r="G860" s="517"/>
      <c r="H860" s="1015">
        <f t="array" ref="H860">(LOOKUP(1,0/(($J$860:$J$874=B860)*(LOOKUP(1,0/(C860:G860),$C$856:$G$856)=$K$860:$K$874)),$L$860:$L$874))*SUM(C860:G860)</f>
        <v>189.35999999999999</v>
      </c>
      <c r="I860" s="116"/>
      <c r="J860" s="549" t="s">
        <v>2090</v>
      </c>
      <c r="K860" s="543" t="s">
        <v>2087</v>
      </c>
      <c r="L860" s="548">
        <v>0.1326</v>
      </c>
      <c r="M860" s="116"/>
      <c r="N860" s="116"/>
      <c r="O860" s="116"/>
      <c r="P860" s="116"/>
      <c r="Q860" s="116"/>
      <c r="R860" s="326"/>
    </row>
    <row r="861" spans="2:18" ht="18.95" customHeight="1">
      <c r="B861" s="544" t="s">
        <v>2090</v>
      </c>
      <c r="C861" s="545"/>
      <c r="D861" s="517"/>
      <c r="E861" s="517"/>
      <c r="F861" s="546"/>
      <c r="G861" s="517">
        <v>480</v>
      </c>
      <c r="H861" s="1015">
        <f t="array" ref="H861">(LOOKUP(1,0/(($J$860:$J$874=B861)*(LOOKUP(1,0/(C861:G861),$C$856:$G$856)=$K$860:$K$874)),$L$860:$L$874))*SUM(C861:G861)</f>
        <v>268.8</v>
      </c>
      <c r="I861" s="116"/>
      <c r="J861" s="549" t="s">
        <v>2090</v>
      </c>
      <c r="K861" s="543" t="s">
        <v>1800</v>
      </c>
      <c r="L861" s="548">
        <v>0.16500000000000001</v>
      </c>
      <c r="M861" s="116"/>
      <c r="N861" s="116"/>
      <c r="O861" s="116"/>
      <c r="P861" s="116"/>
      <c r="Q861" s="116"/>
      <c r="R861" s="326"/>
    </row>
    <row r="862" spans="2:18" ht="18.95" customHeight="1">
      <c r="B862" s="544" t="s">
        <v>2092</v>
      </c>
      <c r="C862" s="545"/>
      <c r="D862" s="517"/>
      <c r="E862" s="517"/>
      <c r="F862" s="546"/>
      <c r="G862" s="517">
        <v>30</v>
      </c>
      <c r="H862" s="1015">
        <f t="array" ref="H862">(LOOKUP(1,0/(($J$860:$J$874=B862)*(LOOKUP(1,0/(C862:G862),$C$856:$G$856)=$K$860:$K$874)),$L$860:$L$874))*SUM(C862:G862)</f>
        <v>26.664000000000001</v>
      </c>
      <c r="I862" s="116"/>
      <c r="J862" s="549" t="s">
        <v>2090</v>
      </c>
      <c r="K862" s="543" t="s">
        <v>1711</v>
      </c>
      <c r="L862" s="548">
        <v>0.46200000000000002</v>
      </c>
      <c r="M862" s="116"/>
      <c r="N862" s="116"/>
      <c r="O862" s="116"/>
      <c r="P862" s="116"/>
      <c r="Q862" s="116"/>
      <c r="R862" s="326"/>
    </row>
    <row r="863" spans="2:18" ht="18.95" customHeight="1">
      <c r="B863" s="544" t="s">
        <v>2092</v>
      </c>
      <c r="C863" s="545"/>
      <c r="D863" s="517"/>
      <c r="E863" s="517">
        <v>60</v>
      </c>
      <c r="F863" s="546"/>
      <c r="G863" s="517"/>
      <c r="H863" s="1015">
        <f t="array" ref="H863">(LOOKUP(1,0/(($J$860:$J$874=B863)*(LOOKUP(1,0/(C863:G863),$C$856:$G$856)=$K$860:$K$874)),$L$860:$L$874))*SUM(C863:G863)</f>
        <v>43.156800000000004</v>
      </c>
      <c r="I863" s="116"/>
      <c r="J863" s="549" t="s">
        <v>2090</v>
      </c>
      <c r="K863" s="543" t="s">
        <v>1714</v>
      </c>
      <c r="L863" s="548">
        <v>0.1578</v>
      </c>
      <c r="M863" s="116"/>
      <c r="N863" s="116"/>
      <c r="O863" s="116"/>
      <c r="P863" s="116"/>
      <c r="Q863" s="116"/>
      <c r="R863" s="326"/>
    </row>
    <row r="864" spans="2:18" ht="18.95" customHeight="1">
      <c r="B864" s="544" t="s">
        <v>2092</v>
      </c>
      <c r="C864" s="545"/>
      <c r="D864" s="517">
        <v>40</v>
      </c>
      <c r="E864" s="517"/>
      <c r="F864" s="546"/>
      <c r="G864" s="517"/>
      <c r="H864" s="1015">
        <f t="array" ref="H864">(LOOKUP(1,0/(($J$860:$J$874=B864)*(LOOKUP(1,0/(C864:G864),$C$856:$G$856)=$K$860:$K$874)),$L$860:$L$874))*SUM(C864:G864)</f>
        <v>25.380800000000001</v>
      </c>
      <c r="I864" s="116"/>
      <c r="J864" s="549" t="s">
        <v>2090</v>
      </c>
      <c r="K864" s="543" t="s">
        <v>2088</v>
      </c>
      <c r="L864" s="548">
        <v>0.56000000000000005</v>
      </c>
      <c r="M864" s="116"/>
      <c r="N864" s="116"/>
      <c r="O864" s="116"/>
      <c r="P864" s="116"/>
      <c r="Q864" s="116"/>
      <c r="R864" s="326"/>
    </row>
    <row r="865" spans="2:18" ht="18.95" customHeight="1">
      <c r="B865" s="544" t="s">
        <v>2092</v>
      </c>
      <c r="C865" s="545"/>
      <c r="D865" s="517"/>
      <c r="E865" s="517">
        <v>5</v>
      </c>
      <c r="F865" s="546"/>
      <c r="G865" s="517"/>
      <c r="H865" s="1015">
        <f t="array" ref="H865">(LOOKUP(1,0/(($J$860:$J$874=B865)*(LOOKUP(1,0/(C865:G865),$C$856:$G$856)=$K$860:$K$874)),$L$860:$L$874))*SUM(C865:G865)</f>
        <v>3.5964</v>
      </c>
      <c r="I865" s="116"/>
      <c r="J865" s="549" t="s">
        <v>2092</v>
      </c>
      <c r="K865" s="543" t="s">
        <v>2087</v>
      </c>
      <c r="L865" s="548">
        <v>0.54976000000000003</v>
      </c>
      <c r="M865" s="116"/>
      <c r="N865" s="116"/>
      <c r="O865" s="116"/>
      <c r="P865" s="116"/>
      <c r="Q865" s="116"/>
      <c r="R865" s="326"/>
    </row>
    <row r="866" spans="2:18" ht="18.95" customHeight="1">
      <c r="B866" s="544" t="s">
        <v>2092</v>
      </c>
      <c r="C866" s="545"/>
      <c r="D866" s="517"/>
      <c r="E866" s="517"/>
      <c r="F866" s="546">
        <v>5</v>
      </c>
      <c r="G866" s="517"/>
      <c r="H866" s="1015">
        <f t="array" ref="H866">(LOOKUP(1,0/(($J$860:$J$874=B866)*(LOOKUP(1,0/(C866:G866),$C$856:$G$856)=$K$860:$K$874)),$L$860:$L$874))*SUM(C866:G866)</f>
        <v>4.0202</v>
      </c>
      <c r="I866" s="116"/>
      <c r="J866" s="549" t="s">
        <v>2092</v>
      </c>
      <c r="K866" s="543" t="s">
        <v>1800</v>
      </c>
      <c r="L866" s="548">
        <v>0.63451999999999997</v>
      </c>
      <c r="M866" s="116"/>
      <c r="N866" s="116"/>
      <c r="O866" s="116"/>
      <c r="P866" s="116"/>
      <c r="Q866" s="116"/>
      <c r="R866" s="326"/>
    </row>
    <row r="867" spans="2:18" ht="18.95" customHeight="1">
      <c r="B867" s="544" t="s">
        <v>2092</v>
      </c>
      <c r="C867" s="545"/>
      <c r="D867" s="517"/>
      <c r="E867" s="517"/>
      <c r="F867" s="546">
        <v>60</v>
      </c>
      <c r="G867" s="517"/>
      <c r="H867" s="1015">
        <f t="array" ref="H867">(LOOKUP(1,0/(($J$860:$J$874=B867)*(LOOKUP(1,0/(C867:G867),$C$856:$G$856)=$K$860:$K$874)),$L$860:$L$874))*SUM(C867:G867)</f>
        <v>48.242399999999996</v>
      </c>
      <c r="I867" s="116"/>
      <c r="J867" s="549" t="s">
        <v>2092</v>
      </c>
      <c r="K867" s="543" t="s">
        <v>1711</v>
      </c>
      <c r="L867" s="548">
        <v>0.71928000000000003</v>
      </c>
      <c r="M867" s="116"/>
      <c r="N867" s="116"/>
      <c r="O867" s="116"/>
      <c r="P867" s="116"/>
      <c r="Q867" s="116"/>
      <c r="R867" s="326"/>
    </row>
    <row r="868" spans="2:18" ht="18.95" customHeight="1">
      <c r="B868" s="544" t="s">
        <v>2093</v>
      </c>
      <c r="C868" s="545"/>
      <c r="D868" s="517"/>
      <c r="E868" s="517"/>
      <c r="F868" s="546"/>
      <c r="G868" s="517">
        <v>30</v>
      </c>
      <c r="H868" s="1015">
        <f t="array" ref="H868">(LOOKUP(1,0/(($J$860:$J$874=B868)*(LOOKUP(1,0/(C868:G868),$C$856:$G$856)=$K$860:$K$874)),$L$860:$L$874))*SUM(C868:G868)</f>
        <v>39.378</v>
      </c>
      <c r="I868" s="116"/>
      <c r="J868" s="549" t="s">
        <v>2092</v>
      </c>
      <c r="K868" s="543" t="s">
        <v>1714</v>
      </c>
      <c r="L868" s="548">
        <v>0.80403999999999998</v>
      </c>
      <c r="M868" s="116"/>
      <c r="N868" s="116"/>
      <c r="O868" s="116"/>
      <c r="P868" s="116"/>
      <c r="Q868" s="116"/>
      <c r="R868" s="326"/>
    </row>
    <row r="869" spans="2:18" ht="18.95" customHeight="1">
      <c r="B869" s="544" t="s">
        <v>2093</v>
      </c>
      <c r="C869" s="545"/>
      <c r="D869" s="517">
        <v>50</v>
      </c>
      <c r="E869" s="517"/>
      <c r="F869" s="546"/>
      <c r="G869" s="517"/>
      <c r="H869" s="1015">
        <f t="array" ref="H869">(LOOKUP(1,0/(($J$860:$J$874=B869)*(LOOKUP(1,0/(C869:G869),$C$856:$G$856)=$K$860:$K$874)),$L$860:$L$874))*SUM(C869:G869)</f>
        <v>52.915999999999997</v>
      </c>
      <c r="I869" s="116"/>
      <c r="J869" s="549" t="s">
        <v>2092</v>
      </c>
      <c r="K869" s="543" t="s">
        <v>2088</v>
      </c>
      <c r="L869" s="548">
        <v>0.88880000000000003</v>
      </c>
      <c r="M869" s="116"/>
      <c r="N869" s="116"/>
      <c r="O869" s="116"/>
      <c r="P869" s="116"/>
      <c r="Q869" s="116"/>
      <c r="R869" s="326"/>
    </row>
    <row r="870" spans="2:18" ht="18.95" customHeight="1">
      <c r="B870" s="544" t="s">
        <v>2093</v>
      </c>
      <c r="C870" s="545"/>
      <c r="D870" s="517"/>
      <c r="E870" s="517">
        <v>60</v>
      </c>
      <c r="F870" s="546"/>
      <c r="G870" s="517"/>
      <c r="H870" s="1015">
        <f t="array" ref="H870">(LOOKUP(1,0/(($J$860:$J$874=B870)*(LOOKUP(1,0/(C870:G870),$C$856:$G$856)=$K$860:$K$874)),$L$860:$L$874))*SUM(C870:G870)</f>
        <v>68.584800000000001</v>
      </c>
      <c r="I870" s="116"/>
      <c r="J870" s="549" t="s">
        <v>2093</v>
      </c>
      <c r="K870" s="543" t="s">
        <v>2087</v>
      </c>
      <c r="L870" s="548">
        <v>0.97355999999999998</v>
      </c>
      <c r="M870" s="116"/>
      <c r="N870" s="116"/>
      <c r="O870" s="116"/>
      <c r="P870" s="116"/>
      <c r="Q870" s="116"/>
      <c r="R870" s="326"/>
    </row>
    <row r="871" spans="2:18" ht="18.95" customHeight="1">
      <c r="B871" s="544" t="s">
        <v>2093</v>
      </c>
      <c r="C871" s="545"/>
      <c r="D871" s="517"/>
      <c r="E871" s="517"/>
      <c r="F871" s="546">
        <v>60</v>
      </c>
      <c r="G871" s="517"/>
      <c r="H871" s="1015">
        <f t="array" ref="H871">(LOOKUP(1,0/(($J$860:$J$874=B871)*(LOOKUP(1,0/(C871:G871),$C$856:$G$856)=$K$860:$K$874)),$L$860:$L$874))*SUM(C871:G871)</f>
        <v>73.670400000000001</v>
      </c>
      <c r="I871" s="116"/>
      <c r="J871" s="549" t="s">
        <v>2093</v>
      </c>
      <c r="K871" s="543" t="s">
        <v>1800</v>
      </c>
      <c r="L871" s="548">
        <v>1.0583199999999999</v>
      </c>
      <c r="M871" s="116"/>
      <c r="N871" s="116"/>
      <c r="O871" s="116"/>
      <c r="P871" s="116"/>
      <c r="Q871" s="116"/>
      <c r="R871" s="326"/>
    </row>
    <row r="872" spans="2:18" ht="18.95" customHeight="1">
      <c r="B872" s="544" t="s">
        <v>2093</v>
      </c>
      <c r="C872" s="545"/>
      <c r="D872" s="517"/>
      <c r="E872" s="517"/>
      <c r="F872" s="546"/>
      <c r="G872" s="517">
        <v>30</v>
      </c>
      <c r="H872" s="1015">
        <f t="array" ref="H872">(LOOKUP(1,0/(($J$860:$J$874=B872)*(LOOKUP(1,0/(C872:G872),$C$856:$G$856)=$K$860:$K$874)),$L$860:$L$874))*SUM(C872:G872)</f>
        <v>39.378</v>
      </c>
      <c r="I872" s="116"/>
      <c r="J872" s="549" t="s">
        <v>2093</v>
      </c>
      <c r="K872" s="543" t="s">
        <v>1711</v>
      </c>
      <c r="L872" s="548">
        <v>1.1430800000000001</v>
      </c>
      <c r="M872" s="116"/>
      <c r="N872" s="116"/>
      <c r="O872" s="116"/>
      <c r="P872" s="116"/>
      <c r="Q872" s="116"/>
      <c r="R872" s="326"/>
    </row>
    <row r="873" spans="2:18" ht="18.95" customHeight="1">
      <c r="B873" s="544" t="s">
        <v>2093</v>
      </c>
      <c r="C873" s="545"/>
      <c r="D873" s="517">
        <v>40</v>
      </c>
      <c r="E873" s="517"/>
      <c r="F873" s="546"/>
      <c r="G873" s="517"/>
      <c r="H873" s="1015">
        <f t="array" ref="H873">(LOOKUP(1,0/(($J$860:$J$874=B873)*(LOOKUP(1,0/(C873:G873),$C$856:$G$856)=$K$860:$K$874)),$L$860:$L$874))*SUM(C873:G873)</f>
        <v>42.332799999999999</v>
      </c>
      <c r="I873" s="116"/>
      <c r="J873" s="549" t="s">
        <v>2093</v>
      </c>
      <c r="K873" s="543" t="s">
        <v>1714</v>
      </c>
      <c r="L873" s="548">
        <v>1.22784</v>
      </c>
      <c r="M873" s="116"/>
      <c r="N873" s="116"/>
      <c r="O873" s="116"/>
      <c r="P873" s="116"/>
      <c r="Q873" s="116"/>
      <c r="R873" s="326"/>
    </row>
    <row r="874" spans="2:18" ht="18.95" customHeight="1">
      <c r="B874" s="544" t="s">
        <v>2093</v>
      </c>
      <c r="C874" s="545"/>
      <c r="D874" s="517"/>
      <c r="E874" s="517">
        <v>5</v>
      </c>
      <c r="F874" s="546"/>
      <c r="G874" s="517"/>
      <c r="H874" s="1015">
        <f t="array" ref="H874">(LOOKUP(1,0/(($J$860:$J$874=B874)*(LOOKUP(1,0/(C874:G874),$C$856:$G$856)=$K$860:$K$874)),$L$860:$L$874))*SUM(C874:G874)</f>
        <v>5.7154000000000007</v>
      </c>
      <c r="I874" s="116"/>
      <c r="J874" s="549" t="s">
        <v>2093</v>
      </c>
      <c r="K874" s="543" t="s">
        <v>2088</v>
      </c>
      <c r="L874" s="548">
        <v>1.3126</v>
      </c>
      <c r="M874" s="116"/>
      <c r="N874" s="116"/>
      <c r="O874" s="116"/>
      <c r="P874" s="116"/>
      <c r="Q874" s="116"/>
      <c r="R874" s="326"/>
    </row>
    <row r="875" spans="2:18" ht="18.95" customHeight="1">
      <c r="B875" s="544" t="s">
        <v>2093</v>
      </c>
      <c r="C875" s="545"/>
      <c r="D875" s="517"/>
      <c r="E875" s="517"/>
      <c r="F875" s="546">
        <v>5</v>
      </c>
      <c r="G875" s="517"/>
      <c r="H875" s="1015">
        <f t="array" ref="H875">(LOOKUP(1,0/(($J$860:$J$874=B875)*(LOOKUP(1,0/(C875:G875),$C$856:$G$856)=$K$860:$K$874)),$L$860:$L$874))*SUM(C875:G875)</f>
        <v>6.1392000000000007</v>
      </c>
      <c r="I875" s="116"/>
      <c r="J875" s="116"/>
      <c r="K875" s="116"/>
      <c r="L875" s="116"/>
      <c r="M875" s="116"/>
      <c r="N875" s="116"/>
      <c r="O875" s="116"/>
      <c r="P875" s="116"/>
      <c r="Q875" s="116"/>
      <c r="R875" s="326"/>
    </row>
    <row r="876" spans="2:18" ht="18.95" customHeight="1">
      <c r="B876" s="254"/>
      <c r="C876" s="116"/>
      <c r="D876" s="116"/>
      <c r="E876" s="116"/>
      <c r="F876" s="116"/>
      <c r="G876" s="116"/>
      <c r="H876" s="116"/>
      <c r="I876" s="116"/>
      <c r="J876" s="116"/>
      <c r="K876" s="116"/>
      <c r="L876" s="116"/>
      <c r="M876" s="116"/>
      <c r="N876" s="116"/>
      <c r="O876" s="116"/>
      <c r="P876" s="116"/>
      <c r="Q876" s="116"/>
      <c r="R876" s="326"/>
    </row>
    <row r="877" spans="2:18" ht="18.95" customHeight="1">
      <c r="B877" s="254"/>
      <c r="C877" s="116"/>
      <c r="D877" s="116"/>
      <c r="E877" s="116"/>
      <c r="F877" s="116"/>
      <c r="G877" s="116"/>
      <c r="H877" s="116"/>
      <c r="I877" s="116"/>
      <c r="J877" s="116"/>
      <c r="K877" s="116"/>
      <c r="L877" s="116"/>
      <c r="M877" s="116"/>
      <c r="N877" s="116"/>
      <c r="O877" s="116"/>
      <c r="P877" s="116"/>
      <c r="Q877" s="116"/>
      <c r="R877" s="326"/>
    </row>
    <row r="878" spans="2:18" ht="18.95" customHeight="1">
      <c r="B878" s="254"/>
      <c r="C878" s="116"/>
      <c r="D878" s="116"/>
      <c r="E878" s="116"/>
      <c r="F878" s="116"/>
      <c r="G878" s="116" t="s">
        <v>2094</v>
      </c>
      <c r="H878" s="116"/>
      <c r="I878" s="116"/>
      <c r="J878" s="116"/>
      <c r="K878" s="116"/>
      <c r="L878" s="116"/>
      <c r="M878" s="116"/>
      <c r="N878" s="116"/>
      <c r="O878" s="116"/>
      <c r="P878" s="116"/>
      <c r="Q878" s="116"/>
      <c r="R878" s="326"/>
    </row>
    <row r="879" spans="2:18" ht="18.95" customHeight="1">
      <c r="B879" s="304"/>
      <c r="C879" s="305"/>
      <c r="D879" s="305"/>
      <c r="E879" s="305"/>
      <c r="F879" s="305"/>
      <c r="G879" s="305"/>
      <c r="H879" s="305"/>
      <c r="I879" s="305"/>
      <c r="J879" s="305"/>
      <c r="K879" s="305"/>
      <c r="L879" s="305"/>
      <c r="M879" s="305"/>
      <c r="N879" s="305"/>
      <c r="O879" s="305"/>
      <c r="P879" s="305"/>
      <c r="Q879" s="305"/>
      <c r="R879" s="327"/>
    </row>
    <row r="882" spans="2:8" ht="18.95" customHeight="1">
      <c r="B882" s="333" t="s">
        <v>1245</v>
      </c>
      <c r="C882" s="324" t="s">
        <v>2095</v>
      </c>
      <c r="D882" s="324"/>
      <c r="E882" s="324" t="s">
        <v>2096</v>
      </c>
      <c r="F882" s="324"/>
      <c r="G882" s="324"/>
      <c r="H882" s="325"/>
    </row>
    <row r="883" spans="2:8" ht="18.95" customHeight="1">
      <c r="B883" s="254" t="s">
        <v>2097</v>
      </c>
      <c r="C883" s="116" t="s">
        <v>2097</v>
      </c>
      <c r="D883" s="116" t="s">
        <v>2097</v>
      </c>
      <c r="E883" s="116" t="s">
        <v>2097</v>
      </c>
      <c r="F883" s="116"/>
      <c r="G883" s="116"/>
      <c r="H883" s="326"/>
    </row>
    <row r="884" spans="2:8" ht="18.95" customHeight="1">
      <c r="B884" s="254" t="s">
        <v>2097</v>
      </c>
      <c r="C884" s="116">
        <v>2022</v>
      </c>
      <c r="D884" s="116" t="s">
        <v>2097</v>
      </c>
      <c r="E884" s="116" t="s">
        <v>2097</v>
      </c>
      <c r="F884" s="547" t="s">
        <v>2098</v>
      </c>
      <c r="G884" s="536">
        <v>44647</v>
      </c>
      <c r="H884" s="326"/>
    </row>
    <row r="885" spans="2:8" ht="18.95" customHeight="1">
      <c r="B885" s="254" t="s">
        <v>2097</v>
      </c>
      <c r="C885" s="116">
        <v>3</v>
      </c>
      <c r="D885" s="116" t="s">
        <v>2097</v>
      </c>
      <c r="E885" s="116" t="s">
        <v>2097</v>
      </c>
      <c r="F885" s="323">
        <f ca="1">SUM(D889:OFFSET($D$888,MATCH("2022/3/24",$B$889:$B$919,),0,))</f>
        <v>300</v>
      </c>
      <c r="G885" s="116"/>
      <c r="H885" s="326"/>
    </row>
    <row r="886" spans="2:8" ht="18.95" customHeight="1">
      <c r="B886" s="254" t="s">
        <v>2097</v>
      </c>
      <c r="C886" s="116" t="s">
        <v>2097</v>
      </c>
      <c r="D886" s="116" t="s">
        <v>2097</v>
      </c>
      <c r="E886" s="116" t="s">
        <v>2097</v>
      </c>
      <c r="F886" s="116"/>
      <c r="G886" s="116"/>
      <c r="H886" s="326"/>
    </row>
    <row r="887" spans="2:8" ht="18.95" customHeight="1">
      <c r="B887" s="254" t="s">
        <v>2097</v>
      </c>
      <c r="C887" s="116" t="s">
        <v>2097</v>
      </c>
      <c r="D887" s="116" t="s">
        <v>2097</v>
      </c>
      <c r="E887" s="116" t="s">
        <v>2097</v>
      </c>
      <c r="F887" s="116"/>
      <c r="G887" s="116"/>
      <c r="H887" s="326"/>
    </row>
    <row r="888" spans="2:8" ht="18.95" customHeight="1">
      <c r="B888" s="254" t="s">
        <v>43</v>
      </c>
      <c r="C888" s="116" t="s">
        <v>2099</v>
      </c>
      <c r="D888" s="116" t="s">
        <v>2100</v>
      </c>
      <c r="E888" s="116"/>
      <c r="F888" s="116"/>
      <c r="G888" s="116"/>
      <c r="H888" s="326"/>
    </row>
    <row r="889" spans="2:8" ht="18.95" customHeight="1">
      <c r="B889" s="254" t="s">
        <v>2101</v>
      </c>
      <c r="C889" s="116" t="s">
        <v>2102</v>
      </c>
      <c r="D889" s="116">
        <v>1</v>
      </c>
      <c r="E889" s="536">
        <f t="shared" ref="E889:E919" si="19">VALUE(B889)</f>
        <v>44621</v>
      </c>
      <c r="F889" s="116"/>
      <c r="G889" s="116"/>
      <c r="H889" s="326"/>
    </row>
    <row r="890" spans="2:8" ht="18.95" customHeight="1">
      <c r="B890" s="254" t="s">
        <v>2103</v>
      </c>
      <c r="C890" s="116" t="s">
        <v>2104</v>
      </c>
      <c r="D890" s="116">
        <v>2</v>
      </c>
      <c r="E890" s="536">
        <f t="shared" si="19"/>
        <v>44622</v>
      </c>
      <c r="F890" s="116"/>
      <c r="G890" s="116"/>
      <c r="H890" s="326"/>
    </row>
    <row r="891" spans="2:8" ht="18.95" customHeight="1">
      <c r="B891" s="254" t="s">
        <v>2105</v>
      </c>
      <c r="C891" s="116" t="s">
        <v>2106</v>
      </c>
      <c r="D891" s="116">
        <v>3</v>
      </c>
      <c r="E891" s="536">
        <f t="shared" si="19"/>
        <v>44623</v>
      </c>
      <c r="F891" s="116"/>
      <c r="G891" s="116"/>
      <c r="H891" s="326"/>
    </row>
    <row r="892" spans="2:8" ht="18.95" customHeight="1">
      <c r="B892" s="254" t="s">
        <v>2107</v>
      </c>
      <c r="C892" s="116" t="s">
        <v>2108</v>
      </c>
      <c r="D892" s="116">
        <v>4</v>
      </c>
      <c r="E892" s="536">
        <f t="shared" si="19"/>
        <v>44624</v>
      </c>
      <c r="F892" s="116"/>
      <c r="G892" s="116"/>
      <c r="H892" s="326"/>
    </row>
    <row r="893" spans="2:8" ht="18.95" customHeight="1">
      <c r="B893" s="254" t="s">
        <v>2109</v>
      </c>
      <c r="C893" s="116" t="s">
        <v>2110</v>
      </c>
      <c r="D893" s="116">
        <v>5</v>
      </c>
      <c r="E893" s="536">
        <f t="shared" si="19"/>
        <v>44625</v>
      </c>
      <c r="F893" s="116"/>
      <c r="G893" s="116"/>
      <c r="H893" s="326"/>
    </row>
    <row r="894" spans="2:8" ht="18.95" customHeight="1">
      <c r="B894" s="254" t="s">
        <v>2111</v>
      </c>
      <c r="C894" s="116" t="s">
        <v>2112</v>
      </c>
      <c r="D894" s="116">
        <v>6</v>
      </c>
      <c r="E894" s="536">
        <f t="shared" si="19"/>
        <v>44626</v>
      </c>
      <c r="H894" s="326"/>
    </row>
    <row r="895" spans="2:8" ht="18.95" customHeight="1">
      <c r="B895" s="254" t="s">
        <v>2113</v>
      </c>
      <c r="C895" s="116" t="s">
        <v>2114</v>
      </c>
      <c r="D895" s="116">
        <v>7</v>
      </c>
      <c r="E895" s="536">
        <f t="shared" si="19"/>
        <v>44627</v>
      </c>
      <c r="H895" s="326"/>
    </row>
    <row r="896" spans="2:8" ht="18.95" customHeight="1">
      <c r="B896" s="254" t="s">
        <v>2115</v>
      </c>
      <c r="C896" s="116" t="s">
        <v>2102</v>
      </c>
      <c r="D896" s="116">
        <v>8</v>
      </c>
      <c r="E896" s="536">
        <f t="shared" si="19"/>
        <v>44628</v>
      </c>
      <c r="F896" s="116"/>
      <c r="G896" s="116"/>
      <c r="H896" s="326"/>
    </row>
    <row r="897" spans="2:8" ht="18.95" customHeight="1">
      <c r="B897" s="254" t="s">
        <v>2116</v>
      </c>
      <c r="C897" s="116" t="s">
        <v>2104</v>
      </c>
      <c r="D897" s="116">
        <v>9</v>
      </c>
      <c r="E897" s="536">
        <f t="shared" si="19"/>
        <v>44629</v>
      </c>
      <c r="F897" s="116"/>
      <c r="G897" s="116"/>
      <c r="H897" s="326"/>
    </row>
    <row r="898" spans="2:8" ht="18.95" customHeight="1">
      <c r="B898" s="254" t="s">
        <v>2117</v>
      </c>
      <c r="C898" s="116" t="s">
        <v>2106</v>
      </c>
      <c r="D898" s="116">
        <v>10</v>
      </c>
      <c r="E898" s="536">
        <f t="shared" si="19"/>
        <v>44630</v>
      </c>
      <c r="F898" s="116"/>
      <c r="G898" s="116"/>
      <c r="H898" s="326"/>
    </row>
    <row r="899" spans="2:8" ht="18.95" customHeight="1">
      <c r="B899" s="254" t="s">
        <v>2118</v>
      </c>
      <c r="C899" s="116" t="s">
        <v>2108</v>
      </c>
      <c r="D899" s="116">
        <v>11</v>
      </c>
      <c r="E899" s="536">
        <f t="shared" si="19"/>
        <v>44631</v>
      </c>
      <c r="F899" s="116"/>
      <c r="G899" s="116"/>
      <c r="H899" s="326"/>
    </row>
    <row r="900" spans="2:8" ht="18.95" customHeight="1">
      <c r="B900" s="254" t="s">
        <v>2119</v>
      </c>
      <c r="C900" s="116" t="s">
        <v>2110</v>
      </c>
      <c r="D900" s="116">
        <v>12</v>
      </c>
      <c r="E900" s="536">
        <f t="shared" si="19"/>
        <v>44632</v>
      </c>
      <c r="F900" s="116"/>
      <c r="G900" s="116"/>
      <c r="H900" s="326"/>
    </row>
    <row r="901" spans="2:8" ht="18.95" customHeight="1">
      <c r="B901" s="254" t="s">
        <v>2120</v>
      </c>
      <c r="C901" s="116" t="s">
        <v>2112</v>
      </c>
      <c r="D901" s="116">
        <v>13</v>
      </c>
      <c r="E901" s="536">
        <f t="shared" si="19"/>
        <v>44633</v>
      </c>
      <c r="F901" s="116"/>
      <c r="G901" s="116"/>
      <c r="H901" s="326"/>
    </row>
    <row r="902" spans="2:8" ht="18.95" customHeight="1">
      <c r="B902" s="254" t="s">
        <v>2121</v>
      </c>
      <c r="C902" s="116" t="s">
        <v>2114</v>
      </c>
      <c r="D902" s="116">
        <v>14</v>
      </c>
      <c r="E902" s="536">
        <f t="shared" si="19"/>
        <v>44634</v>
      </c>
      <c r="F902" s="116"/>
      <c r="G902" s="116"/>
      <c r="H902" s="326"/>
    </row>
    <row r="903" spans="2:8" ht="18.95" customHeight="1">
      <c r="B903" s="254" t="s">
        <v>2122</v>
      </c>
      <c r="C903" s="116" t="s">
        <v>2102</v>
      </c>
      <c r="D903" s="116">
        <v>15</v>
      </c>
      <c r="E903" s="536">
        <f t="shared" si="19"/>
        <v>44635</v>
      </c>
      <c r="F903" s="116"/>
      <c r="G903" s="116"/>
      <c r="H903" s="326"/>
    </row>
    <row r="904" spans="2:8" ht="18.95" customHeight="1">
      <c r="B904" s="254" t="s">
        <v>2123</v>
      </c>
      <c r="C904" s="116" t="s">
        <v>2104</v>
      </c>
      <c r="D904" s="116">
        <v>16</v>
      </c>
      <c r="E904" s="536">
        <f t="shared" si="19"/>
        <v>44636</v>
      </c>
      <c r="F904" s="116"/>
      <c r="G904" s="116"/>
      <c r="H904" s="326"/>
    </row>
    <row r="905" spans="2:8" ht="18.95" customHeight="1">
      <c r="B905" s="254" t="s">
        <v>2124</v>
      </c>
      <c r="C905" s="116" t="s">
        <v>2106</v>
      </c>
      <c r="D905" s="116">
        <v>17</v>
      </c>
      <c r="E905" s="536">
        <f t="shared" si="19"/>
        <v>44637</v>
      </c>
      <c r="F905" s="116"/>
      <c r="G905" s="116"/>
      <c r="H905" s="326"/>
    </row>
    <row r="906" spans="2:8" ht="18.95" customHeight="1">
      <c r="B906" s="254" t="s">
        <v>2125</v>
      </c>
      <c r="C906" s="116" t="s">
        <v>2108</v>
      </c>
      <c r="D906" s="116">
        <v>18</v>
      </c>
      <c r="E906" s="536">
        <f t="shared" si="19"/>
        <v>44638</v>
      </c>
      <c r="F906" s="116"/>
      <c r="G906" s="116"/>
      <c r="H906" s="326"/>
    </row>
    <row r="907" spans="2:8" ht="18.95" customHeight="1">
      <c r="B907" s="254" t="s">
        <v>2126</v>
      </c>
      <c r="C907" s="116" t="s">
        <v>2110</v>
      </c>
      <c r="D907" s="116">
        <v>19</v>
      </c>
      <c r="E907" s="536">
        <f t="shared" si="19"/>
        <v>44639</v>
      </c>
      <c r="F907" s="116"/>
      <c r="G907" s="116"/>
      <c r="H907" s="326"/>
    </row>
    <row r="908" spans="2:8" ht="18.95" customHeight="1">
      <c r="B908" s="254" t="s">
        <v>2127</v>
      </c>
      <c r="C908" s="116" t="s">
        <v>2112</v>
      </c>
      <c r="D908" s="116">
        <v>20</v>
      </c>
      <c r="E908" s="536">
        <f t="shared" si="19"/>
        <v>44640</v>
      </c>
      <c r="F908" s="116"/>
      <c r="G908" s="116"/>
      <c r="H908" s="326"/>
    </row>
    <row r="909" spans="2:8" ht="18.95" customHeight="1">
      <c r="B909" s="254" t="s">
        <v>2128</v>
      </c>
      <c r="C909" s="116" t="s">
        <v>2114</v>
      </c>
      <c r="D909" s="116">
        <v>21</v>
      </c>
      <c r="E909" s="536">
        <f t="shared" si="19"/>
        <v>44641</v>
      </c>
      <c r="F909" s="116"/>
      <c r="G909" s="116"/>
      <c r="H909" s="326"/>
    </row>
    <row r="910" spans="2:8" ht="18.95" customHeight="1">
      <c r="B910" s="254" t="s">
        <v>2129</v>
      </c>
      <c r="C910" s="116" t="s">
        <v>2102</v>
      </c>
      <c r="D910" s="116">
        <v>22</v>
      </c>
      <c r="E910" s="536">
        <f t="shared" si="19"/>
        <v>44642</v>
      </c>
      <c r="F910" s="116"/>
      <c r="G910" s="116"/>
      <c r="H910" s="326"/>
    </row>
    <row r="911" spans="2:8" ht="18.95" customHeight="1">
      <c r="B911" s="254" t="s">
        <v>2130</v>
      </c>
      <c r="C911" s="116" t="s">
        <v>2104</v>
      </c>
      <c r="D911" s="116">
        <v>23</v>
      </c>
      <c r="E911" s="536">
        <f t="shared" si="19"/>
        <v>44643</v>
      </c>
      <c r="F911" s="116"/>
      <c r="G911" s="116"/>
      <c r="H911" s="326"/>
    </row>
    <row r="912" spans="2:8" ht="18.95" customHeight="1">
      <c r="B912" s="254" t="s">
        <v>2131</v>
      </c>
      <c r="C912" s="116" t="s">
        <v>2106</v>
      </c>
      <c r="D912" s="116">
        <v>24</v>
      </c>
      <c r="E912" s="536">
        <f t="shared" si="19"/>
        <v>44644</v>
      </c>
      <c r="F912" s="116"/>
      <c r="G912" s="116"/>
      <c r="H912" s="326"/>
    </row>
    <row r="913" spans="2:23" ht="18.95" customHeight="1">
      <c r="B913" s="254" t="s">
        <v>2132</v>
      </c>
      <c r="C913" s="116" t="s">
        <v>2108</v>
      </c>
      <c r="D913" s="116">
        <v>25</v>
      </c>
      <c r="E913" s="536">
        <f t="shared" si="19"/>
        <v>44645</v>
      </c>
      <c r="F913" s="116"/>
      <c r="G913" s="116"/>
      <c r="H913" s="326"/>
    </row>
    <row r="914" spans="2:23" ht="18.95" customHeight="1">
      <c r="B914" s="254" t="s">
        <v>2133</v>
      </c>
      <c r="C914" s="116" t="s">
        <v>2110</v>
      </c>
      <c r="D914" s="116">
        <v>26</v>
      </c>
      <c r="E914" s="536">
        <f t="shared" si="19"/>
        <v>44646</v>
      </c>
      <c r="F914" s="116"/>
      <c r="G914" s="116"/>
      <c r="H914" s="326"/>
    </row>
    <row r="915" spans="2:23" ht="18.95" customHeight="1">
      <c r="B915" s="254" t="s">
        <v>2134</v>
      </c>
      <c r="C915" s="116" t="s">
        <v>2112</v>
      </c>
      <c r="D915" s="116">
        <v>27</v>
      </c>
      <c r="E915" s="536">
        <f t="shared" si="19"/>
        <v>44647</v>
      </c>
      <c r="F915" s="116"/>
      <c r="G915" s="116"/>
      <c r="H915" s="326"/>
    </row>
    <row r="916" spans="2:23" ht="18.95" customHeight="1">
      <c r="B916" s="254" t="s">
        <v>2135</v>
      </c>
      <c r="C916" s="116" t="s">
        <v>2114</v>
      </c>
      <c r="D916" s="116">
        <v>28</v>
      </c>
      <c r="E916" s="536">
        <f t="shared" si="19"/>
        <v>44648</v>
      </c>
      <c r="F916" s="116"/>
      <c r="G916" s="116"/>
      <c r="H916" s="326"/>
    </row>
    <row r="917" spans="2:23" ht="18.95" customHeight="1">
      <c r="B917" s="254" t="s">
        <v>2136</v>
      </c>
      <c r="C917" s="116" t="s">
        <v>2102</v>
      </c>
      <c r="D917" s="116">
        <v>29</v>
      </c>
      <c r="E917" s="536">
        <f t="shared" si="19"/>
        <v>44649</v>
      </c>
      <c r="F917" s="116"/>
      <c r="G917" s="116"/>
      <c r="H917" s="326"/>
    </row>
    <row r="918" spans="2:23" ht="18.95" customHeight="1">
      <c r="B918" s="254" t="s">
        <v>2137</v>
      </c>
      <c r="C918" s="116" t="s">
        <v>2104</v>
      </c>
      <c r="D918" s="116">
        <v>30</v>
      </c>
      <c r="E918" s="536">
        <f t="shared" si="19"/>
        <v>44650</v>
      </c>
      <c r="F918" s="116"/>
      <c r="G918" s="116"/>
      <c r="H918" s="326"/>
    </row>
    <row r="919" spans="2:23" ht="18.95" customHeight="1" thickBot="1">
      <c r="B919" s="304" t="s">
        <v>2138</v>
      </c>
      <c r="C919" s="305" t="s">
        <v>2106</v>
      </c>
      <c r="D919" s="305">
        <v>31</v>
      </c>
      <c r="E919" s="550">
        <f t="shared" si="19"/>
        <v>44651</v>
      </c>
      <c r="F919" s="305"/>
      <c r="G919" s="305"/>
      <c r="H919" s="327"/>
    </row>
    <row r="921" spans="2:23" ht="18.95" customHeight="1">
      <c r="B921" s="333"/>
      <c r="C921" s="324"/>
      <c r="D921" s="324"/>
      <c r="E921" s="324"/>
      <c r="F921" s="324"/>
      <c r="G921" s="324"/>
      <c r="H921" s="324"/>
      <c r="I921" s="324"/>
      <c r="J921" s="324"/>
      <c r="K921" s="324"/>
      <c r="L921" s="324"/>
      <c r="M921" s="324"/>
      <c r="N921" s="324"/>
      <c r="O921" s="324"/>
      <c r="P921" s="324"/>
      <c r="Q921" s="324"/>
      <c r="R921" s="324"/>
      <c r="S921" s="324"/>
      <c r="T921" s="324"/>
      <c r="U921" s="324"/>
      <c r="V921" s="324"/>
      <c r="W921" s="325"/>
    </row>
    <row r="922" spans="2:23" ht="18.95" customHeight="1">
      <c r="B922" s="551" t="s">
        <v>2139</v>
      </c>
      <c r="C922" s="552" t="s">
        <v>2140</v>
      </c>
      <c r="D922" s="553" t="s">
        <v>2141</v>
      </c>
      <c r="E922" s="554"/>
      <c r="F922" s="554"/>
      <c r="G922" s="554"/>
      <c r="H922" s="554"/>
      <c r="I922" s="554"/>
      <c r="J922" s="554"/>
      <c r="K922" s="554"/>
      <c r="L922" s="554"/>
      <c r="M922" s="554"/>
      <c r="N922" s="554"/>
      <c r="O922" s="554"/>
      <c r="P922" s="554"/>
      <c r="Q922" s="554"/>
      <c r="R922" s="554"/>
      <c r="S922" s="554"/>
      <c r="T922" s="554"/>
      <c r="U922" s="554"/>
      <c r="V922" s="554"/>
      <c r="W922" s="326"/>
    </row>
    <row r="923" spans="2:23" ht="18.95" customHeight="1">
      <c r="B923" s="555">
        <v>71000</v>
      </c>
      <c r="C923" s="552">
        <v>-0.7</v>
      </c>
      <c r="D923" s="553">
        <v>15.141999999999999</v>
      </c>
      <c r="E923" s="554"/>
      <c r="F923" s="554"/>
      <c r="G923" s="554"/>
      <c r="H923" s="554"/>
      <c r="I923" s="554"/>
      <c r="J923" s="554"/>
      <c r="K923" s="554"/>
      <c r="L923" s="554"/>
      <c r="M923" s="554"/>
      <c r="N923" s="554"/>
      <c r="O923" s="554"/>
      <c r="P923" s="554"/>
      <c r="Q923" s="554"/>
      <c r="R923" s="554"/>
      <c r="S923" s="554"/>
      <c r="T923" s="554"/>
      <c r="U923" s="554"/>
      <c r="V923" s="554"/>
      <c r="W923" s="326"/>
    </row>
    <row r="924" spans="2:23" ht="18.95" customHeight="1">
      <c r="B924" s="551">
        <v>71000</v>
      </c>
      <c r="C924" s="552">
        <v>-10.4</v>
      </c>
      <c r="D924" s="553">
        <v>13.381</v>
      </c>
      <c r="E924" s="554"/>
      <c r="F924" s="554"/>
      <c r="G924" s="554"/>
      <c r="H924" s="554"/>
      <c r="I924" s="554"/>
      <c r="J924" s="554"/>
      <c r="K924" s="554"/>
      <c r="L924" s="554"/>
      <c r="M924" s="554"/>
      <c r="N924" s="554"/>
      <c r="O924" s="554"/>
      <c r="P924" s="554"/>
      <c r="Q924" s="554"/>
      <c r="R924" s="554"/>
      <c r="S924" s="554"/>
      <c r="T924" s="554"/>
      <c r="U924" s="554"/>
      <c r="V924" s="554"/>
      <c r="W924" s="326"/>
    </row>
    <row r="925" spans="2:23" ht="18.95" customHeight="1">
      <c r="B925" s="551">
        <v>71000</v>
      </c>
      <c r="C925" s="552">
        <v>-7.7</v>
      </c>
      <c r="D925" s="553">
        <v>13.071999999999999</v>
      </c>
      <c r="E925" s="554"/>
      <c r="F925" s="554"/>
      <c r="G925" s="554"/>
      <c r="H925" s="554"/>
      <c r="I925" s="554"/>
      <c r="J925" s="554"/>
      <c r="K925" s="554"/>
      <c r="L925" s="554"/>
      <c r="M925" s="554"/>
      <c r="N925" s="554"/>
      <c r="O925" s="554"/>
      <c r="P925" s="554"/>
      <c r="Q925" s="554"/>
      <c r="R925" s="554"/>
      <c r="S925" s="554"/>
      <c r="T925" s="554"/>
      <c r="U925" s="554"/>
      <c r="V925" s="554"/>
      <c r="W925" s="326"/>
    </row>
    <row r="926" spans="2:23" ht="18.95" customHeight="1">
      <c r="B926" s="551">
        <v>71000</v>
      </c>
      <c r="C926" s="552">
        <v>-9</v>
      </c>
      <c r="D926" s="553">
        <v>11.686</v>
      </c>
      <c r="E926" s="554"/>
      <c r="F926" s="554"/>
      <c r="G926" s="554"/>
      <c r="H926" s="554"/>
      <c r="I926" s="554"/>
      <c r="J926" s="554"/>
      <c r="K926" s="554"/>
      <c r="L926" s="554"/>
      <c r="M926" s="554"/>
      <c r="N926" s="554"/>
      <c r="O926" s="554"/>
      <c r="P926" s="554"/>
      <c r="Q926" s="554"/>
      <c r="R926" s="554"/>
      <c r="S926" s="554"/>
      <c r="T926" s="554"/>
      <c r="U926" s="554"/>
      <c r="V926" s="554"/>
      <c r="W926" s="326"/>
    </row>
    <row r="927" spans="2:23" ht="18.95" customHeight="1">
      <c r="B927" s="555">
        <v>71000</v>
      </c>
      <c r="C927" s="552">
        <v>1.2</v>
      </c>
      <c r="D927" s="553">
        <v>11.518000000000001</v>
      </c>
      <c r="E927" s="554"/>
      <c r="F927" s="554"/>
      <c r="G927" s="554"/>
      <c r="H927" s="554"/>
      <c r="I927" s="554"/>
      <c r="J927" s="554"/>
      <c r="K927" s="554"/>
      <c r="L927" s="554"/>
      <c r="M927" s="554"/>
      <c r="N927" s="554"/>
      <c r="O927" s="554"/>
      <c r="P927" s="554"/>
      <c r="Q927" s="554"/>
      <c r="R927" s="554"/>
      <c r="S927" s="554"/>
      <c r="T927" s="554"/>
      <c r="U927" s="554"/>
      <c r="V927" s="554"/>
      <c r="W927" s="326"/>
    </row>
    <row r="928" spans="2:23" ht="18.95" customHeight="1">
      <c r="B928" s="555">
        <v>71000</v>
      </c>
      <c r="C928" s="552">
        <v>15.5</v>
      </c>
      <c r="D928" s="553">
        <v>11.853999999999999</v>
      </c>
      <c r="E928" s="554"/>
      <c r="F928" s="554"/>
      <c r="G928" s="554"/>
      <c r="H928" s="554"/>
      <c r="I928" s="554"/>
      <c r="J928" s="554"/>
      <c r="K928" s="554"/>
      <c r="L928" s="554"/>
      <c r="M928" s="554"/>
      <c r="N928" s="554"/>
      <c r="O928" s="554"/>
      <c r="P928" s="554"/>
      <c r="Q928" s="554"/>
      <c r="R928" s="554"/>
      <c r="S928" s="554"/>
      <c r="T928" s="554"/>
      <c r="U928" s="554"/>
      <c r="V928" s="554"/>
      <c r="W928" s="326"/>
    </row>
    <row r="929" spans="2:23" ht="18.95" customHeight="1">
      <c r="B929" s="555">
        <v>71000</v>
      </c>
      <c r="C929" s="552">
        <v>17.7</v>
      </c>
      <c r="D929" s="553">
        <v>14.574999999999999</v>
      </c>
      <c r="E929" s="554"/>
      <c r="F929" s="554"/>
      <c r="G929" s="554"/>
      <c r="H929" s="554"/>
      <c r="I929" s="554"/>
      <c r="J929" s="554"/>
      <c r="K929" s="554"/>
      <c r="L929" s="554"/>
      <c r="M929" s="554"/>
      <c r="N929" s="554"/>
      <c r="O929" s="554"/>
      <c r="P929" s="554"/>
      <c r="Q929" s="554"/>
      <c r="R929" s="554"/>
      <c r="S929" s="554"/>
      <c r="T929" s="554"/>
      <c r="U929" s="554"/>
      <c r="V929" s="554"/>
      <c r="W929" s="326"/>
    </row>
    <row r="930" spans="2:23" ht="18.95" customHeight="1">
      <c r="B930" s="555">
        <v>71000</v>
      </c>
      <c r="C930" s="552">
        <v>-14</v>
      </c>
      <c r="D930" s="553">
        <v>14.045999999999999</v>
      </c>
      <c r="E930" s="554"/>
      <c r="F930" s="554"/>
      <c r="G930" s="554"/>
      <c r="H930" s="554"/>
      <c r="I930" s="554"/>
      <c r="J930" s="554"/>
      <c r="K930" s="554"/>
      <c r="L930" s="554"/>
      <c r="M930" s="554"/>
      <c r="N930" s="554"/>
      <c r="O930" s="554"/>
      <c r="P930" s="554"/>
      <c r="Q930" s="554"/>
      <c r="R930" s="554"/>
      <c r="S930" s="554"/>
      <c r="T930" s="554"/>
      <c r="U930" s="554"/>
      <c r="V930" s="554"/>
      <c r="W930" s="326"/>
    </row>
    <row r="931" spans="2:23" ht="18.95" customHeight="1">
      <c r="B931" s="555">
        <v>71050</v>
      </c>
      <c r="C931" s="552">
        <v>5.6</v>
      </c>
      <c r="D931" s="553">
        <v>14.276999999999999</v>
      </c>
      <c r="E931" s="554"/>
      <c r="F931" s="554"/>
      <c r="G931" s="554"/>
      <c r="H931" s="554"/>
      <c r="I931" s="554"/>
      <c r="J931" s="554"/>
      <c r="K931" s="554"/>
      <c r="L931" s="554"/>
      <c r="M931" s="554"/>
      <c r="N931" s="554"/>
      <c r="O931" s="554"/>
      <c r="P931" s="554"/>
      <c r="Q931" s="554"/>
      <c r="R931" s="554"/>
      <c r="S931" s="554"/>
      <c r="T931" s="554"/>
      <c r="U931" s="554"/>
      <c r="V931" s="554"/>
      <c r="W931" s="326"/>
    </row>
    <row r="932" spans="2:23" ht="18.95" customHeight="1">
      <c r="B932" s="555">
        <v>71050</v>
      </c>
      <c r="C932" s="552">
        <v>16.399999999999999</v>
      </c>
      <c r="D932" s="553">
        <v>12.971</v>
      </c>
      <c r="E932" s="554"/>
      <c r="F932" s="554"/>
      <c r="G932" s="554"/>
      <c r="H932" s="554"/>
      <c r="I932" s="554"/>
      <c r="J932" s="554"/>
      <c r="K932" s="554"/>
      <c r="L932" s="554"/>
      <c r="M932" s="554"/>
      <c r="N932" s="554"/>
      <c r="O932" s="554"/>
      <c r="P932" s="554"/>
      <c r="Q932" s="554"/>
      <c r="R932" s="554"/>
      <c r="S932" s="554"/>
      <c r="T932" s="554"/>
      <c r="U932" s="554"/>
      <c r="V932" s="554"/>
      <c r="W932" s="326"/>
    </row>
    <row r="933" spans="2:23" ht="18.95" customHeight="1">
      <c r="B933" s="555">
        <v>71050</v>
      </c>
      <c r="C933" s="552">
        <v>14.8</v>
      </c>
      <c r="D933" s="553">
        <v>14.742000000000001</v>
      </c>
      <c r="E933" s="554"/>
      <c r="F933" s="554"/>
      <c r="G933" s="554"/>
      <c r="H933" s="554"/>
      <c r="I933" s="554"/>
      <c r="J933" s="554"/>
      <c r="K933" s="554"/>
      <c r="L933" s="554"/>
      <c r="M933" s="554"/>
      <c r="N933" s="554"/>
      <c r="O933" s="554"/>
      <c r="P933" s="554"/>
      <c r="Q933" s="554"/>
      <c r="R933" s="554"/>
      <c r="S933" s="554"/>
      <c r="T933" s="554"/>
      <c r="U933" s="554"/>
      <c r="V933" s="554"/>
      <c r="W933" s="326"/>
    </row>
    <row r="934" spans="2:23" ht="18.95" customHeight="1">
      <c r="B934" s="551">
        <v>71050</v>
      </c>
      <c r="C934" s="552">
        <v>10.5</v>
      </c>
      <c r="D934" s="553">
        <v>12.314</v>
      </c>
      <c r="E934" s="554"/>
      <c r="F934" s="554"/>
      <c r="G934" s="554"/>
      <c r="H934" s="554"/>
      <c r="I934" s="554"/>
      <c r="J934" s="554"/>
      <c r="K934" s="554"/>
      <c r="L934" s="554"/>
      <c r="M934" s="554"/>
      <c r="N934" s="554"/>
      <c r="O934" s="554"/>
      <c r="P934" s="554"/>
      <c r="Q934" s="554"/>
      <c r="R934" s="554"/>
      <c r="S934" s="554"/>
      <c r="T934" s="554"/>
      <c r="U934" s="554"/>
      <c r="V934" s="554"/>
      <c r="W934" s="326"/>
    </row>
    <row r="935" spans="2:23" ht="18.95" customHeight="1">
      <c r="B935" s="555">
        <v>71050</v>
      </c>
      <c r="C935" s="552">
        <v>17.7</v>
      </c>
      <c r="D935" s="553">
        <v>13.452999999999999</v>
      </c>
      <c r="E935" s="554"/>
      <c r="F935" s="554"/>
      <c r="G935" s="554"/>
      <c r="H935" s="554"/>
      <c r="I935" s="554"/>
      <c r="J935" s="554"/>
      <c r="K935" s="554"/>
      <c r="L935" s="554"/>
      <c r="M935" s="554"/>
      <c r="N935" s="554"/>
      <c r="O935" s="554"/>
      <c r="P935" s="554"/>
      <c r="Q935" s="554"/>
      <c r="R935" s="554"/>
      <c r="S935" s="554"/>
      <c r="T935" s="554"/>
      <c r="U935" s="554"/>
      <c r="V935" s="554"/>
      <c r="W935" s="326"/>
    </row>
    <row r="936" spans="2:23" ht="18.95" customHeight="1">
      <c r="B936" s="551">
        <v>71050</v>
      </c>
      <c r="C936" s="552">
        <v>-13.2</v>
      </c>
      <c r="D936" s="553">
        <v>12.361000000000001</v>
      </c>
      <c r="E936" s="554"/>
      <c r="F936" s="554"/>
      <c r="G936" s="554"/>
      <c r="H936" s="554"/>
      <c r="I936" s="554"/>
      <c r="J936" s="554"/>
      <c r="K936" s="554"/>
      <c r="L936" s="554"/>
      <c r="M936" s="554"/>
      <c r="N936" s="554"/>
      <c r="O936" s="554"/>
      <c r="P936" s="554"/>
      <c r="Q936" s="554"/>
      <c r="R936" s="554"/>
      <c r="S936" s="554"/>
      <c r="T936" s="554"/>
      <c r="U936" s="554"/>
      <c r="V936" s="554"/>
      <c r="W936" s="326"/>
    </row>
    <row r="937" spans="2:23" ht="18.95" customHeight="1">
      <c r="B937" s="551">
        <v>71100</v>
      </c>
      <c r="C937" s="552">
        <v>3.1</v>
      </c>
      <c r="D937" s="553">
        <v>14.569000000000001</v>
      </c>
      <c r="E937" s="554"/>
      <c r="F937" s="554"/>
      <c r="G937" s="554"/>
      <c r="H937" s="554"/>
      <c r="I937" s="554"/>
      <c r="J937" s="554"/>
      <c r="K937" s="554"/>
      <c r="L937" s="554"/>
      <c r="M937" s="554"/>
      <c r="N937" s="554"/>
      <c r="O937" s="554"/>
      <c r="P937" s="554"/>
      <c r="Q937" s="554"/>
      <c r="R937" s="554"/>
      <c r="S937" s="554"/>
      <c r="T937" s="554"/>
      <c r="U937" s="554"/>
      <c r="V937" s="554"/>
      <c r="W937" s="326"/>
    </row>
    <row r="938" spans="2:23" ht="18.95" customHeight="1">
      <c r="B938" s="551">
        <v>71100</v>
      </c>
      <c r="C938" s="552">
        <v>-5.6</v>
      </c>
      <c r="D938" s="553">
        <v>14</v>
      </c>
      <c r="E938" s="554"/>
      <c r="F938" s="554"/>
      <c r="G938" s="554"/>
      <c r="H938" s="554"/>
      <c r="I938" s="554"/>
      <c r="J938" s="554"/>
      <c r="K938" s="554"/>
      <c r="L938" s="554"/>
      <c r="M938" s="554"/>
      <c r="N938" s="554"/>
      <c r="O938" s="554"/>
      <c r="P938" s="554"/>
      <c r="Q938" s="554"/>
      <c r="R938" s="554"/>
      <c r="S938" s="554"/>
      <c r="T938" s="554"/>
      <c r="U938" s="554"/>
      <c r="V938" s="554"/>
      <c r="W938" s="326"/>
    </row>
    <row r="939" spans="2:23" ht="18.95" customHeight="1">
      <c r="B939" s="551">
        <v>71100</v>
      </c>
      <c r="C939" s="552">
        <v>-2.7</v>
      </c>
      <c r="D939" s="553">
        <v>13.574999999999999</v>
      </c>
      <c r="E939" s="554"/>
      <c r="F939" s="554"/>
      <c r="G939" s="554"/>
      <c r="H939" s="554"/>
      <c r="I939" s="554"/>
      <c r="J939" s="554"/>
      <c r="K939" s="554"/>
      <c r="L939" s="554"/>
      <c r="M939" s="554"/>
      <c r="N939" s="554"/>
      <c r="O939" s="554"/>
      <c r="P939" s="554"/>
      <c r="Q939" s="554"/>
      <c r="R939" s="554"/>
      <c r="S939" s="554"/>
      <c r="T939" s="554"/>
      <c r="U939" s="554"/>
      <c r="V939" s="554"/>
      <c r="W939" s="326"/>
    </row>
    <row r="940" spans="2:23" ht="18.95" customHeight="1">
      <c r="B940" s="551">
        <v>71100</v>
      </c>
      <c r="C940" s="552">
        <v>-8</v>
      </c>
      <c r="D940" s="553">
        <v>14.183999999999999</v>
      </c>
      <c r="E940" s="554"/>
      <c r="F940" s="554"/>
      <c r="G940" s="554"/>
      <c r="H940" s="554"/>
      <c r="I940" s="554"/>
      <c r="J940" s="554"/>
      <c r="K940" s="554"/>
      <c r="L940" s="554"/>
      <c r="M940" s="554"/>
      <c r="N940" s="554"/>
      <c r="O940" s="554"/>
      <c r="P940" s="554"/>
      <c r="Q940" s="554"/>
      <c r="R940" s="554"/>
      <c r="S940" s="554"/>
      <c r="T940" s="554"/>
      <c r="U940" s="554"/>
      <c r="V940" s="554"/>
      <c r="W940" s="326"/>
    </row>
    <row r="941" spans="2:23" ht="18.95" customHeight="1">
      <c r="B941" s="551">
        <v>71100</v>
      </c>
      <c r="C941" s="552">
        <v>0.6</v>
      </c>
      <c r="D941" s="553">
        <v>14.207000000000001</v>
      </c>
      <c r="E941" s="554"/>
      <c r="F941" s="554"/>
      <c r="G941" s="554"/>
      <c r="H941" s="554"/>
      <c r="I941" s="554"/>
      <c r="J941" s="554"/>
      <c r="K941" s="554"/>
      <c r="L941" s="554"/>
      <c r="M941" s="554"/>
      <c r="N941" s="554"/>
      <c r="O941" s="554"/>
      <c r="P941" s="554"/>
      <c r="Q941" s="554"/>
      <c r="R941" s="554"/>
      <c r="S941" s="554"/>
      <c r="T941" s="554"/>
      <c r="U941" s="554"/>
      <c r="V941" s="554"/>
      <c r="W941" s="326"/>
    </row>
    <row r="942" spans="2:23" ht="18.95" customHeight="1">
      <c r="B942" s="551">
        <v>71100</v>
      </c>
      <c r="C942" s="552">
        <v>-1.1000000000000001</v>
      </c>
      <c r="D942" s="553">
        <v>12.292999999999999</v>
      </c>
      <c r="E942" s="554"/>
      <c r="F942" s="554"/>
      <c r="G942" s="554"/>
      <c r="H942" s="554"/>
      <c r="I942" s="554"/>
      <c r="J942" s="554"/>
      <c r="K942" s="554"/>
      <c r="L942" s="554"/>
      <c r="M942" s="554"/>
      <c r="N942" s="554"/>
      <c r="O942" s="554"/>
      <c r="P942" s="554"/>
      <c r="Q942" s="554"/>
      <c r="R942" s="554"/>
      <c r="S942" s="554"/>
      <c r="T942" s="554"/>
      <c r="U942" s="554"/>
      <c r="V942" s="554"/>
      <c r="W942" s="326"/>
    </row>
    <row r="943" spans="2:23" ht="18.95" customHeight="1">
      <c r="B943" s="551">
        <v>71100</v>
      </c>
      <c r="C943" s="552">
        <v>-7.1</v>
      </c>
      <c r="D943" s="553">
        <v>12.148</v>
      </c>
      <c r="E943" s="554"/>
      <c r="F943" s="554"/>
      <c r="G943" s="554"/>
      <c r="H943" s="554"/>
      <c r="I943" s="554"/>
      <c r="J943" s="554"/>
      <c r="K943" s="554"/>
      <c r="L943" s="554"/>
      <c r="M943" s="554"/>
      <c r="N943" s="554"/>
      <c r="O943" s="554"/>
      <c r="P943" s="554"/>
      <c r="Q943" s="554"/>
      <c r="R943" s="554"/>
      <c r="S943" s="554"/>
      <c r="T943" s="554"/>
      <c r="U943" s="554"/>
      <c r="V943" s="554"/>
      <c r="W943" s="326"/>
    </row>
    <row r="944" spans="2:23" ht="18.95" customHeight="1">
      <c r="B944" s="555">
        <v>71100</v>
      </c>
      <c r="C944" s="552">
        <v>4.7</v>
      </c>
      <c r="D944" s="553">
        <v>11.579000000000001</v>
      </c>
      <c r="E944" s="554"/>
      <c r="F944" s="554"/>
      <c r="G944" s="554"/>
      <c r="H944" s="554"/>
      <c r="I944" s="554"/>
      <c r="J944" s="554"/>
      <c r="K944" s="554"/>
      <c r="L944" s="554"/>
      <c r="M944" s="554"/>
      <c r="N944" s="554"/>
      <c r="O944" s="554"/>
      <c r="P944" s="554"/>
      <c r="Q944" s="554"/>
      <c r="R944" s="554"/>
      <c r="S944" s="554"/>
      <c r="T944" s="554"/>
      <c r="U944" s="554"/>
      <c r="V944" s="554"/>
      <c r="W944" s="326"/>
    </row>
    <row r="945" spans="2:23" ht="18.95" customHeight="1">
      <c r="B945" s="555">
        <v>71100</v>
      </c>
      <c r="C945" s="552">
        <v>-1.9</v>
      </c>
      <c r="D945" s="553">
        <v>12.03</v>
      </c>
      <c r="E945" s="554"/>
      <c r="F945" s="554"/>
      <c r="G945" s="554"/>
      <c r="H945" s="554"/>
      <c r="I945" s="554"/>
      <c r="J945" s="554"/>
      <c r="K945" s="554"/>
      <c r="L945" s="554"/>
      <c r="M945" s="554"/>
      <c r="N945" s="554"/>
      <c r="O945" s="554"/>
      <c r="P945" s="554"/>
      <c r="Q945" s="554"/>
      <c r="R945" s="554"/>
      <c r="S945" s="554"/>
      <c r="T945" s="554"/>
      <c r="U945" s="554"/>
      <c r="V945" s="554"/>
      <c r="W945" s="326"/>
    </row>
    <row r="946" spans="2:23" ht="18.95" customHeight="1">
      <c r="B946" s="555">
        <v>71100</v>
      </c>
      <c r="C946" s="552">
        <v>5.0999999999999996</v>
      </c>
      <c r="D946" s="553">
        <v>12.959</v>
      </c>
      <c r="E946" s="554"/>
      <c r="F946" s="554"/>
      <c r="G946" s="554"/>
      <c r="H946" s="554"/>
      <c r="I946" s="554"/>
      <c r="J946" s="554"/>
      <c r="K946" s="554"/>
      <c r="L946" s="554"/>
      <c r="M946" s="554"/>
      <c r="N946" s="554"/>
      <c r="O946" s="554"/>
      <c r="P946" s="554"/>
      <c r="Q946" s="554"/>
      <c r="R946" s="554"/>
      <c r="S946" s="554"/>
      <c r="T946" s="554"/>
      <c r="U946" s="554"/>
      <c r="V946" s="554"/>
      <c r="W946" s="326"/>
    </row>
    <row r="947" spans="2:23" ht="18.95" customHeight="1">
      <c r="B947" s="555">
        <v>71150</v>
      </c>
      <c r="C947" s="552">
        <v>16.7</v>
      </c>
      <c r="D947" s="553">
        <v>14.456</v>
      </c>
      <c r="E947" s="554"/>
      <c r="F947" s="554"/>
      <c r="G947" s="554"/>
      <c r="H947" s="554"/>
      <c r="I947" s="554"/>
      <c r="J947" s="554"/>
      <c r="K947" s="554"/>
      <c r="L947" s="554"/>
      <c r="M947" s="554"/>
      <c r="N947" s="554"/>
      <c r="O947" s="554"/>
      <c r="P947" s="554"/>
      <c r="Q947" s="554"/>
      <c r="R947" s="554"/>
      <c r="S947" s="554"/>
      <c r="T947" s="554"/>
      <c r="U947" s="554"/>
      <c r="V947" s="554"/>
      <c r="W947" s="326"/>
    </row>
    <row r="948" spans="2:23" ht="18.95" customHeight="1">
      <c r="B948" s="555">
        <v>71150</v>
      </c>
      <c r="C948" s="552">
        <v>1</v>
      </c>
      <c r="D948" s="553">
        <v>14.365</v>
      </c>
      <c r="E948" s="554"/>
      <c r="F948" s="554"/>
      <c r="G948" s="554"/>
      <c r="H948" s="554"/>
      <c r="I948" s="554"/>
      <c r="J948" s="554"/>
      <c r="K948" s="554"/>
      <c r="L948" s="554"/>
      <c r="M948" s="554"/>
      <c r="N948" s="554"/>
      <c r="O948" s="554"/>
      <c r="P948" s="554"/>
      <c r="Q948" s="554"/>
      <c r="R948" s="554"/>
      <c r="S948" s="554"/>
      <c r="T948" s="554"/>
      <c r="U948" s="554"/>
      <c r="V948" s="554"/>
      <c r="W948" s="326"/>
    </row>
    <row r="949" spans="2:23" ht="18.95" customHeight="1">
      <c r="B949" s="555">
        <v>71150</v>
      </c>
      <c r="C949" s="552">
        <v>-10.1</v>
      </c>
      <c r="D949" s="553">
        <v>14.287000000000001</v>
      </c>
      <c r="E949" s="554"/>
      <c r="F949" s="554"/>
      <c r="G949" s="554"/>
      <c r="H949" s="554"/>
      <c r="I949" s="554"/>
      <c r="J949" s="554"/>
      <c r="K949" s="554"/>
      <c r="L949" s="554"/>
      <c r="M949" s="554"/>
      <c r="N949" s="554"/>
      <c r="O949" s="554"/>
      <c r="P949" s="554"/>
      <c r="Q949" s="554"/>
      <c r="R949" s="554"/>
      <c r="S949" s="554"/>
      <c r="T949" s="554"/>
      <c r="U949" s="554"/>
      <c r="V949" s="554"/>
      <c r="W949" s="326"/>
    </row>
    <row r="950" spans="2:23" ht="18.95" customHeight="1">
      <c r="B950" s="555">
        <v>71150</v>
      </c>
      <c r="C950" s="552">
        <v>12.4</v>
      </c>
      <c r="D950" s="553">
        <v>14.629</v>
      </c>
      <c r="E950" s="554"/>
      <c r="F950" s="554"/>
      <c r="G950" s="554"/>
      <c r="H950" s="554"/>
      <c r="I950" s="554"/>
      <c r="J950" s="554"/>
      <c r="K950" s="554"/>
      <c r="L950" s="554"/>
      <c r="M950" s="554"/>
      <c r="N950" s="554"/>
      <c r="O950" s="554"/>
      <c r="P950" s="554"/>
      <c r="Q950" s="554"/>
      <c r="R950" s="554"/>
      <c r="S950" s="554"/>
      <c r="T950" s="554"/>
      <c r="U950" s="554"/>
      <c r="V950" s="554"/>
      <c r="W950" s="326"/>
    </row>
    <row r="951" spans="2:23" ht="18.95" customHeight="1">
      <c r="B951" s="551">
        <v>71150</v>
      </c>
      <c r="C951" s="552">
        <v>3.5</v>
      </c>
      <c r="D951" s="553">
        <v>12.52</v>
      </c>
      <c r="E951" s="554"/>
      <c r="F951" s="554"/>
      <c r="G951" s="554"/>
      <c r="H951" s="554"/>
      <c r="I951" s="554"/>
      <c r="J951" s="554"/>
      <c r="K951" s="554"/>
      <c r="L951" s="554"/>
      <c r="M951" s="554"/>
      <c r="N951" s="554"/>
      <c r="O951" s="554"/>
      <c r="P951" s="554"/>
      <c r="Q951" s="554"/>
      <c r="R951" s="554"/>
      <c r="S951" s="554"/>
      <c r="T951" s="554"/>
      <c r="U951" s="554"/>
      <c r="V951" s="554"/>
      <c r="W951" s="326"/>
    </row>
    <row r="952" spans="2:23" ht="18.95" customHeight="1">
      <c r="B952" s="555">
        <v>71150</v>
      </c>
      <c r="C952" s="552">
        <v>-12.3</v>
      </c>
      <c r="D952" s="553">
        <v>11.885999999999999</v>
      </c>
      <c r="E952" s="554"/>
      <c r="F952" s="554"/>
      <c r="G952" s="554"/>
      <c r="H952" s="554"/>
      <c r="I952" s="554"/>
      <c r="J952" s="554"/>
      <c r="K952" s="554"/>
      <c r="L952" s="554"/>
      <c r="M952" s="554"/>
      <c r="N952" s="554"/>
      <c r="O952" s="554"/>
      <c r="P952" s="554"/>
      <c r="Q952" s="554"/>
      <c r="R952" s="554"/>
      <c r="S952" s="554"/>
      <c r="T952" s="554"/>
      <c r="U952" s="554"/>
      <c r="V952" s="554"/>
      <c r="W952" s="326"/>
    </row>
    <row r="953" spans="2:23" ht="18.95" customHeight="1">
      <c r="B953" s="555">
        <v>71150</v>
      </c>
      <c r="C953" s="552">
        <v>13.2</v>
      </c>
      <c r="D953" s="553">
        <v>12.257</v>
      </c>
      <c r="E953" s="554"/>
      <c r="F953" s="554"/>
      <c r="G953" s="554"/>
      <c r="H953" s="554"/>
      <c r="I953" s="554"/>
      <c r="J953" s="554"/>
      <c r="K953" s="554"/>
      <c r="L953" s="554"/>
      <c r="M953" s="554"/>
      <c r="N953" s="554"/>
      <c r="O953" s="554"/>
      <c r="P953" s="554"/>
      <c r="Q953" s="554"/>
      <c r="R953" s="554"/>
      <c r="S953" s="554"/>
      <c r="T953" s="554"/>
      <c r="U953" s="554"/>
      <c r="V953" s="554"/>
      <c r="W953" s="326"/>
    </row>
    <row r="954" spans="2:23" ht="18.95" customHeight="1">
      <c r="B954" s="551">
        <v>71150</v>
      </c>
      <c r="C954" s="552">
        <v>6.4</v>
      </c>
      <c r="D954" s="553">
        <v>12.202999999999999</v>
      </c>
      <c r="E954" s="554"/>
      <c r="F954" s="554"/>
      <c r="G954" s="554"/>
      <c r="H954" s="554"/>
      <c r="I954" s="554"/>
      <c r="J954" s="554"/>
      <c r="K954" s="554"/>
      <c r="L954" s="554"/>
      <c r="M954" s="554"/>
      <c r="N954" s="554"/>
      <c r="O954" s="554"/>
      <c r="P954" s="554"/>
      <c r="Q954" s="554"/>
      <c r="R954" s="554"/>
      <c r="S954" s="554"/>
      <c r="T954" s="554"/>
      <c r="U954" s="554"/>
      <c r="V954" s="554"/>
      <c r="W954" s="326"/>
    </row>
    <row r="955" spans="2:23" ht="18.95" customHeight="1">
      <c r="B955" s="551">
        <v>71150</v>
      </c>
      <c r="C955" s="552">
        <v>-9.6999999999999993</v>
      </c>
      <c r="D955" s="553">
        <v>12.331</v>
      </c>
      <c r="E955" s="554"/>
      <c r="F955" s="554"/>
      <c r="G955" s="554"/>
      <c r="H955" s="554"/>
      <c r="I955" s="554"/>
      <c r="J955" s="554"/>
      <c r="K955" s="554"/>
      <c r="L955" s="554"/>
      <c r="M955" s="554"/>
      <c r="N955" s="554"/>
      <c r="O955" s="554"/>
      <c r="P955" s="554"/>
      <c r="Q955" s="554"/>
      <c r="R955" s="554"/>
      <c r="S955" s="554"/>
      <c r="T955" s="554"/>
      <c r="U955" s="554"/>
      <c r="V955" s="554"/>
      <c r="W955" s="326"/>
    </row>
    <row r="956" spans="2:23" ht="18.95" customHeight="1">
      <c r="B956" s="555">
        <v>71150</v>
      </c>
      <c r="C956" s="552">
        <v>-4.5</v>
      </c>
      <c r="D956" s="553">
        <v>11.781000000000001</v>
      </c>
      <c r="E956" s="554"/>
      <c r="F956" s="554"/>
      <c r="G956" s="554"/>
      <c r="H956" s="554"/>
      <c r="I956" s="554"/>
      <c r="J956" s="554"/>
      <c r="K956" s="554"/>
      <c r="L956" s="554"/>
      <c r="M956" s="554"/>
      <c r="N956" s="554"/>
      <c r="O956" s="554"/>
      <c r="P956" s="554"/>
      <c r="Q956" s="554"/>
      <c r="R956" s="554"/>
      <c r="S956" s="554"/>
      <c r="T956" s="554"/>
      <c r="U956" s="554"/>
      <c r="V956" s="554"/>
      <c r="W956" s="326"/>
    </row>
    <row r="957" spans="2:23" ht="18.95" customHeight="1">
      <c r="B957" s="551"/>
      <c r="C957" s="552"/>
      <c r="D957" s="553"/>
      <c r="E957" s="554"/>
      <c r="F957" s="554"/>
      <c r="G957" s="554"/>
      <c r="H957" s="554"/>
      <c r="I957" s="554"/>
      <c r="J957" s="554"/>
      <c r="K957" s="554"/>
      <c r="L957" s="554"/>
      <c r="M957" s="554"/>
      <c r="N957" s="554"/>
      <c r="O957" s="554"/>
      <c r="P957" s="554"/>
      <c r="Q957" s="554"/>
      <c r="R957" s="554"/>
      <c r="S957" s="554"/>
      <c r="T957" s="554"/>
      <c r="U957" s="554"/>
      <c r="V957" s="554"/>
      <c r="W957" s="326"/>
    </row>
    <row r="958" spans="2:23" ht="18.95" customHeight="1">
      <c r="B958" s="551"/>
      <c r="C958" s="552"/>
      <c r="D958" s="553"/>
      <c r="E958" s="554"/>
      <c r="F958" s="554"/>
      <c r="G958" s="554"/>
      <c r="H958" s="554"/>
      <c r="I958" s="554"/>
      <c r="J958" s="554"/>
      <c r="K958" s="554"/>
      <c r="L958" s="554"/>
      <c r="M958" s="554"/>
      <c r="N958" s="554"/>
      <c r="O958" s="554"/>
      <c r="P958" s="554"/>
      <c r="Q958" s="554"/>
      <c r="R958" s="554"/>
      <c r="S958" s="554"/>
      <c r="T958" s="554"/>
      <c r="U958" s="554"/>
      <c r="V958" s="554"/>
      <c r="W958" s="326"/>
    </row>
    <row r="959" spans="2:23" ht="18.95" customHeight="1">
      <c r="B959" s="555"/>
      <c r="C959" s="552"/>
      <c r="D959" s="553"/>
      <c r="E959" s="554"/>
      <c r="F959" s="554"/>
      <c r="G959" s="554"/>
      <c r="H959" s="554"/>
      <c r="I959" s="554"/>
      <c r="J959" s="554"/>
      <c r="K959" s="554"/>
      <c r="L959" s="554"/>
      <c r="M959" s="554"/>
      <c r="N959" s="554"/>
      <c r="O959" s="554"/>
      <c r="P959" s="554"/>
      <c r="Q959" s="554"/>
      <c r="R959" s="554"/>
      <c r="S959" s="554"/>
      <c r="T959" s="554"/>
      <c r="U959" s="554"/>
      <c r="V959" s="554"/>
      <c r="W959" s="326"/>
    </row>
    <row r="960" spans="2:23" ht="18.95" customHeight="1">
      <c r="B960" s="555"/>
      <c r="C960" s="552"/>
      <c r="D960" s="553"/>
      <c r="E960" s="554"/>
      <c r="F960" s="554"/>
      <c r="G960" s="554"/>
      <c r="H960" s="554"/>
      <c r="I960" s="554"/>
      <c r="J960" s="554"/>
      <c r="K960" s="554"/>
      <c r="L960" s="554"/>
      <c r="M960" s="554"/>
      <c r="N960" s="554"/>
      <c r="O960" s="554"/>
      <c r="P960" s="554"/>
      <c r="Q960" s="554"/>
      <c r="R960" s="554"/>
      <c r="S960" s="554"/>
      <c r="T960" s="554"/>
      <c r="U960" s="554"/>
      <c r="V960" s="554"/>
      <c r="W960" s="326"/>
    </row>
    <row r="961" spans="2:23" ht="18.95" customHeight="1">
      <c r="B961" s="556" t="s">
        <v>2142</v>
      </c>
      <c r="C961" s="557" t="s">
        <v>2143</v>
      </c>
      <c r="D961" s="557" t="s">
        <v>2144</v>
      </c>
      <c r="E961" s="557" t="s">
        <v>2145</v>
      </c>
      <c r="F961" s="557" t="s">
        <v>2146</v>
      </c>
      <c r="G961" s="557" t="s">
        <v>2147</v>
      </c>
      <c r="H961" s="557" t="s">
        <v>2148</v>
      </c>
      <c r="I961" s="557" t="s">
        <v>2149</v>
      </c>
      <c r="J961" s="557" t="s">
        <v>2150</v>
      </c>
      <c r="K961" s="557" t="s">
        <v>2151</v>
      </c>
      <c r="L961" s="557" t="s">
        <v>2152</v>
      </c>
      <c r="M961" s="557" t="s">
        <v>2153</v>
      </c>
      <c r="N961" s="557" t="s">
        <v>2154</v>
      </c>
      <c r="O961" s="557" t="s">
        <v>2155</v>
      </c>
      <c r="P961" s="557" t="s">
        <v>2156</v>
      </c>
      <c r="Q961" s="557" t="s">
        <v>2157</v>
      </c>
      <c r="R961" s="557" t="s">
        <v>2158</v>
      </c>
      <c r="S961" s="557" t="s">
        <v>2159</v>
      </c>
      <c r="T961" s="557" t="s">
        <v>2160</v>
      </c>
      <c r="U961" s="557" t="s">
        <v>2161</v>
      </c>
      <c r="V961" s="557" t="s">
        <v>2162</v>
      </c>
      <c r="W961" s="326"/>
    </row>
    <row r="962" spans="2:23" ht="18.95" customHeight="1">
      <c r="B962" s="558">
        <v>71000</v>
      </c>
      <c r="C962" s="559">
        <f t="array" ref="C962">IFERROR(INDEX(_xlfn._xlws.SORT(_xlfn._xlws.FILTER($C$923:$D$956,$B$923:$B$956=$B962),1),INT(COLUMN()/2),MOD(COLUMN(),2)+1),"")</f>
        <v>14.045999999999999</v>
      </c>
      <c r="D962" s="559">
        <f t="array" ref="D962">IFERROR(INDEX(_xlfn._xlws.SORT(_xlfn._xlws.FILTER($C$923:$D$956,$B$923:$B$956=$B962),1),INT(COLUMN()/2),MOD(COLUMN(),2)+1),"")</f>
        <v>-10.4</v>
      </c>
      <c r="E962" s="559">
        <f t="array" ref="E962">IFERROR(INDEX(_xlfn._xlws.SORT(_xlfn._xlws.FILTER($C$923:$D$956,$B$923:$B$956=$B962),1),INT(COLUMN()/2),MOD(COLUMN(),2)+1),"")</f>
        <v>13.381</v>
      </c>
      <c r="F962" s="559">
        <f t="array" ref="F962">IFERROR(INDEX(_xlfn._xlws.SORT(_xlfn._xlws.FILTER($C$923:$D$956,$B$923:$B$956=$B962),1),INT(COLUMN()/2),MOD(COLUMN(),2)+1),"")</f>
        <v>-9</v>
      </c>
      <c r="G962" s="559">
        <f t="array" ref="G962">IFERROR(INDEX(_xlfn._xlws.SORT(_xlfn._xlws.FILTER($C$923:$D$956,$B$923:$B$956=$B962),1),INT(COLUMN()/2),MOD(COLUMN(),2)+1),"")</f>
        <v>11.686</v>
      </c>
      <c r="H962" s="559">
        <f t="array" ref="H962">IFERROR(INDEX(_xlfn._xlws.SORT(_xlfn._xlws.FILTER($C$923:$D$956,$B$923:$B$956=$B962),1),INT(COLUMN()/2),MOD(COLUMN(),2)+1),"")</f>
        <v>-7.7</v>
      </c>
      <c r="I962" s="559">
        <f t="array" ref="I962">IFERROR(INDEX(_xlfn._xlws.SORT(_xlfn._xlws.FILTER($C$923:$D$956,$B$923:$B$956=$B962),1),INT(COLUMN()/2),MOD(COLUMN(),2)+1),"")</f>
        <v>13.071999999999999</v>
      </c>
      <c r="J962" s="559">
        <f t="array" ref="J962">IFERROR(INDEX(_xlfn._xlws.SORT(_xlfn._xlws.FILTER($C$923:$D$956,$B$923:$B$956=$B962),1),INT(COLUMN()/2),MOD(COLUMN(),2)+1),"")</f>
        <v>-0.7</v>
      </c>
      <c r="K962" s="559">
        <f t="array" ref="K962">IFERROR(INDEX(_xlfn._xlws.SORT(_xlfn._xlws.FILTER($C$923:$D$956,$B$923:$B$956=$B962),1),INT(COLUMN()/2),MOD(COLUMN(),2)+1),"")</f>
        <v>15.141999999999999</v>
      </c>
      <c r="L962" s="559">
        <f t="array" ref="L962">IFERROR(INDEX(_xlfn._xlws.SORT(_xlfn._xlws.FILTER($C$923:$D$956,$B$923:$B$956=$B962),1),INT(COLUMN()/2),MOD(COLUMN(),2)+1),"")</f>
        <v>1.2</v>
      </c>
      <c r="M962" s="559">
        <f t="array" ref="M962">IFERROR(INDEX(_xlfn._xlws.SORT(_xlfn._xlws.FILTER($C$923:$D$956,$B$923:$B$956=$B962),1),INT(COLUMN()/2),MOD(COLUMN(),2)+1),"")</f>
        <v>11.518000000000001</v>
      </c>
      <c r="N962" s="559">
        <f t="array" ref="N962">IFERROR(INDEX(_xlfn._xlws.SORT(_xlfn._xlws.FILTER($C$923:$D$956,$B$923:$B$956=$B962),1),INT(COLUMN()/2),MOD(COLUMN(),2)+1),"")</f>
        <v>15.5</v>
      </c>
      <c r="O962" s="559">
        <f t="array" ref="O962">IFERROR(INDEX(_xlfn._xlws.SORT(_xlfn._xlws.FILTER($C$923:$D$956,$B$923:$B$956=$B962),1),INT(COLUMN()/2),MOD(COLUMN(),2)+1),"")</f>
        <v>11.853999999999999</v>
      </c>
      <c r="P962" s="559">
        <f t="array" ref="P962">IFERROR(INDEX(_xlfn._xlws.SORT(_xlfn._xlws.FILTER($C$923:$D$956,$B$923:$B$956=$B962),1),INT(COLUMN()/2),MOD(COLUMN(),2)+1),"")</f>
        <v>17.7</v>
      </c>
      <c r="Q962" s="559">
        <f t="array" ref="Q962">IFERROR(INDEX(_xlfn._xlws.SORT(_xlfn._xlws.FILTER($C$923:$D$956,$B$923:$B$956=$B962),1),INT(COLUMN()/2),MOD(COLUMN(),2)+1),"")</f>
        <v>14.574999999999999</v>
      </c>
      <c r="R962" s="559" t="str">
        <f t="array" ref="R962">IFERROR(INDEX(_xlfn._xlws.SORT(_xlfn._xlws.FILTER($C$923:$D$956,$B$923:$B$956=$B962),1),INT(COLUMN()/2),MOD(COLUMN(),2)+1),"")</f>
        <v/>
      </c>
      <c r="S962" s="559" t="str">
        <f t="array" ref="S962">IFERROR(INDEX(_xlfn._xlws.SORT(_xlfn._xlws.FILTER($C$923:$D$956,$B$923:$B$956=$B962),1),INT(COLUMN()/2),MOD(COLUMN(),2)+1),"")</f>
        <v/>
      </c>
      <c r="T962" s="559" t="str">
        <f t="array" ref="T962">IFERROR(INDEX(_xlfn._xlws.SORT(_xlfn._xlws.FILTER($C$923:$D$956,$B$923:$B$956=$B962),1),INT(COLUMN()/2),MOD(COLUMN(),2)+1),"")</f>
        <v/>
      </c>
      <c r="U962" s="559" t="str">
        <f t="array" ref="U962">IFERROR(INDEX(_xlfn._xlws.SORT(_xlfn._xlws.FILTER($C$923:$D$956,$B$923:$B$956=$B962),1),INT(COLUMN()/2),MOD(COLUMN(),2)+1),"")</f>
        <v/>
      </c>
      <c r="V962" s="559" t="str">
        <f t="array" ref="V962">IFERROR(INDEX(_xlfn._xlws.SORT(_xlfn._xlws.FILTER($C$923:$D$956,$B$923:$B$956=$B962),1),INT(COLUMN()/2),MOD(COLUMN(),2)+1),"")</f>
        <v/>
      </c>
      <c r="W962" s="326"/>
    </row>
    <row r="963" spans="2:23" ht="18.95" customHeight="1">
      <c r="B963" s="558">
        <f>B962+50</f>
        <v>71050</v>
      </c>
      <c r="C963" s="559">
        <f t="array" ref="C963">IFERROR(INDEX(_xlfn._xlws.SORT(_xlfn._xlws.FILTER($C$923:$D$956,$B$923:$B$956=$B963),1),INT(COLUMN()/2),MOD(COLUMN(),2)+1),"")</f>
        <v>12.361000000000001</v>
      </c>
      <c r="D963" s="559">
        <f t="array" ref="D963">IFERROR(INDEX(_xlfn._xlws.SORT(_xlfn._xlws.FILTER($C$923:$D$956,$B$923:$B$956=$B963),1),INT(COLUMN()/2),MOD(COLUMN(),2)+1),"")</f>
        <v>5.6</v>
      </c>
      <c r="E963" s="559">
        <f t="array" ref="E963">IFERROR(INDEX(_xlfn._xlws.SORT(_xlfn._xlws.FILTER($C$923:$D$956,$B$923:$B$956=$B963),1),INT(COLUMN()/2),MOD(COLUMN(),2)+1),"")</f>
        <v>14.276999999999999</v>
      </c>
      <c r="F963" s="559">
        <f t="array" ref="F963">IFERROR(INDEX(_xlfn._xlws.SORT(_xlfn._xlws.FILTER($C$923:$D$956,$B$923:$B$956=$B963),1),INT(COLUMN()/2),MOD(COLUMN(),2)+1),"")</f>
        <v>10.5</v>
      </c>
      <c r="G963" s="559">
        <f t="array" ref="G963">IFERROR(INDEX(_xlfn._xlws.SORT(_xlfn._xlws.FILTER($C$923:$D$956,$B$923:$B$956=$B963),1),INT(COLUMN()/2),MOD(COLUMN(),2)+1),"")</f>
        <v>12.314</v>
      </c>
      <c r="H963" s="559">
        <f t="array" ref="H963">IFERROR(INDEX(_xlfn._xlws.SORT(_xlfn._xlws.FILTER($C$923:$D$956,$B$923:$B$956=$B963),1),INT(COLUMN()/2),MOD(COLUMN(),2)+1),"")</f>
        <v>14.8</v>
      </c>
      <c r="I963" s="559">
        <f t="array" ref="I963">IFERROR(INDEX(_xlfn._xlws.SORT(_xlfn._xlws.FILTER($C$923:$D$956,$B$923:$B$956=$B963),1),INT(COLUMN()/2),MOD(COLUMN(),2)+1),"")</f>
        <v>14.742000000000001</v>
      </c>
      <c r="J963" s="559">
        <f t="array" ref="J963">IFERROR(INDEX(_xlfn._xlws.SORT(_xlfn._xlws.FILTER($C$923:$D$956,$B$923:$B$956=$B963),1),INT(COLUMN()/2),MOD(COLUMN(),2)+1),"")</f>
        <v>16.399999999999999</v>
      </c>
      <c r="K963" s="559">
        <f t="array" ref="K963">IFERROR(INDEX(_xlfn._xlws.SORT(_xlfn._xlws.FILTER($C$923:$D$956,$B$923:$B$956=$B963),1),INT(COLUMN()/2),MOD(COLUMN(),2)+1),"")</f>
        <v>12.971</v>
      </c>
      <c r="L963" s="559">
        <f t="array" ref="L963">IFERROR(INDEX(_xlfn._xlws.SORT(_xlfn._xlws.FILTER($C$923:$D$956,$B$923:$B$956=$B963),1),INT(COLUMN()/2),MOD(COLUMN(),2)+1),"")</f>
        <v>17.7</v>
      </c>
      <c r="M963" s="559">
        <f t="array" ref="M963">IFERROR(INDEX(_xlfn._xlws.SORT(_xlfn._xlws.FILTER($C$923:$D$956,$B$923:$B$956=$B963),1),INT(COLUMN()/2),MOD(COLUMN(),2)+1),"")</f>
        <v>13.452999999999999</v>
      </c>
      <c r="N963" s="559" t="str">
        <f t="array" ref="N963">IFERROR(INDEX(_xlfn._xlws.SORT(_xlfn._xlws.FILTER($C$923:$D$956,$B$923:$B$956=$B963),1),INT(COLUMN()/2),MOD(COLUMN(),2)+1),"")</f>
        <v/>
      </c>
      <c r="O963" s="559" t="str">
        <f t="array" ref="O963">IFERROR(INDEX(_xlfn._xlws.SORT(_xlfn._xlws.FILTER($C$923:$D$956,$B$923:$B$956=$B963),1),INT(COLUMN()/2),MOD(COLUMN(),2)+1),"")</f>
        <v/>
      </c>
      <c r="P963" s="559" t="str">
        <f t="array" ref="P963">IFERROR(INDEX(_xlfn._xlws.SORT(_xlfn._xlws.FILTER($C$923:$D$956,$B$923:$B$956=$B963),1),INT(COLUMN()/2),MOD(COLUMN(),2)+1),"")</f>
        <v/>
      </c>
      <c r="Q963" s="559" t="str">
        <f t="array" ref="Q963">IFERROR(INDEX(_xlfn._xlws.SORT(_xlfn._xlws.FILTER($C$923:$D$956,$B$923:$B$956=$B963),1),INT(COLUMN()/2),MOD(COLUMN(),2)+1),"")</f>
        <v/>
      </c>
      <c r="R963" s="559" t="str">
        <f t="array" ref="R963">IFERROR(INDEX(_xlfn._xlws.SORT(_xlfn._xlws.FILTER($C$923:$D$956,$B$923:$B$956=$B963),1),INT(COLUMN()/2),MOD(COLUMN(),2)+1),"")</f>
        <v/>
      </c>
      <c r="S963" s="559" t="str">
        <f t="array" ref="S963">IFERROR(INDEX(_xlfn._xlws.SORT(_xlfn._xlws.FILTER($C$923:$D$956,$B$923:$B$956=$B963),1),INT(COLUMN()/2),MOD(COLUMN(),2)+1),"")</f>
        <v/>
      </c>
      <c r="T963" s="559" t="str">
        <f t="array" ref="T963">IFERROR(INDEX(_xlfn._xlws.SORT(_xlfn._xlws.FILTER($C$923:$D$956,$B$923:$B$956=$B963),1),INT(COLUMN()/2),MOD(COLUMN(),2)+1),"")</f>
        <v/>
      </c>
      <c r="U963" s="559" t="str">
        <f t="array" ref="U963">IFERROR(INDEX(_xlfn._xlws.SORT(_xlfn._xlws.FILTER($C$923:$D$956,$B$923:$B$956=$B963),1),INT(COLUMN()/2),MOD(COLUMN(),2)+1),"")</f>
        <v/>
      </c>
      <c r="V963" s="559" t="str">
        <f t="array" ref="V963">IFERROR(INDEX(_xlfn._xlws.SORT(_xlfn._xlws.FILTER($C$923:$D$956,$B$923:$B$956=$B963),1),INT(COLUMN()/2),MOD(COLUMN(),2)+1),"")</f>
        <v/>
      </c>
      <c r="W963" s="326"/>
    </row>
    <row r="964" spans="2:23" ht="18.95" customHeight="1">
      <c r="B964" s="558">
        <f>B963+50</f>
        <v>71100</v>
      </c>
      <c r="C964" s="559">
        <f t="array" ref="C964">IFERROR(INDEX(_xlfn._xlws.SORT(_xlfn._xlws.FILTER($C$923:$D$956,$B$923:$B$956=$B964),1),INT(COLUMN()/2),MOD(COLUMN(),2)+1),"")</f>
        <v>14.183999999999999</v>
      </c>
      <c r="D964" s="559">
        <f t="array" ref="D964">IFERROR(INDEX(_xlfn._xlws.SORT(_xlfn._xlws.FILTER($C$923:$D$956,$B$923:$B$956=$B964),1),INT(COLUMN()/2),MOD(COLUMN(),2)+1),"")</f>
        <v>-7.1</v>
      </c>
      <c r="E964" s="559">
        <f t="array" ref="E964">IFERROR(INDEX(_xlfn._xlws.SORT(_xlfn._xlws.FILTER($C$923:$D$956,$B$923:$B$956=$B964),1),INT(COLUMN()/2),MOD(COLUMN(),2)+1),"")</f>
        <v>12.148</v>
      </c>
      <c r="F964" s="559">
        <f t="array" ref="F964">IFERROR(INDEX(_xlfn._xlws.SORT(_xlfn._xlws.FILTER($C$923:$D$956,$B$923:$B$956=$B964),1),INT(COLUMN()/2),MOD(COLUMN(),2)+1),"")</f>
        <v>-5.6</v>
      </c>
      <c r="G964" s="559">
        <f t="array" ref="G964">IFERROR(INDEX(_xlfn._xlws.SORT(_xlfn._xlws.FILTER($C$923:$D$956,$B$923:$B$956=$B964),1),INT(COLUMN()/2),MOD(COLUMN(),2)+1),"")</f>
        <v>14</v>
      </c>
      <c r="H964" s="559">
        <f t="array" ref="H964">IFERROR(INDEX(_xlfn._xlws.SORT(_xlfn._xlws.FILTER($C$923:$D$956,$B$923:$B$956=$B964),1),INT(COLUMN()/2),MOD(COLUMN(),2)+1),"")</f>
        <v>-2.7</v>
      </c>
      <c r="I964" s="559">
        <f t="array" ref="I964">IFERROR(INDEX(_xlfn._xlws.SORT(_xlfn._xlws.FILTER($C$923:$D$956,$B$923:$B$956=$B964),1),INT(COLUMN()/2),MOD(COLUMN(),2)+1),"")</f>
        <v>13.574999999999999</v>
      </c>
      <c r="J964" s="559">
        <f t="array" ref="J964">IFERROR(INDEX(_xlfn._xlws.SORT(_xlfn._xlws.FILTER($C$923:$D$956,$B$923:$B$956=$B964),1),INT(COLUMN()/2),MOD(COLUMN(),2)+1),"")</f>
        <v>-1.9</v>
      </c>
      <c r="K964" s="559">
        <f t="array" ref="K964">IFERROR(INDEX(_xlfn._xlws.SORT(_xlfn._xlws.FILTER($C$923:$D$956,$B$923:$B$956=$B964),1),INT(COLUMN()/2),MOD(COLUMN(),2)+1),"")</f>
        <v>12.03</v>
      </c>
      <c r="L964" s="559">
        <f t="array" ref="L964">IFERROR(INDEX(_xlfn._xlws.SORT(_xlfn._xlws.FILTER($C$923:$D$956,$B$923:$B$956=$B964),1),INT(COLUMN()/2),MOD(COLUMN(),2)+1),"")</f>
        <v>-1.1000000000000001</v>
      </c>
      <c r="M964" s="559">
        <f t="array" ref="M964">IFERROR(INDEX(_xlfn._xlws.SORT(_xlfn._xlws.FILTER($C$923:$D$956,$B$923:$B$956=$B964),1),INT(COLUMN()/2),MOD(COLUMN(),2)+1),"")</f>
        <v>12.292999999999999</v>
      </c>
      <c r="N964" s="559">
        <f t="array" ref="N964">IFERROR(INDEX(_xlfn._xlws.SORT(_xlfn._xlws.FILTER($C$923:$D$956,$B$923:$B$956=$B964),1),INT(COLUMN()/2),MOD(COLUMN(),2)+1),"")</f>
        <v>0.6</v>
      </c>
      <c r="O964" s="559">
        <f t="array" ref="O964">IFERROR(INDEX(_xlfn._xlws.SORT(_xlfn._xlws.FILTER($C$923:$D$956,$B$923:$B$956=$B964),1),INT(COLUMN()/2),MOD(COLUMN(),2)+1),"")</f>
        <v>14.207000000000001</v>
      </c>
      <c r="P964" s="559">
        <f t="array" ref="P964">IFERROR(INDEX(_xlfn._xlws.SORT(_xlfn._xlws.FILTER($C$923:$D$956,$B$923:$B$956=$B964),1),INT(COLUMN()/2),MOD(COLUMN(),2)+1),"")</f>
        <v>3.1</v>
      </c>
      <c r="Q964" s="559">
        <f t="array" ref="Q964">IFERROR(INDEX(_xlfn._xlws.SORT(_xlfn._xlws.FILTER($C$923:$D$956,$B$923:$B$956=$B964),1),INT(COLUMN()/2),MOD(COLUMN(),2)+1),"")</f>
        <v>14.569000000000001</v>
      </c>
      <c r="R964" s="559">
        <f t="array" ref="R964">IFERROR(INDEX(_xlfn._xlws.SORT(_xlfn._xlws.FILTER($C$923:$D$956,$B$923:$B$956=$B964),1),INT(COLUMN()/2),MOD(COLUMN(),2)+1),"")</f>
        <v>4.7</v>
      </c>
      <c r="S964" s="559">
        <f t="array" ref="S964">IFERROR(INDEX(_xlfn._xlws.SORT(_xlfn._xlws.FILTER($C$923:$D$956,$B$923:$B$956=$B964),1),INT(COLUMN()/2),MOD(COLUMN(),2)+1),"")</f>
        <v>11.579000000000001</v>
      </c>
      <c r="T964" s="559">
        <f t="array" ref="T964">IFERROR(INDEX(_xlfn._xlws.SORT(_xlfn._xlws.FILTER($C$923:$D$956,$B$923:$B$956=$B964),1),INT(COLUMN()/2),MOD(COLUMN(),2)+1),"")</f>
        <v>5.0999999999999996</v>
      </c>
      <c r="U964" s="559">
        <f t="array" ref="U964">IFERROR(INDEX(_xlfn._xlws.SORT(_xlfn._xlws.FILTER($C$923:$D$956,$B$923:$B$956=$B964),1),INT(COLUMN()/2),MOD(COLUMN(),2)+1),"")</f>
        <v>12.959</v>
      </c>
      <c r="V964" s="559" t="str">
        <f t="array" ref="V964">IFERROR(INDEX(_xlfn._xlws.SORT(_xlfn._xlws.FILTER($C$923:$D$956,$B$923:$B$956=$B964),1),INT(COLUMN()/2),MOD(COLUMN(),2)+1),"")</f>
        <v/>
      </c>
      <c r="W964" s="326"/>
    </row>
    <row r="965" spans="2:23" ht="18.95" customHeight="1">
      <c r="B965" s="558">
        <f>B964+50</f>
        <v>71150</v>
      </c>
      <c r="C965" s="559">
        <f t="array" ref="C965">IFERROR(INDEX(_xlfn._xlws.SORT(_xlfn._xlws.FILTER($C$923:$D$956,$B$923:$B$956=$B965),1),INT(COLUMN()/2),MOD(COLUMN(),2)+1),"")</f>
        <v>11.885999999999999</v>
      </c>
      <c r="D965" s="559">
        <f t="array" ref="D965">IFERROR(INDEX(_xlfn._xlws.SORT(_xlfn._xlws.FILTER($C$923:$D$956,$B$923:$B$956=$B965),1),INT(COLUMN()/2),MOD(COLUMN(),2)+1),"")</f>
        <v>-10.1</v>
      </c>
      <c r="E965" s="559">
        <f t="array" ref="E965">IFERROR(INDEX(_xlfn._xlws.SORT(_xlfn._xlws.FILTER($C$923:$D$956,$B$923:$B$956=$B965),1),INT(COLUMN()/2),MOD(COLUMN(),2)+1),"")</f>
        <v>14.287000000000001</v>
      </c>
      <c r="F965" s="559">
        <f t="array" ref="F965">IFERROR(INDEX(_xlfn._xlws.SORT(_xlfn._xlws.FILTER($C$923:$D$956,$B$923:$B$956=$B965),1),INT(COLUMN()/2),MOD(COLUMN(),2)+1),"")</f>
        <v>-9.6999999999999993</v>
      </c>
      <c r="G965" s="559">
        <f t="array" ref="G965">IFERROR(INDEX(_xlfn._xlws.SORT(_xlfn._xlws.FILTER($C$923:$D$956,$B$923:$B$956=$B965),1),INT(COLUMN()/2),MOD(COLUMN(),2)+1),"")</f>
        <v>12.331</v>
      </c>
      <c r="H965" s="559">
        <f t="array" ref="H965">IFERROR(INDEX(_xlfn._xlws.SORT(_xlfn._xlws.FILTER($C$923:$D$956,$B$923:$B$956=$B965),1),INT(COLUMN()/2),MOD(COLUMN(),2)+1),"")</f>
        <v>-4.5</v>
      </c>
      <c r="I965" s="559">
        <f t="array" ref="I965">IFERROR(INDEX(_xlfn._xlws.SORT(_xlfn._xlws.FILTER($C$923:$D$956,$B$923:$B$956=$B965),1),INT(COLUMN()/2),MOD(COLUMN(),2)+1),"")</f>
        <v>11.781000000000001</v>
      </c>
      <c r="J965" s="559">
        <f t="array" ref="J965">IFERROR(INDEX(_xlfn._xlws.SORT(_xlfn._xlws.FILTER($C$923:$D$956,$B$923:$B$956=$B965),1),INT(COLUMN()/2),MOD(COLUMN(),2)+1),"")</f>
        <v>1</v>
      </c>
      <c r="K965" s="559">
        <f t="array" ref="K965">IFERROR(INDEX(_xlfn._xlws.SORT(_xlfn._xlws.FILTER($C$923:$D$956,$B$923:$B$956=$B965),1),INT(COLUMN()/2),MOD(COLUMN(),2)+1),"")</f>
        <v>14.365</v>
      </c>
      <c r="L965" s="559">
        <f t="array" ref="L965">IFERROR(INDEX(_xlfn._xlws.SORT(_xlfn._xlws.FILTER($C$923:$D$956,$B$923:$B$956=$B965),1),INT(COLUMN()/2),MOD(COLUMN(),2)+1),"")</f>
        <v>3.5</v>
      </c>
      <c r="M965" s="559">
        <f t="array" ref="M965">IFERROR(INDEX(_xlfn._xlws.SORT(_xlfn._xlws.FILTER($C$923:$D$956,$B$923:$B$956=$B965),1),INT(COLUMN()/2),MOD(COLUMN(),2)+1),"")</f>
        <v>12.52</v>
      </c>
      <c r="N965" s="559">
        <f t="array" ref="N965">IFERROR(INDEX(_xlfn._xlws.SORT(_xlfn._xlws.FILTER($C$923:$D$956,$B$923:$B$956=$B965),1),INT(COLUMN()/2),MOD(COLUMN(),2)+1),"")</f>
        <v>6.4</v>
      </c>
      <c r="O965" s="559">
        <f t="array" ref="O965">IFERROR(INDEX(_xlfn._xlws.SORT(_xlfn._xlws.FILTER($C$923:$D$956,$B$923:$B$956=$B965),1),INT(COLUMN()/2),MOD(COLUMN(),2)+1),"")</f>
        <v>12.202999999999999</v>
      </c>
      <c r="P965" s="559">
        <f t="array" ref="P965">IFERROR(INDEX(_xlfn._xlws.SORT(_xlfn._xlws.FILTER($C$923:$D$956,$B$923:$B$956=$B965),1),INT(COLUMN()/2),MOD(COLUMN(),2)+1),"")</f>
        <v>12.4</v>
      </c>
      <c r="Q965" s="559">
        <f t="array" ref="Q965">IFERROR(INDEX(_xlfn._xlws.SORT(_xlfn._xlws.FILTER($C$923:$D$956,$B$923:$B$956=$B965),1),INT(COLUMN()/2),MOD(COLUMN(),2)+1),"")</f>
        <v>14.629</v>
      </c>
      <c r="R965" s="559">
        <f t="array" ref="R965">IFERROR(INDEX(_xlfn._xlws.SORT(_xlfn._xlws.FILTER($C$923:$D$956,$B$923:$B$956=$B965),1),INT(COLUMN()/2),MOD(COLUMN(),2)+1),"")</f>
        <v>13.2</v>
      </c>
      <c r="S965" s="559">
        <f t="array" ref="S965">IFERROR(INDEX(_xlfn._xlws.SORT(_xlfn._xlws.FILTER($C$923:$D$956,$B$923:$B$956=$B965),1),INT(COLUMN()/2),MOD(COLUMN(),2)+1),"")</f>
        <v>12.257</v>
      </c>
      <c r="T965" s="559">
        <f t="array" ref="T965">IFERROR(INDEX(_xlfn._xlws.SORT(_xlfn._xlws.FILTER($C$923:$D$956,$B$923:$B$956=$B965),1),INT(COLUMN()/2),MOD(COLUMN(),2)+1),"")</f>
        <v>16.7</v>
      </c>
      <c r="U965" s="559">
        <f t="array" ref="U965">IFERROR(INDEX(_xlfn._xlws.SORT(_xlfn._xlws.FILTER($C$923:$D$956,$B$923:$B$956=$B965),1),INT(COLUMN()/2),MOD(COLUMN(),2)+1),"")</f>
        <v>14.456</v>
      </c>
      <c r="V965" s="559" t="str">
        <f t="array" ref="V965">IFERROR(INDEX(_xlfn._xlws.SORT(_xlfn._xlws.FILTER($C$923:$D$956,$B$923:$B$956=$B965),1),INT(COLUMN()/2),MOD(COLUMN(),2)+1),"")</f>
        <v/>
      </c>
      <c r="W965" s="326"/>
    </row>
    <row r="966" spans="2:23" ht="18.95" customHeight="1">
      <c r="B966" s="254"/>
      <c r="C966" s="116"/>
      <c r="D966" s="116"/>
      <c r="E966" s="116"/>
      <c r="F966" s="116"/>
      <c r="G966" s="116"/>
      <c r="H966" s="116"/>
      <c r="I966" s="116"/>
      <c r="J966" s="116"/>
      <c r="K966" s="116"/>
      <c r="L966" s="116"/>
      <c r="M966" s="116"/>
      <c r="N966" s="116"/>
      <c r="O966" s="116"/>
      <c r="P966" s="116"/>
      <c r="Q966" s="116"/>
      <c r="R966" s="116"/>
      <c r="S966" s="116"/>
      <c r="T966" s="116"/>
      <c r="U966" s="116"/>
      <c r="V966" s="116"/>
      <c r="W966" s="326"/>
    </row>
    <row r="967" spans="2:23" ht="18.95" customHeight="1">
      <c r="B967" s="254"/>
      <c r="C967" s="116"/>
      <c r="D967" s="116" t="s">
        <v>2163</v>
      </c>
      <c r="E967" s="116"/>
      <c r="F967" s="116"/>
      <c r="G967" s="116"/>
      <c r="H967" s="116"/>
      <c r="I967" s="116"/>
      <c r="J967" s="116"/>
      <c r="K967" s="116"/>
      <c r="L967" s="116"/>
      <c r="M967" s="116"/>
      <c r="N967" s="116"/>
      <c r="O967" s="116"/>
      <c r="P967" s="116"/>
      <c r="Q967" s="116"/>
      <c r="R967" s="116"/>
      <c r="S967" s="116"/>
      <c r="T967" s="116"/>
      <c r="U967" s="116"/>
      <c r="V967" s="116"/>
      <c r="W967" s="326"/>
    </row>
    <row r="968" spans="2:23" ht="18.95" customHeight="1">
      <c r="B968" s="304"/>
      <c r="C968" s="305"/>
      <c r="D968" s="305"/>
      <c r="E968" s="305"/>
      <c r="F968" s="305"/>
      <c r="G968" s="305"/>
      <c r="H968" s="305"/>
      <c r="I968" s="305"/>
      <c r="J968" s="305"/>
      <c r="K968" s="305"/>
      <c r="L968" s="305"/>
      <c r="M968" s="305"/>
      <c r="N968" s="305"/>
      <c r="O968" s="305"/>
      <c r="P968" s="305"/>
      <c r="Q968" s="305"/>
      <c r="R968" s="305"/>
      <c r="S968" s="305"/>
      <c r="T968" s="305"/>
      <c r="U968" s="305"/>
      <c r="V968" s="305"/>
      <c r="W968" s="327"/>
    </row>
    <row r="970" spans="2:23" ht="18.95" customHeight="1">
      <c r="B970" s="333"/>
      <c r="C970" s="324"/>
      <c r="D970" s="324"/>
      <c r="E970" s="324"/>
      <c r="F970" s="324"/>
      <c r="G970" s="324"/>
      <c r="H970" s="324"/>
      <c r="I970" s="324"/>
      <c r="J970" s="324"/>
      <c r="K970" s="324"/>
      <c r="L970" s="324"/>
      <c r="M970" s="324"/>
      <c r="N970" s="324"/>
      <c r="O970" s="324"/>
      <c r="P970" s="325"/>
    </row>
    <row r="971" spans="2:23" ht="18.95" customHeight="1">
      <c r="B971" s="254"/>
      <c r="C971" s="1135" t="s">
        <v>2084</v>
      </c>
      <c r="D971" s="1135"/>
      <c r="E971" s="1135"/>
      <c r="F971" s="1135"/>
      <c r="G971" s="1135"/>
      <c r="H971" s="116"/>
      <c r="I971" s="116"/>
      <c r="J971" s="116"/>
      <c r="K971" s="116"/>
      <c r="L971" s="116"/>
      <c r="M971" s="116"/>
      <c r="N971" s="116"/>
      <c r="O971" s="116"/>
      <c r="P971" s="326"/>
    </row>
    <row r="972" spans="2:23" ht="18.95" customHeight="1">
      <c r="B972" s="542" t="s">
        <v>2086</v>
      </c>
      <c r="C972" s="543" t="s">
        <v>2087</v>
      </c>
      <c r="D972" s="543" t="s">
        <v>1800</v>
      </c>
      <c r="E972" s="543" t="s">
        <v>1711</v>
      </c>
      <c r="F972" s="543" t="s">
        <v>1714</v>
      </c>
      <c r="G972" s="543" t="s">
        <v>2088</v>
      </c>
      <c r="H972" s="99" t="s">
        <v>2089</v>
      </c>
      <c r="I972" s="116"/>
      <c r="J972" s="116"/>
      <c r="K972" s="116"/>
      <c r="L972" s="116"/>
      <c r="M972" s="116"/>
      <c r="N972" s="116"/>
      <c r="O972" s="116"/>
      <c r="P972" s="326"/>
    </row>
    <row r="973" spans="2:23" ht="18.95" customHeight="1">
      <c r="B973" s="544" t="s">
        <v>2090</v>
      </c>
      <c r="C973" s="545"/>
      <c r="D973" s="517">
        <v>50</v>
      </c>
      <c r="E973" s="517"/>
      <c r="F973" s="546"/>
      <c r="G973" s="517"/>
      <c r="H973" s="1015">
        <f t="array" ref="H973">(LOOKUP(1,0/(($J$976:$J$990=B973)*(LOOKUP(1,0/(C973:G973),$C$972:$G$972)=$K$976:$K$990)),$L$976:$L$990))*SUM(C973:G973)</f>
        <v>8.25</v>
      </c>
      <c r="I973" s="116"/>
      <c r="J973" s="116"/>
      <c r="K973" s="116"/>
      <c r="L973" s="116"/>
      <c r="M973" s="116"/>
      <c r="N973" s="116"/>
      <c r="O973" s="116"/>
      <c r="P973" s="326"/>
    </row>
    <row r="974" spans="2:23" ht="18.95" customHeight="1">
      <c r="B974" s="544" t="s">
        <v>2090</v>
      </c>
      <c r="C974" s="545"/>
      <c r="D974" s="517"/>
      <c r="E974" s="517">
        <v>1200</v>
      </c>
      <c r="F974" s="546"/>
      <c r="G974" s="517"/>
      <c r="H974" s="1015">
        <f t="array" ref="H974">(LOOKUP(1,0/(($J$976:$J$990=B974)*(LOOKUP(1,0/(C974:G974),$C$972:$G$972)=$K$976:$K$990)),$L$976:$L$990))*SUM(C974:G974)</f>
        <v>554.4</v>
      </c>
      <c r="I974" s="116"/>
      <c r="J974" s="116"/>
      <c r="K974" s="116"/>
      <c r="L974" s="116"/>
      <c r="M974" s="116"/>
      <c r="N974" s="116"/>
      <c r="O974" s="116"/>
      <c r="P974" s="326"/>
    </row>
    <row r="975" spans="2:23" ht="18.95" customHeight="1">
      <c r="B975" s="544" t="s">
        <v>2090</v>
      </c>
      <c r="C975" s="545"/>
      <c r="D975" s="517"/>
      <c r="E975" s="517">
        <v>50</v>
      </c>
      <c r="F975" s="546"/>
      <c r="G975" s="517"/>
      <c r="H975" s="1015">
        <f t="array" ref="H975">(LOOKUP(1,0/(($J$976:$J$990=B975)*(LOOKUP(1,0/(C975:G975),$C$972:$G$972)=$K$976:$K$990)),$L$976:$L$990))*SUM(C975:G975)</f>
        <v>23.1</v>
      </c>
      <c r="I975" s="116"/>
      <c r="J975" s="99" t="s">
        <v>2086</v>
      </c>
      <c r="K975" s="99" t="s">
        <v>2084</v>
      </c>
      <c r="L975" s="548" t="s">
        <v>2089</v>
      </c>
      <c r="M975" s="116"/>
      <c r="N975" s="116"/>
      <c r="O975" s="116"/>
      <c r="P975" s="326"/>
    </row>
    <row r="976" spans="2:23" ht="18.95" customHeight="1">
      <c r="B976" s="544" t="s">
        <v>2090</v>
      </c>
      <c r="C976" s="545"/>
      <c r="D976" s="517"/>
      <c r="E976" s="517"/>
      <c r="F976" s="546">
        <v>1200</v>
      </c>
      <c r="G976" s="517"/>
      <c r="H976" s="1015">
        <f t="array" ref="H976">(LOOKUP(1,0/(($J$976:$J$990=B976)*(LOOKUP(1,0/(C976:G976),$C$972:$G$972)=$K$976:$K$990)),$L$976:$L$990))*SUM(C976:G976)</f>
        <v>189.35999999999999</v>
      </c>
      <c r="I976" s="116"/>
      <c r="J976" s="549" t="s">
        <v>2090</v>
      </c>
      <c r="K976" s="543" t="s">
        <v>2087</v>
      </c>
      <c r="L976" s="548">
        <v>0.1326</v>
      </c>
      <c r="M976" s="116"/>
      <c r="N976" s="116"/>
      <c r="O976" s="116"/>
      <c r="P976" s="326"/>
    </row>
    <row r="977" spans="2:16" ht="18.95" customHeight="1">
      <c r="B977" s="544" t="s">
        <v>2090</v>
      </c>
      <c r="C977" s="545"/>
      <c r="D977" s="517"/>
      <c r="E977" s="517"/>
      <c r="F977" s="546"/>
      <c r="G977" s="517">
        <v>480</v>
      </c>
      <c r="H977" s="1015">
        <f t="array" ref="H977">(LOOKUP(1,0/(($J$976:$J$990=B977)*(LOOKUP(1,0/(C977:G977),$C$972:$G$972)=$K$976:$K$990)),$L$976:$L$990))*SUM(C977:G977)</f>
        <v>268.8</v>
      </c>
      <c r="I977" s="116"/>
      <c r="J977" s="549" t="s">
        <v>2090</v>
      </c>
      <c r="K977" s="543" t="s">
        <v>1800</v>
      </c>
      <c r="L977" s="548">
        <v>0.16500000000000001</v>
      </c>
      <c r="M977" s="116"/>
      <c r="N977" s="116"/>
      <c r="O977" s="116"/>
      <c r="P977" s="326"/>
    </row>
    <row r="978" spans="2:16" ht="18.95" customHeight="1">
      <c r="B978" s="544" t="s">
        <v>2092</v>
      </c>
      <c r="C978" s="545"/>
      <c r="D978" s="517"/>
      <c r="E978" s="517"/>
      <c r="F978" s="546"/>
      <c r="G978" s="517">
        <v>30</v>
      </c>
      <c r="H978" s="1015">
        <f t="array" ref="H978">(LOOKUP(1,0/(($J$976:$J$990=B978)*(LOOKUP(1,0/(C978:G978),$C$972:$G$972)=$K$976:$K$990)),$L$976:$L$990))*SUM(C978:G978)</f>
        <v>26.664000000000001</v>
      </c>
      <c r="I978" s="116"/>
      <c r="J978" s="549" t="s">
        <v>2090</v>
      </c>
      <c r="K978" s="543" t="s">
        <v>1711</v>
      </c>
      <c r="L978" s="548">
        <v>0.46200000000000002</v>
      </c>
      <c r="M978" s="116"/>
      <c r="N978" s="116"/>
      <c r="O978" s="116"/>
      <c r="P978" s="326"/>
    </row>
    <row r="979" spans="2:16" ht="18.95" customHeight="1">
      <c r="B979" s="544" t="s">
        <v>2092</v>
      </c>
      <c r="C979" s="545"/>
      <c r="D979" s="517"/>
      <c r="E979" s="517">
        <v>60</v>
      </c>
      <c r="F979" s="546"/>
      <c r="G979" s="517"/>
      <c r="H979" s="1015">
        <f t="array" ref="H979">(LOOKUP(1,0/(($J$976:$J$990=B979)*(LOOKUP(1,0/(C979:G979),$C$972:$G$972)=$K$976:$K$990)),$L$976:$L$990))*SUM(C979:G979)</f>
        <v>43.156800000000004</v>
      </c>
      <c r="I979" s="116"/>
      <c r="J979" s="549" t="s">
        <v>2090</v>
      </c>
      <c r="K979" s="543" t="s">
        <v>1714</v>
      </c>
      <c r="L979" s="548">
        <v>0.1578</v>
      </c>
      <c r="M979" s="116"/>
      <c r="N979" s="116"/>
      <c r="O979" s="116"/>
      <c r="P979" s="326"/>
    </row>
    <row r="980" spans="2:16" ht="18.95" customHeight="1">
      <c r="B980" s="544" t="s">
        <v>2092</v>
      </c>
      <c r="C980" s="545"/>
      <c r="D980" s="517">
        <v>40</v>
      </c>
      <c r="E980" s="517"/>
      <c r="F980" s="546"/>
      <c r="G980" s="517"/>
      <c r="H980" s="1015">
        <f t="array" ref="H980">(LOOKUP(1,0/(($J$976:$J$990=B980)*(LOOKUP(1,0/(C980:G980),$C$972:$G$972)=$K$976:$K$990)),$L$976:$L$990))*SUM(C980:G980)</f>
        <v>25.380800000000001</v>
      </c>
      <c r="I980" s="116"/>
      <c r="J980" s="549" t="s">
        <v>2090</v>
      </c>
      <c r="K980" s="543" t="s">
        <v>2088</v>
      </c>
      <c r="L980" s="548">
        <v>0.56000000000000005</v>
      </c>
      <c r="M980" s="116"/>
      <c r="N980" s="116"/>
      <c r="O980" s="116"/>
      <c r="P980" s="326"/>
    </row>
    <row r="981" spans="2:16" ht="18.95" customHeight="1">
      <c r="B981" s="544" t="s">
        <v>2092</v>
      </c>
      <c r="C981" s="545"/>
      <c r="D981" s="517"/>
      <c r="E981" s="517">
        <v>5</v>
      </c>
      <c r="F981" s="546"/>
      <c r="G981" s="517"/>
      <c r="H981" s="1015">
        <f t="array" ref="H981">(LOOKUP(1,0/(($J$976:$J$990=B981)*(LOOKUP(1,0/(C981:G981),$C$972:$G$972)=$K$976:$K$990)),$L$976:$L$990))*SUM(C981:G981)</f>
        <v>3.5964</v>
      </c>
      <c r="I981" s="116"/>
      <c r="J981" s="549" t="s">
        <v>2092</v>
      </c>
      <c r="K981" s="543" t="s">
        <v>2087</v>
      </c>
      <c r="L981" s="548">
        <v>0.54976000000000003</v>
      </c>
      <c r="M981" s="116"/>
      <c r="N981" s="116"/>
      <c r="O981" s="116"/>
      <c r="P981" s="326"/>
    </row>
    <row r="982" spans="2:16" ht="18.95" customHeight="1">
      <c r="B982" s="544" t="s">
        <v>2092</v>
      </c>
      <c r="C982" s="545"/>
      <c r="D982" s="517"/>
      <c r="E982" s="517"/>
      <c r="F982" s="546">
        <v>5</v>
      </c>
      <c r="G982" s="517"/>
      <c r="H982" s="1015">
        <f t="array" ref="H982">(LOOKUP(1,0/(($J$976:$J$990=B982)*(LOOKUP(1,0/(C982:G982),$C$972:$G$972)=$K$976:$K$990)),$L$976:$L$990))*SUM(C982:G982)</f>
        <v>4.0202</v>
      </c>
      <c r="I982" s="116"/>
      <c r="J982" s="549" t="s">
        <v>2092</v>
      </c>
      <c r="K982" s="543" t="s">
        <v>1800</v>
      </c>
      <c r="L982" s="548">
        <v>0.63451999999999997</v>
      </c>
      <c r="M982" s="116"/>
      <c r="N982" s="116"/>
      <c r="O982" s="116"/>
      <c r="P982" s="326"/>
    </row>
    <row r="983" spans="2:16" ht="18.95" customHeight="1">
      <c r="B983" s="544" t="s">
        <v>2092</v>
      </c>
      <c r="C983" s="545"/>
      <c r="D983" s="517"/>
      <c r="E983" s="517"/>
      <c r="F983" s="546">
        <v>60</v>
      </c>
      <c r="G983" s="517"/>
      <c r="H983" s="1015">
        <f t="array" ref="H983">(LOOKUP(1,0/(($J$976:$J$990=B983)*(LOOKUP(1,0/(C983:G983),$C$972:$G$972)=$K$976:$K$990)),$L$976:$L$990))*SUM(C983:G983)</f>
        <v>48.242399999999996</v>
      </c>
      <c r="I983" s="116"/>
      <c r="J983" s="549" t="s">
        <v>2092</v>
      </c>
      <c r="K983" s="543" t="s">
        <v>1711</v>
      </c>
      <c r="L983" s="548">
        <v>0.71928000000000003</v>
      </c>
      <c r="M983" s="116"/>
      <c r="N983" s="116"/>
      <c r="O983" s="116"/>
      <c r="P983" s="326"/>
    </row>
    <row r="984" spans="2:16" ht="18.95" customHeight="1">
      <c r="B984" s="544" t="s">
        <v>2093</v>
      </c>
      <c r="C984" s="545"/>
      <c r="D984" s="517"/>
      <c r="E984" s="517"/>
      <c r="F984" s="546"/>
      <c r="G984" s="517">
        <v>30</v>
      </c>
      <c r="H984" s="1015">
        <f t="array" ref="H984">(LOOKUP(1,0/(($J$976:$J$990=B984)*(LOOKUP(1,0/(C984:G984),$C$972:$G$972)=$K$976:$K$990)),$L$976:$L$990))*SUM(C984:G984)</f>
        <v>39.378</v>
      </c>
      <c r="I984" s="116"/>
      <c r="J984" s="549" t="s">
        <v>2092</v>
      </c>
      <c r="K984" s="543" t="s">
        <v>1714</v>
      </c>
      <c r="L984" s="548">
        <v>0.80403999999999998</v>
      </c>
      <c r="M984" s="116"/>
      <c r="N984" s="116"/>
      <c r="O984" s="116"/>
      <c r="P984" s="326"/>
    </row>
    <row r="985" spans="2:16" ht="18.95" customHeight="1">
      <c r="B985" s="544" t="s">
        <v>2093</v>
      </c>
      <c r="C985" s="545"/>
      <c r="D985" s="517">
        <v>50</v>
      </c>
      <c r="E985" s="517"/>
      <c r="F985" s="546"/>
      <c r="G985" s="517"/>
      <c r="H985" s="1015">
        <f t="array" ref="H985">(LOOKUP(1,0/(($J$976:$J$990=B985)*(LOOKUP(1,0/(C985:G985),$C$972:$G$972)=$K$976:$K$990)),$L$976:$L$990))*SUM(C985:G985)</f>
        <v>52.915999999999997</v>
      </c>
      <c r="I985" s="116"/>
      <c r="J985" s="549" t="s">
        <v>2092</v>
      </c>
      <c r="K985" s="543" t="s">
        <v>2088</v>
      </c>
      <c r="L985" s="548">
        <v>0.88880000000000003</v>
      </c>
      <c r="M985" s="116"/>
      <c r="N985" s="116"/>
      <c r="O985" s="116"/>
      <c r="P985" s="326"/>
    </row>
    <row r="986" spans="2:16" ht="18.95" customHeight="1">
      <c r="B986" s="544" t="s">
        <v>2093</v>
      </c>
      <c r="C986" s="545"/>
      <c r="D986" s="517"/>
      <c r="E986" s="517">
        <v>60</v>
      </c>
      <c r="F986" s="546"/>
      <c r="G986" s="517"/>
      <c r="H986" s="1015">
        <f t="array" ref="H986">(LOOKUP(1,0/(($J$976:$J$990=B986)*(LOOKUP(1,0/(C986:G986),$C$972:$G$972)=$K$976:$K$990)),$L$976:$L$990))*SUM(C986:G986)</f>
        <v>68.584800000000001</v>
      </c>
      <c r="I986" s="116"/>
      <c r="J986" s="549" t="s">
        <v>2093</v>
      </c>
      <c r="K986" s="543" t="s">
        <v>2087</v>
      </c>
      <c r="L986" s="548">
        <v>0.97355999999999998</v>
      </c>
      <c r="M986" s="116"/>
      <c r="N986" s="116"/>
      <c r="O986" s="116"/>
      <c r="P986" s="326"/>
    </row>
    <row r="987" spans="2:16" ht="18.95" customHeight="1">
      <c r="B987" s="544" t="s">
        <v>2093</v>
      </c>
      <c r="C987" s="545"/>
      <c r="D987" s="517"/>
      <c r="E987" s="517"/>
      <c r="F987" s="546">
        <v>60</v>
      </c>
      <c r="G987" s="517"/>
      <c r="H987" s="1015">
        <f t="array" ref="H987">(LOOKUP(1,0/(($J$976:$J$990=B987)*(LOOKUP(1,0/(C987:G987),$C$972:$G$972)=$K$976:$K$990)),$L$976:$L$990))*SUM(C987:G987)</f>
        <v>73.670400000000001</v>
      </c>
      <c r="I987" s="116"/>
      <c r="J987" s="549" t="s">
        <v>2093</v>
      </c>
      <c r="K987" s="543" t="s">
        <v>1800</v>
      </c>
      <c r="L987" s="548">
        <v>1.0583199999999999</v>
      </c>
      <c r="M987" s="116"/>
      <c r="N987" s="116"/>
      <c r="O987" s="116"/>
      <c r="P987" s="326"/>
    </row>
    <row r="988" spans="2:16" ht="18.95" customHeight="1">
      <c r="B988" s="544" t="s">
        <v>2093</v>
      </c>
      <c r="C988" s="545"/>
      <c r="D988" s="517"/>
      <c r="E988" s="517"/>
      <c r="F988" s="546"/>
      <c r="G988" s="517">
        <v>30</v>
      </c>
      <c r="H988" s="1015">
        <f t="array" ref="H988">(LOOKUP(1,0/(($J$976:$J$990=B988)*(LOOKUP(1,0/(C988:G988),$C$972:$G$972)=$K$976:$K$990)),$L$976:$L$990))*SUM(C988:G988)</f>
        <v>39.378</v>
      </c>
      <c r="I988" s="116"/>
      <c r="J988" s="549" t="s">
        <v>2093</v>
      </c>
      <c r="K988" s="543" t="s">
        <v>1711</v>
      </c>
      <c r="L988" s="548">
        <v>1.1430800000000001</v>
      </c>
      <c r="M988" s="116"/>
      <c r="N988" s="116"/>
      <c r="O988" s="116"/>
      <c r="P988" s="326"/>
    </row>
    <row r="989" spans="2:16" ht="18.95" customHeight="1">
      <c r="B989" s="544" t="s">
        <v>2093</v>
      </c>
      <c r="C989" s="545"/>
      <c r="D989" s="517">
        <v>40</v>
      </c>
      <c r="E989" s="517"/>
      <c r="F989" s="546"/>
      <c r="G989" s="517"/>
      <c r="H989" s="1015">
        <f t="array" ref="H989">(LOOKUP(1,0/(($J$976:$J$990=B989)*(LOOKUP(1,0/(C989:G989),$C$972:$G$972)=$K$976:$K$990)),$L$976:$L$990))*SUM(C989:G989)</f>
        <v>42.332799999999999</v>
      </c>
      <c r="I989" s="116"/>
      <c r="J989" s="549" t="s">
        <v>2093</v>
      </c>
      <c r="K989" s="543" t="s">
        <v>1714</v>
      </c>
      <c r="L989" s="548">
        <v>1.22784</v>
      </c>
      <c r="M989" s="116"/>
      <c r="N989" s="116"/>
      <c r="O989" s="116"/>
      <c r="P989" s="326"/>
    </row>
    <row r="990" spans="2:16" ht="18.95" customHeight="1">
      <c r="B990" s="544" t="s">
        <v>2093</v>
      </c>
      <c r="C990" s="545"/>
      <c r="D990" s="517"/>
      <c r="E990" s="517">
        <v>5</v>
      </c>
      <c r="F990" s="546"/>
      <c r="G990" s="517"/>
      <c r="H990" s="1015">
        <f t="array" ref="H990">(LOOKUP(1,0/(($J$976:$J$990=B990)*(LOOKUP(1,0/(C990:G990),$C$972:$G$972)=$K$976:$K$990)),$L$976:$L$990))*SUM(C990:G990)</f>
        <v>5.7154000000000007</v>
      </c>
      <c r="I990" s="116"/>
      <c r="J990" s="549" t="s">
        <v>2093</v>
      </c>
      <c r="K990" s="543" t="s">
        <v>2088</v>
      </c>
      <c r="L990" s="548">
        <v>1.3126</v>
      </c>
      <c r="M990" s="116"/>
      <c r="N990" s="116"/>
      <c r="O990" s="116"/>
      <c r="P990" s="326"/>
    </row>
    <row r="991" spans="2:16" ht="18.95" customHeight="1">
      <c r="B991" s="544" t="s">
        <v>2093</v>
      </c>
      <c r="C991" s="545"/>
      <c r="D991" s="517"/>
      <c r="E991" s="517"/>
      <c r="F991" s="546">
        <v>5</v>
      </c>
      <c r="G991" s="517"/>
      <c r="H991" s="1015">
        <f t="array" ref="H991">(LOOKUP(1,0/(($J$976:$J$990=B991)*(LOOKUP(1,0/(C991:G991),$C$972:$G$972)=$K$976:$K$990)),$L$976:$L$990))*SUM(C991:G991)</f>
        <v>6.1392000000000007</v>
      </c>
      <c r="I991" s="116"/>
      <c r="J991" s="116"/>
      <c r="K991" s="116"/>
      <c r="L991" s="116"/>
      <c r="M991" s="116"/>
      <c r="N991" s="116"/>
      <c r="O991" s="116"/>
      <c r="P991" s="326"/>
    </row>
    <row r="992" spans="2:16" ht="18.95" customHeight="1">
      <c r="B992" s="254"/>
      <c r="C992" s="116"/>
      <c r="D992" s="116"/>
      <c r="E992" s="116"/>
      <c r="F992" s="116"/>
      <c r="G992" s="116"/>
      <c r="H992" s="116"/>
      <c r="I992" s="116"/>
      <c r="J992" s="116"/>
      <c r="K992" s="116"/>
      <c r="L992" s="116"/>
      <c r="M992" s="116"/>
      <c r="N992" s="116"/>
      <c r="O992" s="116"/>
      <c r="P992" s="326"/>
    </row>
    <row r="993" spans="2:20" ht="18.95" customHeight="1">
      <c r="B993" s="304"/>
      <c r="C993" s="305"/>
      <c r="D993" s="305"/>
      <c r="E993" s="305"/>
      <c r="F993" s="305"/>
      <c r="G993" s="305"/>
      <c r="H993" s="305"/>
      <c r="I993" s="305"/>
      <c r="J993" s="305"/>
      <c r="K993" s="305"/>
      <c r="L993" s="305"/>
      <c r="M993" s="305"/>
      <c r="N993" s="305"/>
      <c r="O993" s="305"/>
      <c r="P993" s="327"/>
    </row>
    <row r="996" spans="2:20" ht="18.95" customHeight="1">
      <c r="B996" s="333"/>
      <c r="C996" s="324"/>
      <c r="D996" s="324"/>
      <c r="E996" s="324"/>
      <c r="F996" s="324"/>
      <c r="G996" s="324"/>
      <c r="H996" s="324"/>
      <c r="I996" s="324"/>
      <c r="J996" s="324"/>
      <c r="K996" s="324"/>
      <c r="L996" s="324"/>
      <c r="M996" s="324"/>
      <c r="N996" s="324"/>
      <c r="O996" s="324"/>
      <c r="P996" s="576">
        <f ca="1">DAY(TODAY())</f>
        <v>28</v>
      </c>
      <c r="Q996" s="577" t="s">
        <v>2164</v>
      </c>
      <c r="R996" s="324"/>
      <c r="S996" s="324"/>
      <c r="T996" s="325"/>
    </row>
    <row r="997" spans="2:20" ht="18.95" customHeight="1">
      <c r="B997" s="560" t="s">
        <v>43</v>
      </c>
      <c r="C997" s="116">
        <v>1</v>
      </c>
      <c r="D997" s="116">
        <v>2</v>
      </c>
      <c r="E997" s="116">
        <v>3</v>
      </c>
      <c r="F997" s="116">
        <v>4</v>
      </c>
      <c r="G997" s="116">
        <v>5</v>
      </c>
      <c r="H997" s="116">
        <v>6</v>
      </c>
      <c r="I997" s="116">
        <v>7</v>
      </c>
      <c r="J997" s="116">
        <v>8</v>
      </c>
      <c r="K997" s="116">
        <v>9</v>
      </c>
      <c r="L997" s="116">
        <v>10</v>
      </c>
      <c r="M997" s="116">
        <v>11</v>
      </c>
      <c r="N997" s="112">
        <v>12</v>
      </c>
      <c r="O997" s="112">
        <v>13</v>
      </c>
      <c r="P997" s="112">
        <v>14</v>
      </c>
      <c r="Q997" s="112">
        <v>15</v>
      </c>
      <c r="R997" s="112">
        <v>16</v>
      </c>
      <c r="S997" s="112">
        <v>17</v>
      </c>
      <c r="T997" s="326"/>
    </row>
    <row r="998" spans="2:20" ht="18.95" customHeight="1">
      <c r="B998" s="560" t="s">
        <v>46</v>
      </c>
      <c r="C998" s="116">
        <v>10</v>
      </c>
      <c r="D998" s="116">
        <v>20</v>
      </c>
      <c r="E998" s="116">
        <v>30</v>
      </c>
      <c r="F998" s="116">
        <v>40</v>
      </c>
      <c r="G998" s="116">
        <v>50</v>
      </c>
      <c r="H998" s="116">
        <v>60</v>
      </c>
      <c r="I998" s="116">
        <v>70</v>
      </c>
      <c r="J998" s="116">
        <v>80</v>
      </c>
      <c r="K998" s="116">
        <v>90</v>
      </c>
      <c r="L998" s="116">
        <v>100</v>
      </c>
      <c r="M998" s="116">
        <v>110</v>
      </c>
      <c r="N998" s="116">
        <v>120</v>
      </c>
      <c r="O998" s="116">
        <v>130</v>
      </c>
      <c r="P998" s="116">
        <v>140</v>
      </c>
      <c r="Q998" s="116">
        <v>150</v>
      </c>
      <c r="R998" s="116">
        <v>160</v>
      </c>
      <c r="S998" s="116">
        <v>170</v>
      </c>
      <c r="T998" s="326"/>
    </row>
    <row r="999" spans="2:20" ht="18.95" customHeight="1">
      <c r="B999" s="254"/>
      <c r="C999" s="116"/>
      <c r="D999" s="116"/>
      <c r="E999" s="116"/>
      <c r="F999" s="116"/>
      <c r="G999" s="116"/>
      <c r="H999" s="116"/>
      <c r="I999" s="116"/>
      <c r="J999" s="116"/>
      <c r="K999" s="116"/>
      <c r="L999" s="116"/>
      <c r="M999" s="116"/>
      <c r="N999" s="112"/>
      <c r="O999" s="112"/>
      <c r="P999" s="112"/>
      <c r="Q999" s="112"/>
      <c r="R999" s="112"/>
      <c r="S999" s="116"/>
      <c r="T999" s="326"/>
    </row>
    <row r="1000" spans="2:20" ht="18.95" customHeight="1">
      <c r="B1000" s="560" t="s">
        <v>2165</v>
      </c>
      <c r="C1000" s="116"/>
      <c r="D1000" s="116"/>
      <c r="E1000" s="116"/>
      <c r="F1000" s="116"/>
      <c r="G1000" s="116"/>
      <c r="H1000" s="116"/>
      <c r="I1000" s="116"/>
      <c r="J1000" s="116"/>
      <c r="K1000" s="116"/>
      <c r="L1000" s="116"/>
      <c r="M1000" s="116"/>
      <c r="N1000" s="116"/>
      <c r="O1000" s="116"/>
      <c r="P1000" s="116"/>
      <c r="Q1000" s="116"/>
      <c r="R1000" s="116"/>
      <c r="S1000" s="116"/>
      <c r="T1000" s="326"/>
    </row>
    <row r="1001" spans="2:20" ht="18.95" customHeight="1">
      <c r="B1001" s="254"/>
      <c r="C1001" s="116"/>
      <c r="D1001" s="116"/>
      <c r="E1001" s="116"/>
      <c r="F1001" s="116"/>
      <c r="G1001" s="116"/>
      <c r="H1001" s="116"/>
      <c r="I1001" s="116"/>
      <c r="J1001" s="116"/>
      <c r="K1001" s="116"/>
      <c r="L1001" s="116"/>
      <c r="M1001" s="116"/>
      <c r="N1001" s="116"/>
      <c r="O1001" s="116"/>
      <c r="P1001" s="116"/>
      <c r="Q1001" s="116"/>
      <c r="R1001" s="116"/>
      <c r="S1001" s="116"/>
      <c r="T1001" s="326"/>
    </row>
    <row r="1002" spans="2:20" ht="18.95" customHeight="1">
      <c r="B1002" s="254"/>
      <c r="C1002" s="116"/>
      <c r="D1002" s="116"/>
      <c r="E1002" s="116"/>
      <c r="F1002" s="116"/>
      <c r="G1002" s="116"/>
      <c r="H1002" s="116"/>
      <c r="I1002" s="116"/>
      <c r="J1002" s="116"/>
      <c r="K1002" s="116"/>
      <c r="L1002" s="116"/>
      <c r="M1002" s="116"/>
      <c r="N1002" s="116"/>
      <c r="O1002" s="116"/>
      <c r="P1002" s="116"/>
      <c r="Q1002" s="116"/>
      <c r="R1002" s="116"/>
      <c r="S1002" s="116"/>
      <c r="T1002" s="326"/>
    </row>
    <row r="1003" spans="2:20" ht="18.95" customHeight="1">
      <c r="B1003" s="254"/>
      <c r="C1003" s="116"/>
      <c r="D1003" s="116"/>
      <c r="E1003" s="112" t="s">
        <v>43</v>
      </c>
      <c r="F1003" s="116"/>
      <c r="G1003" s="116"/>
      <c r="H1003" s="116"/>
      <c r="I1003" s="116"/>
      <c r="J1003" s="116"/>
      <c r="K1003" s="116"/>
      <c r="L1003" s="116"/>
      <c r="M1003" s="116"/>
      <c r="N1003" s="116"/>
      <c r="O1003" s="116"/>
      <c r="P1003" s="116"/>
      <c r="Q1003" s="116"/>
      <c r="R1003" s="116"/>
      <c r="S1003" s="116"/>
      <c r="T1003" s="326"/>
    </row>
    <row r="1004" spans="2:20" ht="18.95" customHeight="1">
      <c r="B1004" s="254"/>
      <c r="C1004" s="116"/>
      <c r="D1004" s="116"/>
      <c r="E1004" s="116">
        <v>16</v>
      </c>
      <c r="F1004" s="561" t="s">
        <v>2164</v>
      </c>
      <c r="G1004" s="116"/>
      <c r="H1004" s="116"/>
      <c r="I1004" s="116"/>
      <c r="J1004" s="116"/>
      <c r="K1004" s="116"/>
      <c r="L1004" s="116"/>
      <c r="M1004" s="116"/>
      <c r="N1004" s="116"/>
      <c r="O1004" s="116"/>
      <c r="P1004" s="116"/>
      <c r="Q1004" s="116"/>
      <c r="R1004" s="116"/>
      <c r="S1004" s="116"/>
      <c r="T1004" s="326"/>
    </row>
    <row r="1005" spans="2:20" ht="18.95" customHeight="1">
      <c r="B1005" s="254"/>
      <c r="C1005" s="116"/>
      <c r="D1005" s="116" t="s">
        <v>2166</v>
      </c>
      <c r="E1005" s="562">
        <v>1360</v>
      </c>
      <c r="F1005" s="116"/>
      <c r="G1005" s="116"/>
      <c r="H1005" s="116"/>
      <c r="I1005" s="116"/>
      <c r="J1005" s="116"/>
      <c r="K1005" s="116"/>
      <c r="L1005" s="116"/>
      <c r="M1005" s="116"/>
      <c r="N1005" s="116"/>
      <c r="O1005" s="116"/>
      <c r="P1005" s="116"/>
      <c r="Q1005" s="116"/>
      <c r="R1005" s="116"/>
      <c r="S1005" s="116"/>
      <c r="T1005" s="326"/>
    </row>
    <row r="1006" spans="2:20" ht="18.95" customHeight="1">
      <c r="B1006" s="254"/>
      <c r="C1006" s="116"/>
      <c r="D1006" s="116"/>
      <c r="E1006" s="116">
        <f>SUMIF($B$997:$S$997,"&lt;="&amp;E1004,B998:S998)</f>
        <v>1360</v>
      </c>
      <c r="F1006" s="116"/>
      <c r="G1006" s="116"/>
      <c r="H1006" s="116"/>
      <c r="I1006" s="116"/>
      <c r="J1006" s="116"/>
      <c r="K1006" s="116"/>
      <c r="L1006" s="116"/>
      <c r="M1006" s="116"/>
      <c r="N1006" s="116"/>
      <c r="O1006" s="116"/>
      <c r="P1006" s="116"/>
      <c r="Q1006" s="116"/>
      <c r="R1006" s="116"/>
      <c r="S1006" s="116"/>
      <c r="T1006" s="326"/>
    </row>
    <row r="1007" spans="2:20" ht="18.95" customHeight="1">
      <c r="B1007" s="304"/>
      <c r="C1007" s="305"/>
      <c r="D1007" s="305"/>
      <c r="E1007" s="305"/>
      <c r="F1007" s="305"/>
      <c r="G1007" s="305"/>
      <c r="H1007" s="305"/>
      <c r="I1007" s="305"/>
      <c r="J1007" s="305"/>
      <c r="K1007" s="305"/>
      <c r="L1007" s="305"/>
      <c r="M1007" s="305"/>
      <c r="N1007" s="305"/>
      <c r="O1007" s="305"/>
      <c r="P1007" s="305"/>
      <c r="Q1007" s="305"/>
      <c r="R1007" s="305"/>
      <c r="S1007" s="305"/>
      <c r="T1007" s="327"/>
    </row>
    <row r="1010" spans="2:31" ht="18.95" customHeight="1">
      <c r="B1010" s="563"/>
      <c r="C1010" s="282"/>
      <c r="D1010" s="282"/>
      <c r="E1010" s="282"/>
      <c r="F1010" s="282"/>
      <c r="G1010" s="282"/>
      <c r="H1010" s="282"/>
      <c r="I1010" s="282"/>
      <c r="J1010" s="282"/>
      <c r="K1010" s="282"/>
      <c r="L1010" s="282"/>
      <c r="M1010" s="282"/>
      <c r="N1010" s="282"/>
      <c r="O1010" s="282"/>
      <c r="P1010" s="282"/>
      <c r="Q1010" s="282"/>
      <c r="R1010" s="282"/>
      <c r="S1010" s="282"/>
      <c r="T1010" s="282"/>
      <c r="U1010" s="324"/>
      <c r="V1010" s="324"/>
      <c r="W1010" s="324"/>
      <c r="X1010" s="324"/>
      <c r="Y1010" s="324"/>
      <c r="Z1010" s="324"/>
      <c r="AA1010" s="324"/>
      <c r="AB1010" s="324"/>
      <c r="AC1010" s="324"/>
      <c r="AD1010" s="324"/>
      <c r="AE1010" s="325"/>
    </row>
    <row r="1011" spans="2:31" ht="18.95" customHeight="1">
      <c r="B1011" s="491" t="s">
        <v>1348</v>
      </c>
      <c r="C1011" s="564" t="s">
        <v>2167</v>
      </c>
      <c r="D1011" s="565" t="s">
        <v>2168</v>
      </c>
      <c r="E1011" s="105"/>
      <c r="F1011" s="105"/>
      <c r="G1011" s="105"/>
      <c r="H1011" s="105"/>
      <c r="I1011" s="105"/>
      <c r="J1011" s="105"/>
      <c r="K1011" s="105"/>
      <c r="L1011" s="105"/>
      <c r="M1011" s="105"/>
      <c r="N1011" s="105"/>
      <c r="O1011" s="105"/>
      <c r="P1011" s="105"/>
      <c r="Q1011" s="105"/>
      <c r="R1011" s="105"/>
      <c r="S1011" s="105"/>
      <c r="T1011" s="105"/>
      <c r="U1011" s="116"/>
      <c r="V1011" s="116"/>
      <c r="W1011" s="116"/>
      <c r="X1011" s="116"/>
      <c r="Y1011" s="116"/>
      <c r="Z1011" s="116"/>
      <c r="AA1011" s="116"/>
      <c r="AB1011" s="116"/>
      <c r="AC1011" s="116"/>
      <c r="AD1011" s="116"/>
      <c r="AE1011" s="326"/>
    </row>
    <row r="1012" spans="2:31" ht="18.95" customHeight="1">
      <c r="B1012" s="233">
        <v>1</v>
      </c>
      <c r="C1012" s="566" t="s">
        <v>2169</v>
      </c>
      <c r="D1012" s="566" t="s">
        <v>2170</v>
      </c>
      <c r="E1012" s="105"/>
      <c r="F1012" s="105"/>
      <c r="G1012" s="105"/>
      <c r="H1012" s="105"/>
      <c r="I1012" s="105"/>
      <c r="J1012" s="105"/>
      <c r="K1012" s="116"/>
      <c r="L1012" s="116"/>
      <c r="M1012" s="116"/>
      <c r="N1012" s="116"/>
      <c r="O1012" s="116"/>
      <c r="P1012" s="116"/>
      <c r="Q1012" s="116"/>
      <c r="R1012" s="116"/>
      <c r="S1012" s="116"/>
      <c r="T1012" s="116"/>
      <c r="U1012" s="116"/>
      <c r="V1012" s="116"/>
      <c r="W1012" s="116"/>
      <c r="X1012" s="116"/>
      <c r="Y1012" s="116"/>
      <c r="Z1012" s="116"/>
      <c r="AA1012" s="116"/>
      <c r="AB1012" s="116"/>
      <c r="AC1012" s="116"/>
      <c r="AD1012" s="116"/>
      <c r="AE1012" s="326"/>
    </row>
    <row r="1013" spans="2:31" ht="18.95" customHeight="1">
      <c r="B1013" s="233">
        <v>2</v>
      </c>
      <c r="C1013" s="566" t="s">
        <v>2171</v>
      </c>
      <c r="D1013" s="567">
        <v>5.8799999999999998E-3</v>
      </c>
      <c r="E1013" s="105"/>
      <c r="F1013" s="568" t="s">
        <v>2172</v>
      </c>
      <c r="G1013" s="568"/>
      <c r="H1013" s="568"/>
      <c r="I1013" s="568"/>
      <c r="J1013" s="568"/>
      <c r="K1013" s="116"/>
      <c r="L1013" s="116"/>
      <c r="M1013" s="116"/>
      <c r="N1013" s="116"/>
      <c r="O1013" s="116"/>
      <c r="P1013" s="116"/>
      <c r="Q1013" s="116"/>
      <c r="R1013" s="116"/>
      <c r="S1013" s="116"/>
      <c r="T1013" s="116"/>
      <c r="U1013" s="116"/>
      <c r="V1013" s="116"/>
      <c r="W1013" s="116"/>
      <c r="X1013" s="116"/>
      <c r="Y1013" s="116"/>
      <c r="Z1013" s="116"/>
      <c r="AA1013" s="116"/>
      <c r="AB1013" s="116"/>
      <c r="AC1013" s="116"/>
      <c r="AD1013" s="116"/>
      <c r="AE1013" s="326"/>
    </row>
    <row r="1014" spans="2:31" ht="18.95" customHeight="1">
      <c r="B1014" s="233">
        <v>3</v>
      </c>
      <c r="C1014" s="566" t="s">
        <v>2173</v>
      </c>
      <c r="D1014" s="567">
        <v>4.62E-3</v>
      </c>
      <c r="E1014" s="105"/>
      <c r="F1014" s="90">
        <v>1</v>
      </c>
      <c r="G1014" s="90">
        <v>0</v>
      </c>
      <c r="H1014" s="90">
        <v>12600</v>
      </c>
      <c r="I1014" s="90">
        <v>12600</v>
      </c>
      <c r="J1014" s="90">
        <v>12600</v>
      </c>
      <c r="K1014" s="116"/>
      <c r="L1014" s="116" t="s">
        <v>2174</v>
      </c>
      <c r="M1014" s="116"/>
      <c r="N1014" s="116"/>
      <c r="O1014" s="116"/>
      <c r="P1014" s="116"/>
      <c r="Q1014" s="116"/>
      <c r="R1014" s="116"/>
      <c r="S1014" s="116"/>
      <c r="T1014" s="116"/>
      <c r="U1014" s="116"/>
      <c r="V1014" s="116"/>
      <c r="W1014" s="116"/>
      <c r="X1014" s="116"/>
      <c r="Y1014" s="116"/>
      <c r="Z1014" s="116"/>
      <c r="AA1014" s="116"/>
      <c r="AB1014" s="116"/>
      <c r="AC1014" s="116"/>
      <c r="AD1014" s="116"/>
      <c r="AE1014" s="326"/>
    </row>
    <row r="1015" spans="2:31" ht="18.95" customHeight="1">
      <c r="B1015" s="233">
        <v>4</v>
      </c>
      <c r="C1015" s="566" t="s">
        <v>2175</v>
      </c>
      <c r="D1015" s="567">
        <v>2.4499999999999999E-3</v>
      </c>
      <c r="E1015" s="105"/>
      <c r="F1015" s="90">
        <v>2</v>
      </c>
      <c r="G1015" s="90">
        <v>1000000</v>
      </c>
      <c r="H1015" s="569">
        <v>5.8799999999999998E-3</v>
      </c>
      <c r="I1015" s="90">
        <f>(G1016-G1015)*H1015</f>
        <v>23520</v>
      </c>
      <c r="J1015" s="90">
        <f>($D$1021-G1015)*H1015</f>
        <v>346920</v>
      </c>
      <c r="K1015" s="116"/>
      <c r="L1015" s="116" t="s">
        <v>2176</v>
      </c>
      <c r="M1015" s="116"/>
      <c r="N1015" s="116"/>
      <c r="O1015" s="116"/>
      <c r="P1015" s="116"/>
      <c r="Q1015" s="116"/>
      <c r="R1015" s="116"/>
      <c r="S1015" s="116"/>
      <c r="T1015" s="116"/>
      <c r="U1015" s="116"/>
      <c r="V1015" s="116"/>
      <c r="W1015" s="116"/>
      <c r="X1015" s="116"/>
      <c r="Y1015" s="116"/>
      <c r="Z1015" s="116"/>
      <c r="AA1015" s="116"/>
      <c r="AB1015" s="116"/>
      <c r="AC1015" s="116"/>
      <c r="AD1015" s="116"/>
      <c r="AE1015" s="326"/>
    </row>
    <row r="1016" spans="2:31" ht="18.95" customHeight="1">
      <c r="B1016" s="233">
        <v>5</v>
      </c>
      <c r="C1016" s="566" t="s">
        <v>2177</v>
      </c>
      <c r="D1016" s="567">
        <v>1.4E-3</v>
      </c>
      <c r="E1016" s="105"/>
      <c r="F1016" s="90">
        <v>3</v>
      </c>
      <c r="G1016" s="90">
        <v>5000000</v>
      </c>
      <c r="H1016" s="569">
        <v>4.62E-3</v>
      </c>
      <c r="I1016" s="90">
        <f>(G1017-G1016)*H1016</f>
        <v>23100</v>
      </c>
      <c r="J1016" s="90">
        <f t="shared" ref="J1016:J1019" si="20">($D$1021-G1016)*H1016</f>
        <v>254100</v>
      </c>
      <c r="K1016" s="116"/>
      <c r="L1016" s="116" t="s">
        <v>2178</v>
      </c>
      <c r="M1016" s="116"/>
      <c r="N1016" s="116"/>
      <c r="O1016" s="116"/>
      <c r="P1016" s="116"/>
      <c r="Q1016" s="116"/>
      <c r="R1016" s="116"/>
      <c r="S1016" s="116"/>
      <c r="T1016" s="116"/>
      <c r="U1016" s="116"/>
      <c r="V1016" s="116"/>
      <c r="W1016" s="116"/>
      <c r="X1016" s="116"/>
      <c r="Y1016" s="116"/>
      <c r="Z1016" s="116"/>
      <c r="AA1016" s="116"/>
      <c r="AB1016" s="116"/>
      <c r="AC1016" s="116"/>
      <c r="AD1016" s="116"/>
      <c r="AE1016" s="326"/>
    </row>
    <row r="1017" spans="2:31" ht="18.95" customHeight="1">
      <c r="B1017" s="233">
        <v>6</v>
      </c>
      <c r="C1017" s="566" t="s">
        <v>2179</v>
      </c>
      <c r="D1017" s="567">
        <v>3.5E-4</v>
      </c>
      <c r="E1017" s="105"/>
      <c r="F1017" s="90">
        <v>4</v>
      </c>
      <c r="G1017" s="90">
        <v>10000000</v>
      </c>
      <c r="H1017" s="569">
        <v>2.4499999999999999E-3</v>
      </c>
      <c r="I1017" s="90">
        <f>(G1018-G1017)*H1017</f>
        <v>98000</v>
      </c>
      <c r="J1017" s="90">
        <f t="shared" si="20"/>
        <v>122500</v>
      </c>
      <c r="K1017" s="116"/>
      <c r="L1017" s="116" t="s">
        <v>2180</v>
      </c>
      <c r="M1017" s="116"/>
      <c r="N1017" s="116"/>
      <c r="O1017" s="116"/>
      <c r="P1017" s="116"/>
      <c r="Q1017" s="116"/>
      <c r="R1017" s="116"/>
      <c r="S1017" s="116"/>
      <c r="T1017" s="116"/>
      <c r="U1017" s="116"/>
      <c r="V1017" s="116"/>
      <c r="W1017" s="116"/>
      <c r="X1017" s="116"/>
      <c r="Y1017" s="116"/>
      <c r="Z1017" s="116"/>
      <c r="AA1017" s="116"/>
      <c r="AB1017" s="116"/>
      <c r="AC1017" s="116"/>
      <c r="AD1017" s="116"/>
      <c r="AE1017" s="326"/>
    </row>
    <row r="1018" spans="2:31" ht="18.95" customHeight="1">
      <c r="B1018" s="288"/>
      <c r="C1018" s="105"/>
      <c r="D1018" s="105"/>
      <c r="E1018" s="105"/>
      <c r="F1018" s="90">
        <v>5</v>
      </c>
      <c r="G1018" s="90">
        <v>50000000</v>
      </c>
      <c r="H1018" s="569">
        <v>1.4E-3</v>
      </c>
      <c r="I1018" s="90">
        <f>(G1019-G1018)*H1018</f>
        <v>70000</v>
      </c>
      <c r="J1018" s="90">
        <f t="shared" si="20"/>
        <v>14000</v>
      </c>
      <c r="K1018" s="116"/>
      <c r="L1018" s="116" t="s">
        <v>2181</v>
      </c>
      <c r="M1018" s="116"/>
      <c r="N1018" s="116"/>
      <c r="O1018" s="116"/>
      <c r="P1018" s="116"/>
      <c r="Q1018" s="116"/>
      <c r="R1018" s="116"/>
      <c r="S1018" s="116"/>
      <c r="T1018" s="116"/>
      <c r="U1018" s="116"/>
      <c r="V1018" s="116"/>
      <c r="W1018" s="116"/>
      <c r="X1018" s="116"/>
      <c r="Y1018" s="116"/>
      <c r="Z1018" s="116"/>
      <c r="AA1018" s="116"/>
      <c r="AB1018" s="116"/>
      <c r="AC1018" s="116"/>
      <c r="AD1018" s="116"/>
      <c r="AE1018" s="326"/>
    </row>
    <row r="1019" spans="2:31" ht="18.95" customHeight="1">
      <c r="B1019" s="288"/>
      <c r="C1019" s="105"/>
      <c r="D1019" s="105"/>
      <c r="E1019" s="105"/>
      <c r="F1019" s="90">
        <v>6</v>
      </c>
      <c r="G1019" s="90">
        <v>100000000</v>
      </c>
      <c r="H1019" s="569">
        <v>4.0000000000000002E-4</v>
      </c>
      <c r="I1019" s="90">
        <f>(G1020-G1019)*H1019</f>
        <v>160000</v>
      </c>
      <c r="J1019" s="90">
        <f t="shared" si="20"/>
        <v>-16000</v>
      </c>
      <c r="K1019" s="116"/>
      <c r="L1019" s="116" t="s">
        <v>2182</v>
      </c>
      <c r="M1019" s="116"/>
      <c r="N1019" s="116"/>
      <c r="O1019" s="116"/>
      <c r="P1019" s="116"/>
      <c r="Q1019" s="116"/>
      <c r="R1019" s="116"/>
      <c r="S1019" s="116"/>
      <c r="T1019" s="116"/>
      <c r="U1019" s="116"/>
      <c r="V1019" s="116"/>
      <c r="W1019" s="116"/>
      <c r="X1019" s="116"/>
      <c r="Y1019" s="116"/>
      <c r="Z1019" s="116"/>
      <c r="AA1019" s="116"/>
      <c r="AB1019" s="116"/>
      <c r="AC1019" s="116"/>
      <c r="AD1019" s="116"/>
      <c r="AE1019" s="326"/>
    </row>
    <row r="1020" spans="2:31" ht="18.95" customHeight="1">
      <c r="B1020" s="288"/>
      <c r="C1020" s="105"/>
      <c r="D1020" s="105"/>
      <c r="E1020" s="105"/>
      <c r="F1020" s="90"/>
      <c r="G1020" s="90">
        <v>500000000</v>
      </c>
      <c r="H1020" s="90"/>
      <c r="I1020" s="90"/>
      <c r="J1020" s="90"/>
      <c r="K1020" s="116"/>
      <c r="L1020" s="116" t="s">
        <v>2183</v>
      </c>
      <c r="M1020" s="116"/>
      <c r="N1020" s="116"/>
      <c r="O1020" s="116"/>
      <c r="P1020" s="116"/>
      <c r="Q1020" s="116"/>
      <c r="R1020" s="116"/>
      <c r="S1020" s="116"/>
      <c r="T1020" s="116"/>
      <c r="U1020" s="116"/>
      <c r="V1020" s="116"/>
      <c r="W1020" s="116"/>
      <c r="X1020" s="116"/>
      <c r="Y1020" s="116"/>
      <c r="Z1020" s="116"/>
      <c r="AA1020" s="116"/>
      <c r="AB1020" s="116"/>
      <c r="AC1020" s="116"/>
      <c r="AD1020" s="116"/>
      <c r="AE1020" s="326"/>
    </row>
    <row r="1021" spans="2:31" ht="18.95" customHeight="1">
      <c r="B1021" s="288"/>
      <c r="C1021" s="570" t="s">
        <v>2184</v>
      </c>
      <c r="D1021" s="571">
        <v>60000000</v>
      </c>
      <c r="E1021" s="572" t="s">
        <v>2185</v>
      </c>
      <c r="F1021" s="105"/>
      <c r="G1021" s="105"/>
      <c r="H1021" s="105"/>
      <c r="I1021" s="105"/>
      <c r="J1021" s="105"/>
      <c r="K1021" s="116"/>
      <c r="L1021" s="116" t="s">
        <v>2186</v>
      </c>
      <c r="M1021" s="116"/>
      <c r="N1021" s="116"/>
      <c r="O1021" s="116"/>
      <c r="P1021" s="116"/>
      <c r="Q1021" s="116"/>
      <c r="R1021" s="116"/>
      <c r="S1021" s="116"/>
      <c r="T1021" s="116"/>
      <c r="U1021" s="116"/>
      <c r="V1021" s="116"/>
      <c r="W1021" s="116"/>
      <c r="X1021" s="116"/>
      <c r="Y1021" s="116"/>
      <c r="Z1021" s="116"/>
      <c r="AA1021" s="116"/>
      <c r="AB1021" s="116"/>
      <c r="AC1021" s="116"/>
      <c r="AD1021" s="116"/>
      <c r="AE1021" s="326"/>
    </row>
    <row r="1022" spans="2:31" ht="18.95" customHeight="1">
      <c r="B1022" s="288"/>
      <c r="C1022" s="573" t="s">
        <v>2187</v>
      </c>
      <c r="D1022" s="574">
        <f>IF(LOOKUP(D1021,G1014:G1019,F1014:F1019)=1,12600,IF(LOOKUP(D1021,G1014:G1019,F1014:F1019)=2,12600+(D1021-G1015)*H1015,IF(LOOKUP(D1021,G1014:G1019,F1014:F1019)=3,SUM(I1014:I1015)+(D1021-G1016)*H1016,IF(LOOKUP(D1021,G1014:G1019,F1014:F1019)=4,SUM(I1014:I1016)+(D1021-G1017)*H1017,IF(LOOKUP(D1021,G1014:G1019,F1014:F1019)=5,SUM(I1014:I1017)+(D1021-G1018)*H1018,IF(LOOKUP(D1021,G1014:G1019,F1014:F1019)=6,SUM(I1014:I1018)+(D1021-G1019)*H1019,""))))))*1.06</f>
        <v>181493.2</v>
      </c>
      <c r="E1022" s="575" t="s">
        <v>2185</v>
      </c>
      <c r="F1022" s="105"/>
      <c r="G1022" s="105"/>
      <c r="H1022" s="105"/>
      <c r="I1022" s="105"/>
      <c r="J1022" s="105"/>
      <c r="K1022" s="116"/>
      <c r="L1022" s="478" t="s">
        <v>2188</v>
      </c>
      <c r="M1022" s="116"/>
      <c r="N1022" s="116"/>
      <c r="O1022" s="116"/>
      <c r="P1022" s="116"/>
      <c r="Q1022" s="116"/>
      <c r="R1022" s="116"/>
      <c r="S1022" s="116"/>
      <c r="T1022" s="116"/>
      <c r="U1022" s="116"/>
      <c r="V1022" s="116"/>
      <c r="W1022" s="116"/>
      <c r="X1022" s="116"/>
      <c r="Y1022" s="116"/>
      <c r="Z1022" s="116"/>
      <c r="AA1022" s="116"/>
      <c r="AB1022" s="116"/>
      <c r="AC1022" s="116"/>
      <c r="AD1022" s="116"/>
      <c r="AE1022" s="326"/>
    </row>
    <row r="1023" spans="2:31" ht="18.95" customHeight="1">
      <c r="B1023" s="288"/>
      <c r="C1023" s="105"/>
      <c r="D1023" s="105"/>
      <c r="E1023" s="105"/>
      <c r="F1023" s="105"/>
      <c r="G1023" s="105"/>
      <c r="H1023" s="105"/>
      <c r="I1023" s="105"/>
      <c r="J1023" s="105"/>
      <c r="K1023" s="116"/>
      <c r="L1023" s="478" t="s">
        <v>2189</v>
      </c>
      <c r="M1023" s="116"/>
      <c r="N1023" s="116"/>
      <c r="O1023" s="116"/>
      <c r="P1023" s="116"/>
      <c r="Q1023" s="116"/>
      <c r="R1023" s="116"/>
      <c r="S1023" s="116"/>
      <c r="T1023" s="116"/>
      <c r="U1023" s="116"/>
      <c r="V1023" s="116"/>
      <c r="W1023" s="116"/>
      <c r="X1023" s="116"/>
      <c r="Y1023" s="116"/>
      <c r="Z1023" s="116"/>
      <c r="AA1023" s="116"/>
      <c r="AB1023" s="116"/>
      <c r="AC1023" s="116"/>
      <c r="AD1023" s="116"/>
      <c r="AE1023" s="326"/>
    </row>
    <row r="1024" spans="2:31" ht="15" customHeight="1">
      <c r="B1024" s="288" t="s">
        <v>2190</v>
      </c>
      <c r="C1024" s="105" t="s">
        <v>2191</v>
      </c>
      <c r="D1024" s="105"/>
      <c r="E1024" s="105"/>
      <c r="F1024" s="105"/>
      <c r="G1024" s="105"/>
      <c r="H1024" s="105"/>
      <c r="I1024" s="105"/>
      <c r="J1024" s="105"/>
      <c r="K1024" s="116"/>
      <c r="L1024" s="116"/>
      <c r="M1024" s="116"/>
      <c r="N1024" s="116"/>
      <c r="O1024" s="116"/>
      <c r="P1024" s="116"/>
      <c r="Q1024" s="116"/>
      <c r="R1024" s="116"/>
      <c r="S1024" s="116"/>
      <c r="T1024" s="116"/>
      <c r="U1024" s="116"/>
      <c r="V1024" s="116"/>
      <c r="W1024" s="116"/>
      <c r="X1024" s="116"/>
      <c r="Y1024" s="116"/>
      <c r="Z1024" s="116"/>
      <c r="AA1024" s="116"/>
      <c r="AB1024" s="116"/>
      <c r="AC1024" s="116"/>
      <c r="AD1024" s="116"/>
      <c r="AE1024" s="326"/>
    </row>
    <row r="1025" spans="2:31" ht="18.95" customHeight="1">
      <c r="B1025" s="578"/>
      <c r="C1025" s="105" t="s">
        <v>2192</v>
      </c>
      <c r="D1025" s="105"/>
      <c r="E1025" s="105"/>
      <c r="F1025" s="105"/>
      <c r="G1025" s="105"/>
      <c r="H1025" s="105"/>
      <c r="I1025" s="105"/>
      <c r="J1025" s="105"/>
      <c r="K1025" s="116"/>
      <c r="L1025" s="116"/>
      <c r="M1025" s="116"/>
      <c r="N1025" s="116"/>
      <c r="O1025" s="116"/>
      <c r="P1025" s="116"/>
      <c r="Q1025" s="116"/>
      <c r="R1025" s="116"/>
      <c r="S1025" s="116"/>
      <c r="T1025" s="116"/>
      <c r="U1025" s="116"/>
      <c r="V1025" s="116"/>
      <c r="W1025" s="116"/>
      <c r="X1025" s="116"/>
      <c r="Y1025" s="116"/>
      <c r="Z1025" s="116"/>
      <c r="AA1025" s="116"/>
      <c r="AB1025" s="116"/>
      <c r="AC1025" s="116"/>
      <c r="AD1025" s="116"/>
      <c r="AE1025" s="326"/>
    </row>
    <row r="1026" spans="2:31" ht="18.95" customHeight="1">
      <c r="B1026" s="288"/>
      <c r="C1026" s="105"/>
      <c r="D1026" s="105"/>
      <c r="E1026" s="105"/>
      <c r="F1026" s="315">
        <f>(SUMIF(F1014:F1019,"&lt;"&amp;LOOKUP(D1021,G1014:G1019,F1014:F1019),I1014:I1019)+VLOOKUP(LOOKUP(D1021,G1014:G1019,F1014:F1019),F1014:J1019,5,0))*1.06</f>
        <v>181493.2</v>
      </c>
      <c r="G1026" s="105"/>
      <c r="H1026" s="105"/>
      <c r="I1026" s="105"/>
      <c r="J1026" s="105"/>
      <c r="K1026" s="116"/>
      <c r="L1026" s="116"/>
      <c r="M1026" s="116"/>
      <c r="N1026" s="116"/>
      <c r="O1026" s="116"/>
      <c r="P1026" s="116"/>
      <c r="Q1026" s="116"/>
      <c r="R1026" s="116"/>
      <c r="S1026" s="116"/>
      <c r="T1026" s="116"/>
      <c r="U1026" s="116"/>
      <c r="V1026" s="116"/>
      <c r="W1026" s="116"/>
      <c r="X1026" s="116"/>
      <c r="Y1026" s="116"/>
      <c r="Z1026" s="116"/>
      <c r="AA1026" s="116"/>
      <c r="AB1026" s="116"/>
      <c r="AC1026" s="116"/>
      <c r="AD1026" s="116"/>
      <c r="AE1026" s="326"/>
    </row>
    <row r="1027" spans="2:31" ht="18.95" customHeight="1">
      <c r="B1027" s="288"/>
      <c r="C1027" s="105"/>
      <c r="D1027" s="105"/>
      <c r="E1027" s="105"/>
      <c r="F1027" s="105"/>
      <c r="G1027" s="105"/>
      <c r="H1027" s="105"/>
      <c r="I1027" s="105"/>
      <c r="J1027" s="105"/>
      <c r="K1027" s="116"/>
      <c r="L1027" s="116"/>
      <c r="M1027" s="116"/>
      <c r="N1027" s="116"/>
      <c r="O1027" s="116"/>
      <c r="P1027" s="116"/>
      <c r="Q1027" s="116"/>
      <c r="R1027" s="116"/>
      <c r="S1027" s="116"/>
      <c r="T1027" s="116"/>
      <c r="U1027" s="116"/>
      <c r="V1027" s="116"/>
      <c r="W1027" s="116"/>
      <c r="X1027" s="116"/>
      <c r="Y1027" s="116"/>
      <c r="Z1027" s="116"/>
      <c r="AA1027" s="116"/>
      <c r="AB1027" s="116"/>
      <c r="AC1027" s="116"/>
      <c r="AD1027" s="116"/>
      <c r="AE1027" s="326"/>
    </row>
    <row r="1028" spans="2:31" ht="18.95" customHeight="1">
      <c r="B1028" s="288"/>
      <c r="C1028" s="105"/>
      <c r="D1028" s="105"/>
      <c r="E1028" s="105"/>
      <c r="F1028" s="105"/>
      <c r="G1028" s="105"/>
      <c r="H1028" s="105"/>
      <c r="I1028" s="105"/>
      <c r="J1028" s="105"/>
      <c r="K1028" s="116"/>
      <c r="L1028" s="116"/>
      <c r="M1028" s="116"/>
      <c r="N1028" s="116"/>
      <c r="O1028" s="116"/>
      <c r="P1028" s="116"/>
      <c r="Q1028" s="116"/>
      <c r="R1028" s="116"/>
      <c r="S1028" s="116"/>
      <c r="T1028" s="116"/>
      <c r="U1028" s="116"/>
      <c r="V1028" s="116"/>
      <c r="W1028" s="116"/>
      <c r="X1028" s="116"/>
      <c r="Y1028" s="116"/>
      <c r="Z1028" s="116"/>
      <c r="AA1028" s="116"/>
      <c r="AB1028" s="116"/>
      <c r="AC1028" s="116"/>
      <c r="AD1028" s="116"/>
      <c r="AE1028" s="326"/>
    </row>
    <row r="1029" spans="2:31" ht="18.95" customHeight="1">
      <c r="B1029" s="288"/>
      <c r="C1029" s="105"/>
      <c r="D1029" s="105"/>
      <c r="E1029" s="105"/>
      <c r="F1029" s="105"/>
      <c r="G1029" s="105"/>
      <c r="H1029" s="105"/>
      <c r="I1029" s="105"/>
      <c r="J1029" s="105"/>
      <c r="K1029" s="116"/>
      <c r="L1029" s="116"/>
      <c r="M1029" s="116"/>
      <c r="N1029" s="116"/>
      <c r="O1029" s="116"/>
      <c r="P1029" s="116"/>
      <c r="Q1029" s="116"/>
      <c r="R1029" s="116"/>
      <c r="S1029" s="116"/>
      <c r="T1029" s="116"/>
      <c r="U1029" s="116"/>
      <c r="V1029" s="116"/>
      <c r="W1029" s="116"/>
      <c r="X1029" s="116"/>
      <c r="Y1029" s="116"/>
      <c r="Z1029" s="116"/>
      <c r="AA1029" s="116"/>
      <c r="AB1029" s="116"/>
      <c r="AC1029" s="116"/>
      <c r="AD1029" s="116"/>
      <c r="AE1029" s="326"/>
    </row>
    <row r="1030" spans="2:31" ht="18.95" customHeight="1">
      <c r="B1030" s="288"/>
      <c r="C1030" s="105"/>
      <c r="D1030" s="105"/>
      <c r="E1030" s="105"/>
      <c r="F1030" s="105"/>
      <c r="G1030" s="105"/>
      <c r="H1030" s="105"/>
      <c r="I1030" s="105"/>
      <c r="J1030" s="105"/>
      <c r="K1030" s="116"/>
      <c r="L1030" s="116">
        <f>1.26+2.352+2.31+9.8+1.4</f>
        <v>17.122</v>
      </c>
      <c r="M1030" s="116"/>
      <c r="N1030" s="116"/>
      <c r="O1030" s="116"/>
      <c r="P1030" s="116"/>
      <c r="Q1030" s="116"/>
      <c r="R1030" s="116"/>
      <c r="S1030" s="116"/>
      <c r="T1030" s="116"/>
      <c r="U1030" s="116"/>
      <c r="V1030" s="116"/>
      <c r="W1030" s="116"/>
      <c r="X1030" s="116"/>
      <c r="Y1030" s="116"/>
      <c r="Z1030" s="116"/>
      <c r="AA1030" s="116"/>
      <c r="AB1030" s="116"/>
      <c r="AC1030" s="116"/>
      <c r="AD1030" s="116"/>
      <c r="AE1030" s="326"/>
    </row>
    <row r="1031" spans="2:31" ht="18.95" customHeight="1">
      <c r="B1031" s="288"/>
      <c r="C1031" s="105"/>
      <c r="D1031" s="105"/>
      <c r="E1031" s="105"/>
      <c r="F1031" s="105"/>
      <c r="G1031" s="105"/>
      <c r="H1031" s="105"/>
      <c r="I1031" s="105"/>
      <c r="J1031" s="105"/>
      <c r="K1031" s="105"/>
      <c r="L1031" s="105">
        <f>L1030*1.06</f>
        <v>18.149319999999999</v>
      </c>
      <c r="M1031" s="105"/>
      <c r="N1031" s="105"/>
      <c r="O1031" s="105"/>
      <c r="P1031" s="105"/>
      <c r="Q1031" s="105"/>
      <c r="R1031" s="105"/>
      <c r="S1031" s="105"/>
      <c r="T1031" s="105"/>
      <c r="U1031" s="116"/>
      <c r="V1031" s="116"/>
      <c r="W1031" s="116"/>
      <c r="X1031" s="116"/>
      <c r="Y1031" s="116"/>
      <c r="Z1031" s="116"/>
      <c r="AA1031" s="116"/>
      <c r="AB1031" s="116"/>
      <c r="AC1031" s="116"/>
      <c r="AD1031" s="116"/>
      <c r="AE1031" s="326"/>
    </row>
    <row r="1032" spans="2:31" ht="18.95" customHeight="1">
      <c r="B1032" s="288"/>
      <c r="C1032" s="105"/>
      <c r="D1032" s="105"/>
      <c r="E1032" s="105"/>
      <c r="F1032" s="105"/>
      <c r="G1032" s="105"/>
      <c r="H1032" s="105"/>
      <c r="I1032" s="105"/>
      <c r="J1032" s="105"/>
      <c r="K1032" s="105"/>
      <c r="L1032" s="105"/>
      <c r="M1032" s="105"/>
      <c r="N1032" s="105"/>
      <c r="O1032" s="105"/>
      <c r="P1032" s="105"/>
      <c r="Q1032" s="105"/>
      <c r="R1032" s="105"/>
      <c r="S1032" s="105"/>
      <c r="T1032" s="105"/>
      <c r="U1032" s="116"/>
      <c r="V1032" s="116"/>
      <c r="W1032" s="116"/>
      <c r="X1032" s="116"/>
      <c r="Y1032" s="116"/>
      <c r="Z1032" s="116"/>
      <c r="AA1032" s="116"/>
      <c r="AB1032" s="116"/>
      <c r="AC1032" s="116"/>
      <c r="AD1032" s="116"/>
      <c r="AE1032" s="326"/>
    </row>
    <row r="1033" spans="2:31" ht="18.95" customHeight="1">
      <c r="B1033" s="288" t="s">
        <v>2193</v>
      </c>
      <c r="C1033" s="105"/>
      <c r="D1033" s="105"/>
      <c r="E1033" s="105"/>
      <c r="F1033" s="105"/>
      <c r="G1033" s="105"/>
      <c r="H1033" s="105"/>
      <c r="I1033" s="105"/>
      <c r="J1033" s="105"/>
      <c r="K1033" s="105"/>
      <c r="L1033" s="105"/>
      <c r="M1033" s="105"/>
      <c r="N1033" s="105"/>
      <c r="O1033" s="105"/>
      <c r="P1033" s="105"/>
      <c r="Q1033" s="105"/>
      <c r="R1033" s="105"/>
      <c r="S1033" s="105"/>
      <c r="T1033" s="105"/>
      <c r="U1033" s="116"/>
      <c r="V1033" s="116"/>
      <c r="W1033" s="116"/>
      <c r="X1033" s="116"/>
      <c r="Y1033" s="116"/>
      <c r="Z1033" s="116"/>
      <c r="AA1033" s="116"/>
      <c r="AB1033" s="116"/>
      <c r="AC1033" s="116"/>
      <c r="AD1033" s="116"/>
      <c r="AE1033" s="326"/>
    </row>
    <row r="1034" spans="2:31" ht="18.95" customHeight="1">
      <c r="B1034" s="288"/>
      <c r="C1034" s="105"/>
      <c r="D1034" s="105"/>
      <c r="E1034" s="105"/>
      <c r="F1034" s="105"/>
      <c r="G1034" s="105"/>
      <c r="H1034" s="105"/>
      <c r="I1034" s="105"/>
      <c r="J1034" s="105"/>
      <c r="K1034" s="105"/>
      <c r="L1034" s="105"/>
      <c r="M1034" s="105"/>
      <c r="N1034" s="105"/>
      <c r="O1034" s="105"/>
      <c r="P1034" s="105"/>
      <c r="Q1034" s="105"/>
      <c r="R1034" s="105"/>
      <c r="S1034" s="105"/>
      <c r="T1034" s="105"/>
      <c r="U1034" s="116"/>
      <c r="V1034" s="116"/>
      <c r="W1034" s="116"/>
      <c r="X1034" s="116"/>
      <c r="Y1034" s="116"/>
      <c r="Z1034" s="116"/>
      <c r="AA1034" s="116"/>
      <c r="AB1034" s="116"/>
      <c r="AC1034" s="116"/>
      <c r="AD1034" s="116"/>
      <c r="AE1034" s="326"/>
    </row>
    <row r="1035" spans="2:31" ht="18.95" customHeight="1">
      <c r="B1035" s="290" t="s">
        <v>2194</v>
      </c>
      <c r="C1035" s="293"/>
      <c r="D1035" s="293"/>
      <c r="E1035" s="293"/>
      <c r="F1035" s="293"/>
      <c r="G1035" s="293"/>
      <c r="H1035" s="293"/>
      <c r="I1035" s="293"/>
      <c r="J1035" s="293"/>
      <c r="K1035" s="293"/>
      <c r="L1035" s="293"/>
      <c r="M1035" s="293"/>
      <c r="N1035" s="293"/>
      <c r="O1035" s="293"/>
      <c r="P1035" s="293"/>
      <c r="Q1035" s="293"/>
      <c r="R1035" s="293"/>
      <c r="S1035" s="293"/>
      <c r="T1035" s="293"/>
      <c r="U1035" s="305"/>
      <c r="V1035" s="305"/>
      <c r="W1035" s="305"/>
      <c r="X1035" s="305"/>
      <c r="Y1035" s="305"/>
      <c r="Z1035" s="305"/>
      <c r="AA1035" s="305"/>
      <c r="AB1035" s="305"/>
      <c r="AC1035" s="305"/>
      <c r="AD1035" s="305"/>
      <c r="AE1035" s="327"/>
    </row>
    <row r="1036" spans="2:31" ht="18.95" customHeight="1">
      <c r="B1036" s="579"/>
      <c r="C1036" s="579"/>
      <c r="D1036" s="579"/>
      <c r="E1036" s="579"/>
      <c r="F1036" s="579"/>
      <c r="G1036" s="579"/>
      <c r="H1036" s="579"/>
      <c r="I1036" s="579"/>
      <c r="J1036" s="579"/>
      <c r="K1036" s="579"/>
      <c r="L1036" s="579"/>
      <c r="M1036" s="579"/>
      <c r="N1036" s="579"/>
      <c r="O1036" s="579"/>
      <c r="P1036" s="579"/>
      <c r="Q1036" s="579"/>
      <c r="R1036" s="579"/>
      <c r="S1036" s="579"/>
      <c r="T1036" s="579"/>
    </row>
    <row r="1037" spans="2:31" ht="18.95" customHeight="1">
      <c r="B1037" s="333"/>
      <c r="C1037" s="324"/>
      <c r="D1037" s="324"/>
      <c r="E1037" s="324"/>
      <c r="F1037" s="324"/>
      <c r="G1037" s="324"/>
      <c r="H1037" s="324"/>
      <c r="I1037" s="324"/>
      <c r="J1037" s="324"/>
      <c r="K1037" s="324"/>
      <c r="L1037" s="324"/>
      <c r="M1037" s="324"/>
      <c r="N1037" s="324"/>
      <c r="O1037" s="324"/>
      <c r="P1037" s="324"/>
      <c r="Q1037" s="324"/>
      <c r="R1037" s="325"/>
    </row>
    <row r="1038" spans="2:31" ht="18.95" customHeight="1">
      <c r="B1038" s="297"/>
      <c r="C1038" s="112"/>
      <c r="D1038" s="580" t="s">
        <v>2195</v>
      </c>
      <c r="E1038" s="116" t="s">
        <v>2196</v>
      </c>
      <c r="F1038" s="116"/>
      <c r="G1038" s="116"/>
      <c r="H1038" s="116"/>
      <c r="I1038" s="116"/>
      <c r="J1038" s="116"/>
      <c r="K1038" s="116"/>
      <c r="L1038" s="116"/>
      <c r="M1038" s="116"/>
      <c r="N1038" s="116"/>
      <c r="O1038" s="116"/>
      <c r="P1038" s="116"/>
      <c r="Q1038" s="116"/>
      <c r="R1038" s="326"/>
    </row>
    <row r="1039" spans="2:31" ht="18.95" customHeight="1">
      <c r="B1039" s="1164">
        <v>25</v>
      </c>
      <c r="C1039" s="581">
        <v>3</v>
      </c>
      <c r="D1039" s="582">
        <f t="array" aca="1" ref="D1039" ca="1">IF(B1039="",D1038/C1038*C1039,B1039*C1039/SUM(OFFSET(C1039,,,IFERROR(MATCH("?*",B1040:B1070&amp;"",),33))))</f>
        <v>2.8846153846153846</v>
      </c>
      <c r="E1039" s="418"/>
      <c r="F1039" s="116"/>
      <c r="G1039" s="116"/>
      <c r="H1039" s="116"/>
      <c r="I1039" s="116"/>
      <c r="J1039" s="116"/>
      <c r="K1039" s="116"/>
      <c r="L1039" s="116"/>
      <c r="M1039" s="116"/>
      <c r="N1039" s="116"/>
      <c r="O1039" s="116"/>
      <c r="P1039" s="116"/>
      <c r="Q1039" s="116"/>
      <c r="R1039" s="326"/>
    </row>
    <row r="1040" spans="2:31" ht="18.95" customHeight="1">
      <c r="B1040" s="1164"/>
      <c r="C1040" s="581">
        <v>10</v>
      </c>
      <c r="D1040" s="582">
        <f t="array" aca="1" ref="D1040" ca="1">IF(B1040="",D1039/C1039*C1040,B1040*C1040/SUM(OFFSET(C1040,,,IFERROR(MATCH("?*",B1041:B1071&amp;"",),33))))</f>
        <v>9.615384615384615</v>
      </c>
      <c r="E1040" s="116"/>
      <c r="F1040" s="418" t="s">
        <v>2197</v>
      </c>
      <c r="G1040" s="116"/>
      <c r="H1040" s="116"/>
      <c r="I1040" s="116"/>
      <c r="J1040" s="116"/>
      <c r="K1040" s="116"/>
      <c r="L1040" s="116"/>
      <c r="M1040" s="116"/>
      <c r="N1040" s="116"/>
      <c r="O1040" s="116"/>
      <c r="P1040" s="116"/>
      <c r="Q1040" s="116"/>
      <c r="R1040" s="326"/>
    </row>
    <row r="1041" spans="2:18" ht="18.95" customHeight="1">
      <c r="B1041" s="1164"/>
      <c r="C1041" s="581">
        <v>2</v>
      </c>
      <c r="D1041" s="582">
        <f t="array" aca="1" ref="D1041" ca="1">IF(B1041="",D1040/C1040*C1041,B1041*C1041/SUM(OFFSET(C1041,,,IFERROR(MATCH("?*",B1042:B1072&amp;"",),33))))</f>
        <v>1.9230769230769229</v>
      </c>
      <c r="E1041" s="418"/>
      <c r="F1041" s="116"/>
      <c r="G1041" s="116"/>
      <c r="H1041" s="116"/>
      <c r="I1041" s="116"/>
      <c r="J1041" s="116"/>
      <c r="K1041" s="116"/>
      <c r="L1041" s="116"/>
      <c r="M1041" s="116"/>
      <c r="N1041" s="116"/>
      <c r="O1041" s="116"/>
      <c r="P1041" s="116"/>
      <c r="Q1041" s="116"/>
      <c r="R1041" s="326"/>
    </row>
    <row r="1042" spans="2:18" ht="18.95" customHeight="1">
      <c r="B1042" s="1165"/>
      <c r="C1042" s="581">
        <v>11</v>
      </c>
      <c r="D1042" s="582">
        <f t="array" aca="1" ref="D1042" ca="1">IF(B1042="",D1041/C1041*C1042,B1042*C1042/SUM(OFFSET(C1042,,,IFERROR(MATCH("?*",B1043:B1073&amp;"",),33))))</f>
        <v>10.576923076923077</v>
      </c>
      <c r="E1042" s="418"/>
      <c r="F1042" s="116"/>
      <c r="G1042" s="116"/>
      <c r="H1042" s="116"/>
      <c r="I1042" s="116"/>
      <c r="J1042" s="116"/>
      <c r="K1042" s="116"/>
      <c r="L1042" s="116"/>
      <c r="M1042" s="116"/>
      <c r="N1042" s="116"/>
      <c r="O1042" s="116"/>
      <c r="P1042" s="116"/>
      <c r="Q1042" s="116"/>
      <c r="R1042" s="326"/>
    </row>
    <row r="1043" spans="2:18" ht="18.95" customHeight="1">
      <c r="B1043" s="1166">
        <v>35</v>
      </c>
      <c r="C1043" s="583">
        <v>2</v>
      </c>
      <c r="D1043" s="582">
        <f t="array" aca="1" ref="D1043" ca="1">IF(B1043="",D1042/C1042*C1043,B1043*C1043/SUM(OFFSET(C1043,,,IFERROR(MATCH("?*",B1044:B1074&amp;"",),33))))</f>
        <v>1.5555555555555556</v>
      </c>
      <c r="E1043" s="116"/>
      <c r="F1043" s="418" t="s">
        <v>2198</v>
      </c>
      <c r="G1043" s="116"/>
      <c r="H1043" s="116"/>
      <c r="I1043" s="116"/>
      <c r="J1043" s="116"/>
      <c r="K1043" s="116"/>
      <c r="L1043" s="116"/>
      <c r="M1043" s="116"/>
      <c r="N1043" s="116"/>
      <c r="O1043" s="116"/>
      <c r="P1043" s="116"/>
      <c r="Q1043" s="116"/>
      <c r="R1043" s="326"/>
    </row>
    <row r="1044" spans="2:18" ht="18.95" customHeight="1">
      <c r="B1044" s="1167"/>
      <c r="C1044" s="583">
        <v>2</v>
      </c>
      <c r="D1044" s="582">
        <f t="array" aca="1" ref="D1044" ca="1">IF(B1044="",D1043/C1043*C1044,B1044*C1044/SUM(OFFSET(C1044,,,IFERROR(MATCH("?*",B1045:B1075&amp;"",),33))))</f>
        <v>1.5555555555555556</v>
      </c>
      <c r="E1044" s="418"/>
      <c r="F1044" s="116"/>
      <c r="G1044" s="116"/>
      <c r="H1044" s="116"/>
      <c r="I1044" s="116"/>
      <c r="J1044" s="116"/>
      <c r="K1044" s="116"/>
      <c r="L1044" s="116"/>
      <c r="M1044" s="116"/>
      <c r="N1044" s="116"/>
      <c r="O1044" s="116"/>
      <c r="P1044" s="116"/>
      <c r="Q1044" s="116"/>
      <c r="R1044" s="326"/>
    </row>
    <row r="1045" spans="2:18" ht="18.95" customHeight="1">
      <c r="B1045" s="1167"/>
      <c r="C1045" s="583">
        <v>7</v>
      </c>
      <c r="D1045" s="582">
        <f t="array" aca="1" ref="D1045" ca="1">IF(B1045="",D1044/C1044*C1045,B1045*C1045/SUM(OFFSET(C1045,,,IFERROR(MATCH("?*",B1046:B1076&amp;"",),33))))</f>
        <v>5.4444444444444446</v>
      </c>
      <c r="E1045" s="584" t="s">
        <v>1466</v>
      </c>
      <c r="F1045" s="116"/>
      <c r="G1045" s="116"/>
      <c r="H1045" s="116"/>
      <c r="I1045" s="116"/>
      <c r="J1045" s="116"/>
      <c r="K1045" s="116"/>
      <c r="L1045" s="116"/>
      <c r="M1045" s="116"/>
      <c r="N1045" s="116"/>
      <c r="O1045" s="116"/>
      <c r="P1045" s="116"/>
      <c r="Q1045" s="116"/>
      <c r="R1045" s="326"/>
    </row>
    <row r="1046" spans="2:18" ht="18.95" customHeight="1">
      <c r="B1046" s="1167"/>
      <c r="C1046" s="583">
        <v>20</v>
      </c>
      <c r="D1046" s="582">
        <f t="array" aca="1" ref="D1046" ca="1">IF(B1046="",D1045/C1045*C1046,B1046*C1046/SUM(OFFSET(C1046,,,IFERROR(MATCH("?*",B1047:B1077&amp;"",),33))))</f>
        <v>15.555555555555555</v>
      </c>
      <c r="E1046" s="116" t="s">
        <v>2199</v>
      </c>
      <c r="G1046" s="116"/>
      <c r="H1046" s="116"/>
      <c r="I1046" s="116"/>
      <c r="J1046" s="116"/>
      <c r="K1046" s="116"/>
      <c r="L1046" s="116"/>
      <c r="M1046" s="116"/>
      <c r="N1046" s="116"/>
      <c r="O1046" s="116"/>
      <c r="P1046" s="116"/>
      <c r="Q1046" s="116"/>
      <c r="R1046" s="326"/>
    </row>
    <row r="1047" spans="2:18" ht="18.95" customHeight="1">
      <c r="B1047" s="1168"/>
      <c r="C1047" s="583">
        <v>14</v>
      </c>
      <c r="D1047" s="582">
        <f t="array" aca="1" ref="D1047" ca="1">IF(B1047="",D1046/C1046*C1047,B1047*C1047/SUM(OFFSET(C1047,,,IFERROR(MATCH("?*",B1048:B1078&amp;"",),33))))</f>
        <v>10.888888888888889</v>
      </c>
      <c r="E1047" s="479" t="s">
        <v>2200</v>
      </c>
      <c r="G1047" s="116"/>
      <c r="H1047" s="116"/>
      <c r="I1047" s="116"/>
      <c r="J1047" s="116"/>
      <c r="K1047" s="116"/>
      <c r="L1047" s="116"/>
      <c r="M1047" s="116"/>
      <c r="N1047" s="116"/>
      <c r="O1047" s="116"/>
      <c r="P1047" s="116"/>
      <c r="Q1047" s="116"/>
      <c r="R1047" s="326"/>
    </row>
    <row r="1048" spans="2:18" ht="18.95" customHeight="1">
      <c r="B1048" s="1169">
        <v>33</v>
      </c>
      <c r="C1048" s="585">
        <v>1</v>
      </c>
      <c r="D1048" s="582">
        <f t="array" aca="1" ref="D1048" ca="1">IF(B1048="",D1047/C1047*C1048,B1048*C1048/SUM(OFFSET(C1048,,,IFERROR(MATCH("?*",B1049:B1079&amp;"",),33))))</f>
        <v>3.3</v>
      </c>
      <c r="G1048" s="116"/>
      <c r="H1048" s="116"/>
      <c r="I1048" s="116"/>
      <c r="J1048" s="116"/>
      <c r="K1048" s="116"/>
      <c r="L1048" s="116"/>
      <c r="M1048" s="116"/>
      <c r="N1048" s="116"/>
      <c r="O1048" s="116"/>
      <c r="P1048" s="116"/>
      <c r="Q1048" s="116"/>
      <c r="R1048" s="326"/>
    </row>
    <row r="1049" spans="2:18" ht="18.95" customHeight="1">
      <c r="B1049" s="1170"/>
      <c r="C1049" s="585">
        <v>5</v>
      </c>
      <c r="D1049" s="582">
        <f t="array" aca="1" ref="D1049" ca="1">IF(B1049="",D1048/C1048*C1049,B1049*C1049/SUM(OFFSET(C1049,,,IFERROR(MATCH("?*",B1050:B1080&amp;"",),33))))</f>
        <v>16.5</v>
      </c>
      <c r="E1049" s="116" t="s">
        <v>2201</v>
      </c>
      <c r="G1049" s="116"/>
      <c r="H1049" s="116"/>
      <c r="I1049" s="116"/>
      <c r="J1049" s="116"/>
      <c r="K1049" s="116"/>
      <c r="L1049" s="116"/>
      <c r="M1049" s="116"/>
      <c r="N1049" s="116"/>
      <c r="O1049" s="116"/>
      <c r="P1049" s="116"/>
      <c r="Q1049" s="116"/>
      <c r="R1049" s="326"/>
    </row>
    <row r="1050" spans="2:18" ht="18.95" customHeight="1">
      <c r="B1050" s="1170"/>
      <c r="C1050" s="585">
        <v>4</v>
      </c>
      <c r="D1050" s="582">
        <f t="array" aca="1" ref="D1050" ca="1">IF(B1050="",D1049/C1049*C1050,B1050*C1050/SUM(OFFSET(C1050,,,IFERROR(MATCH("?*",B1051:B1081&amp;"",),33))))</f>
        <v>13.2</v>
      </c>
      <c r="E1050" s="116" t="s">
        <v>2202</v>
      </c>
      <c r="G1050" s="116"/>
      <c r="H1050" s="116"/>
      <c r="I1050" s="116"/>
      <c r="J1050" s="116"/>
      <c r="K1050" s="116"/>
      <c r="L1050" s="116"/>
      <c r="M1050" s="116"/>
      <c r="N1050" s="116"/>
      <c r="O1050" s="116"/>
      <c r="P1050" s="116"/>
      <c r="Q1050" s="116"/>
      <c r="R1050" s="326"/>
    </row>
    <row r="1051" spans="2:18" ht="18.95" customHeight="1">
      <c r="B1051" s="1171">
        <v>40</v>
      </c>
      <c r="C1051" s="446">
        <v>20</v>
      </c>
      <c r="D1051" s="582">
        <f t="array" aca="1" ref="D1051" ca="1">IF(B1051="",D1050/C1050*C1051,B1051*C1051/SUM(OFFSET(C1051,,,IFERROR(MATCH("?*",B1052:B1082&amp;"",),33))))</f>
        <v>15.09433962264151</v>
      </c>
      <c r="G1051" s="116"/>
      <c r="H1051" s="116"/>
      <c r="I1051" s="116"/>
      <c r="J1051" s="116"/>
      <c r="K1051" s="116"/>
      <c r="L1051" s="116"/>
      <c r="M1051" s="116"/>
      <c r="N1051" s="116"/>
      <c r="O1051" s="116"/>
      <c r="P1051" s="116"/>
      <c r="Q1051" s="116"/>
      <c r="R1051" s="326"/>
    </row>
    <row r="1052" spans="2:18" ht="18.95" customHeight="1">
      <c r="B1052" s="1171"/>
      <c r="C1052" s="446">
        <v>1</v>
      </c>
      <c r="D1052" s="582">
        <f t="array" aca="1" ref="D1052" ca="1">IF(B1052="",D1051/C1051*C1052,B1052*C1052/SUM(OFFSET(C1052,,,IFERROR(MATCH("?*",B1053:B1083&amp;"",),33))))</f>
        <v>0.75471698113207553</v>
      </c>
      <c r="E1052" s="116" t="s">
        <v>2203</v>
      </c>
      <c r="F1052" s="116"/>
      <c r="G1052" s="116"/>
      <c r="H1052" s="116"/>
      <c r="I1052" s="116"/>
      <c r="J1052" s="116"/>
      <c r="K1052" s="116"/>
      <c r="L1052" s="116"/>
      <c r="M1052" s="116"/>
      <c r="N1052" s="116"/>
      <c r="O1052" s="116"/>
      <c r="P1052" s="116"/>
      <c r="Q1052" s="116"/>
      <c r="R1052" s="326"/>
    </row>
    <row r="1053" spans="2:18" ht="18.95" customHeight="1">
      <c r="B1053" s="1171"/>
      <c r="C1053" s="446">
        <v>7</v>
      </c>
      <c r="D1053" s="582">
        <f t="array" aca="1" ref="D1053" ca="1">IF(B1053="",D1052/C1052*C1053,B1053*C1053/SUM(OFFSET(C1053,,,IFERROR(MATCH("?*",B1054:B1084&amp;"",),33))))</f>
        <v>5.2830188679245289</v>
      </c>
      <c r="E1053" s="479" t="s">
        <v>2204</v>
      </c>
      <c r="F1053" s="116"/>
      <c r="G1053" s="116"/>
      <c r="H1053" s="116"/>
      <c r="I1053" s="116"/>
      <c r="J1053" s="116"/>
      <c r="K1053" s="116"/>
      <c r="L1053" s="116"/>
      <c r="M1053" s="116"/>
      <c r="N1053" s="116"/>
      <c r="O1053" s="116"/>
      <c r="P1053" s="116"/>
      <c r="Q1053" s="116"/>
      <c r="R1053" s="326"/>
    </row>
    <row r="1054" spans="2:18" ht="18.95" customHeight="1">
      <c r="B1054" s="1171"/>
      <c r="C1054" s="446">
        <v>5</v>
      </c>
      <c r="D1054" s="582">
        <f t="array" aca="1" ref="D1054" ca="1">IF(B1054="",D1053/C1053*C1054,B1054*C1054/SUM(OFFSET(C1054,,,IFERROR(MATCH("?*",B1055:B1085&amp;"",),33))))</f>
        <v>3.7735849056603774</v>
      </c>
      <c r="E1054" s="418"/>
      <c r="F1054" s="116"/>
      <c r="G1054" s="116"/>
      <c r="H1054" s="116"/>
      <c r="I1054" s="116"/>
      <c r="J1054" s="116"/>
      <c r="K1054" s="116"/>
      <c r="L1054" s="116"/>
      <c r="M1054" s="116"/>
      <c r="N1054" s="116"/>
      <c r="O1054" s="116"/>
      <c r="P1054" s="116"/>
      <c r="Q1054" s="116"/>
      <c r="R1054" s="326"/>
    </row>
    <row r="1055" spans="2:18" ht="18.95" customHeight="1">
      <c r="B1055" s="1171"/>
      <c r="C1055" s="446">
        <v>8</v>
      </c>
      <c r="D1055" s="582">
        <f t="array" aca="1" ref="D1055" ca="1">IF(B1055="",D1054/C1054*C1055,B1055*C1055/SUM(OFFSET(C1055,,,IFERROR(MATCH("?*",B1056:B1086&amp;"",),33))))</f>
        <v>6.0377358490566042</v>
      </c>
      <c r="E1055" s="418"/>
      <c r="F1055" s="116" t="s">
        <v>2205</v>
      </c>
      <c r="G1055" s="116"/>
      <c r="H1055" s="116"/>
      <c r="I1055" s="116"/>
      <c r="J1055" s="116"/>
      <c r="K1055" s="116"/>
      <c r="L1055" s="116"/>
      <c r="M1055" s="116"/>
      <c r="N1055" s="116"/>
      <c r="O1055" s="116"/>
      <c r="P1055" s="116"/>
      <c r="Q1055" s="116"/>
      <c r="R1055" s="326"/>
    </row>
    <row r="1056" spans="2:18" ht="18.95" customHeight="1">
      <c r="B1056" s="1171"/>
      <c r="C1056" s="446">
        <v>6</v>
      </c>
      <c r="D1056" s="582">
        <f t="array" aca="1" ref="D1056" ca="1">IF(B1056="",D1055/C1055*C1056,B1056*C1056/SUM(OFFSET(C1056,,,IFERROR(MATCH("?*",B1057:B1087&amp;"",),33))))</f>
        <v>4.5283018867924536</v>
      </c>
      <c r="E1056" s="418"/>
      <c r="F1056" s="116"/>
      <c r="G1056" s="116"/>
      <c r="H1056" s="116"/>
      <c r="I1056" s="116"/>
      <c r="J1056" s="116"/>
      <c r="K1056" s="116"/>
      <c r="L1056" s="116"/>
      <c r="M1056" s="116"/>
      <c r="N1056" s="116"/>
      <c r="O1056" s="116"/>
      <c r="P1056" s="116"/>
      <c r="Q1056" s="116"/>
      <c r="R1056" s="326"/>
    </row>
    <row r="1057" spans="2:18" ht="18.95" customHeight="1">
      <c r="B1057" s="1171"/>
      <c r="C1057" s="446">
        <v>1</v>
      </c>
      <c r="D1057" s="582">
        <f t="array" aca="1" ref="D1057" ca="1">IF(B1057="",D1056/C1056*C1057,B1057*C1057/SUM(OFFSET(C1057,,,IFERROR(MATCH("?*",B1058:B1088&amp;"",),33))))</f>
        <v>0.75471698113207564</v>
      </c>
      <c r="E1057" s="418"/>
      <c r="F1057" s="116"/>
      <c r="G1057" s="116"/>
      <c r="H1057" s="116"/>
      <c r="I1057" s="116"/>
      <c r="J1057" s="116"/>
      <c r="K1057" s="116"/>
      <c r="L1057" s="116"/>
      <c r="M1057" s="116"/>
      <c r="N1057" s="116"/>
      <c r="O1057" s="116"/>
      <c r="P1057" s="116"/>
      <c r="Q1057" s="116"/>
      <c r="R1057" s="326"/>
    </row>
    <row r="1058" spans="2:18" ht="18.95" customHeight="1">
      <c r="B1058" s="1171"/>
      <c r="C1058" s="446">
        <v>5</v>
      </c>
      <c r="D1058" s="582">
        <f t="array" aca="1" ref="D1058" ca="1">IF(B1058="",D1057/C1057*C1058,B1058*C1058/SUM(OFFSET(C1058,,,IFERROR(MATCH("?*",B1059:B1089&amp;"",),33))))</f>
        <v>3.7735849056603783</v>
      </c>
      <c r="E1058" s="418"/>
      <c r="F1058" s="116"/>
      <c r="G1058" s="116"/>
      <c r="H1058" s="116"/>
      <c r="I1058" s="116"/>
      <c r="J1058" s="116"/>
      <c r="K1058" s="116"/>
      <c r="L1058" s="116"/>
      <c r="M1058" s="116"/>
      <c r="N1058" s="116"/>
      <c r="O1058" s="116"/>
      <c r="P1058" s="116"/>
      <c r="Q1058" s="116"/>
      <c r="R1058" s="326"/>
    </row>
    <row r="1059" spans="2:18" ht="18.95" customHeight="1">
      <c r="B1059" s="304"/>
      <c r="C1059" s="305"/>
      <c r="D1059" s="305"/>
      <c r="E1059" s="305"/>
      <c r="F1059" s="305"/>
      <c r="G1059" s="305"/>
      <c r="H1059" s="305"/>
      <c r="I1059" s="305"/>
      <c r="J1059" s="305"/>
      <c r="K1059" s="305"/>
      <c r="L1059" s="305"/>
      <c r="M1059" s="305"/>
      <c r="N1059" s="305"/>
      <c r="O1059" s="305"/>
      <c r="P1059" s="305"/>
      <c r="Q1059" s="305"/>
      <c r="R1059" s="327"/>
    </row>
    <row r="1061" spans="2:18" ht="18.95" customHeight="1">
      <c r="B1061" s="333"/>
      <c r="C1061" s="324"/>
      <c r="D1061" s="324"/>
      <c r="E1061" s="324"/>
      <c r="F1061" s="324"/>
      <c r="G1061" s="324"/>
      <c r="H1061" s="324"/>
      <c r="I1061" s="324"/>
      <c r="J1061" s="324"/>
      <c r="K1061" s="324"/>
      <c r="L1061" s="324"/>
      <c r="M1061" s="324"/>
      <c r="N1061" s="324"/>
      <c r="O1061" s="324"/>
      <c r="P1061" s="325"/>
    </row>
    <row r="1062" spans="2:18" ht="18.95" customHeight="1">
      <c r="B1062" s="586" t="s">
        <v>2206</v>
      </c>
      <c r="C1062" s="587" t="s">
        <v>2207</v>
      </c>
      <c r="D1062" s="105" t="s">
        <v>2208</v>
      </c>
      <c r="E1062" s="105"/>
      <c r="F1062" s="105"/>
      <c r="G1062" s="105"/>
      <c r="H1062" s="105"/>
      <c r="I1062" s="105"/>
      <c r="J1062" s="105"/>
      <c r="K1062" s="116"/>
      <c r="L1062" s="116"/>
      <c r="M1062" s="116"/>
      <c r="N1062" s="116"/>
      <c r="O1062" s="116"/>
      <c r="P1062" s="326"/>
    </row>
    <row r="1063" spans="2:18" ht="18.95" customHeight="1">
      <c r="B1063" s="588" t="s">
        <v>2209</v>
      </c>
      <c r="C1063" s="589" t="s">
        <v>2210</v>
      </c>
      <c r="D1063" s="105">
        <f t="array" ref="D1063">(INT(C1063)-INT(B1063))*8-SUM(TEXT(MOD(B1063:C1063,1)-{9;12;13;18}/24,"[&lt;0]!0")*{-1,1}*{-1;1;-1;1})*24</f>
        <v>0.67055555999999994</v>
      </c>
      <c r="E1063" s="105">
        <f>C1063-B1063</f>
        <v>2.7939814819546882E-2</v>
      </c>
      <c r="F1063" s="1173" t="s">
        <v>2211</v>
      </c>
      <c r="G1063" s="1173"/>
      <c r="H1063" s="1173"/>
      <c r="I1063" s="1173"/>
      <c r="J1063" s="1173"/>
      <c r="K1063" s="116"/>
      <c r="L1063" s="116"/>
      <c r="M1063" s="116"/>
      <c r="N1063" s="116"/>
      <c r="O1063" s="116"/>
      <c r="P1063" s="326"/>
    </row>
    <row r="1064" spans="2:18" ht="18.95" customHeight="1">
      <c r="B1064" s="588" t="s">
        <v>2212</v>
      </c>
      <c r="C1064" s="589" t="s">
        <v>2213</v>
      </c>
      <c r="D1064" s="105">
        <f t="array" ref="D1064">(INT(C1064)-INT(B1064))*8-SUM(TEXT(MOD(B1064:C1064,1)-{9;12;13;18}/24,"[&lt;0]!0")*{-1,1}*{-1;1;-1;1})*24</f>
        <v>6.9183333359999999</v>
      </c>
      <c r="E1064" s="105"/>
      <c r="F1064" s="1173"/>
      <c r="G1064" s="1173"/>
      <c r="H1064" s="1173"/>
      <c r="I1064" s="1173"/>
      <c r="J1064" s="1173"/>
      <c r="K1064" s="116"/>
      <c r="L1064" s="116"/>
      <c r="M1064" s="116"/>
      <c r="N1064" s="116"/>
      <c r="O1064" s="116"/>
      <c r="P1064" s="326"/>
    </row>
    <row r="1065" spans="2:18" ht="18.95" customHeight="1">
      <c r="B1065" s="588" t="s">
        <v>2214</v>
      </c>
      <c r="C1065" s="589" t="s">
        <v>2215</v>
      </c>
      <c r="D1065" s="105">
        <f t="array" ref="D1065">(INT(C1065)-INT(B1065))*8-SUM(TEXT(MOD(B1065:C1065,1)-{9;12;13;18}/24,"[&lt;0]!0")*{-1,1}*{-1;1;-1;1})*24</f>
        <v>8.0227777759999999</v>
      </c>
      <c r="E1065" s="105"/>
      <c r="F1065" s="1173"/>
      <c r="G1065" s="1173"/>
      <c r="H1065" s="1173"/>
      <c r="I1065" s="1173"/>
      <c r="J1065" s="1173"/>
      <c r="K1065" s="116"/>
      <c r="L1065" s="116"/>
      <c r="M1065" s="116"/>
      <c r="N1065" s="116"/>
      <c r="O1065" s="116"/>
      <c r="P1065" s="326"/>
    </row>
    <row r="1066" spans="2:18" ht="18.95" customHeight="1">
      <c r="B1066" s="588" t="s">
        <v>2216</v>
      </c>
      <c r="C1066" s="589" t="s">
        <v>2217</v>
      </c>
      <c r="D1066" s="105">
        <f t="array" ref="D1066">(INT(C1066)-INT(B1066))*8-SUM(TEXT(MOD(B1066:C1066,1)-{9;12;13;18}/24,"[&lt;0]!0")*{-1,1}*{-1;1;-1;1})*24</f>
        <v>22.777222215999998</v>
      </c>
      <c r="E1066" s="105"/>
      <c r="F1066" s="1173"/>
      <c r="G1066" s="1173"/>
      <c r="H1066" s="1173"/>
      <c r="I1066" s="1173"/>
      <c r="J1066" s="1173"/>
      <c r="K1066" s="116"/>
      <c r="L1066" s="116"/>
      <c r="M1066" s="116"/>
      <c r="N1066" s="116"/>
      <c r="O1066" s="116"/>
      <c r="P1066" s="326"/>
    </row>
    <row r="1067" spans="2:18" ht="18.95" customHeight="1">
      <c r="B1067" s="588" t="s">
        <v>2218</v>
      </c>
      <c r="C1067" s="589" t="s">
        <v>2219</v>
      </c>
      <c r="D1067" s="105">
        <f t="array" ref="D1067">(INT(C1067)-INT(B1067))*8-SUM(TEXT(MOD(B1067:C1067,1)-{9;12;13;18}/24,"[&lt;0]!0")*{-1,1}*{-1;1;-1;1})*24</f>
        <v>1.3280555520000008</v>
      </c>
      <c r="E1067" s="105"/>
      <c r="F1067" s="105"/>
      <c r="G1067" s="105"/>
      <c r="H1067" s="105"/>
      <c r="I1067" s="105"/>
      <c r="J1067" s="105"/>
      <c r="K1067" s="116"/>
      <c r="L1067" s="116"/>
      <c r="M1067" s="116"/>
      <c r="N1067" s="116"/>
      <c r="O1067" s="116"/>
      <c r="P1067" s="326"/>
    </row>
    <row r="1068" spans="2:18" ht="18.95" customHeight="1">
      <c r="B1068" s="588" t="s">
        <v>2220</v>
      </c>
      <c r="C1068" s="589" t="s">
        <v>2221</v>
      </c>
      <c r="D1068" s="105">
        <f t="array" ref="D1068">(INT(C1068)-INT(B1068))*8-SUM(TEXT(MOD(B1068:C1068,1)-{9;12;13;18}/24,"[&lt;0]!0")*{-1,1}*{-1;1;-1;1})*24</f>
        <v>14.467499992</v>
      </c>
      <c r="E1068" s="105"/>
      <c r="F1068" s="105"/>
      <c r="G1068" s="105"/>
      <c r="H1068" s="105"/>
      <c r="I1068" s="105"/>
      <c r="J1068" s="105"/>
      <c r="K1068" s="116"/>
      <c r="L1068" s="116"/>
      <c r="M1068" s="116"/>
      <c r="N1068" s="116"/>
      <c r="O1068" s="116"/>
      <c r="P1068" s="326"/>
    </row>
    <row r="1069" spans="2:18" ht="18.95" customHeight="1">
      <c r="B1069" s="588" t="s">
        <v>2222</v>
      </c>
      <c r="C1069" s="589" t="s">
        <v>2223</v>
      </c>
      <c r="D1069" s="105">
        <f t="array" ref="D1069">(INT(C1069)-INT(B1069))*8-SUM(TEXT(MOD(B1069:C1069,1)-{9;12;13;18}/24,"[&lt;0]!0")*{-1,1}*{-1;1;-1;1})*24</f>
        <v>15.576388888</v>
      </c>
      <c r="E1069" s="105"/>
      <c r="F1069" s="105"/>
      <c r="G1069" s="105"/>
      <c r="H1069" s="105"/>
      <c r="I1069" s="105"/>
      <c r="J1069" s="105"/>
      <c r="K1069" s="116"/>
      <c r="L1069" s="116"/>
      <c r="M1069" s="116"/>
      <c r="N1069" s="116"/>
      <c r="O1069" s="116"/>
      <c r="P1069" s="326"/>
    </row>
    <row r="1070" spans="2:18" ht="18.95" customHeight="1">
      <c r="B1070" s="588" t="s">
        <v>2224</v>
      </c>
      <c r="C1070" s="589" t="s">
        <v>2225</v>
      </c>
      <c r="D1070" s="105">
        <f t="array" ref="D1070">(INT(C1070)-INT(B1070))*8-SUM(TEXT(MOD(B1070:C1070,1)-{9;12;13;18}/24,"[&lt;0]!0")*{-1,1}*{-1;1;-1;1})*24</f>
        <v>0.30611112000000029</v>
      </c>
      <c r="E1070" s="105"/>
      <c r="F1070" s="105"/>
      <c r="G1070" s="105"/>
      <c r="H1070" s="105"/>
      <c r="I1070" s="105"/>
      <c r="J1070" s="105"/>
      <c r="K1070" s="116"/>
      <c r="L1070" s="116"/>
      <c r="M1070" s="116"/>
      <c r="N1070" s="116"/>
      <c r="O1070" s="116"/>
      <c r="P1070" s="326"/>
    </row>
    <row r="1071" spans="2:18" ht="18.95" customHeight="1">
      <c r="B1071" s="588" t="s">
        <v>2226</v>
      </c>
      <c r="C1071" s="589" t="s">
        <v>2227</v>
      </c>
      <c r="D1071" s="105">
        <f t="array" ref="D1071">(INT(C1071)-INT(B1071))*8-SUM(TEXT(MOD(B1071:C1071,1)-{9;12;13;18}/24,"[&lt;0]!0")*{-1,1}*{-1;1;-1;1})*24</f>
        <v>21.593611096</v>
      </c>
      <c r="E1071" s="105"/>
      <c r="F1071" s="105"/>
      <c r="G1071" s="105"/>
      <c r="H1071" s="105"/>
      <c r="I1071" s="105"/>
      <c r="J1071" s="105"/>
      <c r="K1071" s="116"/>
      <c r="L1071" s="116"/>
      <c r="M1071" s="116"/>
      <c r="N1071" s="116"/>
      <c r="O1071" s="116"/>
      <c r="P1071" s="326"/>
    </row>
    <row r="1072" spans="2:18" ht="18.95" customHeight="1">
      <c r="B1072" s="588" t="s">
        <v>2228</v>
      </c>
      <c r="C1072" s="589" t="s">
        <v>2229</v>
      </c>
      <c r="D1072" s="105">
        <f t="array" ref="D1072">(INT(C1072)-INT(B1072))*8-SUM(TEXT(MOD(B1072:C1072,1)-{9;12;13;18}/24,"[&lt;0]!0")*{-1,1}*{-1;1;-1;1})*24</f>
        <v>0.26499998399999997</v>
      </c>
      <c r="E1072" s="105"/>
      <c r="F1072" s="105"/>
      <c r="G1072" s="105"/>
      <c r="H1072" s="105"/>
      <c r="I1072" s="105"/>
      <c r="J1072" s="105"/>
      <c r="K1072" s="116"/>
      <c r="L1072" s="116"/>
      <c r="M1072" s="116"/>
      <c r="N1072" s="116"/>
      <c r="O1072" s="116"/>
      <c r="P1072" s="326"/>
    </row>
    <row r="1073" spans="2:18" ht="18.95" customHeight="1">
      <c r="B1073" s="588" t="s">
        <v>2230</v>
      </c>
      <c r="C1073" s="589" t="s">
        <v>2231</v>
      </c>
      <c r="D1073" s="105">
        <f t="array" ref="D1073">(INT(C1073)-INT(B1073))*8-SUM(TEXT(MOD(B1073:C1073,1)-{9;12;13;18}/24,"[&lt;0]!0")*{-1,1}*{-1;1;-1;1})*24</f>
        <v>0.33222223200000162</v>
      </c>
      <c r="E1073" s="105"/>
      <c r="F1073" s="105"/>
      <c r="G1073" s="105"/>
      <c r="H1073" s="105"/>
      <c r="I1073" s="105"/>
      <c r="J1073" s="105"/>
      <c r="K1073" s="116"/>
      <c r="L1073" s="116"/>
      <c r="M1073" s="116"/>
      <c r="N1073" s="116"/>
      <c r="O1073" s="116"/>
      <c r="P1073" s="326"/>
    </row>
    <row r="1074" spans="2:18" ht="18.95" customHeight="1">
      <c r="B1074" s="588" t="s">
        <v>2232</v>
      </c>
      <c r="C1074" s="589" t="s">
        <v>2233</v>
      </c>
      <c r="D1074" s="105">
        <f t="array" ref="D1074">(INT(C1074)-INT(B1074))*8-SUM(TEXT(MOD(B1074:C1074,1)-{9;12;13;18}/24,"[&lt;0]!0")*{-1,1}*{-1;1;-1;1})*24</f>
        <v>5.6669444399999991</v>
      </c>
      <c r="E1074" s="105"/>
      <c r="F1074" s="105"/>
      <c r="G1074" s="105"/>
      <c r="H1074" s="105"/>
      <c r="I1074" s="105"/>
      <c r="J1074" s="105"/>
      <c r="K1074" s="116"/>
      <c r="L1074" s="116"/>
      <c r="M1074" s="116"/>
      <c r="N1074" s="116"/>
      <c r="O1074" s="116"/>
      <c r="P1074" s="326"/>
    </row>
    <row r="1075" spans="2:18" ht="18.95" customHeight="1">
      <c r="B1075" s="588" t="s">
        <v>2234</v>
      </c>
      <c r="C1075" s="589" t="s">
        <v>2235</v>
      </c>
      <c r="D1075" s="105">
        <f t="array" ref="D1075">(INT(C1075)-INT(B1075))*8-SUM(TEXT(MOD(B1075:C1075,1)-{9;12;13;18}/24,"[&lt;0]!0")*{-1,1}*{-1;1;-1;1})*24</f>
        <v>3.815555528</v>
      </c>
      <c r="E1075" s="105"/>
      <c r="F1075" s="105"/>
      <c r="G1075" s="105"/>
      <c r="H1075" s="105"/>
      <c r="I1075" s="105"/>
      <c r="J1075" s="105"/>
      <c r="K1075" s="116"/>
      <c r="L1075" s="116"/>
      <c r="M1075" s="116"/>
      <c r="N1075" s="116"/>
      <c r="O1075" s="116"/>
      <c r="P1075" s="326"/>
    </row>
    <row r="1076" spans="2:18" ht="18.95" customHeight="1">
      <c r="B1076" s="588" t="s">
        <v>2236</v>
      </c>
      <c r="C1076" s="589" t="s">
        <v>2237</v>
      </c>
      <c r="D1076" s="105">
        <f t="array" ref="D1076">(INT(C1076)-INT(B1076))*8-SUM(TEXT(MOD(B1076:C1076,1)-{9;12;13;18}/24,"[&lt;0]!0")*{-1,1}*{-1;1;-1;1})*24</f>
        <v>23.825833343999999</v>
      </c>
      <c r="E1076" s="105"/>
      <c r="F1076" s="105"/>
      <c r="G1076" s="105"/>
      <c r="H1076" s="105"/>
      <c r="I1076" s="105"/>
      <c r="J1076" s="105"/>
      <c r="K1076" s="116"/>
      <c r="L1076" s="116"/>
      <c r="M1076" s="116"/>
      <c r="N1076" s="116"/>
      <c r="O1076" s="116"/>
      <c r="P1076" s="326"/>
    </row>
    <row r="1077" spans="2:18" ht="18.95" customHeight="1">
      <c r="B1077" s="290"/>
      <c r="C1077" s="293"/>
      <c r="D1077" s="293"/>
      <c r="E1077" s="293"/>
      <c r="F1077" s="293"/>
      <c r="G1077" s="293"/>
      <c r="H1077" s="293"/>
      <c r="I1077" s="293"/>
      <c r="J1077" s="293"/>
      <c r="K1077" s="305"/>
      <c r="L1077" s="305"/>
      <c r="M1077" s="305"/>
      <c r="N1077" s="305"/>
      <c r="O1077" s="305"/>
      <c r="P1077" s="327"/>
    </row>
    <row r="1078" spans="2:18" ht="18.95" customHeight="1">
      <c r="B1078" s="579"/>
      <c r="C1078" s="579"/>
      <c r="D1078" s="579"/>
      <c r="E1078" s="579"/>
      <c r="F1078" s="579"/>
      <c r="G1078" s="579"/>
      <c r="H1078" s="579"/>
      <c r="I1078" s="579"/>
      <c r="J1078" s="579"/>
    </row>
    <row r="1079" spans="2:18" ht="18.95" customHeight="1">
      <c r="B1079" s="333"/>
      <c r="C1079" s="324"/>
      <c r="D1079" s="324"/>
      <c r="E1079" s="324"/>
      <c r="F1079" s="324"/>
      <c r="G1079" s="324"/>
      <c r="H1079" s="324"/>
      <c r="I1079" s="324"/>
      <c r="J1079" s="324"/>
      <c r="K1079" s="324"/>
      <c r="L1079" s="324"/>
      <c r="M1079" s="324"/>
      <c r="N1079" s="324"/>
      <c r="O1079" s="324"/>
      <c r="P1079" s="324"/>
      <c r="Q1079" s="324"/>
      <c r="R1079" s="325"/>
    </row>
    <row r="1080" spans="2:18" ht="18.95" customHeight="1">
      <c r="B1080" s="254"/>
      <c r="C1080" s="116"/>
      <c r="D1080" s="116"/>
      <c r="E1080" s="116"/>
      <c r="F1080" s="116"/>
      <c r="G1080" s="116"/>
      <c r="H1080" s="116"/>
      <c r="I1080" s="116"/>
      <c r="J1080" s="116"/>
      <c r="K1080" s="116"/>
      <c r="L1080" s="116"/>
      <c r="M1080" s="116"/>
      <c r="N1080" s="116"/>
      <c r="O1080" s="116"/>
      <c r="P1080" s="116"/>
      <c r="Q1080" s="116"/>
      <c r="R1080" s="326"/>
    </row>
    <row r="1081" spans="2:18" ht="18.95" customHeight="1">
      <c r="B1081" s="254"/>
      <c r="C1081" s="116"/>
      <c r="D1081" s="116"/>
      <c r="E1081" s="116"/>
      <c r="F1081" s="112"/>
      <c r="G1081" s="112"/>
      <c r="H1081" s="112"/>
      <c r="I1081" s="116"/>
      <c r="J1081" s="1135" t="s">
        <v>2238</v>
      </c>
      <c r="K1081" s="1135"/>
      <c r="L1081" s="1135"/>
      <c r="M1081" s="116"/>
      <c r="N1081" s="116"/>
      <c r="O1081" s="116"/>
      <c r="P1081" s="116"/>
      <c r="Q1081" s="116"/>
      <c r="R1081" s="326"/>
    </row>
    <row r="1082" spans="2:18" ht="18.95" customHeight="1">
      <c r="B1082" s="1144" t="s">
        <v>2239</v>
      </c>
      <c r="C1082" s="1135"/>
      <c r="D1082" s="1135"/>
      <c r="E1082" s="116"/>
      <c r="F1082" s="1135" t="s">
        <v>2240</v>
      </c>
      <c r="G1082" s="1135"/>
      <c r="H1082" s="1135"/>
      <c r="I1082" s="116"/>
      <c r="J1082" s="112"/>
      <c r="K1082" s="112"/>
      <c r="L1082" s="112"/>
      <c r="M1082" s="116"/>
      <c r="N1082" s="116"/>
      <c r="O1082" s="116"/>
      <c r="P1082" s="116"/>
      <c r="Q1082" s="116"/>
      <c r="R1082" s="326"/>
    </row>
    <row r="1083" spans="2:18" ht="18.95" customHeight="1">
      <c r="B1083" s="254" t="s">
        <v>2241</v>
      </c>
      <c r="C1083" s="116" t="s">
        <v>2242</v>
      </c>
      <c r="D1083" s="116" t="s">
        <v>2243</v>
      </c>
      <c r="E1083" s="116"/>
      <c r="F1083" s="112" t="s">
        <v>2244</v>
      </c>
      <c r="G1083" s="112" t="s">
        <v>2245</v>
      </c>
      <c r="H1083" s="112" t="s">
        <v>2246</v>
      </c>
      <c r="I1083" s="116"/>
      <c r="J1083" s="590">
        <v>2019</v>
      </c>
      <c r="K1083" s="590">
        <v>2020</v>
      </c>
      <c r="L1083" s="590">
        <v>2021</v>
      </c>
      <c r="M1083" s="116"/>
      <c r="N1083" s="591">
        <f>B1084</f>
        <v>2019</v>
      </c>
      <c r="O1083" s="591">
        <f>C1084</f>
        <v>2020</v>
      </c>
      <c r="P1083" s="591">
        <f>D1084</f>
        <v>2021</v>
      </c>
      <c r="Q1083" s="116"/>
      <c r="R1083" s="326"/>
    </row>
    <row r="1084" spans="2:18" ht="18.95" customHeight="1">
      <c r="B1084" s="254">
        <v>2019</v>
      </c>
      <c r="C1084" s="116">
        <v>2020</v>
      </c>
      <c r="D1084" s="116">
        <v>2021</v>
      </c>
      <c r="E1084" s="116"/>
      <c r="F1084" s="112" t="s">
        <v>2247</v>
      </c>
      <c r="G1084" s="112">
        <v>346</v>
      </c>
      <c r="H1084" s="112" t="s">
        <v>2248</v>
      </c>
      <c r="I1084" s="112"/>
      <c r="J1084" s="590" t="s">
        <v>2247</v>
      </c>
      <c r="K1084" s="590">
        <v>346</v>
      </c>
      <c r="L1084" s="590" t="s">
        <v>2248</v>
      </c>
      <c r="M1084" s="116"/>
      <c r="N1084" s="590" t="str">
        <f t="array" ref="N1084">IF(MAX($B1084:B1084)=N$1083,INDEX($B:$H,ROW(),MAX(($F1084:F1084&lt;&gt;"")*COLUMN($E:E))),"")</f>
        <v>中国</v>
      </c>
      <c r="O1084" s="590">
        <f t="array" ref="O1084">IF(MAX($B1084:C1084)=O$1083,INDEX($B:$H,ROW(),MAX(($F1084:G1084&lt;&gt;"")*COLUMN($E:F))),"")</f>
        <v>346</v>
      </c>
      <c r="P1084" s="590" t="str">
        <f t="array" ref="P1084">IF(MAX($B1084:D1084)=P$1083,INDEX($B:$H,ROW(),MAX(($F1084:H1084&lt;&gt;"")*COLUMN($E:G))),"")</f>
        <v>WAC</v>
      </c>
      <c r="Q1084" s="116"/>
      <c r="R1084" s="326"/>
    </row>
    <row r="1085" spans="2:18" ht="18.95" customHeight="1">
      <c r="B1085" s="254">
        <v>2020</v>
      </c>
      <c r="C1085" s="116"/>
      <c r="D1085" s="116"/>
      <c r="E1085" s="116"/>
      <c r="F1085" s="112">
        <v>281</v>
      </c>
      <c r="G1085" s="112"/>
      <c r="H1085" s="112"/>
      <c r="I1085" s="116"/>
      <c r="J1085" s="590"/>
      <c r="K1085" s="590">
        <v>281</v>
      </c>
      <c r="L1085" s="590"/>
      <c r="M1085" s="116"/>
      <c r="N1085" s="590" t="str">
        <f t="array" ref="N1085">IF(MAX($B1085:B1085)=N$1083,INDEX($B:$H,ROW(),MAX(($F1085:F1085&lt;&gt;"")*COLUMN($E:E))),"")</f>
        <v/>
      </c>
      <c r="O1085" s="590">
        <f t="array" ref="O1085">IF(MAX($B1085:C1085)=O$1083,INDEX($B:$H,ROW(),MAX(($F1085:G1085&lt;&gt;"")*COLUMN($E:F))),"")</f>
        <v>281</v>
      </c>
      <c r="P1085" s="590" t="str">
        <f t="array" ref="P1085">IF(MAX($B1085:D1085)=P$1083,INDEX($B:$H,ROW(),MAX(($F1085:H1085&lt;&gt;"")*COLUMN($E:G))),"")</f>
        <v/>
      </c>
      <c r="Q1085" s="116"/>
      <c r="R1085" s="326"/>
    </row>
    <row r="1086" spans="2:18" ht="18.95" customHeight="1">
      <c r="B1086" s="254">
        <v>2019</v>
      </c>
      <c r="C1086" s="116">
        <v>2020</v>
      </c>
      <c r="D1086" s="116">
        <v>2021</v>
      </c>
      <c r="E1086" s="116"/>
      <c r="F1086" s="112">
        <v>320</v>
      </c>
      <c r="G1086" s="112">
        <v>189</v>
      </c>
      <c r="H1086" s="112">
        <v>409</v>
      </c>
      <c r="I1086" s="116"/>
      <c r="J1086" s="590">
        <v>320</v>
      </c>
      <c r="K1086" s="590">
        <v>189</v>
      </c>
      <c r="L1086" s="590">
        <v>409</v>
      </c>
      <c r="M1086" s="116"/>
      <c r="N1086" s="590">
        <f t="array" ref="N1086">IF(MAX($B1086:B1086)=N$1083,INDEX($B:$H,ROW(),MAX(($F1086:F1086&lt;&gt;"")*COLUMN($E:E))),"")</f>
        <v>320</v>
      </c>
      <c r="O1086" s="590">
        <f t="array" ref="O1086">IF(MAX($B1086:C1086)=O$1083,INDEX($B:$H,ROW(),MAX(($F1086:G1086&lt;&gt;"")*COLUMN($E:F))),"")</f>
        <v>189</v>
      </c>
      <c r="P1086" s="590">
        <f t="array" ref="P1086">IF(MAX($B1086:D1086)=P$1083,INDEX($B:$H,ROW(),MAX(($F1086:H1086&lt;&gt;"")*COLUMN($E:G))),"")</f>
        <v>409</v>
      </c>
      <c r="Q1086" s="116"/>
      <c r="R1086" s="326"/>
    </row>
    <row r="1087" spans="2:18" ht="18.95" customHeight="1">
      <c r="B1087" s="254">
        <v>2021</v>
      </c>
      <c r="C1087" s="116"/>
      <c r="D1087" s="116"/>
      <c r="E1087" s="116"/>
      <c r="F1087" s="112">
        <v>326</v>
      </c>
      <c r="G1087" s="112"/>
      <c r="H1087" s="112"/>
      <c r="I1087" s="116"/>
      <c r="J1087" s="590"/>
      <c r="K1087" s="590"/>
      <c r="L1087" s="590">
        <v>326</v>
      </c>
      <c r="M1087" s="116"/>
      <c r="N1087" s="590" t="str">
        <f t="array" ref="N1087">IF(MAX($B1087:B1087)=N$1083,INDEX($B:$H,ROW(),MAX(($F1087:F1087&lt;&gt;"")*COLUMN($E:E))),"")</f>
        <v/>
      </c>
      <c r="O1087" s="590" t="str">
        <f t="array" ref="O1087">IF(MAX($B1087:C1087)=O$1083,INDEX($B:$H,ROW(),MAX(($F1087:G1087&lt;&gt;"")*COLUMN($E:F))),"")</f>
        <v/>
      </c>
      <c r="P1087" s="590">
        <f t="array" ref="P1087">IF(MAX($B1087:D1087)=P$1083,INDEX($B:$H,ROW(),MAX(($F1087:H1087&lt;&gt;"")*COLUMN($E:G))),"")</f>
        <v>326</v>
      </c>
      <c r="Q1087" s="116"/>
      <c r="R1087" s="326"/>
    </row>
    <row r="1088" spans="2:18" ht="18.95" customHeight="1">
      <c r="B1088" s="254"/>
      <c r="C1088" s="116"/>
      <c r="D1088" s="116"/>
      <c r="E1088" s="116"/>
      <c r="F1088" s="112"/>
      <c r="G1088" s="112"/>
      <c r="H1088" s="112"/>
      <c r="I1088" s="116"/>
      <c r="J1088" s="112"/>
      <c r="K1088" s="112"/>
      <c r="L1088" s="112"/>
      <c r="M1088" s="116"/>
      <c r="N1088" s="116"/>
      <c r="O1088" s="116"/>
      <c r="P1088" s="116"/>
      <c r="Q1088" s="116"/>
      <c r="R1088" s="326"/>
    </row>
    <row r="1089" spans="2:18" ht="18.95" customHeight="1">
      <c r="B1089" s="254"/>
      <c r="C1089" s="116"/>
      <c r="D1089" s="116"/>
      <c r="E1089" s="116"/>
      <c r="F1089" s="112"/>
      <c r="G1089" s="112"/>
      <c r="H1089" s="112"/>
      <c r="I1089" s="116"/>
      <c r="J1089" s="112"/>
      <c r="K1089" s="112"/>
      <c r="L1089" s="112"/>
      <c r="M1089" s="116"/>
      <c r="N1089" s="116"/>
      <c r="O1089" s="116"/>
      <c r="P1089" s="116"/>
      <c r="Q1089" s="116"/>
      <c r="R1089" s="326"/>
    </row>
    <row r="1090" spans="2:18" ht="18.95" customHeight="1">
      <c r="B1090" s="254"/>
      <c r="C1090" s="116"/>
      <c r="D1090" s="116"/>
      <c r="E1090" s="116"/>
      <c r="F1090" s="112"/>
      <c r="G1090" s="112"/>
      <c r="H1090" s="112"/>
      <c r="I1090" s="116"/>
      <c r="J1090" s="112"/>
      <c r="K1090" s="112"/>
      <c r="L1090" s="112"/>
      <c r="M1090" s="116"/>
      <c r="N1090" s="116"/>
      <c r="O1090" s="116"/>
      <c r="P1090" s="116"/>
      <c r="Q1090" s="116"/>
      <c r="R1090" s="326"/>
    </row>
    <row r="1091" spans="2:18" ht="18.95" customHeight="1">
      <c r="B1091" s="254"/>
      <c r="C1091" s="116"/>
      <c r="D1091" s="116"/>
      <c r="E1091" s="116"/>
      <c r="F1091" s="112"/>
      <c r="G1091" s="112"/>
      <c r="H1091" s="112"/>
      <c r="I1091" s="116"/>
      <c r="J1091" s="112"/>
      <c r="K1091" s="112"/>
      <c r="L1091" s="112"/>
      <c r="M1091" s="116"/>
      <c r="N1091" s="116"/>
      <c r="O1091" s="116"/>
      <c r="P1091" s="116"/>
      <c r="Q1091" s="116"/>
      <c r="R1091" s="326"/>
    </row>
    <row r="1092" spans="2:18" ht="18.95" customHeight="1">
      <c r="B1092" s="254"/>
      <c r="C1092" s="116"/>
      <c r="D1092" s="116"/>
      <c r="E1092" s="116"/>
      <c r="F1092" s="116"/>
      <c r="G1092" s="116"/>
      <c r="H1092" s="116"/>
      <c r="I1092" s="116"/>
      <c r="J1092" s="116"/>
      <c r="K1092" s="116"/>
      <c r="L1092" s="116"/>
      <c r="M1092" s="116"/>
      <c r="N1092" s="116"/>
      <c r="O1092" s="116"/>
      <c r="P1092" s="116"/>
      <c r="Q1092" s="116"/>
      <c r="R1092" s="326"/>
    </row>
    <row r="1093" spans="2:18" ht="18.95" customHeight="1">
      <c r="B1093" s="254"/>
      <c r="C1093" s="116"/>
      <c r="D1093" s="116"/>
      <c r="E1093" s="116"/>
      <c r="F1093" s="116"/>
      <c r="G1093" s="116"/>
      <c r="H1093" s="116"/>
      <c r="I1093" s="116"/>
      <c r="J1093" s="116"/>
      <c r="K1093" s="116"/>
      <c r="L1093" s="116"/>
      <c r="M1093" s="116"/>
      <c r="N1093" s="116"/>
      <c r="O1093" s="116"/>
      <c r="P1093" s="116"/>
      <c r="Q1093" s="116"/>
      <c r="R1093" s="326"/>
    </row>
    <row r="1094" spans="2:18" ht="18.95" customHeight="1">
      <c r="B1094" s="254"/>
      <c r="C1094" s="116"/>
      <c r="D1094" s="116"/>
      <c r="E1094" s="116"/>
      <c r="F1094" s="116"/>
      <c r="G1094" s="116"/>
      <c r="H1094" s="116"/>
      <c r="I1094" s="116"/>
      <c r="J1094" s="116"/>
      <c r="K1094" s="116"/>
      <c r="L1094" s="116"/>
      <c r="M1094" s="116"/>
      <c r="N1094" s="116"/>
      <c r="O1094" s="116"/>
      <c r="P1094" s="116"/>
      <c r="Q1094" s="116"/>
      <c r="R1094" s="326"/>
    </row>
    <row r="1095" spans="2:18" ht="18.95" customHeight="1">
      <c r="B1095" s="254"/>
      <c r="C1095" s="116"/>
      <c r="D1095" s="116"/>
      <c r="E1095" s="116"/>
      <c r="F1095" s="116"/>
      <c r="G1095" s="116"/>
      <c r="H1095" s="116"/>
      <c r="I1095" s="116"/>
      <c r="J1095" s="116"/>
      <c r="K1095" s="116"/>
      <c r="L1095" s="116"/>
      <c r="M1095" s="116"/>
      <c r="N1095" s="116"/>
      <c r="O1095" s="116"/>
      <c r="P1095" s="116"/>
      <c r="Q1095" s="116"/>
      <c r="R1095" s="326"/>
    </row>
    <row r="1096" spans="2:18" ht="18.95" customHeight="1">
      <c r="B1096" s="254"/>
      <c r="C1096" s="116"/>
      <c r="D1096" s="116"/>
      <c r="E1096" s="116"/>
      <c r="F1096" s="116"/>
      <c r="G1096" s="116"/>
      <c r="H1096" s="116"/>
      <c r="I1096" s="116"/>
      <c r="J1096" s="116"/>
      <c r="K1096" s="116"/>
      <c r="L1096" s="116"/>
      <c r="M1096" s="116"/>
      <c r="N1096" s="116"/>
      <c r="O1096" s="116"/>
      <c r="P1096" s="116"/>
      <c r="Q1096" s="116"/>
      <c r="R1096" s="326"/>
    </row>
    <row r="1097" spans="2:18" ht="18.95" customHeight="1">
      <c r="B1097" s="254"/>
      <c r="C1097" s="116"/>
      <c r="D1097" s="116"/>
      <c r="E1097" s="116"/>
      <c r="F1097" s="116"/>
      <c r="G1097" s="116"/>
      <c r="H1097" s="116"/>
      <c r="I1097" s="116"/>
      <c r="J1097" s="116"/>
      <c r="K1097" s="116"/>
      <c r="L1097" s="116"/>
      <c r="M1097" s="116"/>
      <c r="N1097" s="116"/>
      <c r="O1097" s="116"/>
      <c r="P1097" s="116"/>
      <c r="Q1097" s="116"/>
      <c r="R1097" s="326"/>
    </row>
    <row r="1098" spans="2:18" ht="18.95" customHeight="1">
      <c r="B1098" s="254"/>
      <c r="C1098" s="116"/>
      <c r="D1098" s="116"/>
      <c r="E1098" s="116"/>
      <c r="F1098" s="116"/>
      <c r="G1098" s="116"/>
      <c r="H1098" s="116"/>
      <c r="I1098" s="116"/>
      <c r="J1098" s="116"/>
      <c r="K1098" s="116"/>
      <c r="L1098" s="116"/>
      <c r="M1098" s="116"/>
      <c r="N1098" s="116"/>
      <c r="O1098" s="116"/>
      <c r="P1098" s="116"/>
      <c r="Q1098" s="116"/>
      <c r="R1098" s="326"/>
    </row>
    <row r="1099" spans="2:18" ht="18.95" customHeight="1">
      <c r="B1099" s="304"/>
      <c r="C1099" s="305"/>
      <c r="D1099" s="305"/>
      <c r="E1099" s="305"/>
      <c r="F1099" s="305"/>
      <c r="G1099" s="305"/>
      <c r="H1099" s="305"/>
      <c r="I1099" s="305"/>
      <c r="J1099" s="305"/>
      <c r="K1099" s="305"/>
      <c r="L1099" s="305"/>
      <c r="M1099" s="305"/>
      <c r="N1099" s="305"/>
      <c r="O1099" s="305"/>
      <c r="P1099" s="305"/>
      <c r="Q1099" s="305"/>
      <c r="R1099" s="327"/>
    </row>
    <row r="1101" spans="2:18" ht="18.95" customHeight="1">
      <c r="B1101" s="333"/>
      <c r="C1101" s="324"/>
      <c r="D1101" s="324"/>
      <c r="E1101" s="324"/>
      <c r="F1101" s="324"/>
      <c r="G1101" s="324"/>
      <c r="H1101" s="324"/>
      <c r="I1101" s="324"/>
      <c r="J1101" s="324"/>
      <c r="K1101" s="324"/>
      <c r="L1101" s="324"/>
      <c r="M1101" s="324"/>
      <c r="N1101" s="324"/>
      <c r="O1101" s="324"/>
      <c r="P1101" s="324"/>
      <c r="Q1101" s="324"/>
      <c r="R1101" s="325"/>
    </row>
    <row r="1102" spans="2:18" ht="18.95" customHeight="1">
      <c r="B1102" s="592">
        <v>40.5</v>
      </c>
      <c r="C1102" s="498" t="s">
        <v>2249</v>
      </c>
      <c r="D1102" s="593">
        <v>1</v>
      </c>
      <c r="E1102" s="593">
        <f>ROUND(PRODUCT(--MID(SUBSTITUTE(C1102,"*",REPT(" ",99)),{1,2,3}*99-98,99),B1102),3)*D1102</f>
        <v>2733750000</v>
      </c>
      <c r="F1102" s="116"/>
      <c r="G1102" s="116"/>
      <c r="H1102" s="116"/>
      <c r="I1102" s="116"/>
      <c r="J1102" s="116" t="s">
        <v>2250</v>
      </c>
      <c r="K1102" s="116"/>
      <c r="L1102" s="116"/>
      <c r="M1102" s="116"/>
      <c r="N1102" s="116" t="s">
        <v>2251</v>
      </c>
      <c r="O1102" s="116"/>
      <c r="P1102" s="116"/>
      <c r="Q1102" s="116"/>
      <c r="R1102" s="326"/>
    </row>
    <row r="1103" spans="2:18" ht="18.95" customHeight="1">
      <c r="B1103" s="288"/>
      <c r="C1103" s="105"/>
      <c r="D1103" s="105"/>
      <c r="E1103" s="105"/>
      <c r="F1103" s="116"/>
      <c r="G1103" s="116"/>
      <c r="H1103" s="116" t="s">
        <v>2252</v>
      </c>
      <c r="I1103" s="116"/>
      <c r="J1103" s="116"/>
      <c r="K1103" s="116"/>
      <c r="L1103" s="116"/>
      <c r="M1103" s="116"/>
      <c r="N1103" s="116"/>
      <c r="O1103" s="116"/>
      <c r="P1103" s="116"/>
      <c r="Q1103" s="116"/>
      <c r="R1103" s="326"/>
    </row>
    <row r="1104" spans="2:18" ht="18.95" customHeight="1">
      <c r="B1104" s="288"/>
      <c r="C1104" s="105"/>
      <c r="D1104" s="105"/>
      <c r="E1104" s="105"/>
      <c r="F1104" s="116"/>
      <c r="G1104" s="116"/>
      <c r="H1104" s="116" t="s">
        <v>2253</v>
      </c>
      <c r="I1104" s="116"/>
      <c r="J1104" s="116" t="s">
        <v>2254</v>
      </c>
      <c r="K1104" s="116"/>
      <c r="L1104" s="116"/>
      <c r="M1104" s="116"/>
      <c r="N1104" s="116"/>
      <c r="O1104" s="116"/>
      <c r="P1104" s="116"/>
      <c r="Q1104" s="116"/>
      <c r="R1104" s="326"/>
    </row>
    <row r="1105" spans="2:24" ht="18.95" customHeight="1">
      <c r="B1105" s="288"/>
      <c r="C1105" s="105"/>
      <c r="D1105" s="105"/>
      <c r="E1105" s="116" t="s">
        <v>2255</v>
      </c>
      <c r="F1105" s="116"/>
      <c r="G1105" s="116"/>
      <c r="H1105" s="116"/>
      <c r="I1105" s="116"/>
      <c r="J1105" s="116"/>
      <c r="K1105" s="116"/>
      <c r="L1105" s="116"/>
      <c r="M1105" s="116"/>
      <c r="N1105" s="116"/>
      <c r="O1105" s="116"/>
      <c r="P1105" s="116"/>
      <c r="Q1105" s="116"/>
      <c r="R1105" s="326"/>
    </row>
    <row r="1106" spans="2:24" ht="18.95" customHeight="1">
      <c r="B1106" s="254"/>
      <c r="C1106" s="116"/>
      <c r="D1106" s="116"/>
      <c r="E1106" s="116"/>
      <c r="F1106" s="116"/>
      <c r="G1106" s="116"/>
      <c r="H1106" s="116" t="s">
        <v>735</v>
      </c>
      <c r="I1106" s="116"/>
      <c r="J1106" s="116" t="s">
        <v>2256</v>
      </c>
      <c r="K1106" s="116"/>
      <c r="L1106" s="116"/>
      <c r="M1106" s="116"/>
      <c r="N1106" s="116"/>
      <c r="O1106" s="116"/>
      <c r="P1106" s="116"/>
      <c r="Q1106" s="116"/>
      <c r="R1106" s="326"/>
    </row>
    <row r="1107" spans="2:24" ht="18.95" customHeight="1">
      <c r="B1107" s="254" t="s">
        <v>2257</v>
      </c>
      <c r="C1107" s="116"/>
      <c r="D1107" s="116"/>
      <c r="E1107" s="116"/>
      <c r="F1107" s="116"/>
      <c r="G1107" s="116"/>
      <c r="H1107" s="116" t="s">
        <v>2258</v>
      </c>
      <c r="I1107" s="116"/>
      <c r="J1107" s="116"/>
      <c r="K1107" s="116"/>
      <c r="L1107" s="116"/>
      <c r="M1107" s="116"/>
      <c r="N1107" s="116"/>
      <c r="O1107" s="116"/>
      <c r="P1107" s="116"/>
      <c r="Q1107" s="116"/>
      <c r="R1107" s="326"/>
    </row>
    <row r="1108" spans="2:24" ht="18.95" customHeight="1">
      <c r="B1108" s="254"/>
      <c r="C1108" s="116"/>
      <c r="D1108" s="116"/>
      <c r="E1108" s="116"/>
      <c r="F1108" s="116"/>
      <c r="G1108" s="116"/>
      <c r="H1108" s="116"/>
      <c r="I1108" s="116"/>
      <c r="J1108" s="116" t="s">
        <v>2259</v>
      </c>
      <c r="K1108" s="116"/>
      <c r="L1108" s="116"/>
      <c r="M1108" s="116"/>
      <c r="N1108" s="116"/>
      <c r="O1108" s="116"/>
      <c r="P1108" s="116"/>
      <c r="Q1108" s="116"/>
      <c r="R1108" s="326"/>
    </row>
    <row r="1109" spans="2:24" ht="18.95" customHeight="1">
      <c r="B1109" s="254"/>
      <c r="C1109" s="116"/>
      <c r="D1109" s="116"/>
      <c r="E1109" s="116"/>
      <c r="F1109" s="116"/>
      <c r="G1109" s="116"/>
      <c r="H1109" s="116" t="s">
        <v>2260</v>
      </c>
      <c r="I1109" s="116"/>
      <c r="J1109" s="116"/>
      <c r="K1109" s="116"/>
      <c r="L1109" s="116"/>
      <c r="M1109" s="116"/>
      <c r="N1109" s="116"/>
      <c r="O1109" s="116"/>
      <c r="P1109" s="116"/>
      <c r="Q1109" s="116"/>
      <c r="R1109" s="326"/>
    </row>
    <row r="1110" spans="2:24" ht="18.95" customHeight="1">
      <c r="B1110" s="254"/>
      <c r="C1110" s="116"/>
      <c r="D1110" s="116"/>
      <c r="E1110" s="116"/>
      <c r="F1110" s="116"/>
      <c r="G1110" s="116"/>
      <c r="H1110" s="116" t="s">
        <v>2261</v>
      </c>
      <c r="I1110" s="116"/>
      <c r="J1110" s="116" t="s">
        <v>2262</v>
      </c>
      <c r="K1110" s="116"/>
      <c r="L1110" s="116"/>
      <c r="M1110" s="116"/>
      <c r="N1110" s="116"/>
      <c r="O1110" s="116"/>
      <c r="P1110" s="116"/>
      <c r="Q1110" s="116"/>
      <c r="R1110" s="326"/>
    </row>
    <row r="1111" spans="2:24" ht="18.95" customHeight="1">
      <c r="B1111" s="254"/>
      <c r="C1111" s="116"/>
      <c r="D1111" s="116"/>
      <c r="E1111" s="116"/>
      <c r="F1111" s="116"/>
      <c r="G1111" s="116"/>
      <c r="H1111" s="116"/>
      <c r="I1111" s="116"/>
      <c r="J1111" s="116" t="s">
        <v>2263</v>
      </c>
      <c r="K1111" s="116"/>
      <c r="L1111" s="116"/>
      <c r="M1111" s="116"/>
      <c r="N1111" s="116"/>
      <c r="O1111" s="116"/>
      <c r="P1111" s="116"/>
      <c r="Q1111" s="116"/>
      <c r="R1111" s="326"/>
    </row>
    <row r="1112" spans="2:24" ht="18.95" customHeight="1">
      <c r="B1112" s="254"/>
      <c r="C1112" s="116"/>
      <c r="D1112" s="116"/>
      <c r="E1112" s="116"/>
      <c r="F1112" s="116"/>
      <c r="G1112" s="116"/>
      <c r="H1112" s="116" t="s">
        <v>2264</v>
      </c>
      <c r="I1112" s="116"/>
      <c r="J1112" s="116"/>
      <c r="K1112" s="116"/>
      <c r="L1112" s="116"/>
      <c r="M1112" s="116"/>
      <c r="N1112" s="116"/>
      <c r="O1112" s="116"/>
      <c r="P1112" s="116"/>
      <c r="Q1112" s="116"/>
      <c r="R1112" s="326"/>
    </row>
    <row r="1113" spans="2:24" ht="18.95" customHeight="1">
      <c r="B1113" s="254"/>
      <c r="C1113" s="116"/>
      <c r="D1113" s="116"/>
      <c r="E1113" s="116"/>
      <c r="F1113" s="116"/>
      <c r="G1113" s="116"/>
      <c r="H1113" s="116" t="s">
        <v>2265</v>
      </c>
      <c r="I1113" s="116"/>
      <c r="J1113" s="116" t="s">
        <v>2266</v>
      </c>
      <c r="K1113" s="116"/>
      <c r="L1113" s="116"/>
      <c r="M1113" s="116"/>
      <c r="N1113" s="116"/>
      <c r="O1113" s="116"/>
      <c r="P1113" s="116"/>
      <c r="Q1113" s="116"/>
      <c r="R1113" s="326"/>
    </row>
    <row r="1114" spans="2:24" ht="18.95" customHeight="1">
      <c r="B1114" s="254"/>
      <c r="C1114" s="116"/>
      <c r="D1114" s="116"/>
      <c r="E1114" s="116"/>
      <c r="F1114" s="116"/>
      <c r="G1114" s="116"/>
      <c r="H1114" s="116"/>
      <c r="I1114" s="116"/>
      <c r="J1114" s="116"/>
      <c r="K1114" s="116"/>
      <c r="L1114" s="116"/>
      <c r="M1114" s="116" t="s">
        <v>2267</v>
      </c>
      <c r="N1114" s="116"/>
      <c r="O1114" s="116"/>
      <c r="P1114" s="116"/>
      <c r="Q1114" s="116"/>
      <c r="R1114" s="326"/>
    </row>
    <row r="1115" spans="2:24" ht="18.95" customHeight="1">
      <c r="B1115" s="254"/>
      <c r="C1115" s="116"/>
      <c r="D1115" s="116"/>
      <c r="E1115" s="116"/>
      <c r="F1115" s="116"/>
      <c r="G1115" s="116"/>
      <c r="H1115" s="116"/>
      <c r="I1115" s="116"/>
      <c r="J1115" s="116" t="s">
        <v>2268</v>
      </c>
      <c r="K1115" s="116"/>
      <c r="L1115" s="116"/>
      <c r="M1115" s="116" t="s">
        <v>2269</v>
      </c>
      <c r="N1115" s="116"/>
      <c r="O1115" s="116"/>
      <c r="P1115" s="116"/>
      <c r="Q1115" s="116"/>
      <c r="R1115" s="326"/>
    </row>
    <row r="1116" spans="2:24" ht="18.95" customHeight="1">
      <c r="B1116" s="254"/>
      <c r="C1116" s="116"/>
      <c r="D1116" s="116"/>
      <c r="E1116" s="116"/>
      <c r="F1116" s="116"/>
      <c r="G1116" s="116"/>
      <c r="H1116" s="116"/>
      <c r="I1116" s="116"/>
      <c r="J1116" s="116"/>
      <c r="K1116" s="116"/>
      <c r="L1116" s="116"/>
      <c r="M1116" s="116"/>
      <c r="N1116" s="116"/>
      <c r="O1116" s="116"/>
      <c r="P1116" s="116"/>
      <c r="Q1116" s="116"/>
      <c r="R1116" s="326"/>
    </row>
    <row r="1117" spans="2:24" ht="18.95" customHeight="1">
      <c r="B1117" s="304"/>
      <c r="C1117" s="305"/>
      <c r="D1117" s="305"/>
      <c r="E1117" s="305"/>
      <c r="F1117" s="305"/>
      <c r="G1117" s="305"/>
      <c r="H1117" s="305"/>
      <c r="I1117" s="305"/>
      <c r="J1117" s="305"/>
      <c r="K1117" s="305"/>
      <c r="L1117" s="305"/>
      <c r="M1117" s="305"/>
      <c r="N1117" s="305"/>
      <c r="O1117" s="305"/>
      <c r="P1117" s="305"/>
      <c r="Q1117" s="305"/>
      <c r="R1117" s="327"/>
    </row>
    <row r="1119" spans="2:24" ht="18.95" customHeight="1">
      <c r="B1119" s="333"/>
      <c r="C1119" s="324"/>
      <c r="D1119" s="324"/>
      <c r="E1119" s="324"/>
      <c r="F1119" s="324"/>
      <c r="G1119" s="324"/>
      <c r="H1119" s="324"/>
      <c r="I1119" s="324"/>
      <c r="J1119" s="324"/>
      <c r="K1119" s="324"/>
      <c r="L1119" s="324"/>
      <c r="M1119" s="324"/>
      <c r="N1119" s="324"/>
      <c r="O1119" s="324"/>
      <c r="P1119" s="324"/>
      <c r="Q1119" s="324"/>
      <c r="R1119" s="324"/>
      <c r="S1119" s="324"/>
      <c r="T1119" s="324"/>
      <c r="U1119" s="324"/>
      <c r="V1119" s="324"/>
      <c r="W1119" s="324"/>
      <c r="X1119" s="325"/>
    </row>
    <row r="1120" spans="2:24" ht="18.95" customHeight="1">
      <c r="B1120" s="456" t="s">
        <v>925</v>
      </c>
      <c r="C1120" s="99" t="s">
        <v>2270</v>
      </c>
      <c r="D1120" s="99" t="s">
        <v>2271</v>
      </c>
      <c r="E1120" s="116"/>
      <c r="F1120" s="99" t="s">
        <v>925</v>
      </c>
      <c r="G1120" s="99" t="s">
        <v>2270</v>
      </c>
      <c r="H1120" s="99" t="s">
        <v>2271</v>
      </c>
      <c r="I1120" s="116"/>
      <c r="J1120" s="99" t="s">
        <v>925</v>
      </c>
      <c r="K1120" s="99" t="s">
        <v>2270</v>
      </c>
      <c r="L1120" s="99" t="s">
        <v>2271</v>
      </c>
      <c r="M1120" s="116"/>
      <c r="N1120" s="116"/>
      <c r="O1120" s="116"/>
      <c r="P1120" s="116"/>
      <c r="Q1120" s="116"/>
      <c r="R1120" s="116"/>
      <c r="S1120" s="116"/>
      <c r="T1120" s="116"/>
      <c r="U1120" s="116"/>
      <c r="V1120" s="116"/>
      <c r="W1120" s="116"/>
      <c r="X1120" s="326"/>
    </row>
    <row r="1121" spans="2:24" ht="18.95" customHeight="1">
      <c r="B1121" s="456" t="s">
        <v>2272</v>
      </c>
      <c r="C1121" s="99" t="s">
        <v>2273</v>
      </c>
      <c r="D1121" s="99" t="s">
        <v>2274</v>
      </c>
      <c r="E1121" s="116"/>
      <c r="F1121" s="594" t="s">
        <v>2275</v>
      </c>
      <c r="G1121" s="99" t="str">
        <f t="array" ref="G1121:G1124">_xlfn._xlws.FILTER(C1121:C1128,1-ISERR(SEARCH(F1121,B1121:B1128)))</f>
        <v>00A11</v>
      </c>
      <c r="H1121" s="99" t="str">
        <f t="array" ref="H1121:H1124">_xlfn._xlws.FILTER(D1121:D1128,1-ISERR(SEARCH(F1121,B1121:B1128)))</f>
        <v>0b23</v>
      </c>
      <c r="I1121" s="116"/>
      <c r="J1121" s="594" t="str">
        <f>F1121</f>
        <v>dw</v>
      </c>
      <c r="K1121" s="99" t="str">
        <f t="array" ref="K1121">INDEX(C:C,SMALL(IF(ISNUMBER(SEARCH($J$1121,$B$1121:$B$1128)),ROW($B$1121:$B$1128),1129),ROW(1:1)))&amp;""</f>
        <v>00A11</v>
      </c>
      <c r="L1121" s="99" t="str">
        <f t="array" ref="L1121">INDEX(D:D,SMALL(IF(ISNUMBER(SEARCH($J$1121,$B$1121:$B$1128)),ROW($B$1121:$B$1128),1129),ROW(1:1)))&amp;""</f>
        <v>0b23</v>
      </c>
      <c r="M1121" s="116"/>
      <c r="N1121" s="116" t="s">
        <v>2276</v>
      </c>
      <c r="O1121" s="116"/>
      <c r="P1121" s="116"/>
      <c r="Q1121" s="116"/>
      <c r="R1121" s="116"/>
      <c r="S1121" s="116"/>
      <c r="T1121" s="116"/>
      <c r="U1121" s="116"/>
      <c r="V1121" s="116"/>
      <c r="W1121" s="116"/>
      <c r="X1121" s="326"/>
    </row>
    <row r="1122" spans="2:24" ht="18.95" customHeight="1">
      <c r="B1122" s="456" t="s">
        <v>2277</v>
      </c>
      <c r="C1122" s="99" t="s">
        <v>2278</v>
      </c>
      <c r="D1122" s="99" t="s">
        <v>2279</v>
      </c>
      <c r="E1122" s="116"/>
      <c r="F1122" s="116"/>
      <c r="G1122" s="99" t="str">
        <v>00A12</v>
      </c>
      <c r="H1122" s="99" t="str">
        <v>0b24</v>
      </c>
      <c r="I1122" s="116"/>
      <c r="J1122" s="116"/>
      <c r="K1122" s="99" t="str">
        <f t="array" ref="K1122">INDEX(C:C,SMALL(IF(ISNUMBER(SEARCH($J$1121,$B$1121:$B$1128)),ROW($B$1121:$B$1128),1129),ROW(2:2)))&amp;""</f>
        <v>00A12</v>
      </c>
      <c r="L1122" s="99" t="str">
        <f t="array" ref="L1122">INDEX(D:D,SMALL(IF(ISNUMBER(SEARCH($J$1121,$B$1121:$B$1128)),ROW($B$1121:$B$1128),1129),ROW(2:2)))&amp;""</f>
        <v>0b24</v>
      </c>
      <c r="M1122" s="116"/>
      <c r="N1122" s="116" t="s">
        <v>2280</v>
      </c>
      <c r="O1122" s="116"/>
      <c r="P1122" s="116"/>
      <c r="Q1122" s="116"/>
      <c r="R1122" s="116"/>
      <c r="S1122" s="116"/>
      <c r="T1122" s="116"/>
      <c r="U1122" s="116"/>
      <c r="V1122" s="116"/>
      <c r="W1122" s="116"/>
      <c r="X1122" s="326"/>
    </row>
    <row r="1123" spans="2:24" ht="18.95" customHeight="1">
      <c r="B1123" s="456" t="s">
        <v>2281</v>
      </c>
      <c r="C1123" s="99" t="s">
        <v>2282</v>
      </c>
      <c r="D1123" s="99" t="s">
        <v>2283</v>
      </c>
      <c r="E1123" s="116"/>
      <c r="F1123" s="116"/>
      <c r="G1123" s="99" t="str">
        <v>00A15</v>
      </c>
      <c r="H1123" s="99" t="str">
        <v>0b27</v>
      </c>
      <c r="I1123" s="116"/>
      <c r="J1123" s="116"/>
      <c r="K1123" s="99" t="str">
        <f t="array" ref="K1123">INDEX(C:C,SMALL(IF(ISNUMBER(SEARCH($J$1121,$B$1121:$B$1128)),ROW($B$1121:$B$1128),1129),ROW(3:3)))&amp;""</f>
        <v>00A15</v>
      </c>
      <c r="L1123" s="99" t="str">
        <f t="array" ref="L1123">INDEX(D:D,SMALL(IF(ISNUMBER(SEARCH($J$1121,$B$1121:$B$1128)),ROW($B$1121:$B$1128),1129),ROW(3:3)))&amp;""</f>
        <v>0b27</v>
      </c>
      <c r="M1123" s="116"/>
      <c r="N1123" s="116" t="s">
        <v>2284</v>
      </c>
      <c r="O1123" s="116"/>
      <c r="P1123" s="116"/>
      <c r="Q1123" s="116"/>
      <c r="R1123" s="116"/>
      <c r="S1123" s="116"/>
      <c r="T1123" s="116"/>
      <c r="U1123" s="116"/>
      <c r="V1123" s="116"/>
      <c r="W1123" s="116"/>
      <c r="X1123" s="326"/>
    </row>
    <row r="1124" spans="2:24" ht="18.95" customHeight="1">
      <c r="B1124" s="456" t="s">
        <v>2285</v>
      </c>
      <c r="C1124" s="99" t="s">
        <v>2286</v>
      </c>
      <c r="D1124" s="99" t="s">
        <v>2287</v>
      </c>
      <c r="E1124" s="116"/>
      <c r="F1124" s="116"/>
      <c r="G1124" s="99" t="str">
        <v>00A16</v>
      </c>
      <c r="H1124" s="99" t="str">
        <v>0b28</v>
      </c>
      <c r="I1124" s="116"/>
      <c r="J1124" s="116"/>
      <c r="K1124" s="99" t="str">
        <f t="array" ref="K1124">INDEX(C:C,SMALL(IF(ISNUMBER(SEARCH($J$1121,$B$1121:$B$1128)),ROW($B$1121:$B$1128),1129),ROW(4:4)))&amp;""</f>
        <v>00A16</v>
      </c>
      <c r="L1124" s="99" t="str">
        <f t="array" ref="L1124">INDEX(D:D,SMALL(IF(ISNUMBER(SEARCH($J$1121,$B$1121:$B$1128)),ROW($B$1121:$B$1128),1129),ROW(4:4)))&amp;""</f>
        <v>0b28</v>
      </c>
      <c r="M1124" s="116"/>
      <c r="N1124" s="116"/>
      <c r="O1124" s="116"/>
      <c r="P1124" s="116"/>
      <c r="Q1124" s="116"/>
      <c r="R1124" s="116"/>
      <c r="S1124" s="116"/>
      <c r="T1124" s="116"/>
      <c r="U1124" s="116"/>
      <c r="V1124" s="116"/>
      <c r="W1124" s="116"/>
      <c r="X1124" s="326"/>
    </row>
    <row r="1125" spans="2:24" ht="18.95" customHeight="1">
      <c r="B1125" s="456" t="s">
        <v>2272</v>
      </c>
      <c r="C1125" s="99" t="s">
        <v>2288</v>
      </c>
      <c r="D1125" s="99" t="s">
        <v>2289</v>
      </c>
      <c r="E1125" s="116"/>
      <c r="F1125" s="116"/>
      <c r="G1125" s="99"/>
      <c r="H1125" s="99"/>
      <c r="I1125" s="116"/>
      <c r="J1125" s="116"/>
      <c r="K1125" s="99" t="str">
        <f t="array" ref="K1125">INDEX(C:C,SMALL(IF(ISNUMBER(SEARCH($J$1121,$B$1121:$B$1128)),ROW($B$1121:$B$1128),1129),ROW(5:5)))&amp;""</f>
        <v/>
      </c>
      <c r="L1125" s="99" t="str">
        <f t="array" ref="L1125">INDEX(D:D,SMALL(IF(ISNUMBER(SEARCH($J$1121,$B$1121:$B$1128)),ROW($B$1121:$B$1128),1129),ROW(5:5)))&amp;""</f>
        <v/>
      </c>
      <c r="M1125" s="116"/>
      <c r="N1125" s="116"/>
      <c r="O1125" s="116"/>
      <c r="P1125" s="116"/>
      <c r="Q1125" s="116"/>
      <c r="R1125" s="116"/>
      <c r="S1125" s="116"/>
      <c r="T1125" s="116"/>
      <c r="U1125" s="116"/>
      <c r="V1125" s="116"/>
      <c r="W1125" s="116"/>
      <c r="X1125" s="326"/>
    </row>
    <row r="1126" spans="2:24" ht="18.95" customHeight="1">
      <c r="B1126" s="456" t="s">
        <v>2290</v>
      </c>
      <c r="C1126" s="99" t="s">
        <v>2291</v>
      </c>
      <c r="D1126" s="99" t="s">
        <v>2292</v>
      </c>
      <c r="E1126" s="116"/>
      <c r="F1126" s="116"/>
      <c r="G1126" s="99"/>
      <c r="H1126" s="99"/>
      <c r="I1126" s="116"/>
      <c r="J1126" s="116"/>
      <c r="K1126" s="99" t="str">
        <f t="array" ref="K1126">INDEX(C:C,SMALL(IF(ISNUMBER(SEARCH($J$1121,$B$1121:$B$1128)),ROW($B$1121:$B$1128),1129),ROW(6:6)))&amp;""</f>
        <v/>
      </c>
      <c r="L1126" s="99" t="str">
        <f t="array" ref="L1126">INDEX(D:D,SMALL(IF(ISNUMBER(SEARCH($J$1121,$B$1121:$B$1128)),ROW($B$1121:$B$1128),1129),ROW(6:6)))&amp;""</f>
        <v/>
      </c>
      <c r="M1126" s="116"/>
      <c r="N1126" s="116"/>
      <c r="O1126" s="116"/>
      <c r="P1126" s="116"/>
      <c r="Q1126" s="116"/>
      <c r="R1126" s="116"/>
      <c r="S1126" s="116"/>
      <c r="T1126" s="116"/>
      <c r="U1126" s="116"/>
      <c r="V1126" s="116"/>
      <c r="W1126" s="116"/>
      <c r="X1126" s="326"/>
    </row>
    <row r="1127" spans="2:24" ht="18.95" customHeight="1">
      <c r="B1127" s="456" t="s">
        <v>2281</v>
      </c>
      <c r="C1127" s="99" t="s">
        <v>2293</v>
      </c>
      <c r="D1127" s="99" t="s">
        <v>2294</v>
      </c>
      <c r="E1127" s="116"/>
      <c r="F1127" s="116"/>
      <c r="G1127" s="99"/>
      <c r="H1127" s="99"/>
      <c r="I1127" s="116"/>
      <c r="J1127" s="116"/>
      <c r="K1127" s="99" t="str">
        <f t="array" ref="K1127">INDEX(C:C,SMALL(IF(ISNUMBER(SEARCH($J$1121,$B$1121:$B$1128)),ROW($B$1121:$B$1128),1129),ROW(7:7)))&amp;""</f>
        <v/>
      </c>
      <c r="L1127" s="99" t="str">
        <f t="array" ref="L1127">INDEX(D:D,SMALL(IF(ISNUMBER(SEARCH($J$1121,$B$1121:$B$1128)),ROW($B$1121:$B$1128),1129),ROW(7:7)))&amp;""</f>
        <v/>
      </c>
      <c r="M1127" s="116"/>
      <c r="N1127" s="116"/>
      <c r="O1127" s="116"/>
      <c r="P1127" s="116"/>
      <c r="Q1127" s="116"/>
      <c r="R1127" s="116"/>
      <c r="S1127" s="116"/>
      <c r="T1127" s="116"/>
      <c r="U1127" s="116"/>
      <c r="V1127" s="116"/>
      <c r="W1127" s="116"/>
      <c r="X1127" s="326"/>
    </row>
    <row r="1128" spans="2:24" ht="18.95" customHeight="1">
      <c r="B1128" s="456" t="s">
        <v>2285</v>
      </c>
      <c r="C1128" s="99" t="s">
        <v>2295</v>
      </c>
      <c r="D1128" s="99" t="s">
        <v>2296</v>
      </c>
      <c r="E1128" s="116"/>
      <c r="F1128" s="116"/>
      <c r="G1128" s="99"/>
      <c r="H1128" s="99"/>
      <c r="I1128" s="116"/>
      <c r="J1128" s="116"/>
      <c r="K1128" s="99" t="str">
        <f t="array" ref="K1128">INDEX(C:C,SMALL(IF(ISNUMBER(SEARCH($J$1121,$B$1121:$B$1128)),ROW($B$1121:$B$1128),1129),ROW(8:8)))&amp;""</f>
        <v/>
      </c>
      <c r="L1128" s="99" t="str">
        <f t="array" ref="L1128">INDEX(D:D,SMALL(IF(ISNUMBER(SEARCH($J$1121,$B$1121:$B$1128)),ROW($B$1121:$B$1128),1129),ROW(8:8)))&amp;""</f>
        <v/>
      </c>
      <c r="M1128" s="116"/>
      <c r="N1128" s="116"/>
      <c r="O1128" s="116"/>
      <c r="P1128" s="116"/>
      <c r="Q1128" s="116"/>
      <c r="R1128" s="116"/>
      <c r="S1128" s="116"/>
      <c r="T1128" s="116"/>
      <c r="U1128" s="116"/>
      <c r="V1128" s="116"/>
      <c r="W1128" s="116"/>
      <c r="X1128" s="326"/>
    </row>
    <row r="1129" spans="2:24" ht="18.95" customHeight="1">
      <c r="B1129" s="254"/>
      <c r="C1129" s="116"/>
      <c r="D1129" s="116"/>
      <c r="E1129" s="116"/>
      <c r="F1129" s="116"/>
      <c r="G1129" s="116" t="s">
        <v>2297</v>
      </c>
      <c r="H1129" s="116"/>
      <c r="I1129" s="116"/>
      <c r="J1129" s="116"/>
      <c r="K1129" s="116"/>
      <c r="L1129" s="116"/>
      <c r="M1129" s="116"/>
      <c r="N1129" s="116"/>
      <c r="O1129" s="116"/>
      <c r="P1129" s="116"/>
      <c r="Q1129" s="116"/>
      <c r="R1129" s="116"/>
      <c r="S1129" s="116"/>
      <c r="T1129" s="116"/>
      <c r="U1129" s="116"/>
      <c r="V1129" s="116"/>
      <c r="W1129" s="116"/>
      <c r="X1129" s="326"/>
    </row>
    <row r="1130" spans="2:24" ht="18.95" customHeight="1">
      <c r="B1130" s="254"/>
      <c r="C1130" s="116"/>
      <c r="D1130" s="116"/>
      <c r="E1130" s="116"/>
      <c r="F1130" s="116"/>
      <c r="G1130" s="116" t="s">
        <v>2298</v>
      </c>
      <c r="H1130" s="116"/>
      <c r="I1130" s="116"/>
      <c r="J1130" s="116"/>
      <c r="K1130" s="116"/>
      <c r="L1130" s="116" t="s">
        <v>2299</v>
      </c>
      <c r="M1130" s="116"/>
      <c r="N1130" s="116"/>
      <c r="O1130" s="116"/>
      <c r="P1130" s="116"/>
      <c r="Q1130" s="116"/>
      <c r="R1130" s="116"/>
      <c r="S1130" s="116"/>
      <c r="T1130" s="116"/>
      <c r="U1130" s="116"/>
      <c r="V1130" s="116"/>
      <c r="W1130" s="116"/>
      <c r="X1130" s="326"/>
    </row>
    <row r="1131" spans="2:24" ht="18.95" customHeight="1">
      <c r="B1131" s="254"/>
      <c r="C1131" s="116"/>
      <c r="D1131" s="116"/>
      <c r="E1131" s="116"/>
      <c r="F1131" s="116"/>
      <c r="G1131" s="116"/>
      <c r="H1131" s="116"/>
      <c r="I1131" s="116"/>
      <c r="J1131" s="116"/>
      <c r="K1131" s="116"/>
      <c r="L1131" s="116"/>
      <c r="M1131" s="116"/>
      <c r="N1131" s="116"/>
      <c r="O1131" s="116"/>
      <c r="P1131" s="116"/>
      <c r="Q1131" s="116"/>
      <c r="R1131" s="116"/>
      <c r="S1131" s="116"/>
      <c r="T1131" s="116"/>
      <c r="U1131" s="116"/>
      <c r="V1131" s="116"/>
      <c r="W1131" s="116"/>
      <c r="X1131" s="326"/>
    </row>
    <row r="1132" spans="2:24" ht="18.95" customHeight="1">
      <c r="B1132" s="254"/>
      <c r="C1132" s="116"/>
      <c r="D1132" s="116"/>
      <c r="E1132" s="116"/>
      <c r="F1132" s="99" t="s">
        <v>925</v>
      </c>
      <c r="G1132" s="99" t="s">
        <v>2270</v>
      </c>
      <c r="H1132" s="99" t="s">
        <v>2271</v>
      </c>
      <c r="I1132" s="116"/>
      <c r="J1132" s="116"/>
      <c r="K1132" s="116"/>
      <c r="L1132" s="116"/>
      <c r="M1132" s="116"/>
      <c r="N1132" s="116"/>
      <c r="O1132" s="116"/>
      <c r="P1132" s="116"/>
      <c r="Q1132" s="116"/>
      <c r="R1132" s="116"/>
      <c r="S1132" s="116"/>
      <c r="T1132" s="116"/>
      <c r="U1132" s="116"/>
      <c r="V1132" s="116"/>
      <c r="W1132" s="116"/>
      <c r="X1132" s="326"/>
    </row>
    <row r="1133" spans="2:24" ht="18.95" customHeight="1">
      <c r="B1133" s="254"/>
      <c r="C1133" s="116"/>
      <c r="D1133" s="116"/>
      <c r="E1133" s="116"/>
      <c r="F1133" s="594" t="s">
        <v>2300</v>
      </c>
      <c r="G1133" s="99" t="str">
        <f t="array" ref="G1133:H1140">IFERROR(_xlfn._xlws.FILTER(C1121:D1128,1-ISERR(SEARCH(F1133,B1121:B1128))),"")</f>
        <v>00A10</v>
      </c>
      <c r="H1133" s="99" t="str">
        <v>0b22</v>
      </c>
      <c r="I1133" s="116"/>
      <c r="J1133" s="116" t="s">
        <v>2301</v>
      </c>
      <c r="K1133" s="116"/>
      <c r="L1133" s="116"/>
      <c r="M1133" s="116"/>
      <c r="N1133" s="116"/>
      <c r="O1133" s="116"/>
      <c r="P1133" s="116"/>
      <c r="Q1133" s="116"/>
      <c r="R1133" s="116"/>
      <c r="S1133" s="116"/>
      <c r="T1133" s="116"/>
      <c r="U1133" s="116"/>
      <c r="V1133" s="116"/>
      <c r="W1133" s="116"/>
      <c r="X1133" s="326"/>
    </row>
    <row r="1134" spans="2:24" ht="18.95" customHeight="1">
      <c r="B1134" s="254"/>
      <c r="C1134" s="116"/>
      <c r="D1134" s="116"/>
      <c r="E1134" s="116"/>
      <c r="F1134" s="116"/>
      <c r="G1134" s="99" t="str">
        <v>00A11</v>
      </c>
      <c r="H1134" s="99" t="str">
        <v>0b23</v>
      </c>
      <c r="I1134" s="116"/>
      <c r="J1134" s="116" t="s">
        <v>2302</v>
      </c>
      <c r="K1134" s="116"/>
      <c r="L1134" s="116"/>
      <c r="M1134" s="116"/>
      <c r="N1134" s="116"/>
      <c r="O1134" s="116"/>
      <c r="P1134" s="116"/>
      <c r="Q1134" s="116"/>
      <c r="R1134" s="116"/>
      <c r="S1134" s="116"/>
      <c r="T1134" s="116"/>
      <c r="U1134" s="116"/>
      <c r="V1134" s="116"/>
      <c r="W1134" s="116"/>
      <c r="X1134" s="326"/>
    </row>
    <row r="1135" spans="2:24" ht="18.95" customHeight="1">
      <c r="B1135" s="254"/>
      <c r="C1135" s="478" t="s">
        <v>2950</v>
      </c>
      <c r="D1135" s="478" t="s">
        <v>2952</v>
      </c>
      <c r="E1135" s="116"/>
      <c r="F1135" s="116"/>
      <c r="G1135" s="99" t="str">
        <v>00A12</v>
      </c>
      <c r="H1135" s="99" t="str">
        <v>0b24</v>
      </c>
      <c r="I1135" s="116"/>
      <c r="J1135" s="116"/>
      <c r="K1135" s="116"/>
      <c r="L1135" s="116"/>
      <c r="M1135" s="116"/>
      <c r="N1135" s="116"/>
      <c r="O1135" s="116"/>
      <c r="P1135" s="116"/>
      <c r="Q1135" s="116"/>
      <c r="R1135" s="116"/>
      <c r="S1135" s="116"/>
      <c r="T1135" s="116"/>
      <c r="U1135" s="116"/>
      <c r="V1135" s="116"/>
      <c r="W1135" s="116"/>
      <c r="X1135" s="326"/>
    </row>
    <row r="1136" spans="2:24" ht="18.95" customHeight="1">
      <c r="B1136" s="254"/>
      <c r="C1136" s="478" t="s">
        <v>2951</v>
      </c>
      <c r="D1136" s="478" t="s">
        <v>2953</v>
      </c>
      <c r="E1136" s="116"/>
      <c r="F1136" s="116"/>
      <c r="G1136" s="99" t="str">
        <v>00A14</v>
      </c>
      <c r="H1136" s="99" t="str">
        <v>0b26</v>
      </c>
      <c r="I1136" s="116"/>
      <c r="J1136" s="116"/>
      <c r="K1136" s="116"/>
      <c r="L1136" s="116"/>
      <c r="M1136" s="116"/>
      <c r="N1136" s="116"/>
      <c r="O1136" s="116"/>
      <c r="P1136" s="116"/>
      <c r="Q1136" s="116"/>
      <c r="R1136" s="116"/>
      <c r="S1136" s="116"/>
      <c r="T1136" s="116"/>
      <c r="U1136" s="116"/>
      <c r="V1136" s="116"/>
      <c r="W1136" s="116"/>
      <c r="X1136" s="326"/>
    </row>
    <row r="1137" spans="2:24" ht="18.95" customHeight="1">
      <c r="B1137" s="254"/>
      <c r="C1137" s="116"/>
      <c r="D1137" s="116"/>
      <c r="E1137" s="116"/>
      <c r="F1137" s="116"/>
      <c r="G1137" s="99" t="str">
        <v>00A15</v>
      </c>
      <c r="H1137" s="99" t="str">
        <v>0b27</v>
      </c>
      <c r="I1137" s="116"/>
      <c r="J1137" s="116"/>
      <c r="K1137" s="116"/>
      <c r="L1137" s="116"/>
      <c r="M1137" s="116"/>
      <c r="N1137" s="116"/>
      <c r="O1137" s="116"/>
      <c r="P1137" s="116"/>
      <c r="Q1137" s="116"/>
      <c r="R1137" s="116"/>
      <c r="S1137" s="116"/>
      <c r="T1137" s="116"/>
      <c r="U1137" s="116"/>
      <c r="V1137" s="116"/>
      <c r="W1137" s="116"/>
      <c r="X1137" s="326"/>
    </row>
    <row r="1138" spans="2:24" ht="18.95" customHeight="1">
      <c r="B1138" s="254"/>
      <c r="C1138" s="116"/>
      <c r="D1138" s="116"/>
      <c r="E1138" s="116"/>
      <c r="F1138" s="116"/>
      <c r="G1138" s="99" t="str">
        <v>00A16</v>
      </c>
      <c r="H1138" s="99" t="str">
        <v>0b28</v>
      </c>
      <c r="I1138" s="116"/>
      <c r="J1138" s="116"/>
      <c r="K1138" s="116"/>
      <c r="L1138" s="116"/>
      <c r="M1138" s="116"/>
      <c r="N1138" s="116"/>
      <c r="O1138" s="116"/>
      <c r="P1138" s="116"/>
      <c r="Q1138" s="116"/>
      <c r="R1138" s="116"/>
      <c r="S1138" s="116"/>
      <c r="T1138" s="116"/>
      <c r="U1138" s="116"/>
      <c r="V1138" s="116"/>
      <c r="W1138" s="116"/>
      <c r="X1138" s="326"/>
    </row>
    <row r="1139" spans="2:24" ht="18.95" customHeight="1">
      <c r="B1139" s="254"/>
      <c r="C1139" s="116"/>
      <c r="D1139" s="116"/>
      <c r="E1139" s="116"/>
      <c r="F1139" s="116"/>
      <c r="G1139" s="99" t="str">
        <v/>
      </c>
      <c r="H1139" s="99" t="str">
        <v/>
      </c>
      <c r="I1139" s="116"/>
      <c r="J1139" s="116"/>
      <c r="K1139" s="116"/>
      <c r="L1139" s="116"/>
      <c r="M1139" s="116"/>
      <c r="N1139" s="116"/>
      <c r="O1139" s="116"/>
      <c r="P1139" s="116"/>
      <c r="Q1139" s="116"/>
      <c r="R1139" s="116"/>
      <c r="S1139" s="116"/>
      <c r="T1139" s="116"/>
      <c r="U1139" s="116"/>
      <c r="V1139" s="116"/>
      <c r="W1139" s="116"/>
      <c r="X1139" s="326"/>
    </row>
    <row r="1140" spans="2:24" ht="18.95" customHeight="1">
      <c r="B1140" s="254"/>
      <c r="C1140" s="116"/>
      <c r="D1140" s="116"/>
      <c r="E1140" s="116"/>
      <c r="F1140" s="116"/>
      <c r="G1140" s="99" t="str">
        <v/>
      </c>
      <c r="H1140" s="99" t="str">
        <v/>
      </c>
      <c r="I1140" s="116"/>
      <c r="J1140" s="116"/>
      <c r="K1140" s="116"/>
      <c r="L1140" s="116"/>
      <c r="M1140" s="116"/>
      <c r="N1140" s="116"/>
      <c r="O1140" s="116"/>
      <c r="P1140" s="116"/>
      <c r="Q1140" s="116"/>
      <c r="R1140" s="116"/>
      <c r="S1140" s="116"/>
      <c r="T1140" s="116"/>
      <c r="U1140" s="116"/>
      <c r="V1140" s="116"/>
      <c r="W1140" s="116"/>
      <c r="X1140" s="326"/>
    </row>
    <row r="1141" spans="2:24" ht="18.95" customHeight="1">
      <c r="B1141" s="304"/>
      <c r="C1141" s="305"/>
      <c r="D1141" s="305"/>
      <c r="E1141" s="305"/>
      <c r="F1141" s="305"/>
      <c r="G1141" s="305"/>
      <c r="H1141" s="305"/>
      <c r="I1141" s="305"/>
      <c r="J1141" s="305"/>
      <c r="K1141" s="305"/>
      <c r="L1141" s="305"/>
      <c r="M1141" s="305"/>
      <c r="N1141" s="305"/>
      <c r="O1141" s="305"/>
      <c r="P1141" s="305"/>
      <c r="Q1141" s="305"/>
      <c r="R1141" s="305"/>
      <c r="S1141" s="305"/>
      <c r="T1141" s="305"/>
      <c r="U1141" s="305"/>
      <c r="V1141" s="305"/>
      <c r="W1141" s="305"/>
      <c r="X1141" s="327"/>
    </row>
    <row r="1144" spans="2:24" ht="18.95" customHeight="1">
      <c r="B1144" s="563" t="s">
        <v>2303</v>
      </c>
      <c r="C1144" s="595">
        <v>1</v>
      </c>
      <c r="D1144" s="282"/>
      <c r="E1144" s="282"/>
      <c r="F1144" s="282"/>
      <c r="G1144" s="282"/>
      <c r="H1144" s="324"/>
      <c r="I1144" s="324"/>
      <c r="J1144" s="324"/>
      <c r="K1144" s="324"/>
      <c r="L1144" s="324"/>
      <c r="M1144" s="324"/>
      <c r="N1144" s="324"/>
      <c r="O1144" s="324"/>
      <c r="P1144" s="324"/>
      <c r="Q1144" s="324"/>
      <c r="R1144" s="324"/>
      <c r="S1144" s="324"/>
      <c r="T1144" s="325"/>
    </row>
    <row r="1145" spans="2:24" ht="18.95" customHeight="1">
      <c r="B1145" s="288" t="s">
        <v>2304</v>
      </c>
      <c r="C1145" s="596">
        <v>2</v>
      </c>
      <c r="D1145" s="105"/>
      <c r="E1145" s="105" t="s">
        <v>2305</v>
      </c>
      <c r="F1145" s="105"/>
      <c r="G1145" s="105">
        <f>SUMIF(B1144:B1148,"&gt;="&amp;TEXT(E1145-1,"yyyy-mm-dd-"),C1144:C1148)</f>
        <v>12</v>
      </c>
      <c r="H1145" s="116">
        <f>SUMIF(B1144:B1148,"&gt;="&amp;TEXT(E1145,"yyyy-mm-dd-"),C1144:C1148)</f>
        <v>9</v>
      </c>
      <c r="I1145" s="116"/>
      <c r="J1145" s="116"/>
      <c r="K1145" s="116"/>
      <c r="L1145" s="116"/>
      <c r="M1145" s="116"/>
      <c r="N1145" s="116"/>
      <c r="O1145" s="116"/>
      <c r="P1145" s="116"/>
      <c r="Q1145" s="116"/>
      <c r="R1145" s="116"/>
      <c r="S1145" s="116"/>
      <c r="T1145" s="326"/>
    </row>
    <row r="1146" spans="2:24" ht="18.95" customHeight="1">
      <c r="B1146" s="288" t="s">
        <v>2305</v>
      </c>
      <c r="C1146" s="596">
        <v>3</v>
      </c>
      <c r="D1146" s="105"/>
      <c r="E1146" s="284">
        <v>44621</v>
      </c>
      <c r="F1146" s="105"/>
      <c r="G1146" s="105">
        <f>SUMIF(B1144:B1148,"&gt;="&amp;TEXT(E1146-1,"yyyy-mm-dd-"),C1144:C1148)</f>
        <v>12</v>
      </c>
      <c r="H1146" s="116">
        <f>SUMIF(B1144:B1148,"&gt;="&amp;TEXT(E1146,"yyyy-mm-dd-"),C1144:C1148)</f>
        <v>9</v>
      </c>
      <c r="I1146" s="116"/>
      <c r="J1146" s="116"/>
      <c r="K1146" s="116"/>
      <c r="L1146" s="116"/>
      <c r="M1146" s="116"/>
      <c r="N1146" s="116"/>
      <c r="O1146" s="116"/>
      <c r="P1146" s="116"/>
      <c r="Q1146" s="116"/>
      <c r="R1146" s="116"/>
      <c r="S1146" s="116"/>
      <c r="T1146" s="326"/>
    </row>
    <row r="1147" spans="2:24" ht="18.95" customHeight="1">
      <c r="B1147" s="288" t="s">
        <v>2306</v>
      </c>
      <c r="C1147" s="596">
        <v>4</v>
      </c>
      <c r="D1147" s="105"/>
      <c r="E1147" s="105"/>
      <c r="F1147" s="105"/>
      <c r="G1147" s="116" t="s">
        <v>2307</v>
      </c>
      <c r="H1147" s="116" t="s">
        <v>2308</v>
      </c>
      <c r="I1147" s="116"/>
      <c r="J1147" s="116"/>
      <c r="K1147" s="116"/>
      <c r="L1147" s="116"/>
      <c r="M1147" s="116"/>
      <c r="N1147" s="116"/>
      <c r="O1147" s="116"/>
      <c r="P1147" s="116"/>
      <c r="Q1147" s="116"/>
      <c r="R1147" s="116"/>
      <c r="S1147" s="116"/>
      <c r="T1147" s="326"/>
    </row>
    <row r="1148" spans="2:24" ht="18.95" customHeight="1">
      <c r="B1148" s="288" t="s">
        <v>2309</v>
      </c>
      <c r="C1148" s="596">
        <v>5</v>
      </c>
      <c r="D1148" s="105"/>
      <c r="E1148" s="105"/>
      <c r="F1148" s="105"/>
      <c r="G1148" s="105"/>
      <c r="H1148" s="116"/>
      <c r="I1148" s="116"/>
      <c r="J1148" s="116"/>
      <c r="K1148" s="116"/>
      <c r="L1148" s="116"/>
      <c r="M1148" s="116"/>
      <c r="N1148" s="116"/>
      <c r="O1148" s="116"/>
      <c r="P1148" s="116"/>
      <c r="Q1148" s="116"/>
      <c r="R1148" s="116"/>
      <c r="S1148" s="116"/>
      <c r="T1148" s="326"/>
    </row>
    <row r="1149" spans="2:24" ht="18.95" customHeight="1">
      <c r="B1149" s="254"/>
      <c r="C1149" s="116"/>
      <c r="D1149" s="116"/>
      <c r="E1149" s="116"/>
      <c r="F1149" s="116"/>
      <c r="G1149" s="116"/>
      <c r="H1149" s="116"/>
      <c r="I1149" s="116"/>
      <c r="J1149" s="116"/>
      <c r="K1149" s="116"/>
      <c r="L1149" s="116"/>
      <c r="M1149" s="116"/>
      <c r="N1149" s="116"/>
      <c r="O1149" s="116"/>
      <c r="P1149" s="116"/>
      <c r="Q1149" s="116"/>
      <c r="R1149" s="116"/>
      <c r="S1149" s="116"/>
      <c r="T1149" s="326"/>
    </row>
    <row r="1150" spans="2:24" ht="18.95" customHeight="1">
      <c r="B1150" s="254"/>
      <c r="C1150" s="116" t="s">
        <v>2310</v>
      </c>
      <c r="D1150" s="116"/>
      <c r="E1150" s="116"/>
      <c r="F1150" s="116"/>
      <c r="G1150" s="116"/>
      <c r="H1150" s="116"/>
      <c r="I1150" s="563" t="s">
        <v>2311</v>
      </c>
      <c r="J1150" s="282"/>
      <c r="K1150" s="282"/>
      <c r="L1150" s="282"/>
      <c r="M1150" s="282"/>
      <c r="N1150" s="282"/>
      <c r="O1150" s="282"/>
      <c r="P1150" s="282"/>
      <c r="Q1150" s="282"/>
      <c r="R1150" s="282"/>
      <c r="S1150" s="597"/>
      <c r="T1150" s="326"/>
    </row>
    <row r="1151" spans="2:24" ht="18.95" customHeight="1">
      <c r="B1151" s="254"/>
      <c r="C1151" s="116" t="s">
        <v>2312</v>
      </c>
      <c r="D1151" s="116"/>
      <c r="E1151" s="116"/>
      <c r="F1151" s="116"/>
      <c r="G1151" s="116"/>
      <c r="H1151" s="116"/>
      <c r="I1151" s="288" t="s">
        <v>2313</v>
      </c>
      <c r="J1151" s="105"/>
      <c r="K1151" s="105"/>
      <c r="L1151" s="105"/>
      <c r="M1151" s="105"/>
      <c r="N1151" s="105"/>
      <c r="O1151" s="105"/>
      <c r="P1151" s="105"/>
      <c r="Q1151" s="105"/>
      <c r="R1151" s="105"/>
      <c r="S1151" s="452"/>
      <c r="T1151" s="326"/>
    </row>
    <row r="1152" spans="2:24" ht="18.95" customHeight="1">
      <c r="B1152" s="254"/>
      <c r="C1152" s="116" t="s">
        <v>2314</v>
      </c>
      <c r="D1152" s="116"/>
      <c r="E1152" s="116"/>
      <c r="F1152" s="116"/>
      <c r="G1152" s="116"/>
      <c r="H1152" s="116"/>
      <c r="I1152" s="288" t="s">
        <v>2315</v>
      </c>
      <c r="J1152" s="105"/>
      <c r="K1152" s="105"/>
      <c r="L1152" s="105"/>
      <c r="M1152" s="105"/>
      <c r="N1152" s="105"/>
      <c r="O1152" s="105"/>
      <c r="P1152" s="105"/>
      <c r="Q1152" s="105"/>
      <c r="R1152" s="105"/>
      <c r="S1152" s="452"/>
      <c r="T1152" s="326"/>
    </row>
    <row r="1153" spans="2:20" ht="18.95" customHeight="1">
      <c r="B1153" s="254"/>
      <c r="C1153" s="116" t="s">
        <v>2316</v>
      </c>
      <c r="D1153" s="116"/>
      <c r="E1153" s="116"/>
      <c r="F1153" s="116"/>
      <c r="G1153" s="116"/>
      <c r="H1153" s="116"/>
      <c r="I1153" s="288" t="s">
        <v>2317</v>
      </c>
      <c r="J1153" s="105"/>
      <c r="K1153" s="105"/>
      <c r="L1153" s="105"/>
      <c r="M1153" s="105"/>
      <c r="N1153" s="105"/>
      <c r="O1153" s="105"/>
      <c r="P1153" s="105"/>
      <c r="Q1153" s="105"/>
      <c r="R1153" s="105"/>
      <c r="S1153" s="452"/>
      <c r="T1153" s="326"/>
    </row>
    <row r="1154" spans="2:20" ht="18.95" customHeight="1">
      <c r="B1154" s="254"/>
      <c r="C1154" s="116"/>
      <c r="D1154" s="116"/>
      <c r="E1154" s="116"/>
      <c r="F1154" s="116"/>
      <c r="G1154" s="116"/>
      <c r="H1154" s="116"/>
      <c r="I1154" s="288"/>
      <c r="J1154" s="105"/>
      <c r="K1154" s="105"/>
      <c r="L1154" s="105"/>
      <c r="M1154" s="105"/>
      <c r="N1154" s="105"/>
      <c r="O1154" s="105"/>
      <c r="P1154" s="105"/>
      <c r="Q1154" s="105"/>
      <c r="R1154" s="105"/>
      <c r="S1154" s="452"/>
      <c r="T1154" s="326"/>
    </row>
    <row r="1155" spans="2:20" ht="18.95" customHeight="1">
      <c r="B1155" s="254" t="s">
        <v>2318</v>
      </c>
      <c r="C1155" s="116"/>
      <c r="D1155" s="116"/>
      <c r="E1155" s="116"/>
      <c r="F1155" s="116"/>
      <c r="G1155" s="116"/>
      <c r="H1155" s="116"/>
      <c r="I1155" s="288"/>
      <c r="J1155" s="105"/>
      <c r="K1155" s="105"/>
      <c r="L1155" s="105"/>
      <c r="M1155" s="105"/>
      <c r="N1155" s="105"/>
      <c r="O1155" s="105"/>
      <c r="P1155" s="105"/>
      <c r="Q1155" s="105"/>
      <c r="R1155" s="105"/>
      <c r="S1155" s="452"/>
      <c r="T1155" s="326"/>
    </row>
    <row r="1156" spans="2:20" ht="18.95" customHeight="1">
      <c r="B1156" s="254"/>
      <c r="C1156" s="116" t="s">
        <v>2319</v>
      </c>
      <c r="D1156" s="116"/>
      <c r="E1156" s="116"/>
      <c r="F1156" s="116"/>
      <c r="G1156" s="116"/>
      <c r="H1156" s="116"/>
      <c r="I1156" s="288" t="s">
        <v>2320</v>
      </c>
      <c r="J1156" s="105"/>
      <c r="K1156" s="105"/>
      <c r="L1156" s="105"/>
      <c r="M1156" s="105"/>
      <c r="N1156" s="105"/>
      <c r="O1156" s="105"/>
      <c r="P1156" s="105"/>
      <c r="Q1156" s="105"/>
      <c r="R1156" s="105"/>
      <c r="S1156" s="452"/>
      <c r="T1156" s="326"/>
    </row>
    <row r="1157" spans="2:20" ht="18.95" customHeight="1">
      <c r="B1157" s="254"/>
      <c r="C1157" s="116" t="s">
        <v>2321</v>
      </c>
      <c r="D1157" s="116"/>
      <c r="E1157" s="116"/>
      <c r="F1157" s="116"/>
      <c r="G1157" s="116"/>
      <c r="H1157" s="116"/>
      <c r="I1157" s="288"/>
      <c r="J1157" s="105"/>
      <c r="K1157" s="105"/>
      <c r="L1157" s="105"/>
      <c r="M1157" s="105"/>
      <c r="N1157" s="105"/>
      <c r="O1157" s="105"/>
      <c r="P1157" s="105"/>
      <c r="Q1157" s="105"/>
      <c r="R1157" s="105"/>
      <c r="S1157" s="452"/>
      <c r="T1157" s="326"/>
    </row>
    <row r="1158" spans="2:20" ht="18.95" customHeight="1">
      <c r="B1158" s="254"/>
      <c r="C1158" s="116"/>
      <c r="D1158" s="116"/>
      <c r="E1158" s="116"/>
      <c r="F1158" s="116"/>
      <c r="G1158" s="116"/>
      <c r="H1158" s="116"/>
      <c r="I1158" s="611" t="s">
        <v>2322</v>
      </c>
      <c r="J1158" s="293"/>
      <c r="K1158" s="293"/>
      <c r="L1158" s="293"/>
      <c r="M1158" s="293"/>
      <c r="N1158" s="293"/>
      <c r="O1158" s="293"/>
      <c r="P1158" s="293"/>
      <c r="Q1158" s="293"/>
      <c r="R1158" s="293"/>
      <c r="S1158" s="291"/>
      <c r="T1158" s="326"/>
    </row>
    <row r="1159" spans="2:20" ht="18.95" customHeight="1">
      <c r="B1159" s="254" t="s">
        <v>2323</v>
      </c>
      <c r="C1159" s="116"/>
      <c r="D1159" s="116"/>
      <c r="E1159" s="116"/>
      <c r="F1159" s="116" t="s">
        <v>2569</v>
      </c>
      <c r="G1159" s="116"/>
      <c r="H1159" s="116"/>
      <c r="I1159" s="116"/>
      <c r="J1159" s="116"/>
      <c r="K1159" s="116"/>
      <c r="L1159" s="116"/>
      <c r="M1159" s="116"/>
      <c r="N1159" s="116"/>
      <c r="O1159" s="116"/>
      <c r="P1159" s="116"/>
      <c r="Q1159" s="116"/>
      <c r="R1159" s="116"/>
      <c r="S1159" s="116"/>
      <c r="T1159" s="326"/>
    </row>
    <row r="1160" spans="2:20" ht="18.95" customHeight="1">
      <c r="B1160" s="254"/>
      <c r="C1160" s="116"/>
      <c r="D1160" s="116"/>
      <c r="E1160" s="116"/>
      <c r="F1160" s="116"/>
      <c r="G1160" s="116"/>
      <c r="H1160" s="116"/>
      <c r="I1160" s="116"/>
      <c r="J1160" s="116"/>
      <c r="K1160" s="116"/>
      <c r="L1160" s="116"/>
      <c r="M1160" s="116"/>
      <c r="N1160" s="116"/>
      <c r="O1160" s="116"/>
      <c r="P1160" s="116"/>
      <c r="Q1160" s="116"/>
      <c r="R1160" s="116"/>
      <c r="S1160" s="116"/>
      <c r="T1160" s="326"/>
    </row>
    <row r="1161" spans="2:20" ht="18.95" customHeight="1">
      <c r="B1161" s="304"/>
      <c r="C1161" s="305"/>
      <c r="D1161" s="305"/>
      <c r="E1161" s="305"/>
      <c r="F1161" s="305"/>
      <c r="G1161" s="305"/>
      <c r="H1161" s="305"/>
      <c r="I1161" s="305"/>
      <c r="J1161" s="305"/>
      <c r="K1161" s="305"/>
      <c r="L1161" s="305"/>
      <c r="M1161" s="305"/>
      <c r="N1161" s="305"/>
      <c r="O1161" s="305"/>
      <c r="P1161" s="305"/>
      <c r="Q1161" s="305"/>
      <c r="R1161" s="305"/>
      <c r="S1161" s="305"/>
      <c r="T1161" s="327"/>
    </row>
    <row r="1163" spans="2:20" ht="18.95" customHeight="1" thickBot="1">
      <c r="F1163" s="305"/>
    </row>
    <row r="1164" spans="2:20" ht="18.95" customHeight="1">
      <c r="B1164" s="598"/>
      <c r="C1164" s="599"/>
      <c r="D1164" s="324"/>
      <c r="E1164" s="324"/>
      <c r="F1164" s="1017">
        <f t="array" ref="F1164">IFERROR(SMALL(IF($B$1164:$B$1180&lt;&gt;"",ROW($C$1:$C$17),""),ROW(1:1)),"")</f>
        <v>2</v>
      </c>
      <c r="G1164" s="599"/>
      <c r="H1164" s="599"/>
      <c r="I1164" s="307"/>
      <c r="J1164" s="599"/>
      <c r="K1164" s="324"/>
      <c r="L1164" s="324"/>
      <c r="M1164" s="324"/>
      <c r="N1164" s="324"/>
      <c r="O1164" s="324"/>
      <c r="P1164" s="324"/>
      <c r="Q1164" s="324"/>
      <c r="R1164" s="324"/>
      <c r="S1164" s="325"/>
    </row>
    <row r="1165" spans="2:20" ht="18.95" customHeight="1">
      <c r="B1165" s="600" t="s">
        <v>32</v>
      </c>
      <c r="C1165" s="601"/>
      <c r="D1165" s="116"/>
      <c r="E1165" s="116"/>
      <c r="F1165" s="1016">
        <f t="array" ref="F1165">IFERROR(SMALL(IF($B$1164:$B$1180&lt;&gt;"",ROW($C$1:$C$17),""),ROW(2:2)),"")</f>
        <v>3</v>
      </c>
      <c r="G1165" s="601"/>
      <c r="H1165" s="601"/>
      <c r="I1165" s="363">
        <v>2</v>
      </c>
      <c r="J1165" s="1124" t="s">
        <v>2324</v>
      </c>
      <c r="K1165" s="116"/>
      <c r="L1165" s="116"/>
      <c r="M1165" s="116"/>
      <c r="N1165" s="116"/>
      <c r="O1165" s="116"/>
      <c r="P1165" s="116"/>
      <c r="Q1165" s="116"/>
      <c r="R1165" s="116"/>
      <c r="S1165" s="326"/>
    </row>
    <row r="1166" spans="2:20" ht="18.95" customHeight="1">
      <c r="B1166" s="600" t="s">
        <v>2325</v>
      </c>
      <c r="C1166" s="601"/>
      <c r="D1166" s="116"/>
      <c r="E1166" s="116"/>
      <c r="F1166" s="1016">
        <f t="array" ref="F1166">IFERROR(SMALL(IF($B$1164:$B$1180&lt;&gt;"",ROW($C$1:$C$17),""),ROW(3:3)),"")</f>
        <v>5</v>
      </c>
      <c r="G1166" s="601"/>
      <c r="H1166" s="601"/>
      <c r="I1166" s="363">
        <v>3</v>
      </c>
      <c r="J1166" s="1125"/>
      <c r="K1166" s="116"/>
      <c r="L1166" s="116"/>
      <c r="M1166" s="116"/>
      <c r="N1166" s="116"/>
      <c r="O1166" s="116"/>
      <c r="P1166" s="116"/>
      <c r="Q1166" s="116"/>
      <c r="R1166" s="116"/>
      <c r="S1166" s="326"/>
    </row>
    <row r="1167" spans="2:20" ht="18.95" customHeight="1">
      <c r="B1167" s="600"/>
      <c r="C1167" s="601"/>
      <c r="D1167" s="116"/>
      <c r="E1167" s="116"/>
      <c r="F1167" s="1016">
        <f t="array" ref="F1167">IFERROR(SMALL(IF($B$1164:$B$1180&lt;&gt;"",ROW($C$1:$C$17),""),ROW(4:4)),"")</f>
        <v>6</v>
      </c>
      <c r="G1167" s="601"/>
      <c r="H1167" s="601"/>
      <c r="I1167" s="363">
        <v>5</v>
      </c>
      <c r="J1167" s="1125"/>
      <c r="K1167" s="116"/>
      <c r="L1167" s="116"/>
      <c r="M1167" s="116"/>
      <c r="N1167" s="116"/>
      <c r="O1167" s="116"/>
      <c r="P1167" s="116"/>
      <c r="Q1167" s="116"/>
      <c r="R1167" s="116"/>
      <c r="S1167" s="326"/>
    </row>
    <row r="1168" spans="2:20" ht="18.95" customHeight="1">
      <c r="B1168" s="600">
        <v>1</v>
      </c>
      <c r="C1168" s="601"/>
      <c r="D1168" s="116"/>
      <c r="E1168" s="116"/>
      <c r="F1168" s="1016">
        <f t="array" ref="F1168">IFERROR(SMALL(IF($B$1164:$B$1180&lt;&gt;"",ROW($C$1:$C$17),""),ROW(5:5)),"")</f>
        <v>8</v>
      </c>
      <c r="G1168" s="601"/>
      <c r="H1168" s="601"/>
      <c r="I1168" s="363">
        <v>6</v>
      </c>
      <c r="J1168" s="1125"/>
      <c r="K1168" s="116"/>
      <c r="L1168" s="116"/>
      <c r="M1168" s="116"/>
      <c r="N1168" s="116"/>
      <c r="O1168" s="116"/>
      <c r="P1168" s="116"/>
      <c r="Q1168" s="116"/>
      <c r="R1168" s="116"/>
      <c r="S1168" s="326"/>
    </row>
    <row r="1169" spans="2:19" ht="18.95" customHeight="1">
      <c r="B1169" s="600">
        <v>2</v>
      </c>
      <c r="C1169" s="601"/>
      <c r="D1169" s="116"/>
      <c r="E1169" s="116"/>
      <c r="F1169" s="1016">
        <f t="array" ref="F1169">IFERROR(SMALL(IF($B$1164:$B$1180&lt;&gt;"",ROW($C$1:$C$17),""),ROW(6:6)),"")</f>
        <v>12</v>
      </c>
      <c r="G1169" s="601"/>
      <c r="H1169" s="601"/>
      <c r="I1169" s="363">
        <v>8</v>
      </c>
      <c r="J1169" s="1125"/>
      <c r="K1169" s="116"/>
      <c r="L1169" s="116"/>
      <c r="M1169" s="116"/>
      <c r="N1169" s="116"/>
      <c r="O1169" s="116"/>
      <c r="P1169" s="116"/>
      <c r="Q1169" s="116"/>
      <c r="R1169" s="116"/>
      <c r="S1169" s="326"/>
    </row>
    <row r="1170" spans="2:19" ht="18.95" customHeight="1">
      <c r="B1170" s="600"/>
      <c r="C1170" s="601"/>
      <c r="D1170" s="116"/>
      <c r="E1170" s="116"/>
      <c r="F1170" s="1016">
        <f t="array" ref="F1170">IFERROR(SMALL(IF($B$1164:$B$1180&lt;&gt;"",ROW($C$1:$C$17),""),ROW(7:7)),"")</f>
        <v>13</v>
      </c>
      <c r="G1170" s="601"/>
      <c r="H1170" s="601"/>
      <c r="I1170" s="363">
        <v>12</v>
      </c>
      <c r="J1170" s="1125"/>
      <c r="K1170" s="116"/>
      <c r="L1170" s="116"/>
      <c r="M1170" s="116"/>
      <c r="N1170" s="116"/>
      <c r="O1170" s="116"/>
      <c r="P1170" s="116"/>
      <c r="Q1170" s="116"/>
      <c r="R1170" s="116"/>
      <c r="S1170" s="326"/>
    </row>
    <row r="1171" spans="2:19" ht="18.95" customHeight="1">
      <c r="B1171" s="600">
        <v>3</v>
      </c>
      <c r="C1171" s="601"/>
      <c r="D1171" s="116"/>
      <c r="E1171" s="116"/>
      <c r="F1171" s="1016">
        <f t="array" ref="F1171">IFERROR(SMALL(IF($B$1164:$B$1180&lt;&gt;"",ROW($C$1:$C$17),""),ROW(8:8)),"")</f>
        <v>17</v>
      </c>
      <c r="G1171" s="601"/>
      <c r="H1171" s="601"/>
      <c r="I1171" s="363">
        <v>13</v>
      </c>
      <c r="J1171" s="1125"/>
      <c r="K1171" s="116"/>
      <c r="L1171" s="116"/>
      <c r="M1171" s="116"/>
      <c r="N1171" s="116"/>
      <c r="O1171" s="116"/>
      <c r="P1171" s="116"/>
      <c r="Q1171" s="116"/>
      <c r="R1171" s="116"/>
      <c r="S1171" s="326"/>
    </row>
    <row r="1172" spans="2:19" ht="18.95" customHeight="1">
      <c r="B1172" s="600"/>
      <c r="C1172" s="601"/>
      <c r="D1172" s="116"/>
      <c r="E1172" s="116"/>
      <c r="F1172" s="601" t="str">
        <f t="array" ref="F1172">IFERROR(SMALL(IF($B$1164:$B$1180&lt;&gt;"",ROW($C$1:$C$17),""),ROW(9:9)),"")</f>
        <v/>
      </c>
      <c r="G1172" s="601"/>
      <c r="H1172" s="601"/>
      <c r="I1172" s="363">
        <v>17</v>
      </c>
      <c r="J1172" s="1126"/>
      <c r="K1172" s="116"/>
      <c r="L1172" s="116"/>
      <c r="M1172" s="116"/>
      <c r="N1172" s="116"/>
      <c r="O1172" s="116"/>
      <c r="P1172" s="116"/>
      <c r="Q1172" s="116"/>
      <c r="R1172" s="116"/>
      <c r="S1172" s="326"/>
    </row>
    <row r="1173" spans="2:19" ht="18.95" customHeight="1">
      <c r="B1173" s="600"/>
      <c r="C1173" s="601"/>
      <c r="D1173" s="116"/>
      <c r="E1173" s="116"/>
      <c r="F1173" s="601" t="str">
        <f t="array" ref="F1173">IFERROR(SMALL(IF($B$1164:$B$1180&lt;&gt;"",ROW($C$1:$C$17),""),ROW(10:10)),"")</f>
        <v/>
      </c>
      <c r="G1173" s="601"/>
      <c r="H1173" s="601"/>
      <c r="I1173" s="112"/>
      <c r="J1173" s="601"/>
      <c r="K1173" s="116"/>
      <c r="L1173" s="116"/>
      <c r="M1173" s="116"/>
      <c r="N1173" s="116"/>
      <c r="O1173" s="116"/>
      <c r="P1173" s="116"/>
      <c r="Q1173" s="116"/>
      <c r="R1173" s="116"/>
      <c r="S1173" s="326"/>
    </row>
    <row r="1174" spans="2:19" ht="18.95" customHeight="1">
      <c r="B1174" s="600"/>
      <c r="C1174" s="601"/>
      <c r="D1174" s="116"/>
      <c r="E1174" s="116"/>
      <c r="F1174" s="601" t="str">
        <f t="array" ref="F1174">IFERROR(SMALL(IF($B$1164:$B$1180&lt;&gt;"",ROW($C$1:$C$17),""),ROW(11:11)),"")</f>
        <v/>
      </c>
      <c r="G1174" s="601"/>
      <c r="H1174" s="601"/>
      <c r="I1174" s="112"/>
      <c r="J1174" s="601"/>
      <c r="K1174" s="116"/>
      <c r="L1174" s="116"/>
      <c r="M1174" s="116"/>
      <c r="N1174" s="116"/>
      <c r="O1174" s="116"/>
      <c r="P1174" s="116"/>
      <c r="Q1174" s="116"/>
      <c r="R1174" s="116"/>
      <c r="S1174" s="326"/>
    </row>
    <row r="1175" spans="2:19" ht="18.95" customHeight="1">
      <c r="B1175" s="600" t="s">
        <v>1714</v>
      </c>
      <c r="C1175" s="601"/>
      <c r="D1175" s="116"/>
      <c r="E1175" s="116"/>
      <c r="F1175" s="601" t="str">
        <f t="array" ref="F1175">IFERROR(SMALL(IF($B$1164:$B$1180&lt;&gt;"",ROW($C$1:$C$17),""),ROW(12:12)),"")</f>
        <v/>
      </c>
      <c r="G1175" s="601"/>
      <c r="H1175" s="601"/>
      <c r="I1175" s="112"/>
      <c r="J1175" s="601"/>
      <c r="K1175" s="116"/>
      <c r="L1175" s="116"/>
      <c r="M1175" s="116"/>
      <c r="N1175" s="116"/>
      <c r="O1175" s="116"/>
      <c r="P1175" s="116"/>
      <c r="Q1175" s="116"/>
      <c r="R1175" s="116"/>
      <c r="S1175" s="326"/>
    </row>
    <row r="1176" spans="2:19" ht="18.95" customHeight="1">
      <c r="B1176" s="600" t="s">
        <v>1791</v>
      </c>
      <c r="C1176" s="601"/>
      <c r="D1176" s="116"/>
      <c r="E1176" s="116"/>
      <c r="F1176" s="601" t="str">
        <f t="array" ref="F1176">IFERROR(SMALL(IF($B$1164:$B$1180&lt;&gt;"",ROW($C$1:$C$17),""),ROW(13:13)),"")</f>
        <v/>
      </c>
      <c r="G1176" s="601"/>
      <c r="H1176" s="601" t="s">
        <v>2568</v>
      </c>
      <c r="I1176" s="112"/>
      <c r="J1176" s="601"/>
      <c r="K1176" s="116"/>
      <c r="L1176" s="116"/>
      <c r="M1176" s="116"/>
      <c r="N1176" s="116"/>
      <c r="O1176" s="116"/>
      <c r="P1176" s="116"/>
      <c r="Q1176" s="116"/>
      <c r="R1176" s="116"/>
      <c r="S1176" s="326"/>
    </row>
    <row r="1177" spans="2:19" ht="18.95" customHeight="1">
      <c r="B1177" s="600"/>
      <c r="C1177" s="601"/>
      <c r="D1177" s="116"/>
      <c r="E1177" s="116"/>
      <c r="F1177" s="601" t="str">
        <f t="array" ref="F1177">IFERROR(SMALL(IF($B$1164:$B$1180&lt;&gt;"",ROW($C$1:$C$17),""),ROW(14:14)),"")</f>
        <v/>
      </c>
      <c r="G1177" s="601"/>
      <c r="H1177" s="601"/>
      <c r="I1177" s="112"/>
      <c r="J1177" s="601"/>
      <c r="K1177" s="116"/>
      <c r="L1177" s="116"/>
      <c r="M1177" s="116"/>
      <c r="N1177" s="116"/>
      <c r="O1177" s="116"/>
      <c r="P1177" s="116"/>
      <c r="Q1177" s="116"/>
      <c r="R1177" s="116"/>
      <c r="S1177" s="326"/>
    </row>
    <row r="1178" spans="2:19" ht="18.95" customHeight="1">
      <c r="B1178" s="600"/>
      <c r="C1178" s="601"/>
      <c r="D1178" s="116"/>
      <c r="E1178" s="116"/>
      <c r="F1178" s="601" t="str">
        <f t="array" ref="F1178">IFERROR(SMALL(IF($B$1164:$B$1180&lt;&gt;"",ROW($C$1:$C$17),""),ROW(15:15)),"")</f>
        <v/>
      </c>
      <c r="G1178" s="601"/>
      <c r="H1178" s="601"/>
      <c r="I1178" s="112"/>
      <c r="J1178" s="601"/>
      <c r="K1178" s="116"/>
      <c r="L1178" s="116"/>
      <c r="M1178" s="116"/>
      <c r="N1178" s="116"/>
      <c r="O1178" s="116"/>
      <c r="P1178" s="116"/>
      <c r="Q1178" s="116"/>
      <c r="R1178" s="116"/>
      <c r="S1178" s="326"/>
    </row>
    <row r="1179" spans="2:19" ht="18.95" customHeight="1">
      <c r="B1179" s="600"/>
      <c r="C1179" s="601"/>
      <c r="D1179" s="116"/>
      <c r="E1179" s="116"/>
      <c r="F1179" s="601" t="str">
        <f t="array" ref="F1179">IFERROR(SMALL(IF($B$1164:$B$1180&lt;&gt;"",ROW($C$1:$C$17),""),ROW(16:16)),"")</f>
        <v/>
      </c>
      <c r="G1179" s="601"/>
      <c r="H1179" s="601"/>
      <c r="I1179" s="112"/>
      <c r="J1179" s="601"/>
      <c r="K1179" s="116"/>
      <c r="L1179" s="116"/>
      <c r="M1179" s="116"/>
      <c r="N1179" s="116"/>
      <c r="O1179" s="116"/>
      <c r="P1179" s="116"/>
      <c r="Q1179" s="116"/>
      <c r="R1179" s="116"/>
      <c r="S1179" s="326"/>
    </row>
    <row r="1180" spans="2:19" ht="18.95" customHeight="1">
      <c r="B1180" s="600" t="s">
        <v>2326</v>
      </c>
      <c r="C1180" s="601"/>
      <c r="D1180" s="116"/>
      <c r="E1180" s="116"/>
      <c r="F1180" s="601" t="str">
        <f t="array" ref="F1180">IFERROR(SMALL(IF($B$1164:$B$1180&lt;&gt;"",ROW($C$1:$C$17),""),ROW(17:17)),"")</f>
        <v/>
      </c>
      <c r="G1180" s="601"/>
      <c r="H1180" s="601"/>
      <c r="I1180" s="112"/>
      <c r="J1180" s="601"/>
      <c r="K1180" s="116"/>
      <c r="L1180" s="116"/>
      <c r="M1180" s="116"/>
      <c r="N1180" s="116"/>
      <c r="O1180" s="116"/>
      <c r="P1180" s="116"/>
      <c r="Q1180" s="116"/>
      <c r="R1180" s="116"/>
      <c r="S1180" s="326"/>
    </row>
    <row r="1181" spans="2:19" ht="18.95" customHeight="1">
      <c r="B1181" s="304"/>
      <c r="C1181" s="305"/>
      <c r="D1181" s="305"/>
      <c r="E1181" s="305"/>
      <c r="F1181" s="305"/>
      <c r="G1181" s="305"/>
      <c r="H1181" s="305"/>
      <c r="I1181" s="305"/>
      <c r="J1181" s="305"/>
      <c r="K1181" s="305"/>
      <c r="L1181" s="305"/>
      <c r="M1181" s="305"/>
      <c r="N1181" s="305"/>
      <c r="O1181" s="305"/>
      <c r="P1181" s="305"/>
      <c r="Q1181" s="305"/>
      <c r="R1181" s="305"/>
      <c r="S1181" s="327"/>
    </row>
    <row r="1183" spans="2:19" ht="18.95" customHeight="1">
      <c r="B1183" s="333"/>
      <c r="C1183" s="324"/>
      <c r="D1183" s="324"/>
      <c r="E1183" s="324"/>
      <c r="F1183" s="324"/>
      <c r="G1183" s="324"/>
      <c r="H1183" s="324"/>
      <c r="I1183" s="324"/>
      <c r="J1183" s="324"/>
      <c r="K1183" s="324"/>
      <c r="L1183" s="324"/>
      <c r="M1183" s="324"/>
      <c r="N1183" s="324"/>
      <c r="O1183" s="324"/>
      <c r="P1183" s="324"/>
      <c r="Q1183" s="324"/>
      <c r="R1183" s="324"/>
      <c r="S1183" s="325"/>
    </row>
    <row r="1184" spans="2:19" ht="18.95" customHeight="1">
      <c r="B1184" s="602" t="s">
        <v>2327</v>
      </c>
      <c r="C1184" s="603" t="s">
        <v>43</v>
      </c>
      <c r="D1184" s="604" t="s">
        <v>2328</v>
      </c>
      <c r="E1184" s="604" t="s">
        <v>2329</v>
      </c>
      <c r="F1184" s="116"/>
      <c r="G1184" s="116"/>
      <c r="H1184" s="116"/>
      <c r="I1184" s="116"/>
      <c r="J1184" s="116"/>
      <c r="K1184" s="116"/>
      <c r="L1184" s="604" t="s">
        <v>2330</v>
      </c>
      <c r="M1184" s="603">
        <v>44228</v>
      </c>
      <c r="N1184" s="604" t="s">
        <v>2331</v>
      </c>
      <c r="O1184" s="604">
        <v>3498</v>
      </c>
      <c r="P1184" s="116"/>
      <c r="Q1184" s="116">
        <f>O1184</f>
        <v>3498</v>
      </c>
      <c r="R1184" s="116">
        <f>P1184+Q1184</f>
        <v>3498</v>
      </c>
      <c r="S1184" s="326"/>
    </row>
    <row r="1185" spans="2:19" ht="18.95" customHeight="1">
      <c r="B1185" s="602" t="s">
        <v>2330</v>
      </c>
      <c r="C1185" s="603">
        <v>44197</v>
      </c>
      <c r="D1185" s="604" t="s">
        <v>2332</v>
      </c>
      <c r="E1185" s="604">
        <v>3880</v>
      </c>
      <c r="F1185" s="116"/>
      <c r="G1185" s="116"/>
      <c r="H1185" s="116"/>
      <c r="I1185" s="116"/>
      <c r="J1185" s="116"/>
      <c r="K1185" s="116"/>
      <c r="L1185" s="604" t="s">
        <v>2330</v>
      </c>
      <c r="M1185" s="603">
        <v>44197</v>
      </c>
      <c r="N1185" s="604" t="s">
        <v>2333</v>
      </c>
      <c r="O1185" s="604">
        <v>3229</v>
      </c>
      <c r="P1185" s="116">
        <f>O1185+O1186</f>
        <v>8605</v>
      </c>
      <c r="Q1185" s="116"/>
      <c r="R1185" s="323">
        <f t="shared" ref="R1185:R1202" si="21">P1185+Q1185</f>
        <v>8605</v>
      </c>
      <c r="S1185" s="326"/>
    </row>
    <row r="1186" spans="2:19" ht="18.95" customHeight="1">
      <c r="B1186" s="602" t="s">
        <v>2330</v>
      </c>
      <c r="C1186" s="603">
        <v>44197</v>
      </c>
      <c r="D1186" s="604" t="s">
        <v>2334</v>
      </c>
      <c r="E1186" s="604">
        <v>4111</v>
      </c>
      <c r="F1186" s="116"/>
      <c r="G1186" s="116"/>
      <c r="H1186" s="116"/>
      <c r="I1186" s="116"/>
      <c r="J1186" s="116"/>
      <c r="K1186" s="116"/>
      <c r="L1186" s="604" t="s">
        <v>2330</v>
      </c>
      <c r="M1186" s="603">
        <v>44228</v>
      </c>
      <c r="N1186" s="604" t="s">
        <v>2333</v>
      </c>
      <c r="O1186" s="604">
        <v>5376</v>
      </c>
      <c r="P1186" s="116"/>
      <c r="Q1186" s="116"/>
      <c r="R1186" s="116">
        <f t="shared" si="21"/>
        <v>0</v>
      </c>
      <c r="S1186" s="326"/>
    </row>
    <row r="1187" spans="2:19" ht="18.95" customHeight="1">
      <c r="B1187" s="602" t="s">
        <v>2330</v>
      </c>
      <c r="C1187" s="603">
        <v>44197</v>
      </c>
      <c r="D1187" s="604" t="s">
        <v>2335</v>
      </c>
      <c r="E1187" s="604">
        <v>3497</v>
      </c>
      <c r="F1187" s="116"/>
      <c r="G1187" s="116"/>
      <c r="H1187" s="116"/>
      <c r="I1187" s="116"/>
      <c r="J1187" s="116"/>
      <c r="K1187" s="116"/>
      <c r="L1187" s="604" t="s">
        <v>2330</v>
      </c>
      <c r="M1187" s="603">
        <v>44197</v>
      </c>
      <c r="N1187" s="604" t="s">
        <v>2334</v>
      </c>
      <c r="O1187" s="604">
        <v>4111</v>
      </c>
      <c r="P1187" s="116">
        <f>O1187+O1188</f>
        <v>12049</v>
      </c>
      <c r="Q1187" s="116"/>
      <c r="R1187" s="323">
        <f t="shared" si="21"/>
        <v>12049</v>
      </c>
      <c r="S1187" s="326"/>
    </row>
    <row r="1188" spans="2:19" ht="18.95" customHeight="1">
      <c r="B1188" s="602" t="s">
        <v>2330</v>
      </c>
      <c r="C1188" s="603">
        <v>44197</v>
      </c>
      <c r="D1188" s="604" t="s">
        <v>2336</v>
      </c>
      <c r="E1188" s="604">
        <v>6748</v>
      </c>
      <c r="F1188" s="116"/>
      <c r="G1188" s="116"/>
      <c r="H1188" s="116"/>
      <c r="I1188" s="116"/>
      <c r="J1188" s="116"/>
      <c r="K1188" s="116"/>
      <c r="L1188" s="604" t="s">
        <v>2330</v>
      </c>
      <c r="M1188" s="603">
        <v>44228</v>
      </c>
      <c r="N1188" s="604" t="s">
        <v>2334</v>
      </c>
      <c r="O1188" s="604">
        <v>7938</v>
      </c>
      <c r="P1188" s="116"/>
      <c r="Q1188" s="116"/>
      <c r="R1188" s="116">
        <f t="shared" si="21"/>
        <v>0</v>
      </c>
      <c r="S1188" s="326"/>
    </row>
    <row r="1189" spans="2:19" ht="18.95" customHeight="1">
      <c r="B1189" s="602" t="s">
        <v>2330</v>
      </c>
      <c r="C1189" s="603">
        <v>44197</v>
      </c>
      <c r="D1189" s="604" t="s">
        <v>2333</v>
      </c>
      <c r="E1189" s="604">
        <v>3229</v>
      </c>
      <c r="F1189" s="116"/>
      <c r="G1189" s="116"/>
      <c r="H1189" s="116"/>
      <c r="I1189" s="604"/>
      <c r="J1189" s="604"/>
      <c r="K1189" s="116"/>
      <c r="L1189" s="604" t="s">
        <v>2330</v>
      </c>
      <c r="M1189" s="603">
        <v>44197</v>
      </c>
      <c r="N1189" s="604" t="s">
        <v>2335</v>
      </c>
      <c r="O1189" s="604">
        <v>3497</v>
      </c>
      <c r="P1189" s="116">
        <f>O1189+O1190</f>
        <v>11118</v>
      </c>
      <c r="Q1189" s="116"/>
      <c r="R1189" s="323">
        <f t="shared" si="21"/>
        <v>11118</v>
      </c>
      <c r="S1189" s="326"/>
    </row>
    <row r="1190" spans="2:19" ht="18.95" customHeight="1">
      <c r="B1190" s="602" t="s">
        <v>2330</v>
      </c>
      <c r="C1190" s="603">
        <v>44197</v>
      </c>
      <c r="D1190" s="604" t="s">
        <v>2337</v>
      </c>
      <c r="E1190" s="604">
        <v>1015</v>
      </c>
      <c r="F1190" s="116"/>
      <c r="G1190" s="116"/>
      <c r="H1190" s="116"/>
      <c r="I1190" s="604"/>
      <c r="J1190" s="604" t="s">
        <v>2338</v>
      </c>
      <c r="K1190" s="116"/>
      <c r="L1190" s="604" t="s">
        <v>2330</v>
      </c>
      <c r="M1190" s="603">
        <v>44228</v>
      </c>
      <c r="N1190" s="604" t="s">
        <v>2335</v>
      </c>
      <c r="O1190" s="604">
        <v>7621</v>
      </c>
      <c r="P1190" s="116"/>
      <c r="Q1190" s="116"/>
      <c r="R1190" s="116">
        <f t="shared" si="21"/>
        <v>0</v>
      </c>
      <c r="S1190" s="326"/>
    </row>
    <row r="1191" spans="2:19" ht="18.95" customHeight="1">
      <c r="B1191" s="602" t="s">
        <v>2330</v>
      </c>
      <c r="C1191" s="603">
        <v>44197</v>
      </c>
      <c r="D1191" s="604" t="s">
        <v>2339</v>
      </c>
      <c r="E1191" s="604">
        <v>4787</v>
      </c>
      <c r="F1191" s="116"/>
      <c r="G1191" s="116"/>
      <c r="H1191" s="116"/>
      <c r="I1191" s="612" t="s">
        <v>2340</v>
      </c>
      <c r="J1191" s="613" t="s">
        <v>2330</v>
      </c>
      <c r="K1191" s="116"/>
      <c r="L1191" s="604" t="s">
        <v>2330</v>
      </c>
      <c r="M1191" s="603">
        <v>44197</v>
      </c>
      <c r="N1191" s="604" t="s">
        <v>2337</v>
      </c>
      <c r="O1191" s="604">
        <v>1015</v>
      </c>
      <c r="P1191" s="116">
        <f>O1191+O1192</f>
        <v>7903</v>
      </c>
      <c r="Q1191" s="116"/>
      <c r="R1191" s="323">
        <f t="shared" si="21"/>
        <v>7903</v>
      </c>
      <c r="S1191" s="326"/>
    </row>
    <row r="1192" spans="2:19" ht="18.95" customHeight="1">
      <c r="B1192" s="602" t="s">
        <v>2330</v>
      </c>
      <c r="C1192" s="603">
        <v>44197</v>
      </c>
      <c r="D1192" s="604" t="s">
        <v>2341</v>
      </c>
      <c r="E1192" s="604">
        <v>3505</v>
      </c>
      <c r="F1192" s="116"/>
      <c r="G1192" s="116"/>
      <c r="H1192" s="116"/>
      <c r="I1192" s="604"/>
      <c r="J1192" s="604"/>
      <c r="K1192" s="116"/>
      <c r="L1192" s="604" t="s">
        <v>2330</v>
      </c>
      <c r="M1192" s="603">
        <v>44228</v>
      </c>
      <c r="N1192" s="604" t="s">
        <v>2337</v>
      </c>
      <c r="O1192" s="604">
        <v>6888</v>
      </c>
      <c r="P1192" s="116"/>
      <c r="Q1192" s="116"/>
      <c r="R1192" s="116">
        <f t="shared" si="21"/>
        <v>0</v>
      </c>
      <c r="S1192" s="326"/>
    </row>
    <row r="1193" spans="2:19" ht="18.95" customHeight="1">
      <c r="B1193" s="602" t="s">
        <v>2330</v>
      </c>
      <c r="C1193" s="603">
        <v>44197</v>
      </c>
      <c r="D1193" s="604" t="s">
        <v>2342</v>
      </c>
      <c r="E1193" s="604">
        <v>1411</v>
      </c>
      <c r="F1193" s="116"/>
      <c r="G1193" s="116"/>
      <c r="H1193" s="116"/>
      <c r="I1193" s="604"/>
      <c r="J1193" s="604"/>
      <c r="K1193" s="116"/>
      <c r="L1193" s="604" t="s">
        <v>2330</v>
      </c>
      <c r="M1193" s="603">
        <v>44197</v>
      </c>
      <c r="N1193" s="604" t="s">
        <v>2341</v>
      </c>
      <c r="O1193" s="604">
        <v>3505</v>
      </c>
      <c r="P1193" s="116">
        <f>O1193+O1194</f>
        <v>12932</v>
      </c>
      <c r="Q1193" s="116"/>
      <c r="R1193" s="323">
        <f t="shared" si="21"/>
        <v>12932</v>
      </c>
      <c r="S1193" s="326"/>
    </row>
    <row r="1194" spans="2:19" ht="18.95" customHeight="1">
      <c r="B1194" s="602" t="s">
        <v>2330</v>
      </c>
      <c r="C1194" s="603">
        <v>44228</v>
      </c>
      <c r="D1194" s="604" t="s">
        <v>2334</v>
      </c>
      <c r="E1194" s="604">
        <v>7938</v>
      </c>
      <c r="F1194" s="116"/>
      <c r="G1194" s="116"/>
      <c r="H1194" s="116"/>
      <c r="I1194" s="614" t="s">
        <v>2343</v>
      </c>
      <c r="J1194" s="615">
        <v>44197</v>
      </c>
      <c r="K1194" s="116"/>
      <c r="L1194" s="604" t="s">
        <v>2330</v>
      </c>
      <c r="M1194" s="603">
        <v>44228</v>
      </c>
      <c r="N1194" s="604" t="s">
        <v>2341</v>
      </c>
      <c r="O1194" s="604">
        <v>9427</v>
      </c>
      <c r="P1194" s="116"/>
      <c r="Q1194" s="116"/>
      <c r="R1194" s="116">
        <f t="shared" si="21"/>
        <v>0</v>
      </c>
      <c r="S1194" s="326"/>
    </row>
    <row r="1195" spans="2:19" ht="18.95" customHeight="1">
      <c r="B1195" s="602" t="s">
        <v>2330</v>
      </c>
      <c r="C1195" s="603">
        <v>44228</v>
      </c>
      <c r="D1195" s="604" t="s">
        <v>2332</v>
      </c>
      <c r="E1195" s="604">
        <v>1464</v>
      </c>
      <c r="F1195" s="116"/>
      <c r="G1195" s="116"/>
      <c r="H1195" s="116"/>
      <c r="I1195" s="602"/>
      <c r="J1195" s="616"/>
      <c r="K1195" s="116"/>
      <c r="L1195" s="604" t="s">
        <v>2330</v>
      </c>
      <c r="M1195" s="603">
        <v>44197</v>
      </c>
      <c r="N1195" s="604" t="s">
        <v>2336</v>
      </c>
      <c r="O1195" s="604">
        <v>6748</v>
      </c>
      <c r="P1195" s="116">
        <f>O1195+O1196</f>
        <v>7808</v>
      </c>
      <c r="Q1195" s="116"/>
      <c r="R1195" s="323">
        <f t="shared" si="21"/>
        <v>7808</v>
      </c>
      <c r="S1195" s="326"/>
    </row>
    <row r="1196" spans="2:19" ht="18.95" customHeight="1">
      <c r="B1196" s="602" t="s">
        <v>2330</v>
      </c>
      <c r="C1196" s="603">
        <v>44228</v>
      </c>
      <c r="D1196" s="604" t="s">
        <v>2335</v>
      </c>
      <c r="E1196" s="604">
        <v>7621</v>
      </c>
      <c r="F1196" s="116"/>
      <c r="G1196" s="116"/>
      <c r="H1196" s="116"/>
      <c r="I1196" s="602"/>
      <c r="J1196" s="616"/>
      <c r="K1196" s="116"/>
      <c r="L1196" s="604" t="s">
        <v>2330</v>
      </c>
      <c r="M1196" s="603">
        <v>44228</v>
      </c>
      <c r="N1196" s="604" t="s">
        <v>2336</v>
      </c>
      <c r="O1196" s="604">
        <v>1060</v>
      </c>
      <c r="P1196" s="116"/>
      <c r="Q1196" s="116"/>
      <c r="R1196" s="116">
        <f t="shared" si="21"/>
        <v>0</v>
      </c>
      <c r="S1196" s="326"/>
    </row>
    <row r="1197" spans="2:19" ht="18.95" customHeight="1">
      <c r="B1197" s="602" t="s">
        <v>2330</v>
      </c>
      <c r="C1197" s="603">
        <v>44228</v>
      </c>
      <c r="D1197" s="604" t="s">
        <v>2337</v>
      </c>
      <c r="E1197" s="604">
        <v>6888</v>
      </c>
      <c r="F1197" s="116"/>
      <c r="G1197" s="116"/>
      <c r="H1197" s="116"/>
      <c r="I1197" s="617" t="s">
        <v>2344</v>
      </c>
      <c r="J1197" s="618">
        <v>80752</v>
      </c>
      <c r="K1197" s="116"/>
      <c r="L1197" s="604" t="s">
        <v>2330</v>
      </c>
      <c r="M1197" s="603">
        <v>44228</v>
      </c>
      <c r="N1197" s="604" t="s">
        <v>2345</v>
      </c>
      <c r="O1197" s="604">
        <v>9693</v>
      </c>
      <c r="P1197" s="116">
        <f>O1197</f>
        <v>9693</v>
      </c>
      <c r="Q1197" s="116"/>
      <c r="R1197" s="116">
        <f t="shared" si="21"/>
        <v>9693</v>
      </c>
      <c r="S1197" s="326"/>
    </row>
    <row r="1198" spans="2:19" ht="18.95" customHeight="1">
      <c r="B1198" s="602" t="s">
        <v>2330</v>
      </c>
      <c r="C1198" s="603">
        <v>44228</v>
      </c>
      <c r="D1198" s="604" t="s">
        <v>2341</v>
      </c>
      <c r="E1198" s="604">
        <v>9427</v>
      </c>
      <c r="F1198" s="116"/>
      <c r="G1198" s="116"/>
      <c r="H1198" s="116"/>
      <c r="I1198" s="604"/>
      <c r="J1198" s="604"/>
      <c r="K1198" s="116"/>
      <c r="L1198" s="604" t="s">
        <v>2330</v>
      </c>
      <c r="M1198" s="603">
        <v>44197</v>
      </c>
      <c r="N1198" s="604" t="s">
        <v>2339</v>
      </c>
      <c r="O1198" s="604">
        <v>4787</v>
      </c>
      <c r="P1198" s="116">
        <f>O1198</f>
        <v>4787</v>
      </c>
      <c r="Q1198" s="116"/>
      <c r="R1198" s="116">
        <f t="shared" si="21"/>
        <v>4787</v>
      </c>
      <c r="S1198" s="326"/>
    </row>
    <row r="1199" spans="2:19" ht="18.95" customHeight="1">
      <c r="B1199" s="602" t="s">
        <v>2330</v>
      </c>
      <c r="C1199" s="603">
        <v>44228</v>
      </c>
      <c r="D1199" s="604" t="s">
        <v>2331</v>
      </c>
      <c r="E1199" s="604">
        <v>3498</v>
      </c>
      <c r="F1199" s="116"/>
      <c r="G1199" s="116"/>
      <c r="H1199" s="116"/>
      <c r="I1199" s="604"/>
      <c r="J1199" s="604"/>
      <c r="K1199" s="116"/>
      <c r="L1199" s="604" t="s">
        <v>2330</v>
      </c>
      <c r="M1199" s="603">
        <v>44197</v>
      </c>
      <c r="N1199" s="604" t="s">
        <v>2332</v>
      </c>
      <c r="O1199" s="604">
        <v>3880</v>
      </c>
      <c r="P1199" s="116">
        <f>O1199+O1200</f>
        <v>5344</v>
      </c>
      <c r="Q1199" s="116"/>
      <c r="R1199" s="323">
        <f t="shared" si="21"/>
        <v>5344</v>
      </c>
      <c r="S1199" s="326"/>
    </row>
    <row r="1200" spans="2:19" ht="18.95" customHeight="1">
      <c r="B1200" s="602" t="s">
        <v>2330</v>
      </c>
      <c r="C1200" s="603">
        <v>44228</v>
      </c>
      <c r="D1200" s="604" t="s">
        <v>2336</v>
      </c>
      <c r="E1200" s="604">
        <v>1060</v>
      </c>
      <c r="F1200" s="116"/>
      <c r="G1200" s="116"/>
      <c r="H1200" s="116"/>
      <c r="I1200" s="604"/>
      <c r="J1200" s="604"/>
      <c r="K1200" s="116"/>
      <c r="L1200" s="604" t="s">
        <v>2330</v>
      </c>
      <c r="M1200" s="603">
        <v>44228</v>
      </c>
      <c r="N1200" s="604" t="s">
        <v>2332</v>
      </c>
      <c r="O1200" s="604">
        <v>1464</v>
      </c>
      <c r="P1200" s="116"/>
      <c r="Q1200" s="116"/>
      <c r="R1200" s="116">
        <f t="shared" si="21"/>
        <v>0</v>
      </c>
      <c r="S1200" s="326"/>
    </row>
    <row r="1201" spans="2:19" ht="18.95" customHeight="1">
      <c r="B1201" s="602" t="s">
        <v>2330</v>
      </c>
      <c r="C1201" s="603">
        <v>44228</v>
      </c>
      <c r="D1201" s="604" t="s">
        <v>2342</v>
      </c>
      <c r="E1201" s="604">
        <v>7788</v>
      </c>
      <c r="F1201" s="116"/>
      <c r="G1201" s="116"/>
      <c r="H1201" s="116"/>
      <c r="I1201" s="604"/>
      <c r="J1201" s="604"/>
      <c r="K1201" s="116"/>
      <c r="L1201" s="604" t="s">
        <v>2330</v>
      </c>
      <c r="M1201" s="603">
        <v>44197</v>
      </c>
      <c r="N1201" s="604" t="s">
        <v>2342</v>
      </c>
      <c r="O1201" s="604">
        <v>1411</v>
      </c>
      <c r="P1201" s="116">
        <f>O1201+O1202</f>
        <v>9199</v>
      </c>
      <c r="Q1201" s="116"/>
      <c r="R1201" s="323">
        <f t="shared" si="21"/>
        <v>9199</v>
      </c>
      <c r="S1201" s="326"/>
    </row>
    <row r="1202" spans="2:19" ht="18.95" customHeight="1">
      <c r="B1202" s="602" t="s">
        <v>2330</v>
      </c>
      <c r="C1202" s="603">
        <v>44228</v>
      </c>
      <c r="D1202" s="604" t="s">
        <v>2333</v>
      </c>
      <c r="E1202" s="604">
        <v>5376</v>
      </c>
      <c r="F1202" s="116"/>
      <c r="G1202" s="116"/>
      <c r="H1202" s="116"/>
      <c r="I1202" s="619" t="s">
        <v>2346</v>
      </c>
      <c r="J1202" s="604"/>
      <c r="K1202" s="116"/>
      <c r="L1202" s="604" t="s">
        <v>2330</v>
      </c>
      <c r="M1202" s="603">
        <v>44228</v>
      </c>
      <c r="N1202" s="604" t="s">
        <v>2342</v>
      </c>
      <c r="O1202" s="604">
        <v>7788</v>
      </c>
      <c r="P1202" s="116"/>
      <c r="Q1202" s="116"/>
      <c r="R1202" s="116">
        <f t="shared" si="21"/>
        <v>0</v>
      </c>
      <c r="S1202" s="326"/>
    </row>
    <row r="1203" spans="2:19" ht="18.95" customHeight="1">
      <c r="B1203" s="602" t="s">
        <v>2330</v>
      </c>
      <c r="C1203" s="603">
        <v>44228</v>
      </c>
      <c r="D1203" s="604" t="s">
        <v>2345</v>
      </c>
      <c r="E1203" s="604">
        <v>9693</v>
      </c>
      <c r="F1203" s="116"/>
      <c r="G1203" s="116"/>
      <c r="H1203" s="116"/>
      <c r="I1203" s="620" t="s">
        <v>2347</v>
      </c>
      <c r="J1203" s="621">
        <f t="array" ref="J1203">SUMPRODUCT(LARGE(SUMIFS(E1184:E1203,D1184:D1203,_xlfn.UNIQUE(D1184:D1203),B1184:B1203,J1191,C1184:C1203,"&gt;="&amp;J1194,C1184:C1203,"&lt;="&amp;J1197),ROW(1:2)))</f>
        <v>24981</v>
      </c>
      <c r="K1203" s="116"/>
      <c r="L1203" s="116"/>
      <c r="M1203" s="116"/>
      <c r="N1203" s="116"/>
      <c r="O1203" s="116"/>
      <c r="P1203" s="116"/>
      <c r="Q1203" s="116"/>
      <c r="R1203" s="116"/>
      <c r="S1203" s="326"/>
    </row>
    <row r="1204" spans="2:19" ht="18.95" customHeight="1">
      <c r="B1204" s="254"/>
      <c r="C1204" s="116"/>
      <c r="D1204" s="116"/>
      <c r="E1204" s="116"/>
      <c r="F1204" s="116"/>
      <c r="G1204" s="116"/>
      <c r="H1204" s="116"/>
      <c r="I1204" s="622" t="s">
        <v>2348</v>
      </c>
      <c r="J1204" s="621">
        <f t="array" ref="J1204">SUMPRODUCT(LARGE(SUMIFS(E1184:E1203,D1184:D1203,_xlfn.UNIQUE(D1184:D1203),B1184:B1203,J1191,C1184:C1203,"&gt;="&amp;J1194,C1184:C1203,"&lt;="&amp;J1197),ROW(1:5)))</f>
        <v>54991</v>
      </c>
      <c r="K1204" s="116"/>
      <c r="L1204" s="116"/>
      <c r="M1204" s="116"/>
      <c r="N1204" s="116"/>
      <c r="O1204" s="116"/>
      <c r="P1204" s="116"/>
      <c r="Q1204" s="116"/>
      <c r="R1204" s="116"/>
      <c r="S1204" s="326"/>
    </row>
    <row r="1205" spans="2:19" ht="18.95" customHeight="1">
      <c r="B1205" s="254"/>
      <c r="C1205" s="116" t="s">
        <v>2349</v>
      </c>
      <c r="D1205" s="116"/>
      <c r="F1205" s="116"/>
      <c r="G1205" s="116"/>
      <c r="H1205" s="116"/>
      <c r="I1205" s="116"/>
      <c r="J1205" s="116"/>
      <c r="K1205" s="116"/>
      <c r="L1205" s="116"/>
      <c r="M1205" s="116"/>
      <c r="N1205" s="116"/>
      <c r="O1205" s="116"/>
      <c r="P1205" s="116">
        <f>R1187+R1193</f>
        <v>24981</v>
      </c>
      <c r="Q1205" s="116"/>
      <c r="R1205" s="116"/>
      <c r="S1205" s="326"/>
    </row>
    <row r="1206" spans="2:19" ht="18.95" customHeight="1">
      <c r="B1206" s="254"/>
      <c r="C1206" s="116"/>
      <c r="D1206" s="116"/>
      <c r="E1206" s="116"/>
      <c r="F1206" s="116"/>
      <c r="G1206" s="116"/>
      <c r="H1206" s="116"/>
      <c r="I1206" s="116" t="s">
        <v>2350</v>
      </c>
      <c r="J1206" s="116"/>
      <c r="K1206" s="116"/>
      <c r="L1206" s="116"/>
      <c r="M1206" s="116"/>
      <c r="N1206" s="116"/>
      <c r="O1206" s="116"/>
      <c r="P1206" s="116"/>
      <c r="Q1206" s="116"/>
      <c r="R1206" s="116"/>
      <c r="S1206" s="326"/>
    </row>
    <row r="1207" spans="2:19" ht="18.95" customHeight="1">
      <c r="B1207" s="254"/>
      <c r="C1207" s="116"/>
      <c r="D1207" s="116"/>
      <c r="E1207" s="116"/>
      <c r="F1207" s="116"/>
      <c r="G1207" s="116"/>
      <c r="H1207" s="116"/>
      <c r="I1207" s="116" t="s">
        <v>2351</v>
      </c>
      <c r="J1207" s="116"/>
      <c r="K1207" s="116"/>
      <c r="L1207" s="116"/>
      <c r="M1207" s="116"/>
      <c r="N1207" s="116"/>
      <c r="O1207" s="116"/>
      <c r="P1207" s="116"/>
      <c r="Q1207" s="116"/>
      <c r="R1207" s="116"/>
      <c r="S1207" s="326"/>
    </row>
    <row r="1208" spans="2:19" ht="18.95" customHeight="1">
      <c r="B1208" s="254"/>
      <c r="C1208" s="219" t="s">
        <v>2352</v>
      </c>
      <c r="D1208" s="116"/>
      <c r="E1208" s="116"/>
      <c r="F1208" s="116"/>
      <c r="G1208" s="116"/>
      <c r="H1208" s="116"/>
      <c r="I1208" s="116"/>
      <c r="J1208" s="116"/>
      <c r="K1208" s="116"/>
      <c r="L1208" s="116"/>
      <c r="M1208" s="116"/>
      <c r="N1208" s="116"/>
      <c r="O1208" s="116"/>
      <c r="P1208" s="116"/>
      <c r="Q1208" s="116"/>
      <c r="R1208" s="116"/>
      <c r="S1208" s="326"/>
    </row>
    <row r="1209" spans="2:19" ht="18.95" customHeight="1">
      <c r="B1209" s="254"/>
      <c r="C1209" s="116"/>
      <c r="D1209" s="116" t="s">
        <v>2353</v>
      </c>
      <c r="E1209" s="116"/>
      <c r="F1209" s="116"/>
      <c r="G1209" s="116"/>
      <c r="H1209" s="116"/>
      <c r="I1209" s="116"/>
      <c r="J1209" s="116"/>
      <c r="K1209" s="116"/>
      <c r="L1209" s="116"/>
      <c r="M1209" s="116"/>
      <c r="N1209" s="116"/>
      <c r="O1209" s="116"/>
      <c r="P1209" s="116"/>
      <c r="Q1209" s="116"/>
      <c r="R1209" s="116"/>
      <c r="S1209" s="326"/>
    </row>
    <row r="1210" spans="2:19" ht="18.95" customHeight="1">
      <c r="B1210" s="254"/>
      <c r="C1210" s="116"/>
      <c r="D1210" s="116" t="s">
        <v>2354</v>
      </c>
      <c r="E1210" s="116"/>
      <c r="F1210" s="116"/>
      <c r="G1210" s="116"/>
      <c r="H1210" s="116"/>
      <c r="I1210" s="116"/>
      <c r="J1210" s="116"/>
      <c r="K1210" s="116"/>
      <c r="L1210" s="116"/>
      <c r="M1210" s="116"/>
      <c r="N1210" s="116"/>
      <c r="O1210" s="116"/>
      <c r="P1210" s="116"/>
      <c r="Q1210" s="116"/>
      <c r="R1210" s="116"/>
      <c r="S1210" s="326"/>
    </row>
    <row r="1211" spans="2:19" ht="18.95" customHeight="1">
      <c r="B1211" s="254"/>
      <c r="C1211" s="116"/>
      <c r="D1211" s="116"/>
      <c r="E1211" s="116"/>
      <c r="F1211" s="116"/>
      <c r="G1211" s="116"/>
      <c r="H1211" s="116"/>
      <c r="I1211" s="116"/>
      <c r="J1211" s="116"/>
      <c r="K1211" s="116"/>
      <c r="L1211" s="116"/>
      <c r="M1211" s="116"/>
      <c r="N1211" s="116"/>
      <c r="O1211" s="116"/>
      <c r="P1211" s="116"/>
      <c r="Q1211" s="116"/>
      <c r="R1211" s="116"/>
      <c r="S1211" s="326"/>
    </row>
    <row r="1212" spans="2:19" ht="18.95" customHeight="1">
      <c r="B1212" s="304"/>
      <c r="C1212" s="305"/>
      <c r="D1212" s="305"/>
      <c r="E1212" s="305"/>
      <c r="F1212" s="305"/>
      <c r="G1212" s="305"/>
      <c r="H1212" s="305"/>
      <c r="I1212" s="305"/>
      <c r="J1212" s="305"/>
      <c r="K1212" s="305"/>
      <c r="L1212" s="305"/>
      <c r="M1212" s="305"/>
      <c r="N1212" s="305"/>
      <c r="O1212" s="305"/>
      <c r="P1212" s="305"/>
      <c r="Q1212" s="305"/>
      <c r="R1212" s="305"/>
      <c r="S1212" s="327"/>
    </row>
    <row r="1214" spans="2:19" ht="18.95" customHeight="1">
      <c r="B1214" s="333"/>
      <c r="C1214" s="324"/>
      <c r="D1214" s="324"/>
      <c r="E1214" s="324"/>
      <c r="F1214" s="324"/>
      <c r="G1214" s="324"/>
      <c r="H1214" s="324"/>
      <c r="I1214" s="324"/>
      <c r="J1214" s="324"/>
      <c r="K1214" s="324"/>
      <c r="L1214" s="324"/>
      <c r="M1214" s="324"/>
      <c r="N1214" s="324"/>
      <c r="O1214" s="324"/>
      <c r="P1214" s="324"/>
      <c r="Q1214" s="324"/>
      <c r="R1214" s="324"/>
      <c r="S1214" s="325"/>
    </row>
    <row r="1215" spans="2:19" ht="18.95" customHeight="1">
      <c r="B1215" s="605" t="s">
        <v>2355</v>
      </c>
      <c r="C1215" s="606" t="s">
        <v>2356</v>
      </c>
      <c r="D1215" s="607" t="s">
        <v>2357</v>
      </c>
      <c r="E1215" s="608"/>
      <c r="F1215" s="608"/>
      <c r="G1215" s="608"/>
      <c r="H1215" s="608"/>
      <c r="I1215" s="608"/>
      <c r="J1215" s="608"/>
      <c r="K1215" s="608"/>
      <c r="L1215" s="608"/>
      <c r="M1215" s="608"/>
      <c r="N1215" s="608"/>
      <c r="O1215" s="608"/>
      <c r="P1215" s="608"/>
      <c r="Q1215" s="116"/>
      <c r="R1215" s="116"/>
      <c r="S1215" s="326"/>
    </row>
    <row r="1216" spans="2:19" ht="18.95" customHeight="1">
      <c r="B1216" s="609" t="s">
        <v>2209</v>
      </c>
      <c r="C1216" s="610" t="s">
        <v>2210</v>
      </c>
      <c r="D1216" s="1030">
        <f t="array" ref="D1216">(INT(C1216)-INT(B1216))*8-SUM(TEXT(MOD(B1216:C1216,1)-{9;12;13;18}/24,"[&lt;0]!0")*{-1,1}*{-1;1;-1;1})*24</f>
        <v>0.67055555999999994</v>
      </c>
      <c r="E1216" s="608"/>
      <c r="F1216" s="1172" t="s">
        <v>2211</v>
      </c>
      <c r="G1216" s="1172"/>
      <c r="H1216" s="1172"/>
      <c r="I1216" s="1172"/>
      <c r="J1216" s="1172"/>
      <c r="K1216" s="608"/>
      <c r="L1216" s="608"/>
      <c r="M1216" s="608"/>
      <c r="N1216" s="116"/>
      <c r="O1216" s="608"/>
      <c r="P1216" s="608"/>
      <c r="Q1216" s="116"/>
      <c r="R1216" s="116"/>
      <c r="S1216" s="326"/>
    </row>
    <row r="1217" spans="2:19" ht="18.95" customHeight="1">
      <c r="B1217" s="623" t="s">
        <v>2212</v>
      </c>
      <c r="C1217" s="610" t="s">
        <v>2213</v>
      </c>
      <c r="D1217" s="1030">
        <f t="array" ref="D1217">(INT(C1217)-INT(B1217))*8-SUM(TEXT(MOD(B1217:C1217,1)-{9;12;13;18}/24,"[&lt;0]!0")*{-1,1}*{-1;1;-1;1})*24</f>
        <v>6.9183333359999999</v>
      </c>
      <c r="E1217" s="608"/>
      <c r="F1217" s="1172"/>
      <c r="G1217" s="1172"/>
      <c r="H1217" s="1172"/>
      <c r="I1217" s="1172"/>
      <c r="J1217" s="1172"/>
      <c r="K1217" s="608"/>
      <c r="L1217" s="608"/>
      <c r="M1217" s="608"/>
      <c r="N1217" s="608"/>
      <c r="O1217" s="608"/>
      <c r="P1217" s="608"/>
      <c r="Q1217" s="116"/>
      <c r="R1217" s="116"/>
      <c r="S1217" s="326"/>
    </row>
    <row r="1218" spans="2:19" ht="18.95" customHeight="1">
      <c r="B1218" s="623" t="s">
        <v>2214</v>
      </c>
      <c r="C1218" s="610" t="s">
        <v>2215</v>
      </c>
      <c r="D1218" s="1030">
        <f t="array" ref="D1218">(INT(C1218)-INT(B1218))*8-SUM(TEXT(MOD(B1218:C1218,1)-{9;12;13;18}/24,"[&lt;0]!0")*{-1,1}*{-1;1;-1;1})*24</f>
        <v>8.0227777759999999</v>
      </c>
      <c r="E1218" s="608"/>
      <c r="F1218" s="1172"/>
      <c r="G1218" s="1172"/>
      <c r="H1218" s="1172"/>
      <c r="I1218" s="1172"/>
      <c r="J1218" s="1172"/>
      <c r="K1218" s="608"/>
      <c r="L1218" s="608"/>
      <c r="M1218" s="608"/>
      <c r="N1218" s="608"/>
      <c r="O1218" s="608"/>
      <c r="P1218" s="608"/>
      <c r="Q1218" s="116"/>
      <c r="R1218" s="116"/>
      <c r="S1218" s="326"/>
    </row>
    <row r="1219" spans="2:19" ht="18.95" customHeight="1">
      <c r="B1219" s="623" t="s">
        <v>2216</v>
      </c>
      <c r="C1219" s="610" t="s">
        <v>2217</v>
      </c>
      <c r="D1219" s="1030">
        <f t="array" ref="D1219">(INT(C1219)-INT(B1219))*8-SUM(TEXT(MOD(B1219:C1219,1)-{9;12;13;18}/24,"[&lt;0]!0")*{-1,1}*{-1;1;-1;1})*24</f>
        <v>22.777222215999998</v>
      </c>
      <c r="E1219" s="608"/>
      <c r="F1219" s="1172"/>
      <c r="G1219" s="1172"/>
      <c r="H1219" s="1172"/>
      <c r="I1219" s="1172"/>
      <c r="J1219" s="1172"/>
      <c r="K1219" s="608"/>
      <c r="L1219" s="608"/>
      <c r="M1219" s="608"/>
      <c r="N1219" s="608"/>
      <c r="O1219" s="608"/>
      <c r="P1219" s="608"/>
      <c r="Q1219" s="116"/>
      <c r="R1219" s="116"/>
      <c r="S1219" s="326"/>
    </row>
    <row r="1220" spans="2:19" ht="18.95" customHeight="1">
      <c r="B1220" s="623" t="s">
        <v>2218</v>
      </c>
      <c r="C1220" s="610" t="s">
        <v>2219</v>
      </c>
      <c r="D1220" s="1030">
        <f t="array" ref="D1220">(INT(C1220)-INT(B1220))*8-SUM(TEXT(MOD(B1220:C1220,1)-{9;12;13;18}/24,"[&lt;0]!0")*{-1,1}*{-1;1;-1;1})*24</f>
        <v>1.3280555520000008</v>
      </c>
      <c r="E1220" s="608"/>
      <c r="F1220" s="1172"/>
      <c r="G1220" s="1172"/>
      <c r="H1220" s="1172"/>
      <c r="I1220" s="1172"/>
      <c r="J1220" s="1172"/>
      <c r="K1220" s="608"/>
      <c r="L1220" s="608"/>
      <c r="M1220" s="608"/>
      <c r="N1220" s="608"/>
      <c r="O1220" s="608"/>
      <c r="P1220" s="608"/>
      <c r="Q1220" s="116"/>
      <c r="R1220" s="116"/>
      <c r="S1220" s="326"/>
    </row>
    <row r="1221" spans="2:19" ht="18.95" customHeight="1">
      <c r="B1221" s="623" t="s">
        <v>2220</v>
      </c>
      <c r="C1221" s="610" t="s">
        <v>2221</v>
      </c>
      <c r="D1221" s="1030">
        <f t="array" ref="D1221">(INT(C1221)-INT(B1221))*8-SUM(TEXT(MOD(B1221:C1221,1)-{9;12;13;18}/24,"[&lt;0]!0")*{-1,1}*{-1;1;-1;1})*24</f>
        <v>14.467499992</v>
      </c>
      <c r="E1221" s="608"/>
      <c r="F1221" s="608"/>
      <c r="G1221" s="608"/>
      <c r="H1221" s="608"/>
      <c r="I1221" s="608"/>
      <c r="J1221" s="608"/>
      <c r="K1221" s="608"/>
      <c r="L1221" s="608"/>
      <c r="M1221" s="608"/>
      <c r="N1221" s="608"/>
      <c r="O1221" s="608"/>
      <c r="P1221" s="608"/>
      <c r="Q1221" s="116"/>
      <c r="R1221" s="116"/>
      <c r="S1221" s="326"/>
    </row>
    <row r="1222" spans="2:19" ht="18.95" customHeight="1">
      <c r="B1222" s="623" t="s">
        <v>2222</v>
      </c>
      <c r="C1222" s="610" t="s">
        <v>2223</v>
      </c>
      <c r="D1222" s="1030">
        <f t="array" ref="D1222">(INT(C1222)-INT(B1222))*8-SUM(TEXT(MOD(B1222:C1222,1)-{9;12;13;18}/24,"[&lt;0]!0")*{-1,1}*{-1;1;-1;1})*24</f>
        <v>15.576388888</v>
      </c>
      <c r="E1222" s="608"/>
      <c r="F1222" s="1084" t="s">
        <v>2954</v>
      </c>
      <c r="G1222" s="608"/>
      <c r="H1222" s="608"/>
      <c r="I1222" s="608"/>
      <c r="J1222" s="608"/>
      <c r="K1222" s="608"/>
      <c r="L1222" s="608"/>
      <c r="M1222" s="608"/>
      <c r="N1222" s="608"/>
      <c r="O1222" s="608"/>
      <c r="P1222" s="608"/>
      <c r="Q1222" s="116"/>
      <c r="R1222" s="116"/>
      <c r="S1222" s="326"/>
    </row>
    <row r="1223" spans="2:19" ht="18.95" customHeight="1">
      <c r="B1223" s="623" t="s">
        <v>2224</v>
      </c>
      <c r="C1223" s="610" t="s">
        <v>2225</v>
      </c>
      <c r="D1223" s="1030">
        <f t="array" ref="D1223">(INT(C1223)-INT(B1223))*8-SUM(TEXT(MOD(B1223:C1223,1)-{9;12;13;18}/24,"[&lt;0]!0")*{-1,1}*{-1;1;-1;1})*24</f>
        <v>0.30611112000000029</v>
      </c>
      <c r="E1223" s="608"/>
      <c r="F1223" s="608"/>
      <c r="G1223" s="608" t="s">
        <v>2358</v>
      </c>
      <c r="H1223" s="608"/>
      <c r="I1223" s="608"/>
      <c r="J1223" s="608"/>
      <c r="K1223" s="608"/>
      <c r="L1223" s="608"/>
      <c r="M1223" s="608"/>
      <c r="N1223" s="608"/>
      <c r="O1223" s="608"/>
      <c r="P1223" s="608"/>
      <c r="Q1223" s="116"/>
      <c r="R1223" s="116"/>
      <c r="S1223" s="326"/>
    </row>
    <row r="1224" spans="2:19" ht="18.95" customHeight="1">
      <c r="B1224" s="623" t="s">
        <v>2226</v>
      </c>
      <c r="C1224" s="610" t="s">
        <v>2227</v>
      </c>
      <c r="D1224" s="1030">
        <f t="array" ref="D1224">(INT(C1224)-INT(B1224))*8-SUM(TEXT(MOD(B1224:C1224,1)-{9;12;13;18}/24,"[&lt;0]!0")*{-1,1}*{-1;1;-1;1})*24</f>
        <v>21.593611096</v>
      </c>
      <c r="E1224" s="608"/>
      <c r="F1224" s="116"/>
      <c r="G1224" s="116"/>
      <c r="H1224" s="608"/>
      <c r="I1224" s="608"/>
      <c r="J1224" s="608"/>
      <c r="K1224" s="608"/>
      <c r="L1224" s="608"/>
      <c r="M1224" s="608"/>
      <c r="N1224" s="608"/>
      <c r="O1224" s="608"/>
      <c r="P1224" s="608"/>
      <c r="Q1224" s="116"/>
      <c r="R1224" s="116"/>
      <c r="S1224" s="326"/>
    </row>
    <row r="1225" spans="2:19" ht="18.95" customHeight="1">
      <c r="B1225" s="623" t="s">
        <v>2228</v>
      </c>
      <c r="C1225" s="610" t="s">
        <v>2229</v>
      </c>
      <c r="D1225" s="1030">
        <f t="array" ref="D1225">(INT(C1225)-INT(B1225))*8-SUM(TEXT(MOD(B1225:C1225,1)-{9;12;13;18}/24,"[&lt;0]!0")*{-1,1}*{-1;1;-1;1})*24</f>
        <v>0.26499998399999997</v>
      </c>
      <c r="E1225" s="608"/>
      <c r="F1225" s="608" t="s">
        <v>2359</v>
      </c>
      <c r="G1225" s="608"/>
      <c r="H1225" s="608"/>
      <c r="I1225" s="608"/>
      <c r="J1225" s="608"/>
      <c r="K1225" s="608"/>
      <c r="L1225" s="608"/>
      <c r="M1225" s="608"/>
      <c r="N1225" s="608"/>
      <c r="O1225" s="608"/>
      <c r="P1225" s="608"/>
      <c r="Q1225" s="116"/>
      <c r="R1225" s="116"/>
      <c r="S1225" s="326"/>
    </row>
    <row r="1226" spans="2:19" ht="18.95" customHeight="1">
      <c r="B1226" s="623" t="s">
        <v>2230</v>
      </c>
      <c r="C1226" s="610" t="s">
        <v>2231</v>
      </c>
      <c r="D1226" s="1030">
        <f t="array" ref="D1226">(INT(C1226)-INT(B1226))*8-SUM(TEXT(MOD(B1226:C1226,1)-{9;12;13;18}/24,"[&lt;0]!0")*{-1,1}*{-1;1;-1;1})*24</f>
        <v>0.33222223200000162</v>
      </c>
      <c r="E1226" s="608"/>
      <c r="F1226" s="608"/>
      <c r="G1226" s="608"/>
      <c r="H1226" s="608"/>
      <c r="I1226" s="608"/>
      <c r="J1226" s="608"/>
      <c r="K1226" s="608"/>
      <c r="L1226" s="608"/>
      <c r="M1226" s="608"/>
      <c r="N1226" s="608"/>
      <c r="O1226" s="608"/>
      <c r="P1226" s="608"/>
      <c r="Q1226" s="116"/>
      <c r="R1226" s="116"/>
      <c r="S1226" s="326"/>
    </row>
    <row r="1227" spans="2:19" ht="18.95" customHeight="1">
      <c r="B1227" s="623" t="s">
        <v>2232</v>
      </c>
      <c r="C1227" s="610" t="s">
        <v>2233</v>
      </c>
      <c r="D1227" s="1030">
        <f t="array" ref="D1227">(INT(C1227)-INT(B1227))*8-SUM(TEXT(MOD(B1227:C1227,1)-{9;12;13;18}/24,"[&lt;0]!0")*{-1,1}*{-1;1;-1;1})*24</f>
        <v>5.6669444399999991</v>
      </c>
      <c r="E1227" s="608"/>
      <c r="F1227" s="608"/>
      <c r="G1227" s="608" t="s">
        <v>2360</v>
      </c>
      <c r="H1227" s="608"/>
      <c r="I1227" s="608"/>
      <c r="J1227" s="608"/>
      <c r="K1227" s="608"/>
      <c r="L1227" s="608"/>
      <c r="M1227" s="608"/>
      <c r="N1227" s="608"/>
      <c r="O1227" s="608"/>
      <c r="P1227" s="608"/>
      <c r="Q1227" s="116"/>
      <c r="R1227" s="116"/>
      <c r="S1227" s="326"/>
    </row>
    <row r="1228" spans="2:19" ht="18.95" customHeight="1" thickBot="1">
      <c r="B1228" s="623" t="s">
        <v>2234</v>
      </c>
      <c r="C1228" s="610" t="s">
        <v>2235</v>
      </c>
      <c r="D1228" s="1030">
        <f t="array" ref="D1228">(INT(C1228)-INT(B1228))*8-SUM(TEXT(MOD(B1228:C1228,1)-{9;12;13;18}/24,"[&lt;0]!0")*{-1,1}*{-1;1;-1;1})*24</f>
        <v>3.815555528</v>
      </c>
      <c r="E1228" s="608"/>
      <c r="F1228" s="608"/>
      <c r="G1228" s="608"/>
      <c r="H1228" s="608"/>
      <c r="I1228" s="608"/>
      <c r="J1228" s="608"/>
      <c r="K1228" s="608"/>
      <c r="L1228" s="608"/>
      <c r="M1228" s="608"/>
      <c r="N1228" s="608"/>
      <c r="O1228" s="608"/>
      <c r="P1228" s="608"/>
      <c r="Q1228" s="116"/>
      <c r="R1228" s="116"/>
      <c r="S1228" s="326"/>
    </row>
    <row r="1229" spans="2:19" ht="18.95" customHeight="1" thickBot="1">
      <c r="B1229" s="623" t="s">
        <v>2236</v>
      </c>
      <c r="C1229" s="610" t="s">
        <v>2237</v>
      </c>
      <c r="D1229" s="1030">
        <f t="array" ref="D1229">(INT(C1229)-INT(B1229))*8-SUM(TEXT(MOD(B1229:C1229,1)-{9;12;13;18}/24,"[&lt;0]!0")*{-1,1}*{-1;1;-1;1})*24</f>
        <v>23.825833343999999</v>
      </c>
      <c r="E1229" s="608"/>
      <c r="F1229" s="608"/>
      <c r="G1229" s="608"/>
      <c r="H1229" s="608"/>
      <c r="I1229" s="608"/>
      <c r="J1229" s="608"/>
      <c r="K1229" s="929" t="s">
        <v>2361</v>
      </c>
      <c r="L1229" s="649" t="s">
        <v>2362</v>
      </c>
      <c r="M1229" s="649"/>
      <c r="N1229" s="628"/>
      <c r="O1229" s="608"/>
      <c r="P1229" s="608"/>
      <c r="Q1229" s="116"/>
      <c r="R1229" s="116"/>
      <c r="S1229" s="326"/>
    </row>
    <row r="1230" spans="2:19" ht="18.95" customHeight="1">
      <c r="B1230" s="624"/>
      <c r="C1230" s="608"/>
      <c r="D1230" s="625"/>
      <c r="E1230" s="608"/>
      <c r="F1230" s="608"/>
      <c r="G1230" s="608"/>
      <c r="H1230" s="608"/>
      <c r="I1230" s="608"/>
      <c r="J1230" s="608"/>
      <c r="K1230" s="608"/>
      <c r="L1230" s="608"/>
      <c r="M1230" s="608"/>
      <c r="N1230" s="608"/>
      <c r="O1230" s="608"/>
      <c r="P1230" s="608"/>
      <c r="Q1230" s="116"/>
      <c r="R1230" s="116"/>
      <c r="S1230" s="326"/>
    </row>
    <row r="1231" spans="2:19" ht="18.95" customHeight="1" thickBot="1">
      <c r="B1231" s="624"/>
      <c r="C1231" s="608"/>
      <c r="D1231" s="625"/>
      <c r="E1231" s="608"/>
      <c r="F1231" s="608"/>
      <c r="G1231" s="608"/>
      <c r="H1231" s="608"/>
      <c r="I1231" s="608"/>
      <c r="J1231" s="608"/>
      <c r="K1231" s="608"/>
      <c r="L1231" s="608"/>
      <c r="M1231" s="608"/>
      <c r="N1231" s="608"/>
      <c r="O1231" s="608"/>
      <c r="P1231" s="608"/>
      <c r="Q1231" s="116"/>
      <c r="R1231" s="116"/>
      <c r="S1231" s="326"/>
    </row>
    <row r="1232" spans="2:19" ht="18.95" customHeight="1" thickBot="1">
      <c r="B1232" s="626">
        <v>44659.884560185201</v>
      </c>
      <c r="C1232" s="627">
        <v>44662.583611111098</v>
      </c>
      <c r="D1232" s="1030">
        <f t="array" ref="D1232">SUM(TEXT(MOD(B1232:C1232,1)-{9;11.5;13.5;15;21;23}/24,"[&lt;0]!0")*{-1,1}*{1;-1;1;-1;1;-1},(INT(C1232)-INT(B1232))/4)*24</f>
        <v>16.777222248000001</v>
      </c>
      <c r="E1232" s="608"/>
      <c r="F1232" s="608"/>
      <c r="G1232" s="608" t="s">
        <v>2363</v>
      </c>
      <c r="H1232" s="608"/>
      <c r="I1232" s="608"/>
      <c r="J1232" s="608"/>
      <c r="K1232" s="608"/>
      <c r="L1232" s="608"/>
      <c r="M1232" s="608"/>
      <c r="N1232" s="608"/>
      <c r="O1232" s="608"/>
      <c r="P1232" s="608"/>
      <c r="Q1232" s="116"/>
      <c r="R1232" s="116"/>
      <c r="S1232" s="326"/>
    </row>
    <row r="1233" spans="2:19" ht="18.95" customHeight="1">
      <c r="B1233" s="624"/>
      <c r="C1233" s="608"/>
      <c r="D1233" s="116"/>
      <c r="E1233" s="629"/>
      <c r="F1233" s="608"/>
      <c r="G1233" s="608"/>
      <c r="H1233" s="608"/>
      <c r="I1233" s="608"/>
      <c r="J1233" s="608"/>
      <c r="K1233" s="608"/>
      <c r="L1233" s="608"/>
      <c r="M1233" s="928"/>
      <c r="N1233" s="608"/>
      <c r="O1233" s="608"/>
      <c r="P1233" s="608"/>
      <c r="Q1233" s="116"/>
      <c r="R1233" s="116"/>
      <c r="S1233" s="326"/>
    </row>
    <row r="1234" spans="2:19" ht="18.95" customHeight="1">
      <c r="B1234" s="624"/>
      <c r="C1234" s="608"/>
      <c r="D1234" s="608"/>
      <c r="E1234" s="608"/>
      <c r="F1234" s="116"/>
      <c r="G1234" s="116" t="s">
        <v>32</v>
      </c>
      <c r="H1234" s="116" t="s">
        <v>34</v>
      </c>
      <c r="I1234" s="608"/>
      <c r="J1234" s="608"/>
      <c r="K1234" s="608"/>
      <c r="L1234" s="608"/>
      <c r="M1234" s="608"/>
      <c r="N1234" s="608"/>
      <c r="O1234" s="608"/>
      <c r="P1234" s="608"/>
      <c r="Q1234" s="116"/>
      <c r="R1234" s="116"/>
      <c r="S1234" s="326"/>
    </row>
    <row r="1235" spans="2:19" ht="18.95" customHeight="1">
      <c r="B1235" s="624"/>
      <c r="C1235" s="928" t="s">
        <v>2566</v>
      </c>
      <c r="D1235" s="608"/>
      <c r="E1235" s="608"/>
      <c r="F1235" s="608"/>
      <c r="G1235" s="608">
        <v>-8</v>
      </c>
      <c r="H1235" s="608">
        <v>3</v>
      </c>
      <c r="I1235" s="608"/>
      <c r="J1235" s="608"/>
      <c r="K1235" s="608"/>
      <c r="L1235" s="608"/>
      <c r="M1235" s="608"/>
      <c r="N1235" s="608"/>
      <c r="O1235" s="608"/>
      <c r="P1235" s="608"/>
      <c r="Q1235" s="116"/>
      <c r="R1235" s="116"/>
      <c r="S1235" s="326"/>
    </row>
    <row r="1236" spans="2:19" ht="18.95" customHeight="1">
      <c r="B1236" s="624"/>
      <c r="C1236" s="608"/>
      <c r="D1236" s="608"/>
      <c r="E1236" s="608"/>
      <c r="F1236" s="630" t="s">
        <v>2364</v>
      </c>
      <c r="G1236" s="608">
        <f>MOD(-3,2)</f>
        <v>1</v>
      </c>
      <c r="H1236" s="608"/>
      <c r="I1236" s="608">
        <f>G1235-INT(G1235/H1235)*H1235</f>
        <v>1</v>
      </c>
      <c r="J1236" s="608"/>
      <c r="K1236" s="608"/>
      <c r="L1236" s="608"/>
      <c r="M1236" s="608"/>
      <c r="N1236" s="608"/>
      <c r="O1236" s="608"/>
      <c r="P1236" s="608"/>
      <c r="Q1236" s="116"/>
      <c r="R1236" s="116"/>
      <c r="S1236" s="326"/>
    </row>
    <row r="1237" spans="2:19" ht="18.95" customHeight="1">
      <c r="B1237" s="631"/>
      <c r="C1237" s="632"/>
      <c r="D1237" s="632"/>
      <c r="E1237" s="632"/>
      <c r="F1237" s="632"/>
      <c r="G1237" s="632"/>
      <c r="H1237" s="632"/>
      <c r="I1237" s="632"/>
      <c r="J1237" s="632"/>
      <c r="K1237" s="632"/>
      <c r="L1237" s="632"/>
      <c r="M1237" s="632"/>
      <c r="N1237" s="632"/>
      <c r="O1237" s="632"/>
      <c r="P1237" s="632"/>
      <c r="Q1237" s="305"/>
      <c r="R1237" s="305"/>
      <c r="S1237" s="327"/>
    </row>
    <row r="1238" spans="2:19" ht="18.95" customHeight="1">
      <c r="B1238" s="633"/>
      <c r="C1238" s="633"/>
      <c r="D1238" s="633"/>
      <c r="E1238" s="633"/>
      <c r="F1238" s="633"/>
      <c r="G1238" s="633"/>
      <c r="H1238" s="633"/>
      <c r="I1238" s="633"/>
      <c r="J1238" s="633"/>
      <c r="K1238" s="633"/>
      <c r="L1238" s="633"/>
      <c r="M1238" s="633"/>
      <c r="N1238" s="633"/>
      <c r="O1238" s="633"/>
      <c r="P1238" s="633"/>
    </row>
    <row r="1239" spans="2:19" ht="18.95" customHeight="1">
      <c r="B1239" s="633"/>
      <c r="C1239" s="633"/>
      <c r="D1239" s="633"/>
      <c r="E1239" s="633"/>
      <c r="F1239" s="633"/>
      <c r="G1239" s="633"/>
      <c r="H1239" s="633"/>
      <c r="I1239" s="633"/>
      <c r="J1239" s="633"/>
      <c r="K1239" s="633"/>
      <c r="L1239" s="633"/>
      <c r="M1239" s="633"/>
      <c r="N1239" s="633"/>
      <c r="O1239" s="633"/>
      <c r="P1239" s="633"/>
    </row>
    <row r="1240" spans="2:19" ht="18.95" customHeight="1">
      <c r="B1240" s="563" t="s">
        <v>1021</v>
      </c>
      <c r="C1240" s="282" t="s">
        <v>1022</v>
      </c>
      <c r="D1240" s="282" t="s">
        <v>1023</v>
      </c>
      <c r="E1240" s="282" t="s">
        <v>2365</v>
      </c>
      <c r="F1240" s="282" t="s">
        <v>2366</v>
      </c>
      <c r="G1240" s="282"/>
      <c r="H1240" s="282"/>
      <c r="I1240" s="650"/>
      <c r="J1240" s="282"/>
      <c r="K1240" s="597"/>
      <c r="L1240" s="633"/>
      <c r="M1240" s="633"/>
      <c r="N1240" s="633"/>
      <c r="O1240" s="633"/>
      <c r="P1240" s="633"/>
    </row>
    <row r="1241" spans="2:19" ht="18.95" customHeight="1">
      <c r="B1241" s="285" t="s">
        <v>2367</v>
      </c>
      <c r="C1241" s="634" t="s">
        <v>2368</v>
      </c>
      <c r="D1241" s="634" t="s">
        <v>2369</v>
      </c>
      <c r="E1241" s="634" t="s">
        <v>2370</v>
      </c>
      <c r="F1241" s="634">
        <v>1</v>
      </c>
      <c r="G1241" s="635">
        <f>IF(E1241="汇错",0,COUNTIF(E$1241:E1241,"&lt;&gt;汇错"))</f>
        <v>1</v>
      </c>
      <c r="H1241" s="635">
        <f>COUNTIF(E$1241:E1241,"&lt;&gt;汇错")*(E1241&lt;&gt;"汇错")</f>
        <v>1</v>
      </c>
      <c r="I1241" s="651"/>
      <c r="J1241" s="634"/>
      <c r="K1241" s="652"/>
      <c r="L1241" s="633"/>
      <c r="M1241" s="633"/>
      <c r="N1241" s="633"/>
      <c r="O1241" s="633"/>
      <c r="P1241" s="633"/>
    </row>
    <row r="1242" spans="2:19" ht="18.95" customHeight="1">
      <c r="B1242" s="285" t="s">
        <v>2367</v>
      </c>
      <c r="C1242" s="634" t="s">
        <v>2368</v>
      </c>
      <c r="D1242" s="634" t="s">
        <v>2371</v>
      </c>
      <c r="E1242" s="634" t="s">
        <v>2372</v>
      </c>
      <c r="F1242" s="634">
        <v>0</v>
      </c>
      <c r="G1242" s="635">
        <f>IF(E1242="汇错",0,COUNTIF(E$1241:E1242,"&lt;&gt;汇错"))</f>
        <v>0</v>
      </c>
      <c r="H1242" s="635">
        <f>COUNTIF(E$1241:E1242,"&lt;&gt;汇错")*(E1242&lt;&gt;"汇错")</f>
        <v>0</v>
      </c>
      <c r="I1242" s="651" t="s">
        <v>2373</v>
      </c>
      <c r="J1242" s="634"/>
      <c r="K1242" s="652"/>
      <c r="L1242" s="633"/>
      <c r="M1242" s="633"/>
      <c r="N1242" s="633"/>
      <c r="O1242" s="633"/>
      <c r="P1242" s="633"/>
    </row>
    <row r="1243" spans="2:19" ht="18.95" customHeight="1">
      <c r="B1243" s="285" t="s">
        <v>2367</v>
      </c>
      <c r="C1243" s="634" t="s">
        <v>2368</v>
      </c>
      <c r="D1243" s="634" t="s">
        <v>2371</v>
      </c>
      <c r="E1243" s="634" t="s">
        <v>2370</v>
      </c>
      <c r="F1243" s="634">
        <v>2</v>
      </c>
      <c r="G1243" s="635">
        <f>IF(E1243="汇错",0,COUNTIF(E$1241:E1243,"&lt;&gt;汇错"))</f>
        <v>2</v>
      </c>
      <c r="H1243" s="635">
        <f>COUNTIF(E$1241:E1243,"&lt;&gt;汇错")*(E1243&lt;&gt;"汇错")</f>
        <v>2</v>
      </c>
      <c r="I1243" s="651"/>
      <c r="J1243" s="634"/>
      <c r="K1243" s="652"/>
    </row>
    <row r="1244" spans="2:19" ht="18.95" customHeight="1">
      <c r="B1244" s="285" t="s">
        <v>2367</v>
      </c>
      <c r="C1244" s="634" t="s">
        <v>2368</v>
      </c>
      <c r="D1244" s="634" t="s">
        <v>2371</v>
      </c>
      <c r="E1244" s="634" t="s">
        <v>2372</v>
      </c>
      <c r="F1244" s="634">
        <v>0</v>
      </c>
      <c r="G1244" s="635">
        <f>IF(E1244="汇错",0,COUNTIF(E$1241:E1244,"&lt;&gt;汇错"))</f>
        <v>0</v>
      </c>
      <c r="H1244" s="635">
        <f>COUNTIF(E$1241:E1244,"&lt;&gt;汇错")*(E1244&lt;&gt;"汇错")</f>
        <v>0</v>
      </c>
      <c r="I1244" s="651" t="s">
        <v>2373</v>
      </c>
      <c r="J1244" s="634"/>
      <c r="K1244" s="652"/>
    </row>
    <row r="1245" spans="2:19" ht="18.95" customHeight="1">
      <c r="B1245" s="285" t="s">
        <v>2367</v>
      </c>
      <c r="C1245" s="634" t="s">
        <v>2368</v>
      </c>
      <c r="D1245" s="634" t="s">
        <v>2371</v>
      </c>
      <c r="E1245" s="634" t="s">
        <v>2374</v>
      </c>
      <c r="F1245" s="634">
        <v>3</v>
      </c>
      <c r="G1245" s="635">
        <f>IF(E1245="汇错",0,COUNTIF(E$1241:E1245,"&lt;&gt;汇错"))</f>
        <v>3</v>
      </c>
      <c r="H1245" s="635">
        <f>COUNTIF(E$1241:E1245,"&lt;&gt;汇错")*(E1245&lt;&gt;"汇错")</f>
        <v>3</v>
      </c>
      <c r="I1245" s="651"/>
      <c r="J1245" s="634"/>
      <c r="K1245" s="652"/>
    </row>
    <row r="1246" spans="2:19" ht="18.95" customHeight="1">
      <c r="B1246" s="285" t="s">
        <v>2367</v>
      </c>
      <c r="C1246" s="634" t="s">
        <v>2368</v>
      </c>
      <c r="D1246" s="634" t="s">
        <v>2371</v>
      </c>
      <c r="E1246" s="634" t="s">
        <v>2370</v>
      </c>
      <c r="F1246" s="634">
        <v>4</v>
      </c>
      <c r="G1246" s="635">
        <f>IF(E1246="汇错",0,COUNTIF(E$1241:E1246,"&lt;&gt;汇错"))</f>
        <v>4</v>
      </c>
      <c r="H1246" s="635">
        <f>COUNTIF(E$1241:E1246,"&lt;&gt;汇错")*(E1246&lt;&gt;"汇错")</f>
        <v>4</v>
      </c>
      <c r="I1246" s="651"/>
      <c r="J1246" s="634"/>
      <c r="K1246" s="652"/>
    </row>
    <row r="1247" spans="2:19" ht="18.95" customHeight="1">
      <c r="B1247" s="285" t="s">
        <v>2367</v>
      </c>
      <c r="C1247" s="634" t="s">
        <v>2368</v>
      </c>
      <c r="D1247" s="634" t="s">
        <v>2368</v>
      </c>
      <c r="E1247" s="634" t="s">
        <v>2375</v>
      </c>
      <c r="F1247" s="634">
        <v>5</v>
      </c>
      <c r="G1247" s="635">
        <f>IF(E1247="汇错",0,COUNTIF(E$1241:E1247,"&lt;&gt;汇错"))</f>
        <v>5</v>
      </c>
      <c r="H1247" s="635">
        <f>COUNTIF(E$1241:E1247,"&lt;&gt;汇错")*(E1247&lt;&gt;"汇错")</f>
        <v>5</v>
      </c>
      <c r="I1247" s="651"/>
      <c r="J1247" s="634"/>
      <c r="K1247" s="652"/>
    </row>
    <row r="1248" spans="2:19" ht="18.95" customHeight="1">
      <c r="B1248" s="288"/>
      <c r="C1248" s="579"/>
      <c r="D1248" s="579"/>
      <c r="E1248" s="579"/>
      <c r="F1248" s="579"/>
      <c r="G1248" s="579"/>
      <c r="H1248" s="579"/>
      <c r="I1248" s="651"/>
      <c r="J1248" s="579"/>
      <c r="K1248" s="452"/>
    </row>
    <row r="1249" spans="2:17" ht="18.95" customHeight="1">
      <c r="B1249" s="288"/>
      <c r="C1249" s="579"/>
      <c r="D1249" s="579"/>
      <c r="E1249" s="579"/>
      <c r="F1249" s="579" t="s">
        <v>2376</v>
      </c>
      <c r="G1249" s="579"/>
      <c r="H1249" s="579"/>
      <c r="I1249" s="651"/>
      <c r="J1249" s="579"/>
      <c r="K1249" s="452"/>
    </row>
    <row r="1250" spans="2:17" ht="18.95" customHeight="1">
      <c r="B1250" s="290"/>
      <c r="C1250" s="293"/>
      <c r="D1250" s="293"/>
      <c r="E1250" s="293"/>
      <c r="F1250" s="293"/>
      <c r="G1250" s="293"/>
      <c r="H1250" s="293"/>
      <c r="I1250" s="653"/>
      <c r="J1250" s="293"/>
      <c r="K1250" s="291"/>
    </row>
    <row r="1252" spans="2:17" ht="18.95" customHeight="1">
      <c r="B1252" s="333"/>
      <c r="C1252" s="324"/>
      <c r="D1252" s="324"/>
      <c r="E1252" s="324"/>
      <c r="F1252" s="324"/>
      <c r="G1252" s="324"/>
      <c r="H1252" s="324"/>
      <c r="I1252" s="324"/>
      <c r="J1252" s="324"/>
      <c r="K1252" s="324"/>
      <c r="L1252" s="324"/>
      <c r="M1252" s="324"/>
      <c r="N1252" s="324"/>
      <c r="O1252" s="324"/>
      <c r="P1252" s="324"/>
      <c r="Q1252" s="325"/>
    </row>
    <row r="1253" spans="2:17" ht="18.95" customHeight="1">
      <c r="B1253" s="636" t="s">
        <v>2377</v>
      </c>
      <c r="C1253" s="637" t="s">
        <v>2378</v>
      </c>
      <c r="D1253" s="637" t="s">
        <v>46</v>
      </c>
      <c r="E1253" s="638"/>
      <c r="F1253" s="638"/>
      <c r="G1253" s="638"/>
      <c r="H1253" s="638"/>
      <c r="I1253" s="638"/>
      <c r="J1253" s="116"/>
      <c r="K1253" s="116"/>
      <c r="L1253" s="116"/>
      <c r="M1253" s="116"/>
      <c r="N1253" s="116"/>
      <c r="O1253" s="116"/>
      <c r="P1253" s="116"/>
      <c r="Q1253" s="326"/>
    </row>
    <row r="1254" spans="2:17" ht="18.95" customHeight="1">
      <c r="B1254" s="639" t="s">
        <v>2379</v>
      </c>
      <c r="C1254" s="640">
        <v>44317</v>
      </c>
      <c r="D1254" s="641">
        <v>40000</v>
      </c>
      <c r="E1254" s="638"/>
      <c r="F1254" s="638"/>
      <c r="G1254" s="638"/>
      <c r="H1254" s="638"/>
      <c r="I1254" s="638"/>
      <c r="J1254" s="116"/>
      <c r="K1254" s="116"/>
      <c r="L1254" s="116"/>
      <c r="M1254" s="116"/>
      <c r="N1254" s="116"/>
      <c r="O1254" s="116"/>
      <c r="P1254" s="116"/>
      <c r="Q1254" s="326"/>
    </row>
    <row r="1255" spans="2:17" ht="18.95" customHeight="1">
      <c r="B1255" s="639" t="s">
        <v>2379</v>
      </c>
      <c r="C1255" s="640">
        <v>44562</v>
      </c>
      <c r="D1255" s="641">
        <v>13670</v>
      </c>
      <c r="E1255" s="638"/>
      <c r="F1255" s="638"/>
      <c r="G1255" s="638"/>
      <c r="H1255" s="638"/>
      <c r="I1255" s="638"/>
      <c r="J1255" s="116"/>
      <c r="K1255" s="116"/>
      <c r="L1255" s="116"/>
      <c r="M1255" s="116"/>
      <c r="N1255" s="116"/>
      <c r="O1255" s="116"/>
      <c r="P1255" s="116"/>
      <c r="Q1255" s="326"/>
    </row>
    <row r="1256" spans="2:17" ht="18.95" customHeight="1">
      <c r="B1256" s="639" t="s">
        <v>2379</v>
      </c>
      <c r="C1256" s="640">
        <v>44593</v>
      </c>
      <c r="D1256" s="641">
        <v>5420</v>
      </c>
      <c r="E1256" s="638"/>
      <c r="F1256" s="638"/>
      <c r="G1256" s="638"/>
      <c r="H1256" s="638"/>
      <c r="I1256" s="638"/>
      <c r="J1256" s="116"/>
      <c r="K1256" s="116"/>
      <c r="L1256" s="116"/>
      <c r="M1256" s="116"/>
      <c r="N1256" s="116"/>
      <c r="O1256" s="116"/>
      <c r="P1256" s="116"/>
      <c r="Q1256" s="326"/>
    </row>
    <row r="1257" spans="2:17" ht="18.95" customHeight="1">
      <c r="B1257" s="639" t="s">
        <v>2379</v>
      </c>
      <c r="C1257" s="640">
        <v>44621</v>
      </c>
      <c r="D1257" s="641">
        <v>6160</v>
      </c>
      <c r="E1257" s="638"/>
      <c r="F1257" s="638"/>
      <c r="G1257" s="638"/>
      <c r="H1257" s="638"/>
      <c r="I1257" s="638"/>
      <c r="J1257" s="116"/>
      <c r="K1257" s="116"/>
      <c r="L1257" s="116"/>
      <c r="M1257" s="116"/>
      <c r="N1257" s="116"/>
      <c r="O1257" s="116"/>
      <c r="P1257" s="116"/>
      <c r="Q1257" s="326"/>
    </row>
    <row r="1258" spans="2:17" ht="18.95" customHeight="1">
      <c r="B1258" s="639" t="s">
        <v>2380</v>
      </c>
      <c r="C1258" s="640">
        <v>44562</v>
      </c>
      <c r="D1258" s="641">
        <v>78190</v>
      </c>
      <c r="E1258" s="638"/>
      <c r="F1258" s="638"/>
      <c r="G1258" s="638"/>
      <c r="H1258" s="638"/>
      <c r="I1258" s="638"/>
      <c r="J1258" s="116"/>
      <c r="K1258" s="116"/>
      <c r="L1258" s="116"/>
      <c r="M1258" s="116"/>
      <c r="N1258" s="116"/>
      <c r="O1258" s="116"/>
      <c r="P1258" s="116"/>
      <c r="Q1258" s="326"/>
    </row>
    <row r="1259" spans="2:17" ht="18.95" customHeight="1">
      <c r="B1259" s="639" t="s">
        <v>2380</v>
      </c>
      <c r="C1259" s="640">
        <v>44593</v>
      </c>
      <c r="D1259" s="641">
        <v>46098</v>
      </c>
      <c r="E1259" s="638"/>
      <c r="F1259" s="638"/>
      <c r="G1259" s="638"/>
      <c r="H1259" s="638"/>
      <c r="I1259" s="638"/>
      <c r="J1259" s="116"/>
      <c r="K1259" s="116"/>
      <c r="L1259" s="116"/>
      <c r="M1259" s="116"/>
      <c r="N1259" s="116"/>
      <c r="O1259" s="116"/>
      <c r="P1259" s="116"/>
      <c r="Q1259" s="326"/>
    </row>
    <row r="1260" spans="2:17" ht="18.95" customHeight="1">
      <c r="B1260" s="639" t="s">
        <v>2380</v>
      </c>
      <c r="C1260" s="640">
        <v>44621</v>
      </c>
      <c r="D1260" s="641">
        <v>51316</v>
      </c>
      <c r="E1260" s="638"/>
      <c r="F1260" s="638"/>
      <c r="G1260" s="638"/>
      <c r="H1260" s="638"/>
      <c r="I1260" s="638"/>
      <c r="J1260" s="116"/>
      <c r="K1260" s="116"/>
      <c r="L1260" s="116"/>
      <c r="M1260" s="116"/>
      <c r="N1260" s="116"/>
      <c r="O1260" s="116"/>
      <c r="P1260" s="116"/>
      <c r="Q1260" s="326"/>
    </row>
    <row r="1261" spans="2:17" ht="18.95" customHeight="1">
      <c r="B1261" s="639" t="s">
        <v>2381</v>
      </c>
      <c r="C1261" s="640">
        <v>44621</v>
      </c>
      <c r="D1261" s="641">
        <v>8080</v>
      </c>
      <c r="E1261" s="638"/>
      <c r="F1261" s="638"/>
      <c r="G1261" s="638"/>
      <c r="H1261" s="638"/>
      <c r="I1261" s="638"/>
      <c r="J1261" s="116"/>
      <c r="K1261" s="116"/>
      <c r="L1261" s="116"/>
      <c r="M1261" s="116"/>
      <c r="N1261" s="116"/>
      <c r="O1261" s="116"/>
      <c r="P1261" s="116"/>
      <c r="Q1261" s="326"/>
    </row>
    <row r="1262" spans="2:17" ht="18.95" customHeight="1">
      <c r="B1262" s="639" t="s">
        <v>2382</v>
      </c>
      <c r="C1262" s="640">
        <v>44593</v>
      </c>
      <c r="D1262" s="641">
        <v>7409</v>
      </c>
      <c r="E1262" s="638"/>
      <c r="F1262" s="638"/>
      <c r="G1262" s="638"/>
      <c r="H1262" s="638"/>
      <c r="I1262" s="638"/>
      <c r="J1262" s="116"/>
      <c r="K1262" s="116"/>
      <c r="L1262" s="116"/>
      <c r="M1262" s="116"/>
      <c r="N1262" s="116"/>
      <c r="O1262" s="116"/>
      <c r="P1262" s="116"/>
      <c r="Q1262" s="326"/>
    </row>
    <row r="1263" spans="2:17" ht="18.95" customHeight="1">
      <c r="B1263" s="639" t="s">
        <v>2383</v>
      </c>
      <c r="C1263" s="640">
        <v>44621</v>
      </c>
      <c r="D1263" s="641">
        <v>490</v>
      </c>
      <c r="E1263" s="638"/>
      <c r="F1263" s="638"/>
      <c r="G1263" s="638"/>
      <c r="H1263" s="638"/>
      <c r="I1263" s="638"/>
      <c r="J1263" s="116"/>
      <c r="K1263" s="116"/>
      <c r="L1263" s="116"/>
      <c r="M1263" s="116"/>
      <c r="N1263" s="116"/>
      <c r="O1263" s="116"/>
      <c r="P1263" s="116"/>
      <c r="Q1263" s="326"/>
    </row>
    <row r="1264" spans="2:17" ht="18.95" customHeight="1">
      <c r="B1264" s="639" t="s">
        <v>2384</v>
      </c>
      <c r="C1264" s="640">
        <v>44562</v>
      </c>
      <c r="D1264" s="641">
        <v>38549</v>
      </c>
      <c r="E1264" s="638"/>
      <c r="F1264" s="638"/>
      <c r="G1264" s="638"/>
      <c r="H1264" s="638"/>
      <c r="I1264" s="638"/>
      <c r="J1264" s="116"/>
      <c r="K1264" s="116"/>
      <c r="L1264" s="116"/>
      <c r="M1264" s="116"/>
      <c r="N1264" s="116"/>
      <c r="O1264" s="116"/>
      <c r="P1264" s="116"/>
      <c r="Q1264" s="326"/>
    </row>
    <row r="1265" spans="2:17" ht="18.95" customHeight="1">
      <c r="B1265" s="639" t="s">
        <v>2384</v>
      </c>
      <c r="C1265" s="640">
        <v>44593</v>
      </c>
      <c r="D1265" s="641">
        <v>25847</v>
      </c>
      <c r="E1265" s="638"/>
      <c r="F1265" s="638"/>
      <c r="G1265" s="638"/>
      <c r="H1265" s="638"/>
      <c r="I1265" s="638"/>
      <c r="J1265" s="116"/>
      <c r="K1265" s="116"/>
      <c r="L1265" s="116"/>
      <c r="M1265" s="116"/>
      <c r="N1265" s="116"/>
      <c r="O1265" s="116"/>
      <c r="P1265" s="116"/>
      <c r="Q1265" s="326"/>
    </row>
    <row r="1266" spans="2:17" ht="18.95" customHeight="1">
      <c r="B1266" s="639" t="s">
        <v>2384</v>
      </c>
      <c r="C1266" s="640">
        <v>44621</v>
      </c>
      <c r="D1266" s="641">
        <v>12656</v>
      </c>
      <c r="E1266" s="638"/>
      <c r="F1266" s="638"/>
      <c r="G1266" s="638"/>
      <c r="H1266" s="638"/>
      <c r="I1266" s="638"/>
      <c r="J1266" s="116"/>
      <c r="K1266" s="116"/>
      <c r="L1266" s="116"/>
      <c r="M1266" s="116"/>
      <c r="N1266" s="116"/>
      <c r="O1266" s="116"/>
      <c r="P1266" s="116"/>
      <c r="Q1266" s="326"/>
    </row>
    <row r="1267" spans="2:17" ht="18.95" customHeight="1">
      <c r="B1267" s="639" t="s">
        <v>2385</v>
      </c>
      <c r="C1267" s="640">
        <v>44562</v>
      </c>
      <c r="D1267" s="641">
        <v>45</v>
      </c>
      <c r="E1267" s="638"/>
      <c r="F1267" s="638"/>
      <c r="G1267" s="638"/>
      <c r="H1267" s="638"/>
      <c r="I1267" s="638"/>
      <c r="J1267" s="116"/>
      <c r="K1267" s="116"/>
      <c r="L1267" s="116"/>
      <c r="M1267" s="116"/>
      <c r="N1267" s="116"/>
      <c r="O1267" s="116"/>
      <c r="P1267" s="116"/>
      <c r="Q1267" s="326"/>
    </row>
    <row r="1268" spans="2:17" ht="18.95" customHeight="1">
      <c r="B1268" s="639" t="s">
        <v>2386</v>
      </c>
      <c r="C1268" s="640">
        <v>44713</v>
      </c>
      <c r="D1268" s="641">
        <v>18900</v>
      </c>
      <c r="E1268" s="638"/>
      <c r="F1268" s="638"/>
      <c r="G1268" s="638"/>
      <c r="H1268" s="638"/>
      <c r="I1268" s="638"/>
      <c r="J1268" s="116"/>
      <c r="K1268" s="116"/>
      <c r="L1268" s="116"/>
      <c r="M1268" s="116"/>
      <c r="N1268" s="116"/>
      <c r="O1268" s="116"/>
      <c r="P1268" s="116"/>
      <c r="Q1268" s="326"/>
    </row>
    <row r="1269" spans="2:17" ht="18.95" customHeight="1">
      <c r="B1269" s="639" t="s">
        <v>2387</v>
      </c>
      <c r="C1269" s="640">
        <v>44713</v>
      </c>
      <c r="D1269" s="641">
        <v>900</v>
      </c>
      <c r="E1269" s="638"/>
      <c r="F1269" s="638"/>
      <c r="G1269" s="638"/>
      <c r="H1269" s="638"/>
      <c r="I1269" s="638"/>
      <c r="J1269" s="116"/>
      <c r="K1269" s="116"/>
      <c r="L1269" s="116"/>
      <c r="M1269" s="116"/>
      <c r="N1269" s="116"/>
      <c r="O1269" s="116"/>
      <c r="P1269" s="116"/>
      <c r="Q1269" s="326"/>
    </row>
    <row r="1270" spans="2:17" ht="18.95" customHeight="1">
      <c r="B1270" s="639" t="s">
        <v>2387</v>
      </c>
      <c r="C1270" s="640">
        <v>44713</v>
      </c>
      <c r="D1270" s="641">
        <v>3350</v>
      </c>
      <c r="E1270" s="638"/>
      <c r="F1270" s="638"/>
      <c r="G1270" s="638"/>
      <c r="H1270" s="638"/>
      <c r="I1270" s="638"/>
      <c r="J1270" s="116"/>
      <c r="K1270" s="116"/>
      <c r="L1270" s="116"/>
      <c r="M1270" s="116"/>
      <c r="N1270" s="116"/>
      <c r="O1270" s="116"/>
      <c r="P1270" s="116"/>
      <c r="Q1270" s="326"/>
    </row>
    <row r="1271" spans="2:17" ht="18.95" customHeight="1">
      <c r="B1271" s="254"/>
      <c r="C1271" s="116"/>
      <c r="D1271" s="116"/>
      <c r="E1271" s="116"/>
      <c r="F1271" s="116"/>
      <c r="G1271" s="116"/>
      <c r="H1271" s="116"/>
      <c r="I1271" s="116"/>
      <c r="J1271" s="116"/>
      <c r="K1271" s="116"/>
      <c r="L1271" s="116"/>
      <c r="M1271" s="116"/>
      <c r="N1271" s="116"/>
      <c r="O1271" s="116"/>
      <c r="P1271" s="116"/>
      <c r="Q1271" s="326"/>
    </row>
    <row r="1272" spans="2:17" ht="18.95" customHeight="1">
      <c r="B1272" s="254"/>
      <c r="C1272" s="116"/>
      <c r="D1272" s="116"/>
      <c r="E1272" s="116"/>
      <c r="F1272" s="116"/>
      <c r="G1272" s="116"/>
      <c r="H1272" s="116"/>
      <c r="I1272" s="116"/>
      <c r="J1272" s="116"/>
      <c r="K1272" s="116"/>
      <c r="L1272" s="116"/>
      <c r="M1272" s="116"/>
      <c r="N1272" s="116"/>
      <c r="O1272" s="116"/>
      <c r="P1272" s="116"/>
      <c r="Q1272" s="326"/>
    </row>
    <row r="1273" spans="2:17" ht="18.95" customHeight="1">
      <c r="B1273" s="642" t="s">
        <v>2388</v>
      </c>
      <c r="C1273" s="643">
        <v>357080</v>
      </c>
      <c r="D1273" s="644" t="s">
        <v>2389</v>
      </c>
      <c r="E1273" s="645"/>
      <c r="F1273" s="644"/>
      <c r="G1273" s="644"/>
      <c r="H1273" s="646"/>
      <c r="I1273" s="646"/>
      <c r="J1273" s="116"/>
      <c r="K1273" s="116"/>
      <c r="L1273" s="116"/>
      <c r="M1273" s="116"/>
      <c r="N1273" s="116"/>
      <c r="O1273" s="116"/>
      <c r="P1273" s="116"/>
      <c r="Q1273" s="326"/>
    </row>
    <row r="1274" spans="2:17" ht="18.95" customHeight="1">
      <c r="B1274" s="636" t="s">
        <v>2377</v>
      </c>
      <c r="C1274" s="637" t="s">
        <v>46</v>
      </c>
      <c r="D1274" s="1123" t="s">
        <v>2390</v>
      </c>
      <c r="E1274" s="1123"/>
      <c r="F1274" s="1123"/>
      <c r="G1274" s="1123"/>
      <c r="H1274" s="1123"/>
      <c r="I1274" s="1123"/>
      <c r="J1274" s="116"/>
      <c r="K1274" s="116"/>
      <c r="L1274" s="116"/>
      <c r="M1274" s="116"/>
      <c r="N1274" s="116"/>
      <c r="O1274" s="116"/>
      <c r="P1274" s="116"/>
      <c r="Q1274" s="326"/>
    </row>
    <row r="1275" spans="2:17" ht="18.95" customHeight="1">
      <c r="B1275" s="647" t="s">
        <v>2379</v>
      </c>
      <c r="C1275" s="648">
        <v>65250</v>
      </c>
      <c r="D1275" s="1174" t="s">
        <v>2391</v>
      </c>
      <c r="E1275" s="1175"/>
      <c r="F1275" s="1175"/>
      <c r="G1275" s="1175"/>
      <c r="H1275" s="1175"/>
      <c r="I1275" s="1163"/>
      <c r="J1275" s="1015" t="str">
        <f t="array" ref="J1275">_xlfn.TEXTJOIN({" ";" +"},1,TEXT(_xlfn._xlws.FILTER($C$1254:$D$1270,$B$1254:$B$1270=B1275),{"e.m月","0元"}))</f>
        <v>2021.5月 40000元 +2022.1月 13670元 +2022.2月 5420元 +2022.3月 6160元</v>
      </c>
      <c r="K1275" s="1015"/>
      <c r="L1275" s="1015"/>
      <c r="M1275" s="1015"/>
      <c r="N1275" s="1015"/>
      <c r="O1275" s="116"/>
      <c r="P1275" s="116"/>
      <c r="Q1275" s="326"/>
    </row>
    <row r="1276" spans="2:17" ht="18.95" customHeight="1">
      <c r="B1276" s="647" t="s">
        <v>2380</v>
      </c>
      <c r="C1276" s="648">
        <v>175604</v>
      </c>
      <c r="D1276" s="1163" t="s">
        <v>2392</v>
      </c>
      <c r="E1276" s="1163"/>
      <c r="F1276" s="1163"/>
      <c r="G1276" s="1163"/>
      <c r="H1276" s="1163"/>
      <c r="I1276" s="1163"/>
      <c r="J1276" s="1015" t="str">
        <f t="array" ref="J1276">_xlfn.TEXTJOIN({" ";" +"},1,TEXT(_xlfn._xlws.FILTER($C$1254:$D$1270,$B$1254:$B$1270=B1276),{"e.m月","0元"}))</f>
        <v>2022.1月 78190元 +2022.2月 46098元 +2022.3月 51316元</v>
      </c>
      <c r="K1276" s="1015"/>
      <c r="L1276" s="1015"/>
      <c r="M1276" s="1015"/>
      <c r="N1276" s="1015"/>
      <c r="O1276" s="116"/>
      <c r="P1276" s="116"/>
      <c r="Q1276" s="326"/>
    </row>
    <row r="1277" spans="2:17" ht="18.95" customHeight="1">
      <c r="B1277" s="647" t="s">
        <v>2381</v>
      </c>
      <c r="C1277" s="648">
        <v>8080</v>
      </c>
      <c r="D1277" s="1127" t="s">
        <v>2393</v>
      </c>
      <c r="E1277" s="1127"/>
      <c r="F1277" s="1127"/>
      <c r="G1277" s="1127"/>
      <c r="H1277" s="1127"/>
      <c r="I1277" s="1127"/>
      <c r="J1277" s="1015" t="str">
        <f t="array" ref="J1277">_xlfn.TEXTJOIN({" ";" +"},1,TEXT(_xlfn._xlws.FILTER($C$1254:$D$1270,$B$1254:$B$1270=B1277),{"e.m月","0元"}))</f>
        <v>2022.3月 8080元</v>
      </c>
      <c r="K1277" s="1015"/>
      <c r="L1277" s="1015"/>
      <c r="M1277" s="1015"/>
      <c r="N1277" s="1015"/>
      <c r="O1277" s="116"/>
      <c r="P1277" s="116"/>
      <c r="Q1277" s="326"/>
    </row>
    <row r="1278" spans="2:17" ht="18.95" customHeight="1">
      <c r="B1278" s="647" t="s">
        <v>2382</v>
      </c>
      <c r="C1278" s="648">
        <v>7409</v>
      </c>
      <c r="D1278" s="1127" t="s">
        <v>2394</v>
      </c>
      <c r="E1278" s="1127"/>
      <c r="F1278" s="1127"/>
      <c r="G1278" s="1127"/>
      <c r="H1278" s="1127"/>
      <c r="I1278" s="1127"/>
      <c r="J1278" s="1015" t="str">
        <f t="array" ref="J1278">_xlfn.TEXTJOIN({" ";" +"},1,TEXT(_xlfn._xlws.FILTER($C$1254:$D$1270,$B$1254:$B$1270=B1278),{"e.m月","0元"}))</f>
        <v>2022.2月 7409元</v>
      </c>
      <c r="K1278" s="1015"/>
      <c r="L1278" s="1015"/>
      <c r="M1278" s="1015"/>
      <c r="N1278" s="1015"/>
      <c r="O1278" s="116"/>
      <c r="P1278" s="116"/>
      <c r="Q1278" s="326"/>
    </row>
    <row r="1279" spans="2:17" ht="18.95" customHeight="1">
      <c r="B1279" s="647" t="s">
        <v>2383</v>
      </c>
      <c r="C1279" s="648">
        <v>490</v>
      </c>
      <c r="D1279" s="1127" t="s">
        <v>2395</v>
      </c>
      <c r="E1279" s="1127"/>
      <c r="F1279" s="1127"/>
      <c r="G1279" s="1127"/>
      <c r="H1279" s="1127"/>
      <c r="I1279" s="1127"/>
      <c r="J1279" s="1015" t="str">
        <f t="array" ref="J1279">_xlfn.TEXTJOIN({" ";" +"},1,TEXT(_xlfn._xlws.FILTER($C$1254:$D$1270,$B$1254:$B$1270=B1279),{"e.m月","0元"}))</f>
        <v>2022.3月 490元</v>
      </c>
      <c r="K1279" s="1015"/>
      <c r="L1279" s="1015"/>
      <c r="M1279" s="1015"/>
      <c r="N1279" s="1015"/>
      <c r="O1279" s="116"/>
      <c r="P1279" s="116"/>
      <c r="Q1279" s="326"/>
    </row>
    <row r="1280" spans="2:17" ht="18.95" customHeight="1">
      <c r="B1280" s="647" t="s">
        <v>2384</v>
      </c>
      <c r="C1280" s="648">
        <v>77052</v>
      </c>
      <c r="D1280" s="1127" t="s">
        <v>2396</v>
      </c>
      <c r="E1280" s="1127"/>
      <c r="F1280" s="1127"/>
      <c r="G1280" s="1127"/>
      <c r="H1280" s="1127"/>
      <c r="I1280" s="1127"/>
      <c r="J1280" s="1015" t="str">
        <f t="array" ref="J1280">_xlfn.TEXTJOIN({" ";" +"},1,TEXT(_xlfn._xlws.FILTER($C$1254:$D$1270,$B$1254:$B$1270=B1280),{"e.m月","0元"}))</f>
        <v>2022.1月 38549元 +2022.2月 25847元 +2022.3月 12656元</v>
      </c>
      <c r="K1280" s="1015"/>
      <c r="L1280" s="1015"/>
      <c r="M1280" s="1015"/>
      <c r="N1280" s="1015"/>
      <c r="O1280" s="116"/>
      <c r="P1280" s="116"/>
      <c r="Q1280" s="326"/>
    </row>
    <row r="1281" spans="2:17" ht="18.95" customHeight="1">
      <c r="B1281" s="647" t="s">
        <v>2385</v>
      </c>
      <c r="C1281" s="648">
        <v>45</v>
      </c>
      <c r="D1281" s="1127" t="s">
        <v>2397</v>
      </c>
      <c r="E1281" s="1127"/>
      <c r="F1281" s="1127"/>
      <c r="G1281" s="1127"/>
      <c r="H1281" s="1127"/>
      <c r="I1281" s="1127"/>
      <c r="J1281" s="1015" t="str">
        <f t="array" ref="J1281">_xlfn.TEXTJOIN({" ";" +"},1,TEXT(_xlfn._xlws.FILTER($C$1254:$D$1270,$B$1254:$B$1270=B1281),{"e.m月","0元"}))</f>
        <v>2022.1月 45元</v>
      </c>
      <c r="K1281" s="1015"/>
      <c r="L1281" s="1015"/>
      <c r="M1281" s="1015"/>
      <c r="N1281" s="1015"/>
      <c r="O1281" s="116"/>
      <c r="P1281" s="116"/>
      <c r="Q1281" s="326"/>
    </row>
    <row r="1282" spans="2:17" ht="18.95" customHeight="1">
      <c r="B1282" s="647" t="s">
        <v>2386</v>
      </c>
      <c r="C1282" s="648">
        <v>18900</v>
      </c>
      <c r="D1282" s="1127" t="s">
        <v>2398</v>
      </c>
      <c r="E1282" s="1127"/>
      <c r="F1282" s="1127"/>
      <c r="G1282" s="1127"/>
      <c r="H1282" s="1127"/>
      <c r="I1282" s="1127"/>
      <c r="J1282" s="1015" t="str">
        <f t="array" ref="J1282">_xlfn.TEXTJOIN({" ";" +"},1,TEXT(_xlfn._xlws.FILTER($C$1254:$D$1270,$B$1254:$B$1270=B1282),{"e.m月","0元"}))</f>
        <v>2022.6月 18900元</v>
      </c>
      <c r="K1282" s="1015"/>
      <c r="L1282" s="1015"/>
      <c r="M1282" s="1015"/>
      <c r="N1282" s="1015"/>
      <c r="O1282" s="116"/>
      <c r="P1282" s="116"/>
      <c r="Q1282" s="326"/>
    </row>
    <row r="1283" spans="2:17" ht="18.95" customHeight="1">
      <c r="B1283" s="647" t="s">
        <v>2387</v>
      </c>
      <c r="C1283" s="648">
        <v>4250</v>
      </c>
      <c r="D1283" s="1163" t="s">
        <v>2399</v>
      </c>
      <c r="E1283" s="1163"/>
      <c r="F1283" s="1163"/>
      <c r="G1283" s="1163"/>
      <c r="H1283" s="1163"/>
      <c r="I1283" s="1163"/>
      <c r="J1283" s="1015" t="str">
        <f t="array" ref="J1283">_xlfn.TEXTJOIN({" ";" +"},1,TEXT(_xlfn._xlws.FILTER($C$1254:$D$1270,$B$1254:$B$1270=B1283),{"e.m月","0元"}))</f>
        <v>2022.6月 900元 +2022.6月 3350元</v>
      </c>
      <c r="K1283" s="1015"/>
      <c r="L1283" s="1015"/>
      <c r="M1283" s="1015"/>
      <c r="N1283" s="1015"/>
      <c r="O1283" s="116"/>
      <c r="P1283" s="116"/>
      <c r="Q1283" s="326"/>
    </row>
    <row r="1284" spans="2:17" ht="18.95" customHeight="1">
      <c r="B1284" s="304"/>
      <c r="C1284" s="305"/>
      <c r="D1284" s="305"/>
      <c r="E1284" s="305"/>
      <c r="F1284" s="305"/>
      <c r="G1284" s="305"/>
      <c r="H1284" s="305"/>
      <c r="I1284" s="305"/>
      <c r="J1284" s="305"/>
      <c r="K1284" s="305"/>
      <c r="L1284" s="305"/>
      <c r="M1284" s="305"/>
      <c r="N1284" s="305"/>
      <c r="O1284" s="305"/>
      <c r="P1284" s="305"/>
      <c r="Q1284" s="327"/>
    </row>
    <row r="1286" spans="2:17" ht="18.95" customHeight="1">
      <c r="B1286" s="333"/>
      <c r="C1286" s="324"/>
      <c r="D1286" s="324"/>
      <c r="E1286" s="325"/>
    </row>
    <row r="1287" spans="2:17" ht="18.95" customHeight="1">
      <c r="B1287" s="254" t="s">
        <v>2400</v>
      </c>
      <c r="C1287" s="116" t="s">
        <v>2401</v>
      </c>
      <c r="D1287" s="116"/>
      <c r="E1287" s="326"/>
    </row>
    <row r="1288" spans="2:17" ht="18.95" customHeight="1">
      <c r="B1288" s="254"/>
      <c r="C1288" s="116"/>
      <c r="D1288" s="116"/>
      <c r="E1288" s="326"/>
    </row>
    <row r="1289" spans="2:17" ht="18.75" customHeight="1">
      <c r="B1289" s="254" t="s">
        <v>2402</v>
      </c>
      <c r="C1289" s="339" t="s">
        <v>2403</v>
      </c>
      <c r="D1289" s="116"/>
      <c r="E1289" s="326"/>
    </row>
    <row r="1290" spans="2:17" ht="18.95" customHeight="1">
      <c r="B1290" s="254"/>
      <c r="C1290" s="116"/>
      <c r="D1290" s="116" t="s">
        <v>2404</v>
      </c>
      <c r="E1290" s="326"/>
    </row>
    <row r="1291" spans="2:17" ht="18.75" customHeight="1">
      <c r="B1291" s="254"/>
      <c r="C1291" s="339" t="str">
        <f>SUBSTITUTE(C1287,"量","量"&amp;CHAR(10))</f>
        <v>1、通风量
2、排烟量
3、水管量
4、风管量
5、其它</v>
      </c>
      <c r="D1291" s="116"/>
      <c r="E1291" s="326"/>
    </row>
    <row r="1292" spans="2:17" ht="18.95" customHeight="1">
      <c r="B1292" s="304"/>
      <c r="C1292" s="305"/>
      <c r="D1292" s="305"/>
      <c r="E1292" s="327"/>
    </row>
    <row r="1294" spans="2:17" ht="18.95" customHeight="1">
      <c r="B1294" s="333"/>
      <c r="C1294" s="324"/>
      <c r="D1294" s="324"/>
      <c r="E1294" s="325"/>
    </row>
    <row r="1295" spans="2:17" ht="18.95" customHeight="1">
      <c r="B1295" s="254" t="s">
        <v>2405</v>
      </c>
      <c r="C1295" s="116"/>
      <c r="D1295" s="116"/>
      <c r="E1295" s="326"/>
    </row>
    <row r="1296" spans="2:17" ht="18.95" customHeight="1">
      <c r="B1296" s="333">
        <v>1</v>
      </c>
      <c r="C1296" s="325">
        <v>4</v>
      </c>
      <c r="D1296" s="116"/>
      <c r="E1296" s="326"/>
    </row>
    <row r="1297" spans="2:22" ht="18.95" customHeight="1">
      <c r="B1297" s="254">
        <v>2</v>
      </c>
      <c r="C1297" s="326">
        <v>2</v>
      </c>
      <c r="D1297" s="116"/>
      <c r="E1297" s="326"/>
    </row>
    <row r="1298" spans="2:22" ht="18.95" customHeight="1">
      <c r="B1298" s="254">
        <v>4</v>
      </c>
      <c r="C1298" s="326">
        <v>4</v>
      </c>
      <c r="D1298" s="116"/>
      <c r="E1298" s="326"/>
    </row>
    <row r="1299" spans="2:22" ht="18.95" customHeight="1">
      <c r="B1299" s="304">
        <v>5</v>
      </c>
      <c r="C1299" s="327">
        <v>5</v>
      </c>
      <c r="D1299" s="116"/>
      <c r="E1299" s="326"/>
    </row>
    <row r="1300" spans="2:22" ht="18.95" customHeight="1">
      <c r="B1300" s="304"/>
      <c r="C1300" s="305"/>
      <c r="D1300" s="305"/>
      <c r="E1300" s="327"/>
    </row>
    <row r="1302" spans="2:22" ht="18.95" customHeight="1" thickBot="1"/>
    <row r="1303" spans="2:22" ht="18.95" customHeight="1" thickBot="1">
      <c r="B1303" s="891"/>
      <c r="C1303" s="892"/>
      <c r="D1303" s="892"/>
      <c r="E1303" s="892"/>
      <c r="F1303" s="892"/>
      <c r="G1303" s="892"/>
      <c r="H1303" s="892"/>
      <c r="I1303" s="892"/>
      <c r="J1303" s="892"/>
      <c r="K1303" s="892"/>
      <c r="L1303" s="892"/>
      <c r="M1303" s="892"/>
      <c r="N1303" s="892"/>
      <c r="O1303" s="892"/>
      <c r="P1303" s="892"/>
      <c r="Q1303" s="892"/>
      <c r="R1303" s="892"/>
      <c r="S1303" s="893"/>
      <c r="T1303" s="876"/>
      <c r="U1303" s="876"/>
      <c r="V1303" s="876"/>
    </row>
    <row r="1304" spans="2:22" ht="18.95" customHeight="1">
      <c r="B1304" s="894"/>
      <c r="C1304" s="895"/>
      <c r="D1304" s="895"/>
      <c r="E1304" s="895" t="s">
        <v>2474</v>
      </c>
      <c r="F1304" s="895"/>
      <c r="G1304" s="895"/>
      <c r="H1304" s="895"/>
      <c r="I1304" s="895"/>
      <c r="J1304" s="895"/>
      <c r="K1304" s="877" t="s">
        <v>2475</v>
      </c>
      <c r="L1304" s="878"/>
      <c r="M1304" s="878"/>
      <c r="N1304" s="878"/>
      <c r="O1304" s="878"/>
      <c r="P1304" s="878"/>
      <c r="Q1304" s="878"/>
      <c r="R1304" s="879"/>
      <c r="S1304" s="896"/>
      <c r="T1304" s="876"/>
      <c r="U1304" s="876"/>
      <c r="V1304" s="876"/>
    </row>
    <row r="1305" spans="2:22" ht="18.95" customHeight="1">
      <c r="B1305" s="897" t="s">
        <v>2476</v>
      </c>
      <c r="C1305" s="898" t="s">
        <v>2477</v>
      </c>
      <c r="D1305" s="898" t="s">
        <v>2478</v>
      </c>
      <c r="E1305" s="930" t="s">
        <v>2479</v>
      </c>
      <c r="F1305" s="898" t="s">
        <v>2480</v>
      </c>
      <c r="G1305" s="898" t="s">
        <v>2481</v>
      </c>
      <c r="H1305" s="898" t="s">
        <v>2482</v>
      </c>
      <c r="I1305" s="895"/>
      <c r="J1305" s="898" t="s">
        <v>2483</v>
      </c>
      <c r="K1305" s="880" t="s">
        <v>2484</v>
      </c>
      <c r="L1305" s="895"/>
      <c r="M1305" s="895"/>
      <c r="N1305" s="895"/>
      <c r="O1305" s="895"/>
      <c r="P1305" s="895"/>
      <c r="Q1305" s="895"/>
      <c r="R1305" s="881"/>
      <c r="S1305" s="896"/>
      <c r="T1305" s="876"/>
      <c r="U1305" s="876"/>
      <c r="V1305" s="876"/>
    </row>
    <row r="1306" spans="2:22" ht="18.95" customHeight="1">
      <c r="B1306" s="899">
        <v>44814</v>
      </c>
      <c r="C1306" s="898" t="s">
        <v>2485</v>
      </c>
      <c r="D1306" s="895" t="s">
        <v>2486</v>
      </c>
      <c r="E1306" s="898" t="s">
        <v>2487</v>
      </c>
      <c r="F1306" s="898">
        <v>20</v>
      </c>
      <c r="G1306" s="895">
        <v>5</v>
      </c>
      <c r="H1306" s="895">
        <f>F1306*G1306</f>
        <v>100</v>
      </c>
      <c r="I1306" s="895"/>
      <c r="J1306" s="898" t="s">
        <v>2485</v>
      </c>
      <c r="K1306" s="880" t="s">
        <v>2488</v>
      </c>
      <c r="L1306" s="895"/>
      <c r="M1306" s="895"/>
      <c r="N1306" s="895"/>
      <c r="O1306" s="895"/>
      <c r="P1306" s="895"/>
      <c r="Q1306" s="895"/>
      <c r="R1306" s="881"/>
      <c r="S1306" s="896"/>
      <c r="T1306" s="876"/>
      <c r="U1306" s="876"/>
      <c r="V1306" s="876"/>
    </row>
    <row r="1307" spans="2:22" ht="18.95" customHeight="1" thickBot="1">
      <c r="B1307" s="899">
        <v>44814</v>
      </c>
      <c r="C1307" s="898" t="s">
        <v>2489</v>
      </c>
      <c r="D1307" s="895" t="s">
        <v>2490</v>
      </c>
      <c r="E1307" s="898" t="s">
        <v>2491</v>
      </c>
      <c r="F1307" s="898">
        <v>21</v>
      </c>
      <c r="G1307" s="895">
        <v>10</v>
      </c>
      <c r="H1307" s="895">
        <f t="shared" ref="H1307:H1325" si="22">F1307*G1307</f>
        <v>210</v>
      </c>
      <c r="I1307" s="895"/>
      <c r="J1307" s="898" t="s">
        <v>2489</v>
      </c>
      <c r="K1307" s="882" t="s">
        <v>2492</v>
      </c>
      <c r="L1307" s="883"/>
      <c r="M1307" s="883"/>
      <c r="N1307" s="883"/>
      <c r="O1307" s="883"/>
      <c r="P1307" s="883"/>
      <c r="Q1307" s="883"/>
      <c r="R1307" s="884"/>
      <c r="S1307" s="896"/>
      <c r="T1307" s="876"/>
      <c r="U1307" s="876"/>
      <c r="V1307" s="876"/>
    </row>
    <row r="1308" spans="2:22" ht="18.95" customHeight="1">
      <c r="B1308" s="899">
        <v>44814</v>
      </c>
      <c r="C1308" s="898" t="s">
        <v>2493</v>
      </c>
      <c r="D1308" s="895" t="s">
        <v>2494</v>
      </c>
      <c r="E1308" s="898" t="s">
        <v>2495</v>
      </c>
      <c r="F1308" s="898">
        <v>2</v>
      </c>
      <c r="G1308" s="895">
        <v>3</v>
      </c>
      <c r="H1308" s="895">
        <f t="shared" si="22"/>
        <v>6</v>
      </c>
      <c r="I1308" s="895"/>
      <c r="J1308" s="898" t="s">
        <v>2493</v>
      </c>
      <c r="K1308" s="900"/>
      <c r="L1308" s="895"/>
      <c r="M1308" s="895"/>
      <c r="N1308" s="895"/>
      <c r="O1308" s="895"/>
      <c r="P1308" s="895"/>
      <c r="Q1308" s="895"/>
      <c r="R1308" s="895"/>
      <c r="S1308" s="896"/>
      <c r="T1308" s="876"/>
      <c r="U1308" s="876"/>
      <c r="V1308" s="876"/>
    </row>
    <row r="1309" spans="2:22" ht="18.95" customHeight="1" thickBot="1">
      <c r="B1309" s="899">
        <v>44814</v>
      </c>
      <c r="C1309" s="898" t="s">
        <v>2496</v>
      </c>
      <c r="D1309" s="895" t="s">
        <v>2497</v>
      </c>
      <c r="E1309" s="898" t="s">
        <v>2498</v>
      </c>
      <c r="F1309" s="898">
        <v>3</v>
      </c>
      <c r="G1309" s="895">
        <v>2</v>
      </c>
      <c r="H1309" s="895">
        <f t="shared" si="22"/>
        <v>6</v>
      </c>
      <c r="I1309" s="895"/>
      <c r="J1309" s="898" t="s">
        <v>2496</v>
      </c>
      <c r="K1309" s="895"/>
      <c r="L1309" s="895"/>
      <c r="M1309" s="895"/>
      <c r="N1309" s="895"/>
      <c r="O1309" s="895"/>
      <c r="P1309" s="895"/>
      <c r="Q1309" s="895"/>
      <c r="R1309" s="895"/>
      <c r="S1309" s="896"/>
      <c r="T1309" s="876"/>
      <c r="U1309" s="876"/>
      <c r="V1309" s="876"/>
    </row>
    <row r="1310" spans="2:22" ht="18.95" customHeight="1">
      <c r="B1310" s="899">
        <v>44844</v>
      </c>
      <c r="C1310" s="898" t="s">
        <v>2485</v>
      </c>
      <c r="D1310" s="895" t="s">
        <v>2486</v>
      </c>
      <c r="E1310" s="898" t="s">
        <v>2498</v>
      </c>
      <c r="F1310" s="898">
        <v>4</v>
      </c>
      <c r="G1310" s="895">
        <v>5</v>
      </c>
      <c r="H1310" s="895">
        <f t="shared" si="22"/>
        <v>20</v>
      </c>
      <c r="I1310" s="895"/>
      <c r="J1310" s="898" t="s">
        <v>2499</v>
      </c>
      <c r="K1310" s="1132" t="s">
        <v>2500</v>
      </c>
      <c r="L1310" s="1133"/>
      <c r="M1310" s="1133"/>
      <c r="N1310" s="1133"/>
      <c r="O1310" s="1134"/>
      <c r="P1310" s="895"/>
      <c r="Q1310" s="895"/>
      <c r="R1310" s="895"/>
      <c r="S1310" s="896"/>
      <c r="T1310" s="876"/>
      <c r="U1310" s="876"/>
      <c r="V1310" s="876"/>
    </row>
    <row r="1311" spans="2:22" ht="18.95" customHeight="1">
      <c r="B1311" s="899">
        <v>44844</v>
      </c>
      <c r="C1311" s="898" t="s">
        <v>2499</v>
      </c>
      <c r="D1311" s="895" t="s">
        <v>2501</v>
      </c>
      <c r="E1311" s="898" t="s">
        <v>2491</v>
      </c>
      <c r="F1311" s="898">
        <v>5</v>
      </c>
      <c r="G1311" s="895">
        <v>10</v>
      </c>
      <c r="H1311" s="895">
        <f t="shared" si="22"/>
        <v>50</v>
      </c>
      <c r="I1311" s="895"/>
      <c r="J1311" s="898" t="s">
        <v>2502</v>
      </c>
      <c r="K1311" s="885" t="s">
        <v>2477</v>
      </c>
      <c r="L1311" s="898" t="s">
        <v>2479</v>
      </c>
      <c r="M1311" s="898" t="s">
        <v>2480</v>
      </c>
      <c r="N1311" s="898" t="s">
        <v>2482</v>
      </c>
      <c r="O1311" s="886" t="s">
        <v>2478</v>
      </c>
      <c r="P1311" s="898"/>
      <c r="Q1311" s="895"/>
      <c r="R1311" s="895"/>
      <c r="S1311" s="896"/>
      <c r="T1311" s="876"/>
      <c r="U1311" s="876"/>
      <c r="V1311" s="876"/>
    </row>
    <row r="1312" spans="2:22" ht="18.95" customHeight="1">
      <c r="B1312" s="899">
        <v>44849</v>
      </c>
      <c r="C1312" s="898" t="s">
        <v>2485</v>
      </c>
      <c r="D1312" s="895" t="s">
        <v>2486</v>
      </c>
      <c r="E1312" s="898" t="s">
        <v>2495</v>
      </c>
      <c r="F1312" s="898">
        <v>6</v>
      </c>
      <c r="G1312" s="895">
        <v>3</v>
      </c>
      <c r="H1312" s="895">
        <f t="shared" si="22"/>
        <v>18</v>
      </c>
      <c r="I1312" s="895"/>
      <c r="J1312" s="898" t="s">
        <v>2503</v>
      </c>
      <c r="K1312" s="887" t="s">
        <v>2504</v>
      </c>
      <c r="L1312" s="898" t="s">
        <v>2495</v>
      </c>
      <c r="M1312" s="898">
        <v>12</v>
      </c>
      <c r="N1312" s="898">
        <v>36</v>
      </c>
      <c r="O1312" s="886" t="s">
        <v>2486</v>
      </c>
      <c r="P1312" s="895"/>
      <c r="Q1312" s="895"/>
      <c r="R1312" s="895"/>
      <c r="S1312" s="896"/>
      <c r="T1312" s="876"/>
      <c r="U1312" s="876"/>
      <c r="V1312" s="876"/>
    </row>
    <row r="1313" spans="2:22" ht="18.95" customHeight="1">
      <c r="B1313" s="899">
        <v>44849</v>
      </c>
      <c r="C1313" s="898" t="s">
        <v>2489</v>
      </c>
      <c r="D1313" s="895" t="s">
        <v>2490</v>
      </c>
      <c r="E1313" s="898" t="s">
        <v>2498</v>
      </c>
      <c r="F1313" s="898">
        <v>7</v>
      </c>
      <c r="G1313" s="895">
        <v>2</v>
      </c>
      <c r="H1313" s="895">
        <f t="shared" si="22"/>
        <v>14</v>
      </c>
      <c r="I1313" s="895"/>
      <c r="J1313" s="898" t="s">
        <v>2505</v>
      </c>
      <c r="K1313" s="888"/>
      <c r="L1313" s="898" t="s">
        <v>34</v>
      </c>
      <c r="M1313" s="898">
        <v>4</v>
      </c>
      <c r="N1313" s="898">
        <v>20</v>
      </c>
      <c r="O1313" s="886" t="s">
        <v>2433</v>
      </c>
      <c r="P1313" s="898"/>
      <c r="Q1313" s="895"/>
      <c r="R1313" s="895"/>
      <c r="S1313" s="896"/>
      <c r="T1313" s="876"/>
      <c r="U1313" s="876"/>
      <c r="V1313" s="876"/>
    </row>
    <row r="1314" spans="2:22" ht="18.95" customHeight="1">
      <c r="B1314" s="899">
        <v>44849</v>
      </c>
      <c r="C1314" s="898" t="s">
        <v>2493</v>
      </c>
      <c r="D1314" s="895" t="s">
        <v>2494</v>
      </c>
      <c r="E1314" s="898" t="s">
        <v>2487</v>
      </c>
      <c r="F1314" s="898">
        <v>8</v>
      </c>
      <c r="G1314" s="895">
        <v>5</v>
      </c>
      <c r="H1314" s="895">
        <f t="shared" si="22"/>
        <v>40</v>
      </c>
      <c r="I1314" s="895"/>
      <c r="J1314" s="898" t="s">
        <v>2506</v>
      </c>
      <c r="K1314" s="888"/>
      <c r="L1314" s="898" t="s">
        <v>36</v>
      </c>
      <c r="M1314" s="898">
        <v>44</v>
      </c>
      <c r="N1314" s="898">
        <v>220</v>
      </c>
      <c r="O1314" s="886" t="s">
        <v>2433</v>
      </c>
      <c r="P1314" s="895"/>
      <c r="Q1314" s="895"/>
      <c r="R1314" s="895"/>
      <c r="S1314" s="896"/>
      <c r="T1314" s="876"/>
      <c r="U1314" s="876"/>
      <c r="V1314" s="876"/>
    </row>
    <row r="1315" spans="2:22" ht="18.95" customHeight="1" thickBot="1">
      <c r="B1315" s="899">
        <v>44849</v>
      </c>
      <c r="C1315" s="898" t="s">
        <v>2502</v>
      </c>
      <c r="D1315" s="895" t="s">
        <v>2494</v>
      </c>
      <c r="E1315" s="898" t="s">
        <v>2491</v>
      </c>
      <c r="F1315" s="898">
        <v>9</v>
      </c>
      <c r="G1315" s="895">
        <v>10</v>
      </c>
      <c r="H1315" s="895">
        <f t="shared" si="22"/>
        <v>90</v>
      </c>
      <c r="I1315" s="895"/>
      <c r="J1315" s="898" t="s">
        <v>2507</v>
      </c>
      <c r="K1315" s="901"/>
      <c r="L1315" s="883"/>
      <c r="M1315" s="889">
        <f>SUM(M1312:M1314)</f>
        <v>60</v>
      </c>
      <c r="N1315" s="889">
        <f>SUM(N1312:N1314)</f>
        <v>276</v>
      </c>
      <c r="O1315" s="890" t="s">
        <v>2486</v>
      </c>
      <c r="P1315" s="895"/>
      <c r="Q1315" s="895"/>
      <c r="R1315" s="895"/>
      <c r="S1315" s="896"/>
      <c r="T1315" s="876"/>
      <c r="U1315" s="876"/>
      <c r="V1315" s="876"/>
    </row>
    <row r="1316" spans="2:22" ht="18.95" customHeight="1">
      <c r="B1316" s="899">
        <v>44875</v>
      </c>
      <c r="C1316" s="898" t="s">
        <v>2496</v>
      </c>
      <c r="D1316" s="895" t="s">
        <v>2497</v>
      </c>
      <c r="E1316" s="898" t="s">
        <v>2495</v>
      </c>
      <c r="F1316" s="898">
        <v>10</v>
      </c>
      <c r="G1316" s="895">
        <v>3</v>
      </c>
      <c r="H1316" s="895">
        <f t="shared" si="22"/>
        <v>30</v>
      </c>
      <c r="I1316" s="895"/>
      <c r="J1316" s="895"/>
      <c r="K1316" s="898"/>
      <c r="L1316" s="895"/>
      <c r="M1316" s="895"/>
      <c r="N1316" s="895"/>
      <c r="O1316" s="895" t="s">
        <v>195</v>
      </c>
      <c r="P1316" s="895" t="s">
        <v>44</v>
      </c>
      <c r="Q1316" s="895" t="s">
        <v>46</v>
      </c>
      <c r="R1316" s="895" t="s">
        <v>2508</v>
      </c>
      <c r="S1316" s="896"/>
      <c r="T1316" s="876"/>
      <c r="U1316" s="876"/>
      <c r="V1316" s="876"/>
    </row>
    <row r="1317" spans="2:22" ht="18.95" customHeight="1">
      <c r="B1317" s="899">
        <v>44875</v>
      </c>
      <c r="C1317" s="898" t="s">
        <v>2503</v>
      </c>
      <c r="D1317" s="895" t="s">
        <v>2486</v>
      </c>
      <c r="E1317" s="898" t="s">
        <v>2498</v>
      </c>
      <c r="F1317" s="898">
        <v>11</v>
      </c>
      <c r="G1317" s="895">
        <v>2</v>
      </c>
      <c r="H1317" s="895">
        <f t="shared" si="22"/>
        <v>22</v>
      </c>
      <c r="I1317" s="895"/>
      <c r="J1317" s="895"/>
      <c r="K1317" s="910" t="s">
        <v>2510</v>
      </c>
      <c r="L1317" s="895"/>
      <c r="M1317" s="895"/>
      <c r="N1317" s="895"/>
      <c r="O1317" s="902" t="str">
        <f t="array" ref="O1317">IFERROR(INDEX(E:E,SMALL(IF($K$1317=$C$1305:$C$1345,ROW($C$1305:$C$1345),40000),ROW(A1))),"")</f>
        <v>C</v>
      </c>
      <c r="P1317" s="903">
        <f t="array" ref="P1317">IFERROR(INDEX(F:F,SMALL(IF($K$1317=$C$1305:$C$1345,ROW($C$1305:$C$1345),40000),ROW(A1))),"")</f>
        <v>20</v>
      </c>
      <c r="Q1317" s="903">
        <f t="array" ref="Q1317">IFERROR(INDEX(H:H,SMALL(IF($K$1317=$C$1305:$C$1345,ROW($C$1305:$C$1345),40000),ROW(A1))),"")</f>
        <v>100</v>
      </c>
      <c r="R1317" s="904" t="str">
        <f t="array" ref="R1317">IFERROR(INDEX(D:D,SMALL(IF($K$1317=$C$1305:$C$1345,ROW($C$1305:$C$1345),40000),ROW(A1))),"")</f>
        <v>小王</v>
      </c>
      <c r="S1317" s="896"/>
      <c r="T1317" s="876"/>
      <c r="U1317" s="876"/>
      <c r="V1317" s="876"/>
    </row>
    <row r="1318" spans="2:22" ht="18.95" customHeight="1">
      <c r="B1318" s="899">
        <v>44875</v>
      </c>
      <c r="C1318" s="898" t="s">
        <v>2499</v>
      </c>
      <c r="D1318" s="895" t="s">
        <v>2501</v>
      </c>
      <c r="E1318" s="898" t="s">
        <v>2487</v>
      </c>
      <c r="F1318" s="898">
        <v>12</v>
      </c>
      <c r="G1318" s="895">
        <v>5</v>
      </c>
      <c r="H1318" s="895">
        <f t="shared" si="22"/>
        <v>60</v>
      </c>
      <c r="I1318" s="895"/>
      <c r="J1318" s="895"/>
      <c r="K1318" s="895"/>
      <c r="L1318" s="895"/>
      <c r="M1318" s="895"/>
      <c r="N1318" s="895"/>
      <c r="O1318" s="902" t="str">
        <f t="array" ref="O1318">IFERROR(INDEX(E:E,SMALL(IF($K$1317=$C$1305:$C$1345,ROW($C$1305:$C$1345),40000),ROW(A2))),"")</f>
        <v>B</v>
      </c>
      <c r="P1318" s="903">
        <f t="array" ref="P1318">IFERROR(INDEX(F:F,SMALL(IF($K$1317=$C$1305:$C$1345,ROW($C$1305:$C$1345),40000),ROW(A2))),"")</f>
        <v>4</v>
      </c>
      <c r="Q1318" s="903">
        <f t="array" ref="Q1318">IFERROR(INDEX(H:H,SMALL(IF($K$1317=$C$1305:$C$1345,ROW($C$1305:$C$1345),40000),ROW(A2))),"")</f>
        <v>20</v>
      </c>
      <c r="R1318" s="904" t="str">
        <f t="array" ref="R1318">IFERROR(INDEX(D:D,SMALL(IF($K$1317=$C$1305:$C$1345,ROW($C$1305:$C$1345),40000),ROW(A2))),"")</f>
        <v>小王</v>
      </c>
      <c r="S1318" s="896"/>
      <c r="T1318" s="876"/>
      <c r="U1318" s="876"/>
      <c r="V1318" s="876"/>
    </row>
    <row r="1319" spans="2:22" ht="18.95" customHeight="1">
      <c r="B1319" s="899">
        <v>44875</v>
      </c>
      <c r="C1319" s="898" t="s">
        <v>2503</v>
      </c>
      <c r="D1319" s="895" t="s">
        <v>2486</v>
      </c>
      <c r="E1319" s="898" t="s">
        <v>2491</v>
      </c>
      <c r="F1319" s="898">
        <v>13</v>
      </c>
      <c r="G1319" s="895">
        <v>10</v>
      </c>
      <c r="H1319" s="895">
        <f t="shared" si="22"/>
        <v>130</v>
      </c>
      <c r="I1319" s="895"/>
      <c r="J1319" s="895"/>
      <c r="K1319" s="895"/>
      <c r="L1319" s="895"/>
      <c r="M1319" s="895"/>
      <c r="N1319" s="895"/>
      <c r="O1319" s="902" t="str">
        <f t="array" ref="O1319">IFERROR(INDEX(E:E,SMALL(IF($K$1317=$C$1305:$C$1345,ROW($C$1305:$C$1345),40000),ROW(A3))),"")</f>
        <v>A</v>
      </c>
      <c r="P1319" s="903">
        <f t="array" ref="P1319">IFERROR(INDEX(F:F,SMALL(IF($K$1317=$C$1305:$C$1345,ROW($C$1305:$C$1345),40000),ROW(A3))),"")</f>
        <v>6</v>
      </c>
      <c r="Q1319" s="903">
        <f t="array" ref="Q1319">IFERROR(INDEX(H:H,SMALL(IF($K$1317=$C$1305:$C$1345,ROW($C$1305:$C$1345),40000),ROW(A3))),"")</f>
        <v>18</v>
      </c>
      <c r="R1319" s="904" t="str">
        <f t="array" ref="R1319">IFERROR(INDEX(D:D,SMALL(IF($K$1317=$C$1305:$C$1345,ROW($C$1305:$C$1345),40000),ROW(A3))),"")</f>
        <v>小王</v>
      </c>
      <c r="S1319" s="896"/>
      <c r="T1319" s="876"/>
      <c r="U1319" s="876"/>
      <c r="V1319" s="876"/>
    </row>
    <row r="1320" spans="2:22" ht="18.95" customHeight="1">
      <c r="B1320" s="899">
        <v>44875</v>
      </c>
      <c r="C1320" s="898" t="s">
        <v>2505</v>
      </c>
      <c r="D1320" s="895" t="s">
        <v>2490</v>
      </c>
      <c r="E1320" s="898" t="s">
        <v>2495</v>
      </c>
      <c r="F1320" s="898">
        <v>14</v>
      </c>
      <c r="G1320" s="895">
        <v>3</v>
      </c>
      <c r="H1320" s="895">
        <f t="shared" si="22"/>
        <v>42</v>
      </c>
      <c r="I1320" s="895"/>
      <c r="J1320" s="895"/>
      <c r="K1320" s="895"/>
      <c r="L1320" s="895"/>
      <c r="M1320" s="895"/>
      <c r="N1320" s="895"/>
      <c r="O1320" s="902" t="str">
        <f t="array" ref="O1320">IFERROR(INDEX(E:E,SMALL(IF($K$1317=$C$1305:$C$1345,ROW($C$1305:$C$1345),40000),ROW(A4))),"")</f>
        <v>C</v>
      </c>
      <c r="P1320" s="903">
        <f t="array" ref="P1320">IFERROR(INDEX(F:F,SMALL(IF($K$1317=$C$1305:$C$1345,ROW($C$1305:$C$1345),40000),ROW(A4))),"")</f>
        <v>20</v>
      </c>
      <c r="Q1320" s="903">
        <f t="array" ref="Q1320">IFERROR(INDEX(H:H,SMALL(IF($K$1317=$C$1305:$C$1345,ROW($C$1305:$C$1345),40000),ROW(A4))),"")</f>
        <v>100</v>
      </c>
      <c r="R1320" s="904" t="str">
        <f t="array" ref="R1320">IFERROR(INDEX(D:D,SMALL(IF($K$1317=$C$1305:$C$1345,ROW($C$1305:$C$1345),40000),ROW(A4))),"")</f>
        <v>小王</v>
      </c>
      <c r="S1320" s="896"/>
      <c r="T1320" s="876"/>
      <c r="U1320" s="876"/>
      <c r="V1320" s="876"/>
    </row>
    <row r="1321" spans="2:22" ht="18.95" customHeight="1">
      <c r="B1321" s="899">
        <v>44875</v>
      </c>
      <c r="C1321" s="898" t="s">
        <v>2502</v>
      </c>
      <c r="D1321" s="895" t="s">
        <v>2494</v>
      </c>
      <c r="E1321" s="898" t="s">
        <v>2498</v>
      </c>
      <c r="F1321" s="898">
        <v>15</v>
      </c>
      <c r="G1321" s="895">
        <v>2</v>
      </c>
      <c r="H1321" s="895">
        <f t="shared" si="22"/>
        <v>30</v>
      </c>
      <c r="I1321" s="895"/>
      <c r="J1321" s="895"/>
      <c r="K1321" s="895"/>
      <c r="L1321" s="895"/>
      <c r="M1321" s="895"/>
      <c r="N1321" s="895"/>
      <c r="O1321" s="902" t="str">
        <f t="array" ref="O1321">IFERROR(INDEX(E:E,SMALL(IF($K$1317=$C$1305:$C$1345,ROW($C$1305:$C$1345),40000),ROW(A5))),"")</f>
        <v>C</v>
      </c>
      <c r="P1321" s="903">
        <f t="array" ref="P1321">IFERROR(INDEX(F:F,SMALL(IF($K$1317=$C$1305:$C$1345,ROW($C$1305:$C$1345),40000),ROW(A5))),"")</f>
        <v>4</v>
      </c>
      <c r="Q1321" s="903">
        <f t="array" ref="Q1321">IFERROR(INDEX(H:H,SMALL(IF($K$1317=$C$1305:$C$1345,ROW($C$1305:$C$1345),40000),ROW(A5))),"")</f>
        <v>20</v>
      </c>
      <c r="R1321" s="904" t="str">
        <f t="array" ref="R1321">IFERROR(INDEX(D:D,SMALL(IF($K$1317=$C$1305:$C$1345,ROW($C$1305:$C$1345),40000),ROW(A5))),"")</f>
        <v>小王</v>
      </c>
      <c r="S1321" s="896"/>
      <c r="T1321" s="876"/>
      <c r="U1321" s="876"/>
      <c r="V1321" s="876"/>
    </row>
    <row r="1322" spans="2:22" ht="18.95" customHeight="1">
      <c r="B1322" s="899">
        <v>44880</v>
      </c>
      <c r="C1322" s="898" t="s">
        <v>2493</v>
      </c>
      <c r="D1322" s="895" t="s">
        <v>2494</v>
      </c>
      <c r="E1322" s="898" t="s">
        <v>2487</v>
      </c>
      <c r="F1322" s="898">
        <v>16</v>
      </c>
      <c r="G1322" s="895">
        <v>5</v>
      </c>
      <c r="H1322" s="895">
        <f t="shared" si="22"/>
        <v>80</v>
      </c>
      <c r="I1322" s="895"/>
      <c r="J1322" s="895"/>
      <c r="K1322" s="895"/>
      <c r="L1322" s="895"/>
      <c r="M1322" s="895"/>
      <c r="N1322" s="895"/>
      <c r="O1322" s="902" t="str">
        <f t="array" ref="O1322">IFERROR(INDEX(E:E,SMALL(IF($K$1317=$C$1305:$C$1345,ROW($C$1305:$C$1345),40000),ROW(A6))),"")</f>
        <v>A</v>
      </c>
      <c r="P1322" s="903">
        <f t="array" ref="P1322">IFERROR(INDEX(F:F,SMALL(IF($K$1317=$C$1305:$C$1345,ROW($C$1305:$C$1345),40000),ROW(A6))),"")</f>
        <v>6</v>
      </c>
      <c r="Q1322" s="903">
        <f t="array" ref="Q1322">IFERROR(INDEX(H:H,SMALL(IF($K$1317=$C$1305:$C$1345,ROW($C$1305:$C$1345),40000),ROW(A6))),"")</f>
        <v>18</v>
      </c>
      <c r="R1322" s="904" t="str">
        <f t="array" ref="R1322">IFERROR(INDEX(D:D,SMALL(IF($K$1317=$C$1305:$C$1345,ROW($C$1305:$C$1345),40000),ROW(A6))),"")</f>
        <v>小王</v>
      </c>
      <c r="S1322" s="896"/>
      <c r="T1322" s="876"/>
      <c r="U1322" s="876"/>
      <c r="V1322" s="876"/>
    </row>
    <row r="1323" spans="2:22" ht="18.95" customHeight="1">
      <c r="B1323" s="899">
        <v>44880</v>
      </c>
      <c r="C1323" s="898" t="s">
        <v>2506</v>
      </c>
      <c r="D1323" s="895" t="s">
        <v>2497</v>
      </c>
      <c r="E1323" s="898" t="s">
        <v>2491</v>
      </c>
      <c r="F1323" s="898">
        <v>17</v>
      </c>
      <c r="G1323" s="895">
        <v>10</v>
      </c>
      <c r="H1323" s="895">
        <f t="shared" si="22"/>
        <v>170</v>
      </c>
      <c r="I1323" s="895"/>
      <c r="J1323" s="895"/>
      <c r="K1323" s="895"/>
      <c r="L1323" s="895"/>
      <c r="M1323" s="895"/>
      <c r="N1323" s="895"/>
      <c r="O1323" s="902">
        <f t="array" ref="O1323">IFERROR(INDEX(E:E,SMALL(IF($K$1317=$C$1305:$C$1345,ROW($C$1305:$C$1345),40000),ROW(A7))),"")</f>
        <v>0</v>
      </c>
      <c r="P1323" s="903">
        <f t="array" ref="P1323">IFERROR(INDEX(F:F,SMALL(IF($K$1317=$C$1305:$C$1345,ROW($C$1305:$C$1345),40000),ROW(A7))),"")</f>
        <v>0</v>
      </c>
      <c r="Q1323" s="903">
        <f t="array" ref="Q1323">IFERROR(INDEX(H:H,SMALL(IF($K$1317=$C$1305:$C$1345,ROW($C$1305:$C$1345),40000),ROW(A7))),"")</f>
        <v>0</v>
      </c>
      <c r="R1323" s="904">
        <f t="array" ref="R1323">IFERROR(INDEX(D:D,SMALL(IF($K$1317=$C$1305:$C$1345,ROW($C$1305:$C$1345),40000),ROW(A7))),"")</f>
        <v>0</v>
      </c>
      <c r="S1323" s="896"/>
      <c r="T1323" s="876"/>
      <c r="U1323" s="876"/>
      <c r="V1323" s="876"/>
    </row>
    <row r="1324" spans="2:22" ht="18.95" customHeight="1">
      <c r="B1324" s="899">
        <v>44880</v>
      </c>
      <c r="C1324" s="898" t="s">
        <v>2503</v>
      </c>
      <c r="D1324" s="895" t="s">
        <v>2486</v>
      </c>
      <c r="E1324" s="898" t="s">
        <v>2495</v>
      </c>
      <c r="F1324" s="898">
        <v>18</v>
      </c>
      <c r="G1324" s="895">
        <v>3</v>
      </c>
      <c r="H1324" s="895">
        <f t="shared" si="22"/>
        <v>54</v>
      </c>
      <c r="I1324" s="895"/>
      <c r="J1324" s="895"/>
      <c r="K1324" s="895"/>
      <c r="L1324" s="895"/>
      <c r="M1324" s="895"/>
      <c r="N1324" s="895"/>
      <c r="O1324" s="902" cm="1">
        <f t="array" ref="O1324">IFERROR(INDEX(E:E,SMALL(IF($K$1317=$C$1305:$C$1345,ROW($C$1305:$C$1345),40000),ROW(A8))),"")</f>
        <v>0</v>
      </c>
      <c r="P1324" s="903">
        <f t="array" ref="P1324">IFERROR(INDEX(F:F,SMALL(IF($K$1317=$C$1305:$C$1345,ROW($C$1305:$C$1345),40000),ROW(A8))),"")</f>
        <v>0</v>
      </c>
      <c r="Q1324" s="903">
        <f t="array" ref="Q1324">IFERROR(INDEX(H:H,SMALL(IF($K$1317=$C$1305:$C$1345,ROW($C$1305:$C$1345),40000),ROW(A8))),"")</f>
        <v>0</v>
      </c>
      <c r="R1324" s="904">
        <f t="array" ref="R1324">IFERROR(INDEX(D:D,SMALL(IF($K$1317=$C$1305:$C$1345,ROW($C$1305:$C$1345),40000),ROW(A8))),"")</f>
        <v>0</v>
      </c>
      <c r="S1324" s="896"/>
      <c r="T1324" s="876"/>
      <c r="U1324" s="876"/>
      <c r="V1324" s="876"/>
    </row>
    <row r="1325" spans="2:22" ht="18.95" customHeight="1" thickBot="1">
      <c r="B1325" s="899">
        <v>44880</v>
      </c>
      <c r="C1325" s="898" t="s">
        <v>2507</v>
      </c>
      <c r="D1325" s="895" t="s">
        <v>2501</v>
      </c>
      <c r="E1325" s="898" t="s">
        <v>2498</v>
      </c>
      <c r="F1325" s="898">
        <v>19</v>
      </c>
      <c r="G1325" s="895">
        <v>2</v>
      </c>
      <c r="H1325" s="895">
        <f t="shared" si="22"/>
        <v>38</v>
      </c>
      <c r="I1325" s="895"/>
      <c r="J1325" s="895"/>
      <c r="K1325" s="895"/>
      <c r="L1325" s="895"/>
      <c r="M1325" s="895"/>
      <c r="N1325" s="895"/>
      <c r="O1325" s="902">
        <f t="array" ref="O1325">IFERROR(INDEX(E:E,SMALL(IF($K$1317=$C$1305:$C$1345,ROW($C$1305:$C$1345),40000),ROW(A9))),"")</f>
        <v>0</v>
      </c>
      <c r="P1325" s="903">
        <f t="array" ref="P1325">IFERROR(INDEX(F:F,SMALL(IF($K$1317=$C$1305:$C$1345,ROW($C$1305:$C$1345),40000),ROW(A9))),"")</f>
        <v>0</v>
      </c>
      <c r="Q1325" s="903">
        <f t="array" ref="Q1325">IFERROR(INDEX(H:H,SMALL(IF($K$1317=$C$1305:$C$1345,ROW($C$1305:$C$1345),40000),ROW(A9))),"")</f>
        <v>0</v>
      </c>
      <c r="R1325" s="904">
        <f t="array" ref="R1325">IFERROR(INDEX(D:D,SMALL(IF($K$1317=$C$1305:$C$1345,ROW($C$1305:$C$1345),40000),ROW(A9))),"")</f>
        <v>0</v>
      </c>
      <c r="S1325" s="896"/>
      <c r="T1325" s="876"/>
      <c r="U1325" s="876"/>
      <c r="V1325" s="876"/>
    </row>
    <row r="1326" spans="2:22" ht="18.95" customHeight="1" thickBot="1">
      <c r="B1326" s="899">
        <v>44814</v>
      </c>
      <c r="C1326" s="898" t="s">
        <v>2485</v>
      </c>
      <c r="D1326" s="895" t="s">
        <v>2486</v>
      </c>
      <c r="E1326" s="898" t="s">
        <v>2487</v>
      </c>
      <c r="F1326" s="898">
        <v>20</v>
      </c>
      <c r="G1326" s="895">
        <v>5</v>
      </c>
      <c r="H1326" s="895">
        <f>F1326*G1326</f>
        <v>100</v>
      </c>
      <c r="I1326" s="895"/>
      <c r="J1326" s="895"/>
      <c r="K1326" s="911" t="s">
        <v>2509</v>
      </c>
      <c r="L1326" s="912" t="s">
        <v>2510</v>
      </c>
      <c r="M1326" s="895"/>
      <c r="N1326" s="895"/>
      <c r="O1326" s="902">
        <f t="array" ref="O1326">IFERROR(INDEX(E:E,SMALL(IF($K$1317=$C$1305:$C$1345,ROW($C$1305:$C$1345),40000),ROW(A10))),"")</f>
        <v>0</v>
      </c>
      <c r="P1326" s="903">
        <f t="array" ref="P1326">IFERROR(INDEX(F:F,SMALL(IF($K$1317=$C$1305:$C$1345,ROW($C$1305:$C$1345),40000),ROW(A10))),"")</f>
        <v>0</v>
      </c>
      <c r="Q1326" s="903">
        <f t="array" ref="Q1326">IFERROR(INDEX(H:H,SMALL(IF($K$1317=$C$1305:$C$1345,ROW($C$1305:$C$1345),40000),ROW(A10))),"")</f>
        <v>0</v>
      </c>
      <c r="R1326" s="904">
        <f t="array" ref="R1326">IFERROR(INDEX(D:D,SMALL(IF($K$1317=$C$1305:$C$1345,ROW($C$1305:$C$1345),40000),ROW(A10))),"")</f>
        <v>0</v>
      </c>
      <c r="S1326" s="896"/>
      <c r="T1326" s="876"/>
      <c r="U1326" s="876"/>
      <c r="V1326" s="876"/>
    </row>
    <row r="1327" spans="2:22" ht="18.95" customHeight="1" thickBot="1">
      <c r="B1327" s="899">
        <v>44814</v>
      </c>
      <c r="C1327" s="898" t="s">
        <v>2489</v>
      </c>
      <c r="D1327" s="895" t="s">
        <v>2490</v>
      </c>
      <c r="E1327" s="898" t="s">
        <v>2491</v>
      </c>
      <c r="F1327" s="898">
        <v>21</v>
      </c>
      <c r="G1327" s="895">
        <v>10</v>
      </c>
      <c r="H1327" s="895">
        <f t="shared" ref="H1327:H1345" si="23">F1327*G1327</f>
        <v>210</v>
      </c>
      <c r="I1327" s="895"/>
      <c r="J1327" s="895"/>
      <c r="K1327" s="911" t="s">
        <v>2508</v>
      </c>
      <c r="L1327" s="912" t="s">
        <v>2433</v>
      </c>
      <c r="M1327" s="895"/>
      <c r="N1327" s="895"/>
      <c r="O1327" s="906">
        <f t="array" ref="O1327">IFERROR(INDEX(E:E,SMALL(IF($K$1317=$C$1305:$C$1345,ROW($C$1305:$C$1345),40000),ROW(A11))),"")</f>
        <v>0</v>
      </c>
      <c r="P1327" s="907">
        <f t="array" ref="P1327">IFERROR(INDEX(F:F,SMALL(IF($K$1317=$C$1305:$C$1345,ROW($C$1305:$C$1345),40000),ROW(A11))),"")</f>
        <v>0</v>
      </c>
      <c r="Q1327" s="907">
        <f t="array" ref="Q1327">IFERROR(INDEX(H:H,SMALL(IF($K$1317=$C$1305:$C$1345,ROW($C$1305:$C$1345),40000),ROW(A11))),"")</f>
        <v>0</v>
      </c>
      <c r="R1327" s="908">
        <f t="array" ref="R1327">IFERROR(INDEX(D:D,SMALL(IF($K$1317=$C$1305:$C$1345,ROW($C$1305:$C$1345),40000),ROW(A11))),"")</f>
        <v>0</v>
      </c>
      <c r="S1327" s="896"/>
      <c r="T1327" s="876"/>
      <c r="U1327" s="876"/>
      <c r="V1327" s="876"/>
    </row>
    <row r="1328" spans="2:22" ht="18.95" customHeight="1" thickBot="1">
      <c r="B1328" s="899">
        <v>44814</v>
      </c>
      <c r="C1328" s="898" t="s">
        <v>2493</v>
      </c>
      <c r="D1328" s="895" t="s">
        <v>2494</v>
      </c>
      <c r="E1328" s="898" t="s">
        <v>2495</v>
      </c>
      <c r="F1328" s="898">
        <v>2</v>
      </c>
      <c r="G1328" s="895">
        <v>3</v>
      </c>
      <c r="H1328" s="895">
        <f t="shared" si="23"/>
        <v>6</v>
      </c>
      <c r="I1328" s="895"/>
      <c r="J1328" s="895"/>
      <c r="K1328" s="895"/>
      <c r="L1328" s="895"/>
      <c r="M1328" s="895"/>
      <c r="N1328" s="895"/>
      <c r="O1328" s="895"/>
      <c r="P1328" s="895"/>
      <c r="Q1328" s="895"/>
      <c r="R1328" s="895"/>
      <c r="S1328" s="896"/>
      <c r="T1328" s="876"/>
      <c r="U1328" s="876"/>
      <c r="V1328" s="876"/>
    </row>
    <row r="1329" spans="2:22" ht="18.95" customHeight="1" thickBot="1">
      <c r="B1329" s="899">
        <v>44814</v>
      </c>
      <c r="C1329" s="898" t="s">
        <v>2496</v>
      </c>
      <c r="D1329" s="895" t="s">
        <v>2497</v>
      </c>
      <c r="E1329" s="898" t="s">
        <v>2498</v>
      </c>
      <c r="F1329" s="898">
        <v>3</v>
      </c>
      <c r="G1329" s="895">
        <v>2</v>
      </c>
      <c r="H1329" s="895">
        <f t="shared" si="23"/>
        <v>6</v>
      </c>
      <c r="I1329" s="895"/>
      <c r="J1329" s="895"/>
      <c r="K1329" s="920" t="s">
        <v>195</v>
      </c>
      <c r="L1329" s="922" t="s">
        <v>2511</v>
      </c>
      <c r="M1329" s="912" t="s">
        <v>2512</v>
      </c>
      <c r="N1329" s="895"/>
      <c r="O1329" s="895"/>
      <c r="P1329" s="895"/>
      <c r="Q1329" s="895"/>
      <c r="R1329" s="895"/>
      <c r="S1329" s="896"/>
      <c r="T1329" s="876"/>
      <c r="U1329" s="876"/>
      <c r="V1329" s="876"/>
    </row>
    <row r="1330" spans="2:22" ht="18.95" customHeight="1">
      <c r="B1330" s="899">
        <v>44844</v>
      </c>
      <c r="C1330" s="898" t="s">
        <v>2485</v>
      </c>
      <c r="D1330" s="895" t="s">
        <v>2486</v>
      </c>
      <c r="E1330" s="898" t="s">
        <v>2487</v>
      </c>
      <c r="F1330" s="898">
        <v>4</v>
      </c>
      <c r="G1330" s="895">
        <v>5</v>
      </c>
      <c r="H1330" s="895">
        <f t="shared" si="23"/>
        <v>20</v>
      </c>
      <c r="I1330" s="895"/>
      <c r="J1330" s="895"/>
      <c r="K1330" s="913" t="s">
        <v>36</v>
      </c>
      <c r="L1330" s="916">
        <v>44</v>
      </c>
      <c r="M1330" s="917">
        <v>220</v>
      </c>
      <c r="N1330" s="895"/>
      <c r="O1330" s="905" t="str" cm="1">
        <f t="array" ref="O1330:O1333">_xlfn.UNIQUE(O1317:O1327,FALSE,FALSE)</f>
        <v>C</v>
      </c>
      <c r="P1330" s="905">
        <f>SUMIFS($P$1317:$P$1327,$O$1317:$O$1327,O1330)</f>
        <v>44</v>
      </c>
      <c r="Q1330" s="905">
        <f t="array" ref="Q1330">SUMIFS($Q$1317:$Q$1327,$O$1317:$O$1327,O1330)</f>
        <v>220</v>
      </c>
      <c r="R1330" s="895"/>
      <c r="S1330" s="896"/>
      <c r="T1330" s="876"/>
      <c r="U1330" s="876"/>
      <c r="V1330" s="876"/>
    </row>
    <row r="1331" spans="2:22" ht="18.95" customHeight="1">
      <c r="B1331" s="899">
        <v>44844</v>
      </c>
      <c r="C1331" s="898" t="s">
        <v>2499</v>
      </c>
      <c r="D1331" s="895" t="s">
        <v>2501</v>
      </c>
      <c r="E1331" s="898" t="s">
        <v>2491</v>
      </c>
      <c r="F1331" s="898">
        <v>5</v>
      </c>
      <c r="G1331" s="895">
        <v>10</v>
      </c>
      <c r="H1331" s="895">
        <f t="shared" si="23"/>
        <v>50</v>
      </c>
      <c r="I1331" s="895"/>
      <c r="J1331" s="895"/>
      <c r="K1331" s="913" t="s">
        <v>34</v>
      </c>
      <c r="L1331" s="918">
        <v>4</v>
      </c>
      <c r="M1331" s="914">
        <v>20</v>
      </c>
      <c r="N1331" s="895"/>
      <c r="O1331" s="905" t="str">
        <v>B</v>
      </c>
      <c r="P1331" s="905">
        <f>SUMIFS($P$1317:$P$1327,$O$1317:$O$1327,O1331)</f>
        <v>4</v>
      </c>
      <c r="Q1331" s="905">
        <f t="array" ref="Q1331">SUMIFS($Q$1317:$Q$1327,$O$1317:$O$1327,O1331)</f>
        <v>20</v>
      </c>
      <c r="R1331" s="895"/>
      <c r="S1331" s="896"/>
      <c r="T1331" s="876"/>
      <c r="U1331" s="876"/>
      <c r="V1331" s="876"/>
    </row>
    <row r="1332" spans="2:22" ht="18.95" customHeight="1" thickBot="1">
      <c r="B1332" s="899">
        <v>44849</v>
      </c>
      <c r="C1332" s="898" t="s">
        <v>2485</v>
      </c>
      <c r="D1332" s="895" t="s">
        <v>2486</v>
      </c>
      <c r="E1332" s="898" t="s">
        <v>2495</v>
      </c>
      <c r="F1332" s="898">
        <v>6</v>
      </c>
      <c r="G1332" s="895">
        <v>3</v>
      </c>
      <c r="H1332" s="895">
        <f t="shared" si="23"/>
        <v>18</v>
      </c>
      <c r="I1332" s="895"/>
      <c r="J1332" s="895"/>
      <c r="K1332" s="913" t="s">
        <v>32</v>
      </c>
      <c r="L1332" s="918">
        <v>12</v>
      </c>
      <c r="M1332" s="914">
        <v>36</v>
      </c>
      <c r="N1332" s="895"/>
      <c r="O1332" s="905" t="str">
        <v>A</v>
      </c>
      <c r="P1332" s="905">
        <f t="shared" ref="P1332:P1333" si="24">SUMIFS($P$1317:$P$1327,$O$1317:$O$1327,O1332)</f>
        <v>12</v>
      </c>
      <c r="Q1332" s="905">
        <f t="array" ref="Q1332">SUMIFS($Q$1317:$Q$1327,$O$1317:$O$1327,O1332)</f>
        <v>36</v>
      </c>
      <c r="R1332" s="895"/>
      <c r="S1332" s="896"/>
      <c r="T1332" s="876"/>
      <c r="U1332" s="876"/>
      <c r="V1332" s="876"/>
    </row>
    <row r="1333" spans="2:22" ht="18.95" customHeight="1" thickBot="1">
      <c r="B1333" s="899">
        <v>44849</v>
      </c>
      <c r="C1333" s="898" t="s">
        <v>2489</v>
      </c>
      <c r="D1333" s="895" t="s">
        <v>2490</v>
      </c>
      <c r="E1333" s="898" t="s">
        <v>2498</v>
      </c>
      <c r="F1333" s="898">
        <v>7</v>
      </c>
      <c r="G1333" s="895">
        <v>2</v>
      </c>
      <c r="H1333" s="895">
        <f t="shared" si="23"/>
        <v>14</v>
      </c>
      <c r="I1333" s="895"/>
      <c r="J1333" s="895"/>
      <c r="K1333" s="921" t="s">
        <v>371</v>
      </c>
      <c r="L1333" s="919">
        <v>60</v>
      </c>
      <c r="M1333" s="915">
        <v>276</v>
      </c>
      <c r="N1333" s="895"/>
      <c r="O1333" s="905">
        <v>0</v>
      </c>
      <c r="P1333" s="905">
        <f t="shared" si="24"/>
        <v>0</v>
      </c>
      <c r="Q1333" s="905">
        <f t="array" ref="Q1333">SUMIFS($Q$1317:$Q$1327,$O$1317:$O$1327,O1333)</f>
        <v>0</v>
      </c>
      <c r="R1333" s="895"/>
      <c r="S1333" s="896"/>
      <c r="T1333" s="876"/>
      <c r="U1333" s="876"/>
      <c r="V1333" s="876"/>
    </row>
    <row r="1334" spans="2:22" ht="18.95" customHeight="1">
      <c r="B1334" s="899">
        <v>44849</v>
      </c>
      <c r="C1334" s="898" t="s">
        <v>2493</v>
      </c>
      <c r="D1334" s="895" t="s">
        <v>2494</v>
      </c>
      <c r="E1334" s="898" t="s">
        <v>2487</v>
      </c>
      <c r="F1334" s="898">
        <v>8</v>
      </c>
      <c r="G1334" s="895">
        <v>5</v>
      </c>
      <c r="H1334" s="895">
        <f t="shared" si="23"/>
        <v>40</v>
      </c>
      <c r="I1334" s="895"/>
      <c r="J1334" s="895"/>
      <c r="K1334" s="895"/>
      <c r="L1334" s="895"/>
      <c r="M1334" s="895"/>
      <c r="N1334" s="895"/>
      <c r="O1334" s="895"/>
      <c r="P1334" s="895"/>
      <c r="Q1334" s="895"/>
      <c r="R1334" s="895"/>
      <c r="S1334" s="896"/>
      <c r="T1334" s="876"/>
      <c r="U1334" s="876"/>
      <c r="V1334" s="876"/>
    </row>
    <row r="1335" spans="2:22" ht="18.95" customHeight="1">
      <c r="B1335" s="899">
        <v>44849</v>
      </c>
      <c r="C1335" s="898" t="s">
        <v>2502</v>
      </c>
      <c r="D1335" s="895" t="s">
        <v>2494</v>
      </c>
      <c r="E1335" s="898" t="s">
        <v>2491</v>
      </c>
      <c r="F1335" s="898">
        <v>9</v>
      </c>
      <c r="G1335" s="895">
        <v>10</v>
      </c>
      <c r="H1335" s="895">
        <f t="shared" si="23"/>
        <v>90</v>
      </c>
      <c r="I1335" s="895"/>
      <c r="J1335" s="895"/>
      <c r="K1335" s="895"/>
      <c r="L1335" s="895"/>
      <c r="M1335" s="895"/>
      <c r="N1335" s="895"/>
      <c r="O1335" s="895"/>
      <c r="P1335" s="895"/>
      <c r="Q1335" s="895"/>
      <c r="R1335" s="895"/>
      <c r="S1335" s="896"/>
      <c r="T1335" s="876"/>
      <c r="U1335" s="876"/>
      <c r="V1335" s="876"/>
    </row>
    <row r="1336" spans="2:22" ht="18.95" customHeight="1">
      <c r="B1336" s="899">
        <v>44875</v>
      </c>
      <c r="C1336" s="898" t="s">
        <v>2496</v>
      </c>
      <c r="D1336" s="895" t="s">
        <v>2497</v>
      </c>
      <c r="E1336" s="898" t="s">
        <v>2495</v>
      </c>
      <c r="F1336" s="898">
        <v>10</v>
      </c>
      <c r="G1336" s="895">
        <v>3</v>
      </c>
      <c r="H1336" s="895">
        <f t="shared" si="23"/>
        <v>30</v>
      </c>
      <c r="I1336" s="895"/>
      <c r="J1336" s="909" t="s">
        <v>2515</v>
      </c>
      <c r="K1336" s="895"/>
      <c r="L1336" s="895"/>
      <c r="M1336" s="895"/>
      <c r="N1336" s="895"/>
      <c r="O1336" s="895"/>
      <c r="P1336" s="895"/>
      <c r="Q1336" s="895"/>
      <c r="R1336" s="895"/>
      <c r="S1336" s="896"/>
      <c r="T1336" s="876"/>
      <c r="U1336" s="876"/>
      <c r="V1336" s="876"/>
    </row>
    <row r="1337" spans="2:22" ht="18.95" customHeight="1">
      <c r="B1337" s="899">
        <v>44875</v>
      </c>
      <c r="C1337" s="898" t="s">
        <v>2503</v>
      </c>
      <c r="D1337" s="895" t="s">
        <v>2486</v>
      </c>
      <c r="E1337" s="898" t="s">
        <v>2498</v>
      </c>
      <c r="F1337" s="898">
        <v>11</v>
      </c>
      <c r="G1337" s="895">
        <v>2</v>
      </c>
      <c r="H1337" s="895">
        <f t="shared" si="23"/>
        <v>22</v>
      </c>
      <c r="I1337" s="895"/>
      <c r="J1337" s="895"/>
      <c r="K1337" s="895"/>
      <c r="L1337" s="895"/>
      <c r="M1337" s="895"/>
      <c r="N1337" s="895"/>
      <c r="O1337" s="895"/>
      <c r="P1337" s="895"/>
      <c r="Q1337" s="895"/>
      <c r="R1337" s="895"/>
      <c r="S1337" s="896"/>
      <c r="T1337" s="876"/>
      <c r="U1337" s="876"/>
      <c r="V1337" s="876"/>
    </row>
    <row r="1338" spans="2:22" ht="18.95" customHeight="1">
      <c r="B1338" s="899">
        <v>44875</v>
      </c>
      <c r="C1338" s="898" t="s">
        <v>2499</v>
      </c>
      <c r="D1338" s="895" t="s">
        <v>2501</v>
      </c>
      <c r="E1338" s="898" t="s">
        <v>2487</v>
      </c>
      <c r="F1338" s="898">
        <v>12</v>
      </c>
      <c r="G1338" s="895">
        <v>5</v>
      </c>
      <c r="H1338" s="895">
        <f t="shared" si="23"/>
        <v>60</v>
      </c>
      <c r="I1338" s="895"/>
      <c r="J1338" s="909" t="s">
        <v>2567</v>
      </c>
      <c r="K1338" s="895"/>
      <c r="L1338" s="895"/>
      <c r="M1338" s="895"/>
      <c r="N1338" s="895"/>
      <c r="O1338" s="895"/>
      <c r="P1338" s="895"/>
      <c r="Q1338" s="895"/>
      <c r="R1338" s="895"/>
      <c r="S1338" s="896"/>
      <c r="T1338" s="876"/>
      <c r="U1338" s="876"/>
      <c r="V1338" s="876"/>
    </row>
    <row r="1339" spans="2:22" ht="18.95" customHeight="1">
      <c r="B1339" s="899">
        <v>44875</v>
      </c>
      <c r="C1339" s="898" t="s">
        <v>2503</v>
      </c>
      <c r="D1339" s="895" t="s">
        <v>2486</v>
      </c>
      <c r="E1339" s="898" t="s">
        <v>2491</v>
      </c>
      <c r="F1339" s="898">
        <v>13</v>
      </c>
      <c r="G1339" s="895">
        <v>10</v>
      </c>
      <c r="H1339" s="895">
        <f t="shared" si="23"/>
        <v>130</v>
      </c>
      <c r="I1339" s="895"/>
      <c r="J1339" s="895"/>
      <c r="K1339" s="895"/>
      <c r="L1339" s="895"/>
      <c r="M1339" s="895"/>
      <c r="N1339" s="895"/>
      <c r="O1339" s="895"/>
      <c r="P1339" s="895"/>
      <c r="Q1339" s="895"/>
      <c r="R1339" s="895"/>
      <c r="S1339" s="896"/>
      <c r="T1339" s="876"/>
      <c r="U1339" s="876"/>
      <c r="V1339" s="876"/>
    </row>
    <row r="1340" spans="2:22" ht="18.95" customHeight="1">
      <c r="B1340" s="899">
        <v>44875</v>
      </c>
      <c r="C1340" s="898" t="s">
        <v>2505</v>
      </c>
      <c r="D1340" s="895" t="s">
        <v>2490</v>
      </c>
      <c r="E1340" s="898" t="s">
        <v>2495</v>
      </c>
      <c r="F1340" s="898">
        <v>14</v>
      </c>
      <c r="G1340" s="895">
        <v>3</v>
      </c>
      <c r="H1340" s="895">
        <f t="shared" si="23"/>
        <v>42</v>
      </c>
      <c r="I1340" s="895"/>
      <c r="J1340" s="895"/>
      <c r="K1340" s="895"/>
      <c r="L1340" s="895"/>
      <c r="M1340" s="895"/>
      <c r="N1340" s="895"/>
      <c r="O1340" s="895"/>
      <c r="P1340" s="895"/>
      <c r="Q1340" s="895"/>
      <c r="R1340" s="895"/>
      <c r="S1340" s="896"/>
      <c r="T1340" s="876"/>
      <c r="U1340" s="876"/>
      <c r="V1340" s="876"/>
    </row>
    <row r="1341" spans="2:22" ht="18.95" customHeight="1">
      <c r="B1341" s="899">
        <v>44875</v>
      </c>
      <c r="C1341" s="898" t="s">
        <v>2502</v>
      </c>
      <c r="D1341" s="895" t="s">
        <v>2494</v>
      </c>
      <c r="E1341" s="898" t="s">
        <v>2498</v>
      </c>
      <c r="F1341" s="898">
        <v>15</v>
      </c>
      <c r="G1341" s="895">
        <v>2</v>
      </c>
      <c r="H1341" s="895">
        <f t="shared" si="23"/>
        <v>30</v>
      </c>
      <c r="I1341" s="895"/>
      <c r="J1341" s="895"/>
      <c r="K1341" s="895"/>
      <c r="L1341" s="895"/>
      <c r="M1341" s="895"/>
      <c r="N1341" s="895"/>
      <c r="O1341" s="895"/>
      <c r="P1341" s="895"/>
      <c r="Q1341" s="895"/>
      <c r="R1341" s="895"/>
      <c r="S1341" s="896"/>
      <c r="T1341" s="876"/>
      <c r="U1341" s="876"/>
      <c r="V1341" s="876"/>
    </row>
    <row r="1342" spans="2:22" ht="18.95" customHeight="1">
      <c r="B1342" s="899">
        <v>44880</v>
      </c>
      <c r="C1342" s="898" t="s">
        <v>2493</v>
      </c>
      <c r="D1342" s="895" t="s">
        <v>2494</v>
      </c>
      <c r="E1342" s="898" t="s">
        <v>2487</v>
      </c>
      <c r="F1342" s="898">
        <v>16</v>
      </c>
      <c r="G1342" s="895">
        <v>5</v>
      </c>
      <c r="H1342" s="895">
        <f t="shared" si="23"/>
        <v>80</v>
      </c>
      <c r="I1342" s="895"/>
      <c r="J1342" s="895"/>
      <c r="K1342" s="895"/>
      <c r="L1342" s="895"/>
      <c r="M1342" s="895"/>
      <c r="N1342" s="895"/>
      <c r="O1342" s="895"/>
      <c r="P1342" s="895"/>
      <c r="Q1342" s="895"/>
      <c r="R1342" s="895"/>
      <c r="S1342" s="896"/>
      <c r="T1342" s="876"/>
      <c r="U1342" s="876"/>
      <c r="V1342" s="876"/>
    </row>
    <row r="1343" spans="2:22" ht="18.95" customHeight="1">
      <c r="B1343" s="899">
        <v>44880</v>
      </c>
      <c r="C1343" s="898" t="s">
        <v>2506</v>
      </c>
      <c r="D1343" s="895" t="s">
        <v>2497</v>
      </c>
      <c r="E1343" s="898" t="s">
        <v>2491</v>
      </c>
      <c r="F1343" s="898">
        <v>17</v>
      </c>
      <c r="G1343" s="895">
        <v>10</v>
      </c>
      <c r="H1343" s="895">
        <f t="shared" si="23"/>
        <v>170</v>
      </c>
      <c r="I1343" s="895"/>
      <c r="J1343" s="895"/>
      <c r="K1343" s="895"/>
      <c r="L1343" s="895"/>
      <c r="M1343" s="895"/>
      <c r="N1343" s="895"/>
      <c r="O1343" s="895"/>
      <c r="P1343" s="895"/>
      <c r="Q1343" s="895"/>
      <c r="R1343" s="895"/>
      <c r="S1343" s="896"/>
      <c r="T1343" s="876"/>
      <c r="U1343" s="876"/>
      <c r="V1343" s="876"/>
    </row>
    <row r="1344" spans="2:22" ht="18.95" customHeight="1">
      <c r="B1344" s="899">
        <v>44880</v>
      </c>
      <c r="C1344" s="898" t="s">
        <v>2503</v>
      </c>
      <c r="D1344" s="895" t="s">
        <v>2486</v>
      </c>
      <c r="E1344" s="898" t="s">
        <v>2495</v>
      </c>
      <c r="F1344" s="898">
        <v>18</v>
      </c>
      <c r="G1344" s="895">
        <v>3</v>
      </c>
      <c r="H1344" s="895">
        <f t="shared" si="23"/>
        <v>54</v>
      </c>
      <c r="I1344" s="895"/>
      <c r="J1344" s="895"/>
      <c r="K1344" s="895"/>
      <c r="L1344" s="895"/>
      <c r="M1344" s="895"/>
      <c r="N1344" s="895"/>
      <c r="O1344" s="895"/>
      <c r="P1344" s="895"/>
      <c r="Q1344" s="895"/>
      <c r="R1344" s="895"/>
      <c r="S1344" s="896"/>
      <c r="T1344" s="876"/>
      <c r="U1344" s="876"/>
      <c r="V1344" s="876"/>
    </row>
    <row r="1345" spans="2:22" ht="18.95" customHeight="1">
      <c r="B1345" s="899">
        <v>44880</v>
      </c>
      <c r="C1345" s="898" t="s">
        <v>2507</v>
      </c>
      <c r="D1345" s="895" t="s">
        <v>2501</v>
      </c>
      <c r="E1345" s="898" t="s">
        <v>2498</v>
      </c>
      <c r="F1345" s="898">
        <v>19</v>
      </c>
      <c r="G1345" s="895">
        <v>2</v>
      </c>
      <c r="H1345" s="895">
        <f t="shared" si="23"/>
        <v>38</v>
      </c>
      <c r="I1345" s="895"/>
      <c r="J1345" s="895"/>
      <c r="K1345" s="895"/>
      <c r="L1345" s="895"/>
      <c r="M1345" s="895"/>
      <c r="N1345" s="895"/>
      <c r="O1345" s="895"/>
      <c r="P1345" s="895"/>
      <c r="Q1345" s="895"/>
      <c r="R1345" s="895"/>
      <c r="S1345" s="896"/>
      <c r="T1345" s="876"/>
      <c r="U1345" s="876"/>
      <c r="V1345" s="876"/>
    </row>
    <row r="1346" spans="2:22" ht="18.95" customHeight="1" thickBot="1">
      <c r="B1346" s="304"/>
      <c r="C1346" s="305"/>
      <c r="D1346" s="305"/>
      <c r="E1346" s="305"/>
      <c r="F1346" s="305"/>
      <c r="G1346" s="305"/>
      <c r="H1346" s="305"/>
      <c r="I1346" s="305"/>
      <c r="J1346" s="305"/>
      <c r="K1346" s="305"/>
      <c r="L1346" s="305"/>
      <c r="M1346" s="305"/>
      <c r="N1346" s="305"/>
      <c r="O1346" s="305"/>
      <c r="P1346" s="305"/>
      <c r="Q1346" s="305"/>
      <c r="R1346" s="305"/>
      <c r="S1346" s="327"/>
    </row>
    <row r="1347" spans="2:22" ht="18.95" customHeight="1" thickBot="1"/>
    <row r="1348" spans="2:22" ht="18.95" customHeight="1">
      <c r="B1348" s="333"/>
      <c r="C1348" s="324"/>
      <c r="D1348" s="324"/>
      <c r="E1348" s="324"/>
      <c r="F1348" s="324"/>
      <c r="G1348" s="324"/>
      <c r="H1348" s="324"/>
      <c r="I1348" s="324"/>
      <c r="J1348" s="325"/>
    </row>
    <row r="1349" spans="2:22" ht="18.95" customHeight="1">
      <c r="B1349" s="923" t="s">
        <v>2518</v>
      </c>
      <c r="C1349" s="925" t="s">
        <v>2519</v>
      </c>
      <c r="D1349" s="925" t="s">
        <v>131</v>
      </c>
      <c r="E1349" s="926" t="s">
        <v>2520</v>
      </c>
      <c r="F1349" s="116"/>
      <c r="G1349" s="116" t="s">
        <v>2521</v>
      </c>
      <c r="H1349" s="116"/>
      <c r="I1349" s="116"/>
      <c r="J1349" s="326"/>
    </row>
    <row r="1350" spans="2:22" ht="18.95" customHeight="1">
      <c r="B1350" s="923">
        <v>1</v>
      </c>
      <c r="C1350" s="927" t="s">
        <v>2522</v>
      </c>
      <c r="D1350" s="926" t="s">
        <v>2523</v>
      </c>
      <c r="E1350" s="926">
        <v>76</v>
      </c>
      <c r="F1350" s="116"/>
      <c r="G1350" s="116" cm="1">
        <f t="array" ref="G1350">SMALL(IF(B1350=B1350:B1947,E1350:E1947),3)</f>
        <v>76</v>
      </c>
      <c r="H1350" s="116"/>
      <c r="I1350" s="116"/>
      <c r="J1350" s="326"/>
    </row>
    <row r="1351" spans="2:22" ht="18.95" customHeight="1">
      <c r="B1351" s="923">
        <v>1</v>
      </c>
      <c r="C1351" s="927" t="s">
        <v>2524</v>
      </c>
      <c r="D1351" s="926" t="s">
        <v>2525</v>
      </c>
      <c r="E1351" s="926">
        <v>84</v>
      </c>
      <c r="F1351" s="116"/>
      <c r="G1351" s="116"/>
      <c r="H1351" s="116"/>
      <c r="I1351" s="116"/>
      <c r="J1351" s="326"/>
    </row>
    <row r="1352" spans="2:22" ht="18.95" customHeight="1">
      <c r="B1352" s="923">
        <v>1</v>
      </c>
      <c r="C1352" s="927" t="s">
        <v>2526</v>
      </c>
      <c r="D1352" s="926" t="s">
        <v>2527</v>
      </c>
      <c r="E1352" s="926">
        <v>100</v>
      </c>
      <c r="F1352" s="116"/>
      <c r="G1352" s="116"/>
      <c r="H1352" s="116"/>
      <c r="I1352" s="116"/>
      <c r="J1352" s="326"/>
    </row>
    <row r="1353" spans="2:22" ht="18.95" customHeight="1">
      <c r="B1353" s="923">
        <v>1</v>
      </c>
      <c r="C1353" s="927" t="s">
        <v>2528</v>
      </c>
      <c r="D1353" s="926" t="s">
        <v>2529</v>
      </c>
      <c r="E1353" s="926">
        <v>104</v>
      </c>
      <c r="F1353" s="116"/>
      <c r="G1353" s="116" t="s">
        <v>2570</v>
      </c>
      <c r="H1353" s="116"/>
      <c r="I1353" s="116"/>
      <c r="J1353" s="326"/>
    </row>
    <row r="1354" spans="2:22" ht="18.95" customHeight="1">
      <c r="B1354" s="923">
        <v>1</v>
      </c>
      <c r="C1354" s="927" t="s">
        <v>2530</v>
      </c>
      <c r="D1354" s="926" t="s">
        <v>2531</v>
      </c>
      <c r="E1354" s="926">
        <v>108</v>
      </c>
      <c r="F1354" s="116"/>
      <c r="G1354" s="116"/>
      <c r="H1354" s="116"/>
      <c r="I1354" s="116"/>
      <c r="J1354" s="326"/>
    </row>
    <row r="1355" spans="2:22" ht="18.95" customHeight="1">
      <c r="B1355" s="923">
        <v>5</v>
      </c>
      <c r="C1355" s="927" t="s">
        <v>2532</v>
      </c>
      <c r="D1355" s="926" t="s">
        <v>2533</v>
      </c>
      <c r="E1355" s="926">
        <v>136</v>
      </c>
      <c r="F1355" s="116"/>
      <c r="G1355" s="116"/>
      <c r="H1355" s="116"/>
      <c r="I1355" s="116"/>
      <c r="J1355" s="326"/>
    </row>
    <row r="1356" spans="2:22" ht="18.95" customHeight="1">
      <c r="B1356" s="923">
        <v>5</v>
      </c>
      <c r="C1356" s="927" t="s">
        <v>2534</v>
      </c>
      <c r="D1356" s="926" t="s">
        <v>2535</v>
      </c>
      <c r="E1356" s="926">
        <v>147</v>
      </c>
      <c r="F1356" s="116"/>
      <c r="G1356" s="116" t="s">
        <v>2571</v>
      </c>
      <c r="H1356" s="116"/>
      <c r="I1356" s="116"/>
      <c r="J1356" s="326"/>
    </row>
    <row r="1357" spans="2:22" ht="18.95" customHeight="1">
      <c r="B1357" s="923">
        <v>5</v>
      </c>
      <c r="C1357" s="927" t="s">
        <v>2536</v>
      </c>
      <c r="D1357" s="926" t="s">
        <v>2537</v>
      </c>
      <c r="E1357" s="926">
        <v>647</v>
      </c>
      <c r="F1357" s="116"/>
      <c r="G1357" s="116" t="s">
        <v>2572</v>
      </c>
      <c r="H1357" s="116"/>
      <c r="I1357" s="116"/>
      <c r="J1357" s="326"/>
    </row>
    <row r="1358" spans="2:22" ht="18.95" customHeight="1">
      <c r="B1358" s="923">
        <v>6</v>
      </c>
      <c r="C1358" s="927" t="s">
        <v>2538</v>
      </c>
      <c r="D1358" s="926" t="s">
        <v>2539</v>
      </c>
      <c r="E1358" s="926">
        <v>657</v>
      </c>
      <c r="F1358" s="116"/>
      <c r="G1358" s="116" t="s">
        <v>2573</v>
      </c>
      <c r="H1358" s="116"/>
      <c r="I1358" s="116"/>
      <c r="J1358" s="326"/>
    </row>
    <row r="1359" spans="2:22" ht="18.95" customHeight="1">
      <c r="B1359" s="923">
        <v>6</v>
      </c>
      <c r="C1359" s="927" t="s">
        <v>2540</v>
      </c>
      <c r="D1359" s="926" t="s">
        <v>2541</v>
      </c>
      <c r="E1359" s="926">
        <v>658</v>
      </c>
      <c r="F1359" s="116"/>
      <c r="G1359" s="116" t="s">
        <v>2574</v>
      </c>
      <c r="H1359" s="116"/>
      <c r="I1359" s="116"/>
      <c r="J1359" s="326"/>
    </row>
    <row r="1360" spans="2:22" ht="18.95" customHeight="1">
      <c r="B1360" s="923">
        <v>6</v>
      </c>
      <c r="C1360" s="927" t="s">
        <v>2542</v>
      </c>
      <c r="D1360" s="926" t="s">
        <v>2543</v>
      </c>
      <c r="E1360" s="926">
        <v>673</v>
      </c>
      <c r="F1360" s="116"/>
      <c r="G1360" s="116" t="s">
        <v>2575</v>
      </c>
      <c r="H1360" s="116"/>
      <c r="I1360" s="116"/>
      <c r="J1360" s="326"/>
    </row>
    <row r="1361" spans="2:13" ht="18.95" customHeight="1">
      <c r="B1361" s="923">
        <v>6</v>
      </c>
      <c r="C1361" s="927" t="s">
        <v>2544</v>
      </c>
      <c r="D1361" s="926" t="s">
        <v>2545</v>
      </c>
      <c r="E1361" s="926">
        <v>679</v>
      </c>
      <c r="F1361" s="116"/>
      <c r="G1361" s="116" t="s">
        <v>2576</v>
      </c>
      <c r="H1361" s="116"/>
      <c r="I1361" s="116"/>
      <c r="J1361" s="326"/>
    </row>
    <row r="1362" spans="2:13" ht="18.95" customHeight="1">
      <c r="B1362" s="923">
        <v>2</v>
      </c>
      <c r="C1362" s="927" t="s">
        <v>2546</v>
      </c>
      <c r="D1362" s="926" t="s">
        <v>2547</v>
      </c>
      <c r="E1362" s="926">
        <v>49</v>
      </c>
      <c r="F1362" s="116"/>
      <c r="G1362" s="116"/>
      <c r="H1362" s="116"/>
      <c r="I1362" s="116"/>
      <c r="J1362" s="326"/>
    </row>
    <row r="1363" spans="2:13" ht="18.95" customHeight="1">
      <c r="B1363" s="923">
        <v>2</v>
      </c>
      <c r="C1363" s="927" t="s">
        <v>2548</v>
      </c>
      <c r="D1363" s="926" t="s">
        <v>2549</v>
      </c>
      <c r="E1363" s="926">
        <v>70</v>
      </c>
      <c r="F1363" s="116"/>
      <c r="G1363" s="116"/>
      <c r="H1363" s="116"/>
      <c r="I1363" s="116"/>
      <c r="J1363" s="326"/>
    </row>
    <row r="1364" spans="2:13" ht="18.95" customHeight="1">
      <c r="B1364" s="923">
        <v>2</v>
      </c>
      <c r="C1364" s="927" t="s">
        <v>2550</v>
      </c>
      <c r="D1364" s="926" t="s">
        <v>2551</v>
      </c>
      <c r="E1364" s="926">
        <v>108</v>
      </c>
      <c r="F1364" s="116"/>
      <c r="G1364" s="116"/>
      <c r="H1364" s="116"/>
      <c r="I1364" s="116"/>
      <c r="J1364" s="326"/>
    </row>
    <row r="1365" spans="2:13" ht="18.95" customHeight="1">
      <c r="B1365" s="923">
        <v>2</v>
      </c>
      <c r="C1365" s="927" t="s">
        <v>2552</v>
      </c>
      <c r="D1365" s="926" t="s">
        <v>2553</v>
      </c>
      <c r="E1365" s="926">
        <v>708</v>
      </c>
      <c r="F1365" s="116"/>
      <c r="G1365" s="116"/>
      <c r="H1365" s="116"/>
      <c r="I1365" s="116"/>
      <c r="J1365" s="326"/>
    </row>
    <row r="1366" spans="2:13" ht="18.95" customHeight="1">
      <c r="B1366" s="923">
        <v>2</v>
      </c>
      <c r="C1366" s="927" t="s">
        <v>2554</v>
      </c>
      <c r="D1366" s="926" t="s">
        <v>2555</v>
      </c>
      <c r="E1366" s="926">
        <v>714</v>
      </c>
      <c r="F1366" s="116"/>
      <c r="G1366" s="116"/>
      <c r="H1366" s="116"/>
      <c r="I1366" s="116"/>
      <c r="J1366" s="326"/>
    </row>
    <row r="1367" spans="2:13" ht="18.95" customHeight="1">
      <c r="B1367" s="923">
        <v>3</v>
      </c>
      <c r="C1367" s="927" t="s">
        <v>2556</v>
      </c>
      <c r="D1367" s="926" t="s">
        <v>2557</v>
      </c>
      <c r="E1367" s="926">
        <v>42</v>
      </c>
      <c r="F1367" s="116"/>
      <c r="G1367" s="116"/>
      <c r="H1367" s="116"/>
      <c r="I1367" s="116"/>
      <c r="J1367" s="326"/>
    </row>
    <row r="1368" spans="2:13" ht="18.95" customHeight="1">
      <c r="B1368" s="923">
        <v>3</v>
      </c>
      <c r="C1368" s="927" t="s">
        <v>2558</v>
      </c>
      <c r="D1368" s="926" t="s">
        <v>2559</v>
      </c>
      <c r="E1368" s="926">
        <v>54</v>
      </c>
      <c r="F1368" s="116"/>
      <c r="G1368" s="116"/>
      <c r="H1368" s="116"/>
      <c r="I1368" s="116"/>
      <c r="J1368" s="326"/>
    </row>
    <row r="1369" spans="2:13" ht="18.95" customHeight="1">
      <c r="B1369" s="923">
        <v>3</v>
      </c>
      <c r="C1369" s="927" t="s">
        <v>2560</v>
      </c>
      <c r="D1369" s="926" t="s">
        <v>2561</v>
      </c>
      <c r="E1369" s="926">
        <v>58</v>
      </c>
      <c r="F1369" s="116"/>
      <c r="G1369" s="116"/>
      <c r="H1369" s="116"/>
      <c r="I1369" s="116"/>
      <c r="J1369" s="326"/>
    </row>
    <row r="1370" spans="2:13" ht="18.95" customHeight="1">
      <c r="B1370" s="923">
        <v>3</v>
      </c>
      <c r="C1370" s="927" t="s">
        <v>2562</v>
      </c>
      <c r="D1370" s="926" t="s">
        <v>2563</v>
      </c>
      <c r="E1370" s="926">
        <v>70</v>
      </c>
      <c r="F1370" s="116"/>
      <c r="G1370" s="116"/>
      <c r="H1370" s="116"/>
      <c r="I1370" s="116"/>
      <c r="J1370" s="326"/>
    </row>
    <row r="1371" spans="2:13" ht="18.95" customHeight="1">
      <c r="B1371" s="923">
        <v>3</v>
      </c>
      <c r="C1371" s="927" t="s">
        <v>2564</v>
      </c>
      <c r="D1371" s="926" t="s">
        <v>2565</v>
      </c>
      <c r="E1371" s="926">
        <v>81</v>
      </c>
      <c r="F1371" s="116"/>
      <c r="G1371" s="116"/>
      <c r="H1371" s="116"/>
      <c r="I1371" s="116"/>
      <c r="J1371" s="326"/>
    </row>
    <row r="1372" spans="2:13" ht="18.95" customHeight="1" thickBot="1">
      <c r="B1372" s="304"/>
      <c r="C1372" s="305"/>
      <c r="D1372" s="305"/>
      <c r="E1372" s="305"/>
      <c r="F1372" s="305"/>
      <c r="G1372" s="305"/>
      <c r="H1372" s="305"/>
      <c r="I1372" s="305"/>
      <c r="J1372" s="327"/>
    </row>
    <row r="1373" spans="2:13" ht="18.95" customHeight="1" thickBot="1"/>
    <row r="1374" spans="2:13" ht="18.95" customHeight="1">
      <c r="B1374" s="255" t="s">
        <v>2641</v>
      </c>
      <c r="C1374" s="324"/>
      <c r="D1374" s="324"/>
      <c r="E1374" s="324"/>
      <c r="F1374" s="324"/>
      <c r="G1374" s="324"/>
      <c r="H1374" s="324"/>
      <c r="I1374" s="324"/>
      <c r="J1374" s="324"/>
      <c r="K1374" s="324"/>
      <c r="L1374" s="324"/>
      <c r="M1374" s="325"/>
    </row>
    <row r="1375" spans="2:13" ht="18.95" customHeight="1">
      <c r="B1375" s="957" t="s">
        <v>269</v>
      </c>
      <c r="C1375" s="950" t="s">
        <v>2595</v>
      </c>
      <c r="D1375" s="951" t="s">
        <v>2596</v>
      </c>
      <c r="E1375" s="952" t="s">
        <v>2597</v>
      </c>
      <c r="F1375" s="946"/>
      <c r="G1375" s="946"/>
      <c r="H1375" s="946" t="s">
        <v>2598</v>
      </c>
      <c r="I1375" s="946" t="s">
        <v>2626</v>
      </c>
      <c r="J1375" s="946" t="s">
        <v>2599</v>
      </c>
      <c r="K1375" s="946"/>
      <c r="L1375" s="946"/>
      <c r="M1375" s="326"/>
    </row>
    <row r="1376" spans="2:13" ht="18.95" customHeight="1">
      <c r="B1376" s="257" t="s">
        <v>2600</v>
      </c>
      <c r="C1376" s="948" t="s">
        <v>2601</v>
      </c>
      <c r="D1376" s="947">
        <v>1440</v>
      </c>
      <c r="E1376" s="953">
        <v>1440</v>
      </c>
      <c r="F1376" s="946"/>
      <c r="G1376" s="946"/>
      <c r="H1376" s="946"/>
      <c r="I1376" s="946" t="s">
        <v>2595</v>
      </c>
      <c r="J1376" s="946" t="s">
        <v>46</v>
      </c>
      <c r="K1376" s="946"/>
      <c r="L1376" s="946"/>
      <c r="M1376" s="326"/>
    </row>
    <row r="1377" spans="2:16" ht="18.95" customHeight="1">
      <c r="B1377" s="257" t="s">
        <v>2600</v>
      </c>
      <c r="C1377" s="948" t="s">
        <v>2602</v>
      </c>
      <c r="D1377" s="947">
        <v>748061.28</v>
      </c>
      <c r="E1377" s="953">
        <v>748061.28</v>
      </c>
      <c r="F1377" s="946"/>
      <c r="G1377" s="946"/>
      <c r="H1377" s="972" t="str">
        <f t="array" ref="H1377">IF(ROW(A1)&lt;=COUNTIF($B$1376:$B$1407,$I$1375),INDEX(C:C,RIGHT(LARGE(IF($B$1376:$B$1407=$I$1375,INT($D$1376:$D$1407),)*100000+ROW($1376:$1407),ROW(A1)),4)),"")</f>
        <v>差旅费预算</v>
      </c>
      <c r="I1377" s="972">
        <f t="array" ref="I1377">IF(ROW(B1)&lt;=COUNTIF($B$1376:$B$1407,$I$1375),INDEX(D:D,RIGHT(LARGE(IF($B$1376:$B$1407=$I$1375,INT($D$1376:$D$1407),)*100000+ROW($1376:$1407),ROW(B1)),4)),"")</f>
        <v>198310</v>
      </c>
      <c r="J1377" s="972">
        <f t="array" ref="J1377">IF(ROW(C1)&lt;=COUNTIF($B$1376:$B$1407,$I$1375),INDEX(E:E,RIGHT(LARGE(IF($B$1376:$B$1407=$I$1375,INT($D$1376:$D$1407),)*100000+ROW($1376:$1407),ROW(C1)),4)),"")</f>
        <v>198310</v>
      </c>
      <c r="K1377" s="946"/>
      <c r="L1377" s="946"/>
      <c r="M1377" s="326"/>
    </row>
    <row r="1378" spans="2:16" ht="18.95" customHeight="1">
      <c r="B1378" s="257" t="s">
        <v>2600</v>
      </c>
      <c r="C1378" s="948" t="s">
        <v>2603</v>
      </c>
      <c r="D1378" s="947">
        <v>200000</v>
      </c>
      <c r="E1378" s="953">
        <v>200000</v>
      </c>
      <c r="F1378" s="946" t="str" cm="1">
        <f t="array" ref="F1378:F1382">_xlfn.UNIQUE($B$1376:$B$1407)</f>
        <v>人力部</v>
      </c>
      <c r="G1378" s="946"/>
      <c r="H1378" s="972" t="str">
        <f t="array" ref="H1378">IF(ROW(A2)&lt;=COUNTIF($B$1376:$B$1407,$I$1375),INDEX(C:C,RIGHT(LARGE(IF($B$1376:$B$1407=$I$1375,INT($D$1376:$D$1407),)*100000+ROW($1376:$1407),ROW(A2)),4)),"")</f>
        <v>招待费用</v>
      </c>
      <c r="I1378" s="972">
        <f t="array" ref="I1378">IF(ROW(B2)&lt;=COUNTIF($B$1376:$B$1407,$I$1375),INDEX(D:D,RIGHT(LARGE(IF($B$1376:$B$1407=$I$1375,INT($D$1376:$D$1407),)*100000+ROW($1376:$1407),ROW(B2)),4)),"")</f>
        <v>44100</v>
      </c>
      <c r="J1378" s="972">
        <f t="array" ref="J1378">IF(ROW(C2)&lt;=COUNTIF($B$1376:$B$1407,$I$1375),INDEX(E:E,RIGHT(LARGE(IF($B$1376:$B$1407=$I$1375,INT($D$1376:$D$1407),)*100000+ROW($1376:$1407),ROW(C2)),4)),"")</f>
        <v>44100</v>
      </c>
      <c r="K1378" s="946"/>
      <c r="L1378" s="946"/>
      <c r="M1378" s="326"/>
    </row>
    <row r="1379" spans="2:16" ht="18.95" customHeight="1">
      <c r="B1379" s="257" t="s">
        <v>2600</v>
      </c>
      <c r="C1379" s="948" t="s">
        <v>2604</v>
      </c>
      <c r="D1379" s="947">
        <v>114111</v>
      </c>
      <c r="E1379" s="953">
        <v>114111</v>
      </c>
      <c r="F1379" s="946" t="str">
        <v>供应链管理部</v>
      </c>
      <c r="G1379" s="946"/>
      <c r="H1379" s="972" t="str">
        <f t="array" ref="H1379">IF(ROW(A3)&lt;=COUNTIF($B$1376:$B$1407,$I$1375),INDEX(C:C,RIGHT(LARGE(IF($B$1376:$B$1407=$I$1375,INT($D$1376:$D$1407),)*100000+ROW($1376:$1407),ROW(A3)),4)),"")</f>
        <v>培训费</v>
      </c>
      <c r="I1379" s="972">
        <f t="array" ref="I1379">IF(ROW(B3)&lt;=COUNTIF($B$1376:$B$1407,$I$1375),INDEX(D:D,RIGHT(LARGE(IF($B$1376:$B$1407=$I$1375,INT($D$1376:$D$1407),)*100000+ROW($1376:$1407),ROW(B3)),4)),"")</f>
        <v>29200</v>
      </c>
      <c r="J1379" s="972">
        <f t="array" ref="J1379">IF(ROW(C3)&lt;=COUNTIF($B$1376:$B$1407,$I$1375),INDEX(E:E,RIGHT(LARGE(IF($B$1376:$B$1407=$I$1375,INT($D$1376:$D$1407),)*100000+ROW($1376:$1407),ROW(C3)),4)),"")</f>
        <v>29200</v>
      </c>
      <c r="K1379" s="946"/>
      <c r="L1379" s="946"/>
      <c r="M1379" s="326"/>
    </row>
    <row r="1380" spans="2:16" ht="18.95" customHeight="1">
      <c r="B1380" s="257" t="s">
        <v>2600</v>
      </c>
      <c r="C1380" s="948" t="s">
        <v>2605</v>
      </c>
      <c r="D1380" s="947">
        <v>42000</v>
      </c>
      <c r="E1380" s="953">
        <v>42000</v>
      </c>
      <c r="F1380" s="946" t="str">
        <v>市场部</v>
      </c>
      <c r="G1380" s="946"/>
      <c r="H1380" s="972" t="str">
        <f t="array" ref="H1380">IF(ROW(A4)&lt;=COUNTIF($B$1376:$B$1407,$I$1375),INDEX(C:C,RIGHT(LARGE(IF($B$1376:$B$1407=$I$1375,INT($D$1376:$D$1407),)*100000+ROW($1376:$1407),ROW(A4)),4)),"")</f>
        <v>行政部领用酒水</v>
      </c>
      <c r="I1380" s="972">
        <f t="array" ref="I1380">IF(ROW(B4)&lt;=COUNTIF($B$1376:$B$1407,$I$1375),INDEX(D:D,RIGHT(LARGE(IF($B$1376:$B$1407=$I$1375,INT($D$1376:$D$1407),)*100000+ROW($1376:$1407),ROW(B4)),4)),"")</f>
        <v>18000</v>
      </c>
      <c r="J1380" s="972">
        <f t="array" ref="J1380">IF(ROW(C4)&lt;=COUNTIF($B$1376:$B$1407,$I$1375),INDEX(E:E,RIGHT(LARGE(IF($B$1376:$B$1407=$I$1375,INT($D$1376:$D$1407),)*100000+ROW($1376:$1407),ROW(C4)),4)),"")</f>
        <v>18000</v>
      </c>
      <c r="K1380" s="946"/>
      <c r="L1380" s="946"/>
      <c r="M1380" s="326"/>
    </row>
    <row r="1381" spans="2:16" ht="18.95" customHeight="1">
      <c r="B1381" s="257" t="s">
        <v>2600</v>
      </c>
      <c r="C1381" s="948" t="s">
        <v>2606</v>
      </c>
      <c r="D1381" s="947">
        <v>30000</v>
      </c>
      <c r="E1381" s="953">
        <v>30000</v>
      </c>
      <c r="F1381" s="946" t="str">
        <v>研发部</v>
      </c>
      <c r="G1381" s="946"/>
      <c r="H1381" s="972" t="str">
        <f t="array" ref="H1381">IF(ROW(A5)&lt;=COUNTIF($B$1376:$B$1407,$I$1375),INDEX(C:C,RIGHT(LARGE(IF($B$1376:$B$1407=$I$1375,INT($D$1376:$D$1407),)*100000+ROW($1376:$1407),ROW(A5)),4)),"")</f>
        <v>会议费</v>
      </c>
      <c r="I1381" s="972">
        <f t="array" ref="I1381">IF(ROW(B5)&lt;=COUNTIF($B$1376:$B$1407,$I$1375),INDEX(D:D,RIGHT(LARGE(IF($B$1376:$B$1407=$I$1375,INT($D$1376:$D$1407),)*100000+ROW($1376:$1407),ROW(B5)),4)),"")</f>
        <v>17000</v>
      </c>
      <c r="J1381" s="972">
        <f t="array" ref="J1381">IF(ROW(C5)&lt;=COUNTIF($B$1376:$B$1407,$I$1375),INDEX(E:E,RIGHT(LARGE(IF($B$1376:$B$1407=$I$1375,INT($D$1376:$D$1407),)*100000+ROW($1376:$1407),ROW(C5)),4)),"")</f>
        <v>17000</v>
      </c>
      <c r="K1381" s="946"/>
      <c r="L1381" s="946"/>
      <c r="M1381" s="326"/>
    </row>
    <row r="1382" spans="2:16" ht="18.95" customHeight="1">
      <c r="B1382" s="257" t="s">
        <v>2600</v>
      </c>
      <c r="C1382" s="948" t="s">
        <v>2607</v>
      </c>
      <c r="D1382" s="947">
        <v>27000</v>
      </c>
      <c r="E1382" s="953">
        <v>27000</v>
      </c>
      <c r="F1382" s="946" t="str">
        <v>财经部</v>
      </c>
      <c r="G1382" s="946"/>
      <c r="H1382" s="972" t="str">
        <f t="array" ref="H1382">IF(ROW(A6)&lt;=COUNTIF($B$1376:$B$1407,$I$1375),INDEX(C:C,RIGHT(LARGE(IF($B$1376:$B$1407=$I$1375,INT($D$1376:$D$1407),)*100000+ROW($1376:$1407),ROW(A6)),4)),"")</f>
        <v>通讯补贴</v>
      </c>
      <c r="I1382" s="972">
        <f t="array" ref="I1382">IF(ROW(B6)&lt;=COUNTIF($B$1376:$B$1407,$I$1375),INDEX(D:D,RIGHT(LARGE(IF($B$1376:$B$1407=$I$1375,INT($D$1376:$D$1407),)*100000+ROW($1376:$1407),ROW(B6)),4)),"")</f>
        <v>16800</v>
      </c>
      <c r="J1382" s="972">
        <f t="array" ref="J1382">IF(ROW(C6)&lt;=COUNTIF($B$1376:$B$1407,$I$1375),INDEX(E:E,RIGHT(LARGE(IF($B$1376:$B$1407=$I$1375,INT($D$1376:$D$1407),)*100000+ROW($1376:$1407),ROW(C6)),4)),"")</f>
        <v>16800</v>
      </c>
      <c r="K1382" s="946"/>
      <c r="L1382" s="946"/>
      <c r="M1382" s="326"/>
    </row>
    <row r="1383" spans="2:16" ht="18.95" customHeight="1">
      <c r="B1383" s="257" t="s">
        <v>2600</v>
      </c>
      <c r="C1383" s="948" t="s">
        <v>2608</v>
      </c>
      <c r="D1383" s="947">
        <v>20000</v>
      </c>
      <c r="E1383" s="953">
        <v>20000</v>
      </c>
      <c r="F1383" s="946"/>
      <c r="G1383" s="946"/>
      <c r="H1383" s="972" t="str">
        <f t="array" ref="H1383">IF(ROW(A7)&lt;=COUNTIF($B$1376:$B$1407,$I$1375),INDEX(C:C,RIGHT(LARGE(IF($B$1376:$B$1407=$I$1375,INT($D$1376:$D$1407),)*100000+ROW($1376:$1407),ROW(A7)),4)),"")</f>
        <v>笔记本电脑</v>
      </c>
      <c r="I1383" s="972">
        <f t="array" ref="I1383">IF(ROW(B7)&lt;=COUNTIF($B$1376:$B$1407,$I$1375),INDEX(D:D,RIGHT(LARGE(IF($B$1376:$B$1407=$I$1375,INT($D$1376:$D$1407),)*100000+ROW($1376:$1407),ROW(B7)),4)),"")</f>
        <v>6000</v>
      </c>
      <c r="J1383" s="972">
        <f t="array" ref="J1383">IF(ROW(C7)&lt;=COUNTIF($B$1376:$B$1407,$I$1375),INDEX(E:E,RIGHT(LARGE(IF($B$1376:$B$1407=$I$1375,INT($D$1376:$D$1407),)*100000+ROW($1376:$1407),ROW(C7)),4)),"")</f>
        <v>6000</v>
      </c>
      <c r="K1383" s="946"/>
      <c r="L1383" s="946"/>
      <c r="M1383" s="326"/>
    </row>
    <row r="1384" spans="2:16" ht="18.95" customHeight="1">
      <c r="B1384" s="257" t="s">
        <v>2600</v>
      </c>
      <c r="C1384" s="948" t="s">
        <v>2609</v>
      </c>
      <c r="D1384" s="947">
        <v>20000</v>
      </c>
      <c r="E1384" s="953">
        <v>20000</v>
      </c>
      <c r="F1384" s="946"/>
      <c r="G1384" s="946"/>
      <c r="H1384" s="972" t="str">
        <f t="array" ref="H1384">IF(ROW(A8)&lt;=COUNTIF($B$1376:$B$1407,$I$1375),INDEX(C:C,RIGHT(LARGE(IF($B$1376:$B$1407=$I$1375,INT($D$1376:$D$1407),)*100000+ROW($1376:$1407),ROW(A8)),4)),"")</f>
        <v>市内交通费用及加班交通费补助</v>
      </c>
      <c r="I1384" s="972">
        <f t="array" ref="I1384">IF(ROW(B8)&lt;=COUNTIF($B$1376:$B$1407,$I$1375),INDEX(D:D,RIGHT(LARGE(IF($B$1376:$B$1407=$I$1375,INT($D$1376:$D$1407),)*100000+ROW($1376:$1407),ROW(B8)),4)),"")</f>
        <v>2400</v>
      </c>
      <c r="J1384" s="972">
        <f t="array" ref="J1384">IF(ROW(C8)&lt;=COUNTIF($B$1376:$B$1407,$I$1375),INDEX(E:E,RIGHT(LARGE(IF($B$1376:$B$1407=$I$1375,INT($D$1376:$D$1407),)*100000+ROW($1376:$1407),ROW(C8)),4)),"")</f>
        <v>2400</v>
      </c>
      <c r="K1384" s="946"/>
      <c r="L1384" s="946"/>
      <c r="M1384" s="326"/>
    </row>
    <row r="1385" spans="2:16" ht="18.95" customHeight="1">
      <c r="B1385" s="257" t="s">
        <v>2600</v>
      </c>
      <c r="C1385" s="948" t="s">
        <v>2610</v>
      </c>
      <c r="D1385" s="947">
        <v>15600</v>
      </c>
      <c r="E1385" s="953">
        <v>15600</v>
      </c>
      <c r="F1385" s="946"/>
      <c r="G1385" s="946"/>
      <c r="H1385" s="946"/>
      <c r="I1385" s="946"/>
      <c r="J1385" s="946"/>
      <c r="K1385" s="946"/>
      <c r="L1385" s="946"/>
      <c r="M1385" s="326"/>
    </row>
    <row r="1386" spans="2:16" ht="18.95" customHeight="1">
      <c r="B1386" s="257" t="s">
        <v>2600</v>
      </c>
      <c r="C1386" s="948" t="s">
        <v>2611</v>
      </c>
      <c r="D1386" s="947">
        <v>14400</v>
      </c>
      <c r="E1386" s="953">
        <v>14400</v>
      </c>
      <c r="F1386" s="946"/>
      <c r="G1386" s="946"/>
      <c r="H1386" s="946"/>
      <c r="I1386" s="946"/>
      <c r="J1386" s="946"/>
      <c r="K1386" s="946"/>
      <c r="L1386" s="946"/>
      <c r="M1386" s="326"/>
    </row>
    <row r="1387" spans="2:16" ht="18.95" customHeight="1" thickBot="1">
      <c r="B1387" s="257" t="s">
        <v>2600</v>
      </c>
      <c r="C1387" s="948" t="s">
        <v>2612</v>
      </c>
      <c r="D1387" s="947">
        <v>1000</v>
      </c>
      <c r="E1387" s="953">
        <v>1000</v>
      </c>
      <c r="F1387" s="946"/>
      <c r="G1387" s="116"/>
      <c r="H1387" s="966" t="s">
        <v>269</v>
      </c>
      <c r="I1387" s="260" t="s">
        <v>2626</v>
      </c>
      <c r="J1387" s="946"/>
      <c r="K1387" s="946"/>
      <c r="L1387" s="946"/>
      <c r="M1387" s="326"/>
    </row>
    <row r="1388" spans="2:16" ht="18.95" customHeight="1">
      <c r="B1388" s="257" t="s">
        <v>2600</v>
      </c>
      <c r="C1388" s="948" t="s">
        <v>2613</v>
      </c>
      <c r="D1388" s="947">
        <v>500</v>
      </c>
      <c r="E1388" s="953">
        <v>500</v>
      </c>
      <c r="F1388" s="946"/>
      <c r="G1388" s="479"/>
      <c r="H1388" s="946"/>
      <c r="I1388" s="946"/>
      <c r="J1388" s="946" t="str">
        <f t="array" ref="J1388">IF(ROW(C12)&gt;8,"",INDEX(E:E,RIGHT(LARGE(IF($B$1376:$B$1407=$I$1375,INT($D$1376:$D$1407),)*100000+ROW($1376:$1407),ROW(C12)),4)))</f>
        <v/>
      </c>
      <c r="K1388" s="946"/>
      <c r="L1388" s="946"/>
      <c r="M1388" s="326"/>
      <c r="P1388" s="479"/>
    </row>
    <row r="1389" spans="2:16" ht="18.95" customHeight="1" thickBot="1">
      <c r="B1389" s="257" t="s">
        <v>2600</v>
      </c>
      <c r="C1389" s="948" t="s">
        <v>2614</v>
      </c>
      <c r="D1389" s="947">
        <v>480</v>
      </c>
      <c r="E1389" s="953">
        <v>480</v>
      </c>
      <c r="F1389" s="946"/>
      <c r="G1389" s="116"/>
      <c r="H1389" s="969" t="s">
        <v>369</v>
      </c>
      <c r="I1389" s="971" t="s">
        <v>2677</v>
      </c>
      <c r="J1389" s="946" t="str">
        <f t="array" ref="J1389">IF(ROW(C13)&gt;8,"",INDEX(E:E,RIGHT(LARGE(IF($B$1376:$B$1407=$I$1375,INT($D$1376:$D$1407),)*100000+ROW($1376:$1407),ROW(C13)),4)))</f>
        <v/>
      </c>
      <c r="K1389" s="946"/>
      <c r="L1389" s="946"/>
      <c r="M1389" s="326"/>
    </row>
    <row r="1390" spans="2:16" ht="18.95" customHeight="1">
      <c r="B1390" s="257" t="s">
        <v>2600</v>
      </c>
      <c r="C1390" s="948" t="s">
        <v>2615</v>
      </c>
      <c r="D1390" s="947">
        <v>420</v>
      </c>
      <c r="E1390" s="953">
        <v>420</v>
      </c>
      <c r="F1390" s="946"/>
      <c r="G1390" s="946"/>
      <c r="H1390" s="913" t="s">
        <v>2627</v>
      </c>
      <c r="I1390" s="967">
        <v>198310</v>
      </c>
      <c r="J1390" s="946" t="str">
        <f t="array" ref="J1390">IF(ROW(C14)&gt;8,"",INDEX(E:E,RIGHT(LARGE(IF($B$1376:$B$1407=$I$1375,INT($D$1376:$D$1407),)*100000+ROW($1376:$1407),ROW(C14)),4)))</f>
        <v/>
      </c>
      <c r="K1390" s="946"/>
      <c r="L1390" s="946"/>
      <c r="M1390" s="326"/>
    </row>
    <row r="1391" spans="2:16" ht="18.95" customHeight="1">
      <c r="B1391" s="257" t="s">
        <v>2600</v>
      </c>
      <c r="C1391" s="948" t="s">
        <v>2616</v>
      </c>
      <c r="D1391" s="947">
        <v>222</v>
      </c>
      <c r="E1391" s="953">
        <v>222</v>
      </c>
      <c r="F1391" s="946"/>
      <c r="G1391" s="116"/>
      <c r="H1391" s="913" t="s">
        <v>2628</v>
      </c>
      <c r="I1391" s="967">
        <v>44100</v>
      </c>
      <c r="J1391" s="946"/>
      <c r="K1391" s="946"/>
      <c r="L1391" s="946"/>
      <c r="M1391" s="326"/>
    </row>
    <row r="1392" spans="2:16" ht="18.95" customHeight="1">
      <c r="B1392" s="257" t="s">
        <v>2600</v>
      </c>
      <c r="C1392" s="948" t="s">
        <v>2617</v>
      </c>
      <c r="D1392" s="947">
        <v>180</v>
      </c>
      <c r="E1392" s="953">
        <v>180</v>
      </c>
      <c r="F1392" s="946"/>
      <c r="G1392" s="946"/>
      <c r="H1392" s="913" t="s">
        <v>2629</v>
      </c>
      <c r="I1392" s="967">
        <v>29200</v>
      </c>
      <c r="J1392" s="946"/>
      <c r="K1392" s="946"/>
      <c r="L1392" s="946"/>
      <c r="M1392" s="326"/>
    </row>
    <row r="1393" spans="2:13" ht="14.25">
      <c r="B1393" s="257" t="s">
        <v>2618</v>
      </c>
      <c r="C1393" s="948" t="s">
        <v>2619</v>
      </c>
      <c r="D1393" s="947">
        <v>1</v>
      </c>
      <c r="E1393" s="953">
        <v>1</v>
      </c>
      <c r="F1393" s="946"/>
      <c r="H1393" s="913" t="s">
        <v>2630</v>
      </c>
      <c r="I1393" s="967">
        <v>18000</v>
      </c>
      <c r="J1393" s="946"/>
      <c r="K1393" s="946"/>
      <c r="L1393" s="946"/>
      <c r="M1393" s="326"/>
    </row>
    <row r="1394" spans="2:13" ht="14.25">
      <c r="B1394" s="257" t="s">
        <v>2618</v>
      </c>
      <c r="C1394" s="948" t="s">
        <v>2620</v>
      </c>
      <c r="D1394" s="947">
        <v>100</v>
      </c>
      <c r="E1394" s="953">
        <v>100</v>
      </c>
      <c r="F1394" s="946"/>
      <c r="H1394" s="913" t="s">
        <v>2631</v>
      </c>
      <c r="I1394" s="967">
        <v>17000</v>
      </c>
      <c r="J1394" s="946"/>
      <c r="K1394" s="946"/>
      <c r="L1394" s="946"/>
      <c r="M1394" s="326"/>
    </row>
    <row r="1395" spans="2:13" ht="14.25">
      <c r="B1395" s="257" t="s">
        <v>2621</v>
      </c>
      <c r="C1395" s="948" t="s">
        <v>2622</v>
      </c>
      <c r="D1395" s="947">
        <v>1200</v>
      </c>
      <c r="E1395" s="953">
        <v>8560.08</v>
      </c>
      <c r="F1395" s="946"/>
      <c r="H1395" s="913" t="s">
        <v>2632</v>
      </c>
      <c r="I1395" s="967">
        <v>16800</v>
      </c>
      <c r="J1395" s="946"/>
      <c r="K1395" s="946"/>
      <c r="L1395" s="946"/>
      <c r="M1395" s="326"/>
    </row>
    <row r="1396" spans="2:13" ht="14.25">
      <c r="B1396" s="257" t="s">
        <v>2621</v>
      </c>
      <c r="C1396" s="948" t="s">
        <v>2623</v>
      </c>
      <c r="D1396" s="947">
        <v>480000</v>
      </c>
      <c r="E1396" s="953">
        <v>480000</v>
      </c>
      <c r="F1396" s="946"/>
      <c r="H1396" s="913" t="s">
        <v>2634</v>
      </c>
      <c r="I1396" s="967">
        <v>6000</v>
      </c>
      <c r="J1396" s="946"/>
      <c r="K1396" s="946"/>
      <c r="L1396" s="946"/>
      <c r="M1396" s="326"/>
    </row>
    <row r="1397" spans="2:13" ht="14.25">
      <c r="B1397" s="257" t="s">
        <v>2624</v>
      </c>
      <c r="C1397" s="948" t="s">
        <v>2625</v>
      </c>
      <c r="D1397" s="947">
        <v>135000</v>
      </c>
      <c r="E1397" s="953">
        <v>135000</v>
      </c>
      <c r="F1397" s="946"/>
      <c r="H1397" s="913" t="s">
        <v>2635</v>
      </c>
      <c r="I1397" s="967">
        <v>2400</v>
      </c>
      <c r="J1397" s="946"/>
      <c r="K1397" s="946"/>
      <c r="L1397" s="946"/>
      <c r="M1397" s="326"/>
    </row>
    <row r="1398" spans="2:13" ht="15" thickBot="1">
      <c r="B1398" s="257" t="s">
        <v>2626</v>
      </c>
      <c r="C1398" s="948" t="s">
        <v>2627</v>
      </c>
      <c r="D1398" s="947">
        <v>198310</v>
      </c>
      <c r="E1398" s="953">
        <v>198310</v>
      </c>
      <c r="F1398" s="946"/>
      <c r="H1398" s="970" t="s">
        <v>371</v>
      </c>
      <c r="I1398" s="968">
        <v>331810</v>
      </c>
      <c r="J1398" s="946"/>
      <c r="K1398" s="946"/>
      <c r="L1398" s="946"/>
      <c r="M1398" s="326"/>
    </row>
    <row r="1399" spans="2:13" ht="14.25">
      <c r="B1399" s="257" t="s">
        <v>2626</v>
      </c>
      <c r="C1399" s="948" t="s">
        <v>2628</v>
      </c>
      <c r="D1399" s="947">
        <v>44100</v>
      </c>
      <c r="E1399" s="953">
        <v>44100</v>
      </c>
      <c r="F1399" s="946"/>
      <c r="I1399" s="946"/>
      <c r="J1399" s="946"/>
      <c r="K1399" s="946"/>
      <c r="L1399" s="946"/>
      <c r="M1399" s="326"/>
    </row>
    <row r="1400" spans="2:13" ht="14.25">
      <c r="B1400" s="257" t="s">
        <v>2626</v>
      </c>
      <c r="C1400" s="948" t="s">
        <v>2629</v>
      </c>
      <c r="D1400" s="947">
        <v>29200</v>
      </c>
      <c r="E1400" s="953">
        <v>29200</v>
      </c>
      <c r="F1400" s="946"/>
      <c r="I1400" s="946"/>
      <c r="J1400" s="946"/>
      <c r="K1400" s="946"/>
      <c r="L1400" s="946"/>
      <c r="M1400" s="326"/>
    </row>
    <row r="1401" spans="2:13" ht="18.95" customHeight="1">
      <c r="B1401" s="257" t="s">
        <v>2626</v>
      </c>
      <c r="C1401" s="948" t="s">
        <v>2630</v>
      </c>
      <c r="D1401" s="947">
        <v>18000</v>
      </c>
      <c r="E1401" s="953">
        <v>18000</v>
      </c>
      <c r="F1401" s="946"/>
      <c r="G1401" s="946"/>
      <c r="H1401" s="946"/>
      <c r="I1401" s="946"/>
      <c r="J1401" s="946"/>
      <c r="K1401" s="946"/>
      <c r="L1401" s="946"/>
      <c r="M1401" s="326"/>
    </row>
    <row r="1402" spans="2:13" ht="18.95" customHeight="1">
      <c r="B1402" s="257" t="s">
        <v>2626</v>
      </c>
      <c r="C1402" s="948" t="s">
        <v>2631</v>
      </c>
      <c r="D1402" s="947">
        <v>17000</v>
      </c>
      <c r="E1402" s="953">
        <v>17000</v>
      </c>
      <c r="F1402" s="946"/>
      <c r="I1402" s="946"/>
      <c r="J1402" s="946"/>
      <c r="K1402" s="946"/>
      <c r="L1402" s="946"/>
      <c r="M1402" s="326"/>
    </row>
    <row r="1403" spans="2:13" ht="18.95" customHeight="1">
      <c r="B1403" s="257" t="s">
        <v>2626</v>
      </c>
      <c r="C1403" s="948" t="s">
        <v>2632</v>
      </c>
      <c r="D1403" s="947">
        <v>16800</v>
      </c>
      <c r="E1403" s="953">
        <v>16800</v>
      </c>
      <c r="F1403" s="946"/>
      <c r="I1403" s="946"/>
      <c r="J1403" s="946"/>
      <c r="K1403" s="946"/>
      <c r="L1403" s="946"/>
      <c r="M1403" s="326"/>
    </row>
    <row r="1404" spans="2:13" ht="18.95" customHeight="1">
      <c r="B1404" s="257" t="s">
        <v>2626</v>
      </c>
      <c r="C1404" s="948" t="s">
        <v>2633</v>
      </c>
      <c r="D1404" s="947">
        <v>1260</v>
      </c>
      <c r="E1404" s="953">
        <v>8988.08</v>
      </c>
      <c r="F1404" s="946"/>
      <c r="I1404" s="946"/>
      <c r="J1404" s="946"/>
      <c r="K1404" s="946"/>
      <c r="L1404" s="946"/>
      <c r="M1404" s="326"/>
    </row>
    <row r="1405" spans="2:13" ht="18.95" customHeight="1">
      <c r="B1405" s="257" t="s">
        <v>2626</v>
      </c>
      <c r="C1405" s="948" t="s">
        <v>2634</v>
      </c>
      <c r="D1405" s="947">
        <v>6000</v>
      </c>
      <c r="E1405" s="953">
        <v>6000</v>
      </c>
      <c r="F1405" s="946"/>
      <c r="I1405" s="946"/>
      <c r="L1405" s="946"/>
      <c r="M1405" s="326"/>
    </row>
    <row r="1406" spans="2:13" ht="18.95" customHeight="1">
      <c r="B1406" s="257" t="s">
        <v>2626</v>
      </c>
      <c r="C1406" s="948" t="s">
        <v>2635</v>
      </c>
      <c r="D1406" s="947">
        <v>2400</v>
      </c>
      <c r="E1406" s="953">
        <v>2400</v>
      </c>
      <c r="F1406" s="946"/>
      <c r="I1406" s="946"/>
      <c r="L1406" s="946"/>
      <c r="M1406" s="326"/>
    </row>
    <row r="1407" spans="2:13" ht="18.95" customHeight="1">
      <c r="B1407" s="958" t="s">
        <v>2626</v>
      </c>
      <c r="C1407" s="954" t="s">
        <v>2636</v>
      </c>
      <c r="D1407" s="955">
        <v>2000</v>
      </c>
      <c r="E1407" s="956">
        <v>2000</v>
      </c>
      <c r="F1407" s="946"/>
      <c r="G1407" s="116" t="s">
        <v>2637</v>
      </c>
      <c r="H1407" s="946"/>
      <c r="I1407" s="946"/>
      <c r="L1407" s="946"/>
      <c r="M1407" s="326"/>
    </row>
    <row r="1408" spans="2:13" ht="14.25">
      <c r="B1408" s="254"/>
      <c r="C1408" s="116"/>
      <c r="D1408" s="116"/>
      <c r="E1408" s="116"/>
      <c r="F1408" s="116"/>
      <c r="G1408" s="946"/>
      <c r="H1408" s="946"/>
      <c r="I1408" s="946"/>
      <c r="L1408" s="116"/>
      <c r="M1408" s="326"/>
    </row>
    <row r="1409" spans="2:13" ht="14.25">
      <c r="B1409" s="254"/>
      <c r="C1409" s="116"/>
      <c r="D1409" s="116"/>
      <c r="E1409" s="116"/>
      <c r="F1409" s="116"/>
      <c r="G1409" s="949" t="s">
        <v>2638</v>
      </c>
      <c r="H1409" s="946"/>
      <c r="I1409" s="946"/>
      <c r="L1409" s="116"/>
      <c r="M1409" s="326"/>
    </row>
    <row r="1410" spans="2:13" ht="14.25">
      <c r="B1410" s="254"/>
      <c r="C1410" s="116"/>
      <c r="D1410" s="116"/>
      <c r="E1410" s="116"/>
      <c r="F1410" s="116"/>
      <c r="G1410" s="946"/>
      <c r="H1410" s="946"/>
      <c r="I1410" s="946"/>
      <c r="L1410" s="116"/>
      <c r="M1410" s="326"/>
    </row>
    <row r="1411" spans="2:13" ht="14.25">
      <c r="B1411" s="254"/>
      <c r="C1411" s="116"/>
      <c r="D1411" s="116"/>
      <c r="E1411" s="116"/>
      <c r="F1411" s="116"/>
      <c r="G1411" s="949" t="s">
        <v>2639</v>
      </c>
      <c r="H1411" s="946"/>
      <c r="I1411" s="946"/>
      <c r="J1411" s="116"/>
      <c r="K1411" s="116"/>
      <c r="L1411" s="116"/>
      <c r="M1411" s="326"/>
    </row>
    <row r="1412" spans="2:13" ht="14.25">
      <c r="B1412" s="254"/>
      <c r="C1412" s="116"/>
      <c r="D1412" s="116"/>
      <c r="E1412" s="116"/>
      <c r="F1412" s="116"/>
      <c r="G1412" s="949" t="s">
        <v>2640</v>
      </c>
      <c r="H1412" s="946"/>
      <c r="I1412" s="946"/>
      <c r="J1412" s="116"/>
      <c r="K1412" s="116"/>
      <c r="L1412" s="116"/>
      <c r="M1412" s="326"/>
    </row>
    <row r="1413" spans="2:13" ht="14.25">
      <c r="B1413" s="254"/>
      <c r="C1413" s="116"/>
      <c r="D1413" s="116"/>
      <c r="E1413" s="116"/>
      <c r="F1413" s="116"/>
      <c r="G1413" s="116"/>
      <c r="H1413" s="946"/>
      <c r="I1413" s="946"/>
      <c r="J1413" s="116"/>
      <c r="K1413" s="116"/>
      <c r="L1413" s="116"/>
      <c r="M1413" s="326"/>
    </row>
    <row r="1414" spans="2:13" ht="14.25">
      <c r="B1414" s="254"/>
      <c r="C1414" s="116"/>
      <c r="D1414" s="116"/>
      <c r="E1414" s="116"/>
      <c r="F1414" s="116"/>
      <c r="G1414" s="946" t="s">
        <v>2642</v>
      </c>
      <c r="H1414" s="946"/>
      <c r="I1414" s="946"/>
      <c r="J1414" s="116"/>
      <c r="K1414" s="116"/>
      <c r="L1414" s="116"/>
      <c r="M1414" s="326"/>
    </row>
    <row r="1415" spans="2:13" ht="15" thickBot="1">
      <c r="B1415" s="304"/>
      <c r="C1415" s="305"/>
      <c r="D1415" s="305"/>
      <c r="E1415" s="305"/>
      <c r="F1415" s="305"/>
      <c r="G1415" s="965"/>
      <c r="H1415" s="965"/>
      <c r="I1415" s="965"/>
      <c r="J1415" s="305"/>
      <c r="K1415" s="305"/>
      <c r="L1415" s="305"/>
      <c r="M1415" s="327"/>
    </row>
    <row r="1416" spans="2:13" ht="15" thickBot="1">
      <c r="G1416"/>
      <c r="H1416"/>
      <c r="I1416"/>
    </row>
    <row r="1417" spans="2:13" ht="14.25">
      <c r="B1417" s="333" t="s">
        <v>2711</v>
      </c>
      <c r="C1417" s="324"/>
      <c r="D1417" s="324"/>
      <c r="E1417" s="324"/>
      <c r="F1417" s="324"/>
      <c r="G1417" s="977"/>
      <c r="H1417" s="977"/>
      <c r="I1417" s="977"/>
      <c r="J1417" s="324"/>
      <c r="K1417" s="324"/>
      <c r="L1417" s="324"/>
      <c r="M1417" s="325"/>
    </row>
    <row r="1418" spans="2:13" ht="14.25">
      <c r="B1418" s="978" t="s">
        <v>2678</v>
      </c>
      <c r="C1418" s="974" t="s">
        <v>2378</v>
      </c>
      <c r="D1418" s="974" t="s">
        <v>43</v>
      </c>
      <c r="E1418" s="974" t="s">
        <v>2679</v>
      </c>
      <c r="F1418" s="974" t="s">
        <v>2680</v>
      </c>
      <c r="G1418" s="974" t="s">
        <v>2681</v>
      </c>
      <c r="H1418" s="974" t="s">
        <v>45</v>
      </c>
      <c r="I1418" s="974" t="s">
        <v>2682</v>
      </c>
      <c r="J1418" s="974" t="s">
        <v>2683</v>
      </c>
      <c r="K1418" s="979"/>
      <c r="L1418" s="979"/>
      <c r="M1418" s="326"/>
    </row>
    <row r="1419" spans="2:13" ht="14.25">
      <c r="B1419" s="980" t="s">
        <v>2684</v>
      </c>
      <c r="C1419" s="975">
        <v>6</v>
      </c>
      <c r="D1419" s="976">
        <v>44714</v>
      </c>
      <c r="E1419" s="975" t="s">
        <v>2685</v>
      </c>
      <c r="F1419" s="975" t="s">
        <v>2686</v>
      </c>
      <c r="G1419" s="975">
        <v>1.5</v>
      </c>
      <c r="H1419" s="975">
        <v>17.399999999999999</v>
      </c>
      <c r="I1419" s="975">
        <v>15</v>
      </c>
      <c r="J1419" s="981">
        <f ca="1">SUMIF($A$2:B1419,B1419,$H$2:I1419)</f>
        <v>15</v>
      </c>
      <c r="K1419" s="981" t="str">
        <f t="array" ref="K1419:K1424">_xlfn.UNIQUE($B$1419:$B$1436)</f>
        <v>JY-000010</v>
      </c>
      <c r="L1419" s="981">
        <f>SUMIF($B$1419:$B$1436,K1419,$I$1419:$I$1436)</f>
        <v>242</v>
      </c>
      <c r="M1419" s="326"/>
    </row>
    <row r="1420" spans="2:13" ht="14.25">
      <c r="B1420" s="980" t="s">
        <v>2684</v>
      </c>
      <c r="C1420" s="975">
        <v>6</v>
      </c>
      <c r="D1420" s="976">
        <v>44714</v>
      </c>
      <c r="E1420" s="975" t="s">
        <v>2685</v>
      </c>
      <c r="F1420" s="975" t="s">
        <v>2687</v>
      </c>
      <c r="G1420" s="975">
        <v>1.5</v>
      </c>
      <c r="H1420" s="975">
        <v>17.8</v>
      </c>
      <c r="I1420" s="975">
        <v>15</v>
      </c>
      <c r="J1420" s="981">
        <f ca="1">SUMIF($A$2:B1420,B1420,$H$2:I1420)</f>
        <v>30</v>
      </c>
      <c r="K1420" s="981" t="str">
        <v>JY-000108</v>
      </c>
      <c r="L1420" s="981">
        <f t="shared" ref="L1420:L1424" si="25">SUMIF($B$1419:$B$1436,K1420,$I$1419:$I$1436)</f>
        <v>111</v>
      </c>
      <c r="M1420" s="326"/>
    </row>
    <row r="1421" spans="2:13" ht="14.25">
      <c r="B1421" s="980" t="s">
        <v>2684</v>
      </c>
      <c r="C1421" s="975">
        <v>6</v>
      </c>
      <c r="D1421" s="976">
        <v>44714</v>
      </c>
      <c r="E1421" s="975" t="s">
        <v>2685</v>
      </c>
      <c r="F1421" s="975" t="s">
        <v>2688</v>
      </c>
      <c r="G1421" s="975">
        <v>1.5</v>
      </c>
      <c r="H1421" s="975">
        <v>16.2</v>
      </c>
      <c r="I1421" s="975">
        <v>20</v>
      </c>
      <c r="J1421" s="981">
        <f ca="1">SUMIF($A$2:B1421,B1421,$H$2:I1421)</f>
        <v>50</v>
      </c>
      <c r="K1421" s="981" t="str">
        <v>JY-000015</v>
      </c>
      <c r="L1421" s="981">
        <f t="shared" si="25"/>
        <v>85644</v>
      </c>
      <c r="M1421" s="326"/>
    </row>
    <row r="1422" spans="2:13" ht="14.25">
      <c r="B1422" s="980" t="s">
        <v>2684</v>
      </c>
      <c r="C1422" s="975">
        <v>6</v>
      </c>
      <c r="D1422" s="976">
        <v>44730</v>
      </c>
      <c r="E1422" s="975" t="s">
        <v>2689</v>
      </c>
      <c r="F1422" s="975" t="s">
        <v>2690</v>
      </c>
      <c r="G1422" s="975">
        <v>2</v>
      </c>
      <c r="H1422" s="975">
        <v>17.7</v>
      </c>
      <c r="I1422" s="975">
        <v>30</v>
      </c>
      <c r="J1422" s="981">
        <f ca="1">SUMIF($A$2:B1422,B1422,$H$2:I1422)</f>
        <v>80</v>
      </c>
      <c r="K1422" s="981" t="str">
        <v>JY-000954</v>
      </c>
      <c r="L1422" s="981">
        <f t="shared" si="25"/>
        <v>164</v>
      </c>
      <c r="M1422" s="326"/>
    </row>
    <row r="1423" spans="2:13" ht="14.25">
      <c r="B1423" s="980" t="s">
        <v>2691</v>
      </c>
      <c r="C1423" s="975">
        <v>6</v>
      </c>
      <c r="D1423" s="976">
        <v>44713</v>
      </c>
      <c r="E1423" s="975" t="s">
        <v>2692</v>
      </c>
      <c r="F1423" s="975" t="s">
        <v>2693</v>
      </c>
      <c r="G1423" s="975">
        <v>2.2000000000000002</v>
      </c>
      <c r="H1423" s="975">
        <v>16.399999999999999</v>
      </c>
      <c r="I1423" s="975">
        <v>36</v>
      </c>
      <c r="J1423" s="981">
        <f ca="1">SUMIF($A$2:B1423,B1423,$H$2:I1423)</f>
        <v>36</v>
      </c>
      <c r="K1423" s="981" t="e">
        <v>#N/A</v>
      </c>
      <c r="L1423" s="981">
        <f t="shared" si="25"/>
        <v>0</v>
      </c>
      <c r="M1423" s="326"/>
    </row>
    <row r="1424" spans="2:13" ht="14.25">
      <c r="B1424" s="980" t="s">
        <v>2691</v>
      </c>
      <c r="C1424" s="975">
        <v>6</v>
      </c>
      <c r="D1424" s="976">
        <v>44716</v>
      </c>
      <c r="E1424" s="975" t="s">
        <v>2694</v>
      </c>
      <c r="F1424" s="975" t="s">
        <v>2693</v>
      </c>
      <c r="G1424" s="975">
        <v>2.2000000000000002</v>
      </c>
      <c r="H1424" s="975">
        <v>16.399999999999999</v>
      </c>
      <c r="I1424" s="975">
        <v>36</v>
      </c>
      <c r="J1424" s="981">
        <f ca="1">SUMIF($A$2:B1424,B1424,$H$2:I1424)</f>
        <v>72</v>
      </c>
      <c r="K1424" s="981" t="e">
        <v>#N/A</v>
      </c>
      <c r="L1424" s="981">
        <f t="shared" si="25"/>
        <v>0</v>
      </c>
      <c r="M1424" s="326"/>
    </row>
    <row r="1425" spans="2:13" ht="14.25">
      <c r="B1425" s="980" t="s">
        <v>2684</v>
      </c>
      <c r="C1425" s="975">
        <v>6</v>
      </c>
      <c r="D1425" s="976">
        <v>44739</v>
      </c>
      <c r="E1425" s="975" t="s">
        <v>2695</v>
      </c>
      <c r="F1425" s="975" t="s">
        <v>2696</v>
      </c>
      <c r="G1425" s="975">
        <v>2</v>
      </c>
      <c r="H1425" s="975">
        <v>17.8</v>
      </c>
      <c r="I1425" s="975">
        <v>36</v>
      </c>
      <c r="J1425" s="981">
        <f ca="1">SUMIF($A$2:B1425,B1425,$H$2:I1425)</f>
        <v>116</v>
      </c>
      <c r="K1425" s="981"/>
      <c r="L1425" s="981"/>
      <c r="M1425" s="326"/>
    </row>
    <row r="1426" spans="2:13" ht="14.25">
      <c r="B1426" s="980" t="s">
        <v>2691</v>
      </c>
      <c r="C1426" s="975">
        <v>6</v>
      </c>
      <c r="D1426" s="976">
        <v>44716</v>
      </c>
      <c r="E1426" s="975" t="s">
        <v>2697</v>
      </c>
      <c r="F1426" s="975" t="s">
        <v>2698</v>
      </c>
      <c r="G1426" s="975">
        <v>2.2000000000000002</v>
      </c>
      <c r="H1426" s="975">
        <v>17.600000000000001</v>
      </c>
      <c r="I1426" s="975">
        <v>39</v>
      </c>
      <c r="J1426" s="981">
        <f ca="1">SUMIF($A$2:B1426,B1426,$H$2:I1426)</f>
        <v>111</v>
      </c>
      <c r="K1426" s="981"/>
      <c r="L1426" s="981"/>
      <c r="M1426" s="326"/>
    </row>
    <row r="1427" spans="2:13" ht="14.25">
      <c r="B1427" s="980" t="s">
        <v>2684</v>
      </c>
      <c r="C1427" s="975">
        <v>6</v>
      </c>
      <c r="D1427" s="976">
        <v>44722</v>
      </c>
      <c r="E1427" s="975" t="s">
        <v>2699</v>
      </c>
      <c r="F1427" s="975" t="s">
        <v>2700</v>
      </c>
      <c r="G1427" s="975">
        <v>2</v>
      </c>
      <c r="H1427" s="975">
        <v>19.5</v>
      </c>
      <c r="I1427" s="975">
        <v>39</v>
      </c>
      <c r="J1427" s="981">
        <f ca="1">SUMIF($A$2:B1427,B1427,$H$2:I1427)</f>
        <v>155</v>
      </c>
      <c r="K1427" s="981"/>
      <c r="L1427" s="981"/>
      <c r="M1427" s="326"/>
    </row>
    <row r="1428" spans="2:13" ht="14.25">
      <c r="B1428" s="980" t="s">
        <v>2684</v>
      </c>
      <c r="C1428" s="975">
        <v>6</v>
      </c>
      <c r="D1428" s="976">
        <v>44731</v>
      </c>
      <c r="E1428" s="975" t="s">
        <v>2701</v>
      </c>
      <c r="F1428" s="975" t="s">
        <v>2702</v>
      </c>
      <c r="G1428" s="975">
        <v>2.5</v>
      </c>
      <c r="H1428" s="975">
        <v>17.100000000000001</v>
      </c>
      <c r="I1428" s="975">
        <v>43</v>
      </c>
      <c r="J1428" s="981">
        <f ca="1">SUMIF($A$2:B1428,B1428,$H$2:I1428)</f>
        <v>198</v>
      </c>
      <c r="K1428" s="981"/>
      <c r="L1428" s="981"/>
      <c r="M1428" s="326"/>
    </row>
    <row r="1429" spans="2:13" ht="14.25">
      <c r="B1429" s="980" t="s">
        <v>2684</v>
      </c>
      <c r="C1429" s="975">
        <v>6</v>
      </c>
      <c r="D1429" s="976">
        <v>44727</v>
      </c>
      <c r="E1429" s="975" t="s">
        <v>2703</v>
      </c>
      <c r="F1429" s="975" t="s">
        <v>2690</v>
      </c>
      <c r="G1429" s="975">
        <v>2.5</v>
      </c>
      <c r="H1429" s="975">
        <v>17.7</v>
      </c>
      <c r="I1429" s="975">
        <v>44</v>
      </c>
      <c r="J1429" s="981">
        <f ca="1">SUMIF($A$2:B1429,B1429,$H$2:I1429)</f>
        <v>242</v>
      </c>
      <c r="K1429" s="981"/>
      <c r="L1429" s="981"/>
      <c r="M1429" s="326"/>
    </row>
    <row r="1430" spans="2:13" ht="14.25">
      <c r="B1430" s="980" t="s">
        <v>2704</v>
      </c>
      <c r="C1430" s="975">
        <v>9</v>
      </c>
      <c r="D1430" s="976">
        <v>44826</v>
      </c>
      <c r="E1430" s="975" t="s">
        <v>2705</v>
      </c>
      <c r="F1430" s="975" t="s">
        <v>2706</v>
      </c>
      <c r="G1430" s="975">
        <v>2070</v>
      </c>
      <c r="H1430" s="975">
        <v>18.3</v>
      </c>
      <c r="I1430" s="975">
        <v>37881</v>
      </c>
      <c r="J1430" s="981">
        <f ca="1">SUMIF($A$2:B1430,B1430,$H$2:I1430)</f>
        <v>37881</v>
      </c>
      <c r="K1430" s="981"/>
      <c r="L1430" s="981"/>
      <c r="M1430" s="326"/>
    </row>
    <row r="1431" spans="2:13" ht="14.25">
      <c r="B1431" s="980" t="s">
        <v>2704</v>
      </c>
      <c r="C1431" s="975">
        <v>9</v>
      </c>
      <c r="D1431" s="976">
        <v>44811</v>
      </c>
      <c r="E1431" s="975" t="s">
        <v>2707</v>
      </c>
      <c r="F1431" s="975" t="s">
        <v>2706</v>
      </c>
      <c r="G1431" s="975">
        <v>2610</v>
      </c>
      <c r="H1431" s="975">
        <v>18.3</v>
      </c>
      <c r="I1431" s="975">
        <v>47763</v>
      </c>
      <c r="J1431" s="981">
        <f ca="1">SUMIF($A$2:B1431,B1431,$H$2:I1431)</f>
        <v>85644</v>
      </c>
      <c r="K1431" s="981"/>
      <c r="L1431" s="981"/>
      <c r="M1431" s="326"/>
    </row>
    <row r="1432" spans="2:13" ht="14.25">
      <c r="B1432" s="980" t="s">
        <v>2708</v>
      </c>
      <c r="C1432" s="975">
        <v>9</v>
      </c>
      <c r="D1432" s="976">
        <v>44807</v>
      </c>
      <c r="E1432" s="975"/>
      <c r="F1432" s="975" t="s">
        <v>2709</v>
      </c>
      <c r="G1432" s="975"/>
      <c r="H1432" s="975"/>
      <c r="I1432" s="975">
        <v>164</v>
      </c>
      <c r="J1432" s="981">
        <f ca="1">SUMIF($A$2:B1432,B1432,$H$2:I1432)</f>
        <v>164</v>
      </c>
      <c r="K1432" s="981"/>
      <c r="L1432" s="981"/>
      <c r="M1432" s="326"/>
    </row>
    <row r="1433" spans="2:13" ht="14.25">
      <c r="B1433" s="980" t="s">
        <v>2704</v>
      </c>
      <c r="C1433" s="975">
        <v>9</v>
      </c>
      <c r="D1433" s="976">
        <v>44831</v>
      </c>
      <c r="E1433" s="975"/>
      <c r="F1433" s="975" t="s">
        <v>2709</v>
      </c>
      <c r="G1433" s="975"/>
      <c r="H1433" s="975"/>
      <c r="I1433" s="975"/>
      <c r="J1433" s="981">
        <f ca="1">SUMIF($A$2:B1433,B1433,$H$2:I1433)</f>
        <v>85644</v>
      </c>
      <c r="K1433" s="981"/>
      <c r="L1433" s="981"/>
      <c r="M1433" s="326"/>
    </row>
    <row r="1434" spans="2:13" ht="14.25">
      <c r="B1434" s="980" t="s">
        <v>2691</v>
      </c>
      <c r="C1434" s="975">
        <v>9</v>
      </c>
      <c r="D1434" s="976">
        <v>44833</v>
      </c>
      <c r="E1434" s="975"/>
      <c r="F1434" s="975" t="s">
        <v>2709</v>
      </c>
      <c r="G1434" s="975"/>
      <c r="H1434" s="975"/>
      <c r="I1434" s="975"/>
      <c r="J1434" s="981">
        <f ca="1">SUMIF($A$2:B1434,B1434,$H$2:I1434)</f>
        <v>111</v>
      </c>
      <c r="K1434" s="981"/>
      <c r="L1434" s="981"/>
      <c r="M1434" s="326"/>
    </row>
    <row r="1435" spans="2:13" ht="14.25">
      <c r="B1435" s="980" t="s">
        <v>2691</v>
      </c>
      <c r="C1435" s="975">
        <v>10</v>
      </c>
      <c r="D1435" s="976"/>
      <c r="E1435" s="975"/>
      <c r="F1435" s="975" t="s">
        <v>2709</v>
      </c>
      <c r="G1435" s="975"/>
      <c r="H1435" s="975"/>
      <c r="I1435" s="975"/>
      <c r="J1435" s="981">
        <f ca="1">SUMIF($A$2:B1435,B1435,$H$2:I1435)</f>
        <v>111</v>
      </c>
      <c r="K1435" s="981"/>
      <c r="L1435" s="981"/>
      <c r="M1435" s="326"/>
    </row>
    <row r="1436" spans="2:13" ht="14.25">
      <c r="B1436" s="980" t="s">
        <v>2691</v>
      </c>
      <c r="C1436" s="975">
        <v>10</v>
      </c>
      <c r="D1436" s="976"/>
      <c r="E1436" s="975"/>
      <c r="F1436" s="975" t="s">
        <v>2710</v>
      </c>
      <c r="G1436" s="975"/>
      <c r="H1436" s="975"/>
      <c r="I1436" s="975"/>
      <c r="J1436" s="981">
        <f ca="1">SUMIF($A$2:B1436,B1436,$H$2:I1436)</f>
        <v>111</v>
      </c>
      <c r="K1436" s="981"/>
      <c r="L1436" s="981"/>
      <c r="M1436" s="326"/>
    </row>
    <row r="1437" spans="2:13" ht="14.25">
      <c r="B1437" s="254"/>
      <c r="C1437" s="116"/>
      <c r="D1437" s="116"/>
      <c r="E1437" s="116"/>
      <c r="F1437" s="116"/>
      <c r="G1437" s="946"/>
      <c r="H1437" s="946"/>
      <c r="I1437" s="116"/>
      <c r="J1437" s="116"/>
      <c r="K1437" s="116"/>
      <c r="L1437" s="116"/>
      <c r="M1437" s="326"/>
    </row>
    <row r="1438" spans="2:13" ht="18.95" customHeight="1">
      <c r="B1438" s="254"/>
      <c r="C1438" s="116"/>
      <c r="D1438" s="116"/>
      <c r="E1438" s="116"/>
      <c r="F1438" s="116"/>
      <c r="G1438" s="116"/>
      <c r="H1438" s="116"/>
      <c r="I1438" s="116"/>
      <c r="J1438" s="116"/>
      <c r="K1438" s="116"/>
      <c r="L1438" s="116"/>
      <c r="M1438" s="326"/>
    </row>
    <row r="1439" spans="2:13" ht="18.95" customHeight="1">
      <c r="B1439" s="254"/>
      <c r="C1439" s="116"/>
      <c r="D1439" s="116"/>
      <c r="E1439" s="116"/>
      <c r="F1439" s="116"/>
      <c r="G1439" s="116"/>
      <c r="H1439" s="116"/>
      <c r="I1439" s="116"/>
      <c r="J1439" s="116"/>
      <c r="K1439" s="116"/>
      <c r="L1439" s="116"/>
      <c r="M1439" s="326"/>
    </row>
    <row r="1440" spans="2:13" ht="18.95" customHeight="1">
      <c r="B1440" s="254"/>
      <c r="C1440" s="116"/>
      <c r="D1440" s="116"/>
      <c r="E1440" s="116"/>
      <c r="F1440" s="116"/>
      <c r="G1440" s="116"/>
      <c r="H1440" s="116"/>
      <c r="I1440" s="116"/>
      <c r="J1440" s="116"/>
      <c r="K1440" s="116"/>
      <c r="L1440" s="116"/>
      <c r="M1440" s="326"/>
    </row>
    <row r="1441" spans="2:19" ht="18.95" customHeight="1">
      <c r="B1441" s="254"/>
      <c r="C1441" s="116"/>
      <c r="D1441" s="116"/>
      <c r="E1441" s="116"/>
      <c r="F1441" s="116"/>
      <c r="G1441" s="116"/>
      <c r="H1441" s="116"/>
      <c r="I1441" s="116"/>
      <c r="J1441" s="116"/>
      <c r="K1441" s="116"/>
      <c r="L1441" s="116"/>
      <c r="M1441" s="326"/>
    </row>
    <row r="1442" spans="2:19" ht="18.95" customHeight="1">
      <c r="B1442" s="254"/>
      <c r="C1442" s="116"/>
      <c r="D1442" s="116"/>
      <c r="E1442" s="116"/>
      <c r="F1442" s="116"/>
      <c r="G1442" s="116"/>
      <c r="H1442" s="116"/>
      <c r="I1442" s="116"/>
      <c r="J1442" s="116"/>
      <c r="K1442" s="116"/>
      <c r="L1442" s="116"/>
      <c r="M1442" s="326"/>
    </row>
    <row r="1443" spans="2:19" ht="18.95" customHeight="1" thickBot="1">
      <c r="B1443" s="304"/>
      <c r="C1443" s="305"/>
      <c r="D1443" s="305"/>
      <c r="E1443" s="305"/>
      <c r="F1443" s="305"/>
      <c r="G1443" s="305"/>
      <c r="H1443" s="305"/>
      <c r="I1443" s="305"/>
      <c r="J1443" s="305"/>
      <c r="K1443" s="305"/>
      <c r="L1443" s="305"/>
      <c r="M1443" s="327"/>
    </row>
    <row r="1444" spans="2:19" ht="18.95" customHeight="1" thickBot="1"/>
    <row r="1445" spans="2:19" ht="18.95" customHeight="1">
      <c r="B1445" s="333"/>
      <c r="C1445" s="324"/>
      <c r="D1445" s="324"/>
      <c r="E1445" s="324"/>
      <c r="F1445" s="324"/>
      <c r="G1445" s="324"/>
      <c r="H1445" s="324"/>
      <c r="I1445" s="324"/>
      <c r="J1445" s="324"/>
      <c r="K1445" s="324"/>
      <c r="L1445" s="324"/>
      <c r="M1445" s="324"/>
      <c r="N1445" s="324"/>
      <c r="O1445" s="324"/>
      <c r="P1445" s="324"/>
      <c r="Q1445" s="324"/>
      <c r="R1445" s="324"/>
      <c r="S1445" s="325"/>
    </row>
    <row r="1446" spans="2:19" ht="18.95" customHeight="1">
      <c r="B1446" s="1129" t="s">
        <v>2712</v>
      </c>
      <c r="C1446" s="1130"/>
      <c r="D1446" s="1130"/>
      <c r="E1446" s="1130"/>
      <c r="F1446" s="1130"/>
      <c r="G1446" s="1130"/>
      <c r="H1446" s="989"/>
      <c r="I1446" s="990"/>
      <c r="J1446" s="1131" t="s">
        <v>744</v>
      </c>
      <c r="K1446" s="1131"/>
      <c r="L1446" s="1130"/>
      <c r="M1446" s="1130"/>
      <c r="N1446" s="116"/>
      <c r="O1446" s="116"/>
      <c r="P1446" s="116"/>
      <c r="Q1446" s="116"/>
      <c r="R1446" s="116"/>
      <c r="S1446" s="326"/>
    </row>
    <row r="1447" spans="2:19" ht="18.95" customHeight="1">
      <c r="B1447" s="991" t="s">
        <v>226</v>
      </c>
      <c r="C1447" s="984" t="s">
        <v>2713</v>
      </c>
      <c r="D1447" s="983" t="s">
        <v>2714</v>
      </c>
      <c r="E1447" s="983" t="s">
        <v>2715</v>
      </c>
      <c r="F1447" s="983" t="s">
        <v>2716</v>
      </c>
      <c r="G1447" s="983" t="s">
        <v>2717</v>
      </c>
      <c r="H1447" s="992"/>
      <c r="I1447" s="993"/>
      <c r="J1447" s="983" t="s">
        <v>2714</v>
      </c>
      <c r="K1447" s="983" t="s">
        <v>2715</v>
      </c>
      <c r="L1447" s="985" t="s">
        <v>2718</v>
      </c>
      <c r="M1447" s="984" t="s">
        <v>2713</v>
      </c>
      <c r="N1447" s="984" t="s">
        <v>2713</v>
      </c>
      <c r="O1447" s="984" t="s">
        <v>2713</v>
      </c>
      <c r="P1447" s="116"/>
      <c r="Q1447" s="116"/>
      <c r="R1447" s="116"/>
      <c r="S1447" s="326"/>
    </row>
    <row r="1448" spans="2:19" ht="18.95" customHeight="1">
      <c r="B1448" s="233" t="s">
        <v>2719</v>
      </c>
      <c r="C1448" s="973" t="s">
        <v>2720</v>
      </c>
      <c r="D1448" s="973">
        <v>123</v>
      </c>
      <c r="E1448" s="973">
        <v>1</v>
      </c>
      <c r="F1448" s="988" t="s">
        <v>2721</v>
      </c>
      <c r="G1448" s="988" t="s">
        <v>2722</v>
      </c>
      <c r="H1448" s="994"/>
      <c r="I1448" s="990"/>
      <c r="J1448" s="986">
        <v>123</v>
      </c>
      <c r="K1448" s="986">
        <v>1</v>
      </c>
      <c r="L1448" s="987">
        <v>43971</v>
      </c>
      <c r="M1448" s="986" t="str" cm="1">
        <f t="array" ref="M1448">IFERROR(LOOKUP(1,0/(($D$1448:$D$1462=J1448)*($E$1448:$E$1462=K1448)*(L1448&gt;=$F$1448:$F$1462*1)*(L1448&lt;=$G$1448:$G$1462*1)),$C$1448:$C$1462),"")</f>
        <v>2020/12</v>
      </c>
      <c r="N1448" s="986" t="str" cm="1">
        <f t="array" ref="N1448">IFERROR(LOOKUP(1,0/($D$1448:$D$1462=J1448)/($E$1448:$E$1462=K1448)/(L1448&gt;=$F$1448:$F$1462*1)/(L1448&lt;=$G$1448:$G$1462*1),$C$1448:$C$1462),"")</f>
        <v>2020/12</v>
      </c>
      <c r="O1448" s="986" t="str" cm="1">
        <f t="array" ref="O1448">IFERROR(LOOKUP(1,0/($D$1448:$D$1462=J1448)/($E$1448:$E$1462=K1448)/(L1448&gt;=VALUE($F$1448:$F$1462))/(L1448&lt;=VALUE($G$1448:$G$1462)),$C$1448:$C$1462),"")</f>
        <v>2020/12</v>
      </c>
      <c r="P1448" s="116"/>
      <c r="Q1448" s="116"/>
      <c r="R1448" s="116"/>
      <c r="S1448" s="326"/>
    </row>
    <row r="1449" spans="2:19" ht="18.95" customHeight="1">
      <c r="B1449" s="233" t="s">
        <v>2719</v>
      </c>
      <c r="C1449" s="973" t="s">
        <v>2723</v>
      </c>
      <c r="D1449" s="973">
        <v>123</v>
      </c>
      <c r="E1449" s="973">
        <v>1</v>
      </c>
      <c r="F1449" s="988" t="s">
        <v>2724</v>
      </c>
      <c r="G1449" s="988" t="s">
        <v>2725</v>
      </c>
      <c r="H1449" s="994"/>
      <c r="I1449" s="990"/>
      <c r="J1449" s="986">
        <v>123</v>
      </c>
      <c r="K1449" s="986">
        <v>1</v>
      </c>
      <c r="L1449" s="987">
        <v>43592</v>
      </c>
      <c r="M1449" s="986" t="str" cm="1">
        <f t="array" ref="M1449">IFERROR(LOOKUP(1,0/(($D$1448:$D$1462=J1449)*($E$1448:$E$1462=K1449)*(L1449&gt;=$F$1448:$F$1462*1)*(L1449&lt;=$G$1448:$G$1462*1)),$C$1448:$C$1462),"")</f>
        <v>2019/12</v>
      </c>
      <c r="N1449" s="986" t="str" cm="1">
        <f t="array" ref="N1449">IFERROR(LOOKUP(1,0/($D$1448:$D$1462=J1449)/($E$1448:$E$1462=K1449)/(L1449&gt;=$F$1448:$F$1462*1)/(L1449&lt;=$G$1448:$G$1462*1),$C$1448:$C$1462),"")</f>
        <v>2019/12</v>
      </c>
      <c r="O1449" s="986" t="str" cm="1">
        <f t="array" ref="O1449">IFERROR(LOOKUP(1,0/($D$1448:$D$1462=J1449)/($E$1448:$E$1462=K1449)/(L1449&gt;=VALUE($F$1448:$F$1462))/(L1449&lt;=VALUE($G$1448:$G$1462)),$C$1448:$C$1462),"")</f>
        <v>2019/12</v>
      </c>
      <c r="P1449" s="116"/>
      <c r="Q1449" s="116"/>
      <c r="R1449" s="116"/>
      <c r="S1449" s="326"/>
    </row>
    <row r="1450" spans="2:19" ht="18.95" customHeight="1">
      <c r="B1450" s="233" t="s">
        <v>2719</v>
      </c>
      <c r="C1450" s="973" t="s">
        <v>2726</v>
      </c>
      <c r="D1450" s="973">
        <v>123</v>
      </c>
      <c r="E1450" s="973">
        <v>2</v>
      </c>
      <c r="F1450" s="988" t="s">
        <v>2727</v>
      </c>
      <c r="G1450" s="988" t="s">
        <v>2728</v>
      </c>
      <c r="H1450" s="994"/>
      <c r="I1450" s="990"/>
      <c r="J1450" s="986">
        <v>126</v>
      </c>
      <c r="K1450" s="986">
        <v>2</v>
      </c>
      <c r="L1450" s="986" t="s">
        <v>2729</v>
      </c>
      <c r="M1450" s="986" t="str" cm="1">
        <f t="array" ref="M1450">IFERROR(LOOKUP(1,0/(($D$1448:$D$1462=J1450)*($E$1448:$E$1462=K1450)*(L1450&gt;=$F$1448:$F$1462*1)*(L1450&lt;=$G$1448:$G$1462*1)),$C$1448:$C$1462),"")</f>
        <v/>
      </c>
      <c r="N1450" s="986" t="str" cm="1">
        <f t="array" ref="N1450">IFERROR(LOOKUP(1,0/($D$1448:$D$1462=J1450)/($E$1448:$E$1462=K1450)/(L1450&gt;=$F$1448:$F$1462*1)/(L1450&lt;=$G$1448:$G$1462*1),$C$1448:$C$1462),"")</f>
        <v/>
      </c>
      <c r="O1450" s="986" t="str" cm="1">
        <f t="array" ref="O1450">IFERROR(LOOKUP(1,0/($D$1448:$D$1462=J1450)/($E$1448:$E$1462=K1450)/(L1450&gt;=VALUE($F$1448:$F$1462))/(L1450&lt;=VALUE($G$1448:$G$1462)),$C$1448:$C$1462),"")</f>
        <v/>
      </c>
      <c r="P1450" s="116"/>
      <c r="Q1450" s="116"/>
      <c r="R1450" s="116"/>
      <c r="S1450" s="326"/>
    </row>
    <row r="1451" spans="2:19" ht="18.95" customHeight="1">
      <c r="B1451" s="233" t="s">
        <v>2719</v>
      </c>
      <c r="C1451" s="973" t="s">
        <v>2730</v>
      </c>
      <c r="D1451" s="973">
        <v>123</v>
      </c>
      <c r="E1451" s="973">
        <v>1</v>
      </c>
      <c r="F1451" s="988">
        <v>43970</v>
      </c>
      <c r="G1451" s="988" t="s">
        <v>2731</v>
      </c>
      <c r="H1451" s="994"/>
      <c r="I1451" s="990"/>
      <c r="J1451" s="986">
        <v>126</v>
      </c>
      <c r="K1451" s="986">
        <v>1</v>
      </c>
      <c r="L1451" s="986" t="s">
        <v>2732</v>
      </c>
      <c r="M1451" s="986" t="str" cm="1">
        <f t="array" ref="M1451">IFERROR(LOOKUP(1,0/(($D$1448:$D$1462=J1451)*($E$1448:$E$1462=K1451)*(L1451&gt;=$F$1448:$F$1462*1)*(L1451&lt;=$G$1448:$G$1462*1)),$C$1448:$C$1462),"")</f>
        <v/>
      </c>
      <c r="N1451" s="986" t="str" cm="1">
        <f t="array" ref="N1451">IFERROR(LOOKUP(1,0/($D$1448:$D$1462=J1451)/($E$1448:$E$1462=K1451)/(L1451&gt;=$F$1448:$F$1462*1)/(L1451&lt;=$G$1448:$G$1462*1),$C$1448:$C$1462),"")</f>
        <v/>
      </c>
      <c r="O1451" s="986" t="str" cm="1">
        <f t="array" ref="O1451">IFERROR(LOOKUP(1,0/($D$1448:$D$1462=J1451)/($E$1448:$E$1462=K1451)/(L1451&gt;=VALUE($F$1448:$F$1462))/(L1451&lt;=VALUE($G$1448:$G$1462)),$C$1448:$C$1462),"")</f>
        <v/>
      </c>
      <c r="P1451" s="116"/>
      <c r="Q1451" s="116"/>
      <c r="R1451" s="116"/>
      <c r="S1451" s="326"/>
    </row>
    <row r="1452" spans="2:19" ht="18.95" customHeight="1">
      <c r="B1452" s="233" t="s">
        <v>2719</v>
      </c>
      <c r="C1452" s="973" t="s">
        <v>2730</v>
      </c>
      <c r="D1452" s="973">
        <v>123</v>
      </c>
      <c r="E1452" s="973">
        <v>2</v>
      </c>
      <c r="F1452" s="988">
        <v>43970</v>
      </c>
      <c r="G1452" s="988" t="s">
        <v>2731</v>
      </c>
      <c r="H1452" s="994"/>
      <c r="I1452" s="990"/>
      <c r="J1452" s="990"/>
      <c r="K1452" s="990"/>
      <c r="L1452" s="990"/>
      <c r="M1452" s="990"/>
      <c r="N1452" s="116"/>
      <c r="O1452" s="116"/>
      <c r="P1452" s="116"/>
      <c r="Q1452" s="116"/>
      <c r="R1452" s="116"/>
      <c r="S1452" s="326"/>
    </row>
    <row r="1453" spans="2:19" ht="18.95" customHeight="1">
      <c r="B1453" s="233" t="s">
        <v>2719</v>
      </c>
      <c r="C1453" s="973" t="s">
        <v>2733</v>
      </c>
      <c r="D1453" s="973">
        <v>123</v>
      </c>
      <c r="E1453" s="973">
        <v>1</v>
      </c>
      <c r="F1453" s="988" t="s">
        <v>2734</v>
      </c>
      <c r="G1453" s="988" t="s">
        <v>2735</v>
      </c>
      <c r="H1453" s="116" t="s">
        <v>2791</v>
      </c>
      <c r="I1453" s="990"/>
      <c r="J1453" s="990"/>
      <c r="K1453" s="990"/>
      <c r="L1453" s="990"/>
      <c r="M1453" s="990"/>
      <c r="N1453" s="116"/>
      <c r="O1453" s="116"/>
      <c r="P1453" s="116"/>
      <c r="Q1453" s="116"/>
      <c r="R1453" s="116"/>
      <c r="S1453" s="326"/>
    </row>
    <row r="1454" spans="2:19" ht="18.95" customHeight="1">
      <c r="B1454" s="233" t="s">
        <v>2719</v>
      </c>
      <c r="C1454" s="973" t="s">
        <v>2736</v>
      </c>
      <c r="D1454" s="973">
        <v>123</v>
      </c>
      <c r="E1454" s="973">
        <v>2</v>
      </c>
      <c r="F1454" s="988" t="s">
        <v>2737</v>
      </c>
      <c r="G1454" s="988" t="s">
        <v>2738</v>
      </c>
      <c r="H1454" s="116"/>
      <c r="I1454" s="990"/>
      <c r="J1454" s="990"/>
      <c r="K1454" s="990"/>
      <c r="L1454" s="990"/>
      <c r="M1454" s="990"/>
      <c r="N1454" s="116"/>
      <c r="O1454" s="116"/>
      <c r="P1454" s="116"/>
      <c r="Q1454" s="116"/>
      <c r="R1454" s="116"/>
      <c r="S1454" s="326"/>
    </row>
    <row r="1455" spans="2:19" ht="18.95" customHeight="1">
      <c r="B1455" s="233" t="s">
        <v>2719</v>
      </c>
      <c r="C1455" s="973" t="s">
        <v>2739</v>
      </c>
      <c r="D1455" s="973">
        <v>123</v>
      </c>
      <c r="E1455" s="973">
        <v>3</v>
      </c>
      <c r="F1455" s="988" t="s">
        <v>2740</v>
      </c>
      <c r="G1455" s="988" t="s">
        <v>2741</v>
      </c>
      <c r="H1455" s="116" t="s">
        <v>2790</v>
      </c>
      <c r="I1455" s="990"/>
      <c r="J1455" s="990"/>
      <c r="K1455" s="990"/>
      <c r="L1455" s="990"/>
      <c r="M1455" s="990"/>
      <c r="N1455" s="116"/>
      <c r="O1455" s="116"/>
      <c r="P1455" s="116"/>
      <c r="Q1455" s="116"/>
      <c r="R1455" s="116"/>
      <c r="S1455" s="326"/>
    </row>
    <row r="1456" spans="2:19" ht="18.95" customHeight="1">
      <c r="B1456" s="233" t="s">
        <v>2719</v>
      </c>
      <c r="C1456" s="973" t="s">
        <v>2739</v>
      </c>
      <c r="D1456" s="973">
        <v>123</v>
      </c>
      <c r="E1456" s="973">
        <v>3</v>
      </c>
      <c r="F1456" s="988" t="s">
        <v>2740</v>
      </c>
      <c r="G1456" s="988" t="s">
        <v>2741</v>
      </c>
      <c r="H1456" s="994"/>
      <c r="I1456" s="990"/>
      <c r="J1456" s="990"/>
      <c r="K1456" s="990"/>
      <c r="L1456" s="990"/>
      <c r="M1456" s="990"/>
      <c r="N1456" s="116"/>
      <c r="O1456" s="116"/>
      <c r="P1456" s="116"/>
      <c r="Q1456" s="116"/>
      <c r="R1456" s="116"/>
      <c r="S1456" s="326"/>
    </row>
    <row r="1457" spans="2:19" ht="18.95" customHeight="1">
      <c r="B1457" s="233" t="s">
        <v>2719</v>
      </c>
      <c r="C1457" s="973" t="s">
        <v>2726</v>
      </c>
      <c r="D1457" s="973">
        <v>126</v>
      </c>
      <c r="E1457" s="973">
        <v>4</v>
      </c>
      <c r="F1457" s="988" t="s">
        <v>2742</v>
      </c>
      <c r="G1457" s="988" t="s">
        <v>2743</v>
      </c>
      <c r="H1457" s="116" t="s">
        <v>2759</v>
      </c>
      <c r="I1457" s="116"/>
      <c r="J1457" s="116"/>
      <c r="K1457" s="116"/>
      <c r="L1457" s="116"/>
      <c r="M1457" s="116"/>
      <c r="N1457" s="116"/>
      <c r="O1457" s="116"/>
      <c r="P1457" s="116"/>
      <c r="Q1457" s="116"/>
      <c r="R1457" s="116"/>
      <c r="S1457" s="326"/>
    </row>
    <row r="1458" spans="2:19" ht="18.95" customHeight="1">
      <c r="B1458" s="233" t="s">
        <v>2719</v>
      </c>
      <c r="C1458" s="973" t="s">
        <v>2744</v>
      </c>
      <c r="D1458" s="973">
        <v>126</v>
      </c>
      <c r="E1458" s="973">
        <v>1</v>
      </c>
      <c r="F1458" s="988" t="s">
        <v>2745</v>
      </c>
      <c r="G1458" s="988" t="s">
        <v>2746</v>
      </c>
      <c r="H1458" s="994"/>
      <c r="I1458" s="116"/>
      <c r="J1458" s="990"/>
      <c r="K1458" s="990"/>
      <c r="L1458" s="990"/>
      <c r="M1458" s="990"/>
      <c r="N1458" s="116"/>
      <c r="O1458" s="116"/>
      <c r="P1458" s="116"/>
      <c r="Q1458" s="116"/>
      <c r="R1458" s="116"/>
      <c r="S1458" s="326"/>
    </row>
    <row r="1459" spans="2:19" ht="18.95" customHeight="1">
      <c r="B1459" s="233" t="s">
        <v>2719</v>
      </c>
      <c r="C1459" s="973" t="s">
        <v>2747</v>
      </c>
      <c r="D1459" s="973">
        <v>126</v>
      </c>
      <c r="E1459" s="973">
        <v>3</v>
      </c>
      <c r="F1459" s="988" t="s">
        <v>2748</v>
      </c>
      <c r="G1459" s="988" t="s">
        <v>2749</v>
      </c>
      <c r="H1459" s="994"/>
      <c r="I1459" s="116" t="s">
        <v>2792</v>
      </c>
      <c r="J1459" s="990"/>
      <c r="K1459" s="990"/>
      <c r="L1459" s="990"/>
      <c r="M1459" s="990"/>
      <c r="N1459" s="116"/>
      <c r="O1459" s="116"/>
      <c r="P1459" s="116"/>
      <c r="Q1459" s="116"/>
      <c r="R1459" s="116"/>
      <c r="S1459" s="326"/>
    </row>
    <row r="1460" spans="2:19" ht="18.95" customHeight="1">
      <c r="B1460" s="233" t="s">
        <v>2719</v>
      </c>
      <c r="C1460" s="973" t="s">
        <v>2750</v>
      </c>
      <c r="D1460" s="973">
        <v>126</v>
      </c>
      <c r="E1460" s="973">
        <v>3</v>
      </c>
      <c r="F1460" s="988" t="s">
        <v>2751</v>
      </c>
      <c r="G1460" s="988" t="s">
        <v>2752</v>
      </c>
      <c r="H1460" s="994"/>
      <c r="I1460" s="116" t="s">
        <v>2793</v>
      </c>
      <c r="J1460" s="990"/>
      <c r="K1460" s="990"/>
      <c r="L1460" s="116"/>
      <c r="M1460" s="116"/>
      <c r="N1460" s="116"/>
      <c r="O1460" s="116"/>
      <c r="P1460" s="116"/>
      <c r="Q1460" s="116"/>
      <c r="R1460" s="116"/>
      <c r="S1460" s="326"/>
    </row>
    <row r="1461" spans="2:19" ht="18.95" customHeight="1">
      <c r="B1461" s="233" t="s">
        <v>2719</v>
      </c>
      <c r="C1461" s="973" t="s">
        <v>2753</v>
      </c>
      <c r="D1461" s="973">
        <v>126</v>
      </c>
      <c r="E1461" s="973">
        <v>1</v>
      </c>
      <c r="F1461" s="988" t="s">
        <v>2754</v>
      </c>
      <c r="G1461" s="988" t="s">
        <v>2755</v>
      </c>
      <c r="H1461" s="994"/>
      <c r="I1461" s="990"/>
      <c r="J1461" s="990"/>
      <c r="K1461" s="990"/>
      <c r="L1461" s="990"/>
      <c r="M1461" s="990"/>
      <c r="N1461" s="116"/>
      <c r="O1461" s="116"/>
      <c r="P1461" s="116"/>
      <c r="Q1461" s="116"/>
      <c r="R1461" s="116"/>
      <c r="S1461" s="326"/>
    </row>
    <row r="1462" spans="2:19" ht="18.95" customHeight="1">
      <c r="B1462" s="233" t="s">
        <v>2719</v>
      </c>
      <c r="C1462" s="973" t="s">
        <v>2756</v>
      </c>
      <c r="D1462" s="973">
        <v>126</v>
      </c>
      <c r="E1462" s="973">
        <v>2</v>
      </c>
      <c r="F1462" s="988" t="s">
        <v>2757</v>
      </c>
      <c r="G1462" s="988" t="s">
        <v>2758</v>
      </c>
      <c r="H1462" s="994"/>
      <c r="I1462" s="990"/>
      <c r="J1462" s="990"/>
      <c r="K1462" s="990"/>
      <c r="L1462" s="990"/>
      <c r="M1462" s="990"/>
      <c r="N1462" s="116"/>
      <c r="O1462" s="116"/>
      <c r="P1462" s="116"/>
      <c r="Q1462" s="116"/>
      <c r="R1462" s="116"/>
      <c r="S1462" s="326"/>
    </row>
    <row r="1463" spans="2:19" ht="18.95" customHeight="1">
      <c r="B1463" s="995"/>
      <c r="C1463" s="990"/>
      <c r="D1463" s="990"/>
      <c r="E1463" s="990"/>
      <c r="F1463" s="990"/>
      <c r="G1463" s="990"/>
      <c r="H1463" s="990"/>
      <c r="I1463" s="990"/>
      <c r="J1463" s="990"/>
      <c r="K1463" s="990"/>
      <c r="L1463" s="990"/>
      <c r="M1463" s="990"/>
      <c r="N1463" s="116"/>
      <c r="O1463" s="116"/>
      <c r="P1463" s="116"/>
      <c r="Q1463" s="116"/>
      <c r="R1463" s="116"/>
      <c r="S1463" s="326"/>
    </row>
    <row r="1464" spans="2:19" ht="18.95" customHeight="1" thickBot="1">
      <c r="B1464" s="996"/>
      <c r="C1464" s="997"/>
      <c r="D1464" s="997"/>
      <c r="E1464" s="997"/>
      <c r="F1464" s="997"/>
      <c r="G1464" s="997"/>
      <c r="H1464" s="305"/>
      <c r="I1464" s="997"/>
      <c r="J1464" s="997"/>
      <c r="K1464" s="997"/>
      <c r="L1464" s="997"/>
      <c r="M1464" s="997"/>
      <c r="N1464" s="305"/>
      <c r="O1464" s="305"/>
      <c r="P1464" s="305"/>
      <c r="Q1464" s="305"/>
      <c r="R1464" s="305"/>
      <c r="S1464" s="327"/>
    </row>
    <row r="1465" spans="2:19" ht="18.95" customHeight="1" thickBot="1">
      <c r="B1465" s="982"/>
      <c r="C1465" s="982"/>
      <c r="D1465" s="982"/>
      <c r="E1465" s="982"/>
      <c r="F1465" s="982"/>
      <c r="G1465" s="982"/>
      <c r="H1465" s="982"/>
      <c r="I1465" s="982"/>
      <c r="J1465" s="982"/>
      <c r="K1465" s="982"/>
      <c r="L1465" s="982"/>
      <c r="M1465" s="982"/>
    </row>
    <row r="1466" spans="2:19" ht="18.95" customHeight="1">
      <c r="B1466" s="333"/>
      <c r="C1466" s="324"/>
      <c r="D1466" s="324"/>
      <c r="E1466" s="324"/>
      <c r="F1466" s="324"/>
      <c r="G1466" s="324"/>
      <c r="H1466" s="324"/>
      <c r="I1466" s="324"/>
      <c r="J1466" s="324"/>
      <c r="K1466" s="324"/>
      <c r="L1466" s="325"/>
    </row>
    <row r="1467" spans="2:19" ht="18.95" customHeight="1">
      <c r="B1467" s="1009" t="s">
        <v>43</v>
      </c>
      <c r="C1467" s="116"/>
      <c r="D1467" s="872" t="s">
        <v>2760</v>
      </c>
      <c r="E1467" s="1000" t="s">
        <v>2761</v>
      </c>
      <c r="F1467" s="1005" t="s">
        <v>2763</v>
      </c>
      <c r="G1467" s="1006"/>
      <c r="H1467" s="1006"/>
      <c r="I1467" s="1007" t="s">
        <v>2764</v>
      </c>
      <c r="J1467" s="1008"/>
      <c r="K1467" s="116"/>
      <c r="L1467" s="326"/>
    </row>
    <row r="1468" spans="2:19" ht="18.95" customHeight="1">
      <c r="B1468" s="1010">
        <v>44866</v>
      </c>
      <c r="C1468" s="116"/>
      <c r="D1468" s="998">
        <v>44873</v>
      </c>
      <c r="E1468" s="1001">
        <v>44870</v>
      </c>
      <c r="F1468" s="1011">
        <f>LOOKUP(D1468-1,$B$1468:$B$1484)</f>
        <v>44867</v>
      </c>
      <c r="G1468" s="1011" cm="1">
        <f t="array" ref="G1468">MIN(IF($B$1468:$B$1484=D1468-1,$B$1468:$B$1484))</f>
        <v>0</v>
      </c>
      <c r="H1468" s="1011" cm="1">
        <f t="array" ref="H1468">LOOKUP(1,0/($B$1468:$B$1484&lt;D1468),$B$1468:$B$1484)</f>
        <v>44870</v>
      </c>
      <c r="I1468" s="1004" cm="1">
        <f t="array" ref="I1468">LOOKUP(,0/FREQUENCY(-9^9,-IF($B$1468:$B$1484&lt;D1468,$B$1468:$B$1484)),$B$1468:$B$1484)</f>
        <v>44870</v>
      </c>
      <c r="J1468" s="1004" cm="1">
        <f t="array" ref="J1468">MODE(D1468-ROW($1:30),$B$1468:$B$1484)</f>
        <v>44870</v>
      </c>
      <c r="K1468" s="116"/>
      <c r="L1468" s="326"/>
    </row>
    <row r="1469" spans="2:19" ht="18.95" customHeight="1">
      <c r="B1469" s="1010">
        <v>44867</v>
      </c>
      <c r="C1469" s="116"/>
      <c r="D1469" s="998">
        <v>44882</v>
      </c>
      <c r="E1469" s="1002">
        <v>44877</v>
      </c>
      <c r="F1469" s="1011">
        <f t="shared" ref="F1469:F1470" si="26">LOOKUP(D1469-1,$B$1468:$B$1484)</f>
        <v>44867</v>
      </c>
      <c r="G1469" s="1011" cm="1">
        <f t="array" ref="G1469">MIN(IF($B$1468:$B$1484=D1469-1,$B$1468:$B$1484))</f>
        <v>0</v>
      </c>
      <c r="H1469" s="1011" cm="1">
        <f t="array" ref="H1469">LOOKUP(1,0/($B$1468:$B$1484&lt;D1469),$B$1468:$B$1484)</f>
        <v>44877</v>
      </c>
      <c r="I1469" s="1012" cm="1">
        <f t="array" ref="I1469">LOOKUP(,0/FREQUENCY(-9^9,-IF($B$1468:$B$1484&lt;D1469,$B$1468:$B$1484)),$B$1468:$B$1484)</f>
        <v>44877</v>
      </c>
      <c r="J1469" s="1012" cm="1">
        <f t="array" ref="J1469">MODE(D1469-ROW($1:31),$B$1468:$B$1484)</f>
        <v>44877</v>
      </c>
      <c r="K1469" s="116"/>
      <c r="L1469" s="326"/>
    </row>
    <row r="1470" spans="2:19" ht="18.95" customHeight="1">
      <c r="B1470" s="1010">
        <v>44882</v>
      </c>
      <c r="C1470" s="116"/>
      <c r="D1470" s="999">
        <v>44886</v>
      </c>
      <c r="E1470" s="1003">
        <v>44885</v>
      </c>
      <c r="F1470" s="1011">
        <f t="shared" si="26"/>
        <v>44885</v>
      </c>
      <c r="G1470" s="1011" cm="1">
        <f t="array" ref="G1470">MIN(IF($B$1468:$B$1484=D1470-1,$B$1468:$B$1484))</f>
        <v>44885</v>
      </c>
      <c r="H1470" s="1011" cm="1">
        <f t="array" ref="H1470">LOOKUP(1,0/($B$1468:$B$1484*1&lt;D1470),$B$1468:$B$1484)</f>
        <v>44877</v>
      </c>
      <c r="I1470" s="1012" cm="1">
        <f t="array" ref="I1470">LOOKUP(,0/FREQUENCY(-9^9,-IF($B$1468:$B$1484&lt;D1470,$B$1468:$B$1484)),$B$1468:$B$1484)</f>
        <v>44885</v>
      </c>
      <c r="J1470" s="1012" cm="1">
        <f t="array" ref="J1470">MODE(D1470-ROW($1:32),$B$1468:$B$1484)</f>
        <v>44885</v>
      </c>
      <c r="K1470" s="116"/>
      <c r="L1470" s="326"/>
    </row>
    <row r="1471" spans="2:19" ht="18.95" customHeight="1">
      <c r="B1471" s="1010">
        <v>44883</v>
      </c>
      <c r="C1471" s="116"/>
      <c r="D1471" s="116"/>
      <c r="E1471" s="116"/>
      <c r="F1471" s="116"/>
      <c r="G1471" s="116"/>
      <c r="H1471" s="116"/>
      <c r="I1471" s="116"/>
      <c r="J1471" s="116"/>
      <c r="K1471" s="116"/>
      <c r="L1471" s="326"/>
    </row>
    <row r="1472" spans="2:19" ht="18.95" customHeight="1">
      <c r="B1472" s="1010">
        <v>44884</v>
      </c>
      <c r="C1472" s="116"/>
      <c r="D1472" s="116"/>
      <c r="E1472" s="116" t="s">
        <v>2762</v>
      </c>
      <c r="F1472" s="116"/>
      <c r="G1472" s="116"/>
      <c r="H1472" s="116"/>
      <c r="I1472" s="116"/>
      <c r="J1472" s="116"/>
      <c r="K1472" s="116"/>
      <c r="L1472" s="326"/>
    </row>
    <row r="1473" spans="2:12" ht="18.95" customHeight="1">
      <c r="B1473" s="1010">
        <v>44873</v>
      </c>
      <c r="C1473" s="116"/>
      <c r="D1473" s="116"/>
      <c r="E1473" s="116"/>
      <c r="F1473" s="116"/>
      <c r="G1473" s="116"/>
      <c r="H1473" s="116"/>
      <c r="I1473" s="116"/>
      <c r="J1473" s="116"/>
      <c r="K1473" s="116"/>
      <c r="L1473" s="326"/>
    </row>
    <row r="1474" spans="2:12" ht="18.95" customHeight="1">
      <c r="B1474" s="1010">
        <v>44874</v>
      </c>
      <c r="C1474" s="116"/>
      <c r="D1474" s="116" t="s">
        <v>2765</v>
      </c>
      <c r="E1474" s="116"/>
      <c r="F1474" s="116"/>
      <c r="G1474" s="116"/>
      <c r="H1474" s="116"/>
      <c r="I1474" s="116"/>
      <c r="J1474" s="116"/>
      <c r="K1474" s="116"/>
      <c r="L1474" s="326"/>
    </row>
    <row r="1475" spans="2:12" ht="18.95" customHeight="1">
      <c r="B1475" s="1010">
        <v>44885</v>
      </c>
      <c r="C1475" s="116"/>
      <c r="D1475" s="116"/>
      <c r="E1475" s="116"/>
      <c r="F1475" s="116"/>
      <c r="G1475" s="116"/>
      <c r="H1475" s="116"/>
      <c r="I1475" s="116"/>
      <c r="J1475" s="116"/>
      <c r="K1475" s="116"/>
      <c r="L1475" s="326"/>
    </row>
    <row r="1476" spans="2:12" ht="18.95" customHeight="1">
      <c r="B1476" s="1010">
        <v>44886</v>
      </c>
      <c r="C1476" s="116"/>
      <c r="D1476" s="116" t="s">
        <v>2766</v>
      </c>
      <c r="E1476" s="116"/>
      <c r="F1476" s="116"/>
      <c r="G1476" s="116"/>
      <c r="H1476" s="116"/>
      <c r="I1476" s="116"/>
      <c r="J1476" s="116"/>
      <c r="K1476" s="116"/>
      <c r="L1476" s="326"/>
    </row>
    <row r="1477" spans="2:12" ht="18.95" customHeight="1">
      <c r="B1477" s="1010">
        <v>44887</v>
      </c>
      <c r="C1477" s="116"/>
      <c r="D1477" s="116"/>
      <c r="E1477" s="116"/>
      <c r="F1477" s="116"/>
      <c r="G1477" s="116"/>
      <c r="H1477" s="116"/>
      <c r="I1477" s="116"/>
      <c r="J1477" s="116"/>
      <c r="K1477" s="116"/>
      <c r="L1477" s="326"/>
    </row>
    <row r="1478" spans="2:12" ht="18.95" customHeight="1">
      <c r="B1478" s="1010">
        <v>44868</v>
      </c>
      <c r="C1478" s="116"/>
      <c r="D1478" s="116"/>
      <c r="E1478" s="116"/>
      <c r="F1478" s="116"/>
      <c r="G1478" s="116"/>
      <c r="H1478" s="116"/>
      <c r="I1478" s="116"/>
      <c r="J1478" s="116"/>
      <c r="K1478" s="116"/>
      <c r="L1478" s="326"/>
    </row>
    <row r="1479" spans="2:12" ht="18.95" customHeight="1">
      <c r="B1479" s="1010">
        <v>44869</v>
      </c>
      <c r="C1479" s="116"/>
      <c r="D1479" s="116"/>
      <c r="E1479" s="116"/>
      <c r="F1479" s="116"/>
      <c r="G1479" s="116"/>
      <c r="H1479" s="116"/>
      <c r="I1479" s="116"/>
      <c r="J1479" s="116"/>
      <c r="K1479" s="116"/>
      <c r="L1479" s="326"/>
    </row>
    <row r="1480" spans="2:12" ht="18.95" customHeight="1">
      <c r="B1480" s="1010">
        <v>44870</v>
      </c>
      <c r="C1480" s="116"/>
      <c r="D1480" s="116"/>
      <c r="E1480" s="116"/>
      <c r="F1480" s="116"/>
      <c r="G1480" s="116"/>
      <c r="H1480" s="116"/>
      <c r="I1480" s="116"/>
      <c r="J1480" s="116"/>
      <c r="K1480" s="116"/>
      <c r="L1480" s="326"/>
    </row>
    <row r="1481" spans="2:12" ht="18.95" customHeight="1">
      <c r="B1481" s="1010">
        <v>44875</v>
      </c>
      <c r="C1481" s="116"/>
      <c r="D1481" s="116"/>
      <c r="E1481" s="116"/>
      <c r="F1481" s="116"/>
      <c r="G1481" s="116"/>
      <c r="H1481" s="116"/>
      <c r="I1481" s="116"/>
      <c r="J1481" s="116"/>
      <c r="K1481" s="116"/>
      <c r="L1481" s="326"/>
    </row>
    <row r="1482" spans="2:12" ht="18.95" customHeight="1">
      <c r="B1482" s="1010">
        <v>44876</v>
      </c>
      <c r="C1482" s="116"/>
      <c r="D1482" s="116"/>
      <c r="E1482" s="116"/>
      <c r="F1482" s="116"/>
      <c r="G1482" s="116"/>
      <c r="H1482" s="116"/>
      <c r="I1482" s="116"/>
      <c r="J1482" s="116"/>
      <c r="K1482" s="116"/>
      <c r="L1482" s="326"/>
    </row>
    <row r="1483" spans="2:12" ht="18.95" customHeight="1">
      <c r="B1483" s="1010">
        <v>44877</v>
      </c>
      <c r="C1483" s="116"/>
      <c r="D1483" s="116"/>
      <c r="E1483" s="116"/>
      <c r="F1483" s="116"/>
      <c r="G1483" s="116"/>
      <c r="H1483" s="116"/>
      <c r="I1483" s="116"/>
      <c r="J1483" s="116"/>
      <c r="K1483" s="116"/>
      <c r="L1483" s="326"/>
    </row>
    <row r="1484" spans="2:12" ht="18.95" customHeight="1">
      <c r="B1484" s="1013">
        <v>44888</v>
      </c>
      <c r="C1484" s="116"/>
      <c r="D1484" s="116"/>
      <c r="E1484" s="116"/>
      <c r="F1484" s="116"/>
      <c r="G1484" s="116"/>
      <c r="H1484" s="116"/>
      <c r="I1484" s="116"/>
      <c r="J1484" s="116"/>
      <c r="K1484" s="116"/>
      <c r="L1484" s="326"/>
    </row>
    <row r="1485" spans="2:12" ht="18.95" customHeight="1">
      <c r="B1485" s="254"/>
      <c r="C1485" s="116"/>
      <c r="D1485" s="116"/>
      <c r="E1485" s="116"/>
      <c r="F1485" s="116"/>
      <c r="G1485" s="116"/>
      <c r="H1485" s="116"/>
      <c r="I1485" s="116"/>
      <c r="J1485" s="116"/>
      <c r="K1485" s="116"/>
      <c r="L1485" s="326"/>
    </row>
    <row r="1486" spans="2:12" ht="18.95" customHeight="1" thickBot="1">
      <c r="B1486" s="304"/>
      <c r="C1486" s="305"/>
      <c r="D1486" s="305"/>
      <c r="E1486" s="305"/>
      <c r="F1486" s="305"/>
      <c r="G1486" s="305"/>
      <c r="H1486" s="305"/>
      <c r="I1486" s="305"/>
      <c r="J1486" s="305"/>
      <c r="K1486" s="305"/>
      <c r="L1486" s="327"/>
    </row>
    <row r="1487" spans="2:12" ht="18.95" customHeight="1" thickBot="1"/>
    <row r="1488" spans="2:12" ht="18.95" customHeight="1">
      <c r="B1488" s="333"/>
      <c r="C1488" s="324"/>
      <c r="D1488" s="324"/>
      <c r="E1488" s="324"/>
      <c r="F1488" s="324"/>
      <c r="G1488" s="324"/>
      <c r="H1488" s="324"/>
      <c r="I1488" s="324"/>
      <c r="J1488" s="324"/>
      <c r="K1488" s="324"/>
      <c r="L1488" s="325"/>
    </row>
    <row r="1489" spans="2:13" ht="18.95" customHeight="1">
      <c r="B1489" s="254" t="s">
        <v>2789</v>
      </c>
      <c r="C1489" s="116"/>
      <c r="D1489" s="116"/>
      <c r="E1489" s="116"/>
      <c r="F1489" s="116"/>
      <c r="G1489" s="116"/>
      <c r="H1489" s="116"/>
      <c r="I1489" s="116"/>
      <c r="J1489" s="116"/>
      <c r="K1489" s="116"/>
      <c r="L1489" s="326"/>
    </row>
    <row r="1490" spans="2:13" ht="18.95" customHeight="1">
      <c r="B1490" s="233" t="s">
        <v>131</v>
      </c>
      <c r="C1490" s="1014" t="s">
        <v>2780</v>
      </c>
      <c r="D1490" s="1014" t="s">
        <v>1691</v>
      </c>
      <c r="E1490" s="1014" t="s">
        <v>2781</v>
      </c>
      <c r="F1490" s="1014" t="s">
        <v>763</v>
      </c>
      <c r="G1490" s="1014" t="s">
        <v>46</v>
      </c>
      <c r="H1490" s="1014" t="s">
        <v>2673</v>
      </c>
      <c r="I1490" s="946"/>
      <c r="J1490" s="946"/>
      <c r="K1490" s="946"/>
      <c r="L1490" s="258"/>
      <c r="M1490"/>
    </row>
    <row r="1491" spans="2:13" ht="18.95" customHeight="1">
      <c r="B1491" s="233" t="s">
        <v>2782</v>
      </c>
      <c r="C1491" s="1014">
        <v>435</v>
      </c>
      <c r="D1491" s="1014">
        <v>5</v>
      </c>
      <c r="E1491" s="1018">
        <f>C1491/D1491</f>
        <v>87</v>
      </c>
      <c r="F1491" s="1014">
        <f>_xlfn.RANK.EQ(E1491,$E$1491:$E$1495)</f>
        <v>1</v>
      </c>
      <c r="G1491" s="1019" cm="1">
        <f t="array" ref="G1491">IFERROR(CHOOSE(MATCH(E1491,LARGE(_xlfn._xlws.FILTER($E$1491:$E$1495,$E$1491:$E$1495&gt;=70),ROW($A$1:$A$3)),0),200,150,100),"不奖")</f>
        <v>200</v>
      </c>
      <c r="H1491" s="1019" cm="1">
        <f t="array" ref="H1491">IF(E1491&gt;=70,IF(E1491=LARGE(IF($E$1491:$E$1495&gt;=70,$E$1491:$E$1495,0),1),200,IF(E1491=SMALL(IF($E$1491:$E$1495&gt;=70,$E$1491:$E$1495,1000),1),100,150)),"不奖")</f>
        <v>200</v>
      </c>
      <c r="I1491" s="946"/>
      <c r="J1491" s="946"/>
      <c r="K1491" s="946"/>
      <c r="L1491" s="258"/>
      <c r="M1491"/>
    </row>
    <row r="1492" spans="2:13" ht="18.95" customHeight="1">
      <c r="B1492" s="233" t="s">
        <v>2783</v>
      </c>
      <c r="C1492" s="1014">
        <v>445</v>
      </c>
      <c r="D1492" s="1014">
        <v>6</v>
      </c>
      <c r="E1492" s="1018">
        <f>C1492/D1492</f>
        <v>74.166666666666671</v>
      </c>
      <c r="F1492" s="1014">
        <f t="shared" ref="F1492:F1495" si="27">_xlfn.RANK.EQ(E1492,$E$1491:$E$1495)</f>
        <v>3</v>
      </c>
      <c r="G1492" s="1019" cm="1">
        <f t="array" ref="G1492">IFERROR(CHOOSE(MATCH(E1492,LARGE(_xlfn._xlws.FILTER($E$1491:$E$1495,$E$1491:$E$1495&gt;=70),ROW($A$1:$A$3)),0),200,150,100),"不奖")</f>
        <v>100</v>
      </c>
      <c r="H1492" s="1019" cm="1">
        <f t="array" ref="H1492">IF(E1492&gt;=70,IF(E1492=LARGE(IF($E$1491:$E$1495&gt;=70,$E$1491:$E$1495,0),1),200,IF(E1492=SMALL(IF($E$1491:$E$1495&gt;=70,$E$1491:$E$1495,1000),1),100,150)),"不奖")</f>
        <v>100</v>
      </c>
      <c r="I1492" s="946"/>
      <c r="J1492" s="116"/>
      <c r="K1492" s="116"/>
      <c r="L1492" s="326"/>
    </row>
    <row r="1493" spans="2:13" ht="18.95" customHeight="1">
      <c r="B1493" s="233" t="s">
        <v>2784</v>
      </c>
      <c r="C1493" s="1014">
        <v>234</v>
      </c>
      <c r="D1493" s="1014">
        <v>4</v>
      </c>
      <c r="E1493" s="1018">
        <f>C1493/D1493</f>
        <v>58.5</v>
      </c>
      <c r="F1493" s="1014">
        <f t="shared" si="27"/>
        <v>5</v>
      </c>
      <c r="G1493" s="1019" t="str" cm="1">
        <f t="array" ref="G1493">IFERROR(CHOOSE(MATCH(E1493,LARGE(_xlfn._xlws.FILTER($E$1491:$E$1495,$E$1491:$E$1495&gt;=70),ROW($A$1:$A$3)),0),200,150,100),"不奖")</f>
        <v>不奖</v>
      </c>
      <c r="H1493" s="1019" t="str" cm="1">
        <f t="array" ref="H1493">IF(E1493&gt;=70,IF(E1493=LARGE(IF($E$1491:$E$1495&gt;=70,$E$1491:$E$1495,0),1),200,IF(E1493=SMALL(IF($E$1491:$E$1495&gt;=70,$E$1491:$E$1495,1000),1),100,150)),"不奖")</f>
        <v>不奖</v>
      </c>
      <c r="I1493" s="946"/>
      <c r="J1493" s="116"/>
      <c r="K1493" s="116"/>
      <c r="L1493" s="326"/>
    </row>
    <row r="1494" spans="2:13" ht="18.95" customHeight="1">
      <c r="B1494" s="233" t="s">
        <v>2785</v>
      </c>
      <c r="C1494" s="1014">
        <v>376</v>
      </c>
      <c r="D1494" s="1014">
        <v>6</v>
      </c>
      <c r="E1494" s="1018">
        <f>C1494/D1494</f>
        <v>62.666666666666664</v>
      </c>
      <c r="F1494" s="1014">
        <f t="shared" si="27"/>
        <v>4</v>
      </c>
      <c r="G1494" s="1019" t="str" cm="1">
        <f t="array" ref="G1494">IFERROR(CHOOSE(MATCH(E1494,LARGE(_xlfn._xlws.FILTER($E$1491:$E$1495,$E$1491:$E$1495&gt;=70),ROW($A$1:$A$3)),0),200,150,100),"不奖")</f>
        <v>不奖</v>
      </c>
      <c r="H1494" s="1019" t="str" cm="1">
        <f t="array" ref="H1494">IF(E1494&gt;=70,IF(E1494=LARGE(IF($E$1491:$E$1495&gt;=70,$E$1491:$E$1495,0),1),200,IF(E1494=SMALL(IF($E$1491:$E$1495&gt;=70,$E$1491:$E$1495,1000),1),100,150)),"不奖")</f>
        <v>不奖</v>
      </c>
      <c r="I1494" s="946"/>
      <c r="J1494" s="116"/>
      <c r="K1494" s="116"/>
      <c r="L1494" s="326"/>
    </row>
    <row r="1495" spans="2:13" ht="18.95" customHeight="1">
      <c r="B1495" s="233" t="s">
        <v>2786</v>
      </c>
      <c r="C1495" s="1014">
        <v>343</v>
      </c>
      <c r="D1495" s="1014">
        <v>4</v>
      </c>
      <c r="E1495" s="1018">
        <f>C1495/D1495</f>
        <v>85.75</v>
      </c>
      <c r="F1495" s="1014">
        <f t="shared" si="27"/>
        <v>2</v>
      </c>
      <c r="G1495" s="1019" cm="1">
        <f t="array" ref="G1495">IFERROR(CHOOSE(MATCH(E1495,LARGE(_xlfn._xlws.FILTER($E$1491:$E$1495,$E$1491:$E$1495&gt;=70),ROW($A$1:$A$3)),0),200,150,100),"不奖")</f>
        <v>150</v>
      </c>
      <c r="H1495" s="1019" cm="1">
        <f t="array" ref="H1495">IF(E1495&gt;=70,IF(E1495=LARGE(IF($E$1491:$E$1495&gt;=70,$E$1491:$E$1495,0),1),200,IF(E1495=SMALL(IF($E$1491:$E$1495&gt;=70,$E$1491:$E$1495,1000),1),100,150)),"不奖")</f>
        <v>150</v>
      </c>
      <c r="I1495" s="946"/>
      <c r="J1495" s="116"/>
      <c r="K1495" s="116"/>
      <c r="L1495" s="326"/>
    </row>
    <row r="1496" spans="2:13" ht="18.95" customHeight="1">
      <c r="B1496" s="257"/>
      <c r="C1496" s="946"/>
      <c r="D1496" s="946"/>
      <c r="E1496" s="946"/>
      <c r="F1496" s="946"/>
      <c r="G1496" s="946"/>
      <c r="H1496" s="946"/>
      <c r="I1496" s="946"/>
      <c r="J1496" s="946"/>
      <c r="K1496" s="946"/>
      <c r="L1496" s="258"/>
      <c r="M1496"/>
    </row>
    <row r="1497" spans="2:13" ht="18.95" customHeight="1">
      <c r="B1497" s="254" t="s">
        <v>2787</v>
      </c>
      <c r="C1497" s="946"/>
      <c r="D1497" s="946"/>
      <c r="E1497" s="946"/>
      <c r="F1497" s="946"/>
      <c r="G1497" s="946"/>
      <c r="H1497" s="946"/>
      <c r="I1497" s="946"/>
      <c r="J1497" s="946"/>
      <c r="K1497" s="946"/>
      <c r="L1497" s="258"/>
      <c r="M1497"/>
    </row>
    <row r="1498" spans="2:13" ht="18.95" customHeight="1">
      <c r="B1498" s="254"/>
      <c r="C1498" s="116"/>
      <c r="D1498" s="116"/>
      <c r="E1498" s="116"/>
      <c r="F1498" s="116"/>
      <c r="G1498" s="116"/>
      <c r="H1498" s="116"/>
      <c r="I1498" s="116"/>
      <c r="J1498" s="116"/>
      <c r="K1498" s="116"/>
      <c r="L1498" s="326"/>
    </row>
    <row r="1499" spans="2:13" ht="18.95" customHeight="1">
      <c r="B1499" s="254" t="s">
        <v>2788</v>
      </c>
      <c r="C1499" s="116"/>
      <c r="D1499" s="116"/>
      <c r="E1499" s="116"/>
      <c r="F1499" s="116"/>
      <c r="G1499" s="116"/>
      <c r="H1499" s="116"/>
      <c r="I1499" s="116"/>
      <c r="J1499" s="116"/>
      <c r="K1499" s="116"/>
      <c r="L1499" s="326"/>
    </row>
    <row r="1500" spans="2:13" ht="18.95" customHeight="1">
      <c r="B1500" s="254"/>
      <c r="C1500" s="116"/>
      <c r="D1500" s="116"/>
      <c r="E1500" s="116"/>
      <c r="F1500" s="116"/>
      <c r="G1500" s="116"/>
      <c r="H1500" s="116"/>
      <c r="I1500" s="116"/>
      <c r="J1500" s="116"/>
      <c r="K1500" s="116"/>
      <c r="L1500" s="326"/>
    </row>
    <row r="1501" spans="2:13" ht="18.95" customHeight="1" thickBot="1">
      <c r="B1501" s="304"/>
      <c r="C1501" s="305"/>
      <c r="D1501" s="305"/>
      <c r="E1501" s="305"/>
      <c r="F1501" s="305"/>
      <c r="G1501" s="305"/>
      <c r="H1501" s="305"/>
      <c r="I1501" s="305"/>
      <c r="J1501" s="305"/>
      <c r="K1501" s="305"/>
      <c r="L1501" s="327"/>
    </row>
    <row r="1502" spans="2:13" ht="18.95" customHeight="1" thickBot="1"/>
    <row r="1503" spans="2:13" ht="18.95" customHeight="1">
      <c r="B1503" s="333"/>
      <c r="C1503" s="324" t="s">
        <v>2796</v>
      </c>
      <c r="D1503" s="324" t="s">
        <v>2797</v>
      </c>
      <c r="E1503" s="324" t="s">
        <v>2798</v>
      </c>
      <c r="F1503" s="324"/>
      <c r="G1503" s="324"/>
      <c r="H1503" s="325"/>
    </row>
    <row r="1504" spans="2:13" ht="18.95" customHeight="1">
      <c r="B1504" s="254" t="s">
        <v>2795</v>
      </c>
      <c r="C1504" s="116">
        <f>LEFT(B1504,FIND("*",B1504)-1)*1</f>
        <v>100</v>
      </c>
      <c r="D1504" s="116">
        <f>MID(B1504,FIND("*",B1504)+1,FIND("*",B1504,FIND("*",B1504)+1)-FIND("*",B1504)-1)*1</f>
        <v>14</v>
      </c>
      <c r="E1504" s="116">
        <f>RIGHT(B1504,LEN(B1504)-FIND("*",B1504,FIND("*",B1504)+1))*1</f>
        <v>19.2</v>
      </c>
      <c r="F1504" s="116"/>
      <c r="G1504" s="116"/>
      <c r="H1504" s="326"/>
    </row>
    <row r="1505" spans="2:17" ht="18.95" customHeight="1">
      <c r="B1505" s="254"/>
      <c r="C1505" s="116"/>
      <c r="D1505" s="116"/>
      <c r="E1505" s="116"/>
      <c r="F1505" s="116"/>
      <c r="G1505" s="116"/>
      <c r="H1505" s="326"/>
    </row>
    <row r="1506" spans="2:17" ht="18.95" customHeight="1">
      <c r="B1506" s="254"/>
      <c r="C1506" s="116"/>
      <c r="D1506" s="116"/>
      <c r="E1506" s="116"/>
      <c r="F1506" s="116"/>
      <c r="G1506" s="116"/>
      <c r="H1506" s="326"/>
    </row>
    <row r="1507" spans="2:17" ht="18.95" customHeight="1">
      <c r="B1507" s="254"/>
      <c r="C1507" s="116"/>
      <c r="D1507" s="116"/>
      <c r="E1507" s="116"/>
      <c r="F1507" s="116"/>
      <c r="G1507" s="116"/>
      <c r="H1507" s="326"/>
    </row>
    <row r="1508" spans="2:17" ht="18.95" customHeight="1" thickBot="1">
      <c r="B1508" s="304"/>
      <c r="C1508" s="305"/>
      <c r="D1508" s="305"/>
      <c r="E1508" s="305"/>
      <c r="F1508" s="305"/>
      <c r="G1508" s="305"/>
      <c r="H1508" s="327"/>
    </row>
    <row r="1510" spans="2:17" ht="18.95" customHeight="1" thickBot="1"/>
    <row r="1511" spans="2:17" ht="18.95" customHeight="1">
      <c r="B1511" s="891" t="s">
        <v>2799</v>
      </c>
      <c r="C1511" s="892"/>
      <c r="D1511" s="892"/>
      <c r="E1511" s="892"/>
      <c r="F1511" s="892"/>
      <c r="G1511" s="892"/>
      <c r="H1511" s="892"/>
      <c r="I1511" s="892"/>
      <c r="J1511" s="892"/>
      <c r="K1511" s="892"/>
      <c r="L1511" s="892"/>
      <c r="M1511" s="892"/>
      <c r="N1511" s="892"/>
      <c r="O1511" s="892"/>
      <c r="P1511" s="892"/>
      <c r="Q1511" s="893"/>
    </row>
    <row r="1512" spans="2:17" ht="18.95" customHeight="1">
      <c r="B1512" s="894"/>
      <c r="C1512" s="116" t="s">
        <v>2800</v>
      </c>
      <c r="D1512" s="1024"/>
      <c r="E1512" s="1024"/>
      <c r="F1512" s="1024"/>
      <c r="G1512" s="1024"/>
      <c r="H1512" s="1024"/>
      <c r="I1512" s="1024"/>
      <c r="J1512" s="1024"/>
      <c r="K1512" s="1024"/>
      <c r="L1512" s="1024"/>
      <c r="M1512" s="1024"/>
      <c r="N1512" s="895"/>
      <c r="O1512" s="895"/>
      <c r="P1512" s="895"/>
      <c r="Q1512" s="896"/>
    </row>
    <row r="1513" spans="2:17" ht="18.95" customHeight="1">
      <c r="B1513" s="894"/>
      <c r="C1513" s="116"/>
      <c r="D1513" s="1024"/>
      <c r="E1513" s="1024"/>
      <c r="F1513" s="1024"/>
      <c r="G1513" s="1024"/>
      <c r="H1513" s="1024"/>
      <c r="I1513" s="1024"/>
      <c r="J1513" s="1024"/>
      <c r="K1513" s="1024"/>
      <c r="L1513" s="1024"/>
      <c r="M1513" s="1024"/>
      <c r="N1513" s="895"/>
      <c r="O1513" s="895"/>
      <c r="P1513" s="895"/>
      <c r="Q1513" s="896"/>
    </row>
    <row r="1514" spans="2:17" ht="18.95" customHeight="1">
      <c r="B1514" s="894"/>
      <c r="C1514" s="116"/>
      <c r="D1514" s="1024"/>
      <c r="E1514" s="1024"/>
      <c r="F1514" s="1024"/>
      <c r="G1514" s="1024"/>
      <c r="H1514" s="1024"/>
      <c r="I1514" s="1024"/>
      <c r="J1514" s="1024"/>
      <c r="K1514" s="1024"/>
      <c r="L1514" s="1024"/>
      <c r="M1514" s="1024"/>
      <c r="N1514" s="895"/>
      <c r="O1514" s="895"/>
      <c r="P1514" s="895"/>
      <c r="Q1514" s="896"/>
    </row>
    <row r="1515" spans="2:17" ht="18.95" customHeight="1">
      <c r="B1515" s="894"/>
      <c r="C1515" s="116"/>
      <c r="D1515" s="1024"/>
      <c r="E1515" s="1024"/>
      <c r="F1515" s="1024"/>
      <c r="G1515" s="1024"/>
      <c r="H1515" s="1024"/>
      <c r="I1515" s="1024"/>
      <c r="J1515" s="1024"/>
      <c r="K1515" s="1024"/>
      <c r="L1515" s="1024"/>
      <c r="M1515" s="1024"/>
      <c r="N1515" s="895"/>
      <c r="O1515" s="895"/>
      <c r="P1515" s="895"/>
      <c r="Q1515" s="896"/>
    </row>
    <row r="1516" spans="2:17" ht="18.95" customHeight="1">
      <c r="B1516" s="894"/>
      <c r="C1516" s="116"/>
      <c r="D1516" s="895"/>
      <c r="E1516" s="895"/>
      <c r="F1516" s="895"/>
      <c r="G1516" s="895"/>
      <c r="H1516" s="895"/>
      <c r="I1516" s="895"/>
      <c r="J1516" s="895"/>
      <c r="K1516" s="895"/>
      <c r="L1516" s="895"/>
      <c r="M1516" s="895"/>
      <c r="N1516" s="895"/>
      <c r="O1516" s="895"/>
      <c r="P1516" s="895"/>
      <c r="Q1516" s="896"/>
    </row>
    <row r="1517" spans="2:17" ht="18.95" customHeight="1">
      <c r="B1517" s="894"/>
      <c r="C1517" s="895"/>
      <c r="D1517" s="895"/>
      <c r="E1517" s="895"/>
      <c r="F1517" s="895"/>
      <c r="G1517" s="895"/>
      <c r="H1517" s="895"/>
      <c r="I1517" s="895"/>
      <c r="J1517" s="895"/>
      <c r="K1517" s="895"/>
      <c r="L1517" s="895"/>
      <c r="M1517" s="895"/>
      <c r="N1517" s="895"/>
      <c r="O1517" s="895"/>
      <c r="P1517" s="895"/>
      <c r="Q1517" s="896"/>
    </row>
    <row r="1518" spans="2:17" ht="18.95" customHeight="1">
      <c r="B1518" s="1025"/>
      <c r="C1518" s="1020" t="s">
        <v>2801</v>
      </c>
      <c r="D1518" s="1020" t="s">
        <v>2802</v>
      </c>
      <c r="E1518" s="1020" t="s">
        <v>2803</v>
      </c>
      <c r="F1518" s="1020" t="s">
        <v>27</v>
      </c>
      <c r="G1518" s="1020" t="s">
        <v>28</v>
      </c>
      <c r="H1518" s="1020" t="s">
        <v>101</v>
      </c>
      <c r="I1518" s="1020" t="s">
        <v>102</v>
      </c>
      <c r="J1518" s="1020" t="s">
        <v>103</v>
      </c>
      <c r="K1518" s="1020" t="s">
        <v>104</v>
      </c>
      <c r="L1518" s="1020" t="s">
        <v>108</v>
      </c>
      <c r="M1518" s="1020" t="s">
        <v>112</v>
      </c>
      <c r="N1518" s="1020" t="s">
        <v>116</v>
      </c>
      <c r="O1518" s="1020" t="s">
        <v>117</v>
      </c>
      <c r="P1518" s="1020" t="s">
        <v>119</v>
      </c>
      <c r="Q1518" s="896"/>
    </row>
    <row r="1519" spans="2:17" ht="18.95" customHeight="1">
      <c r="B1519" s="1026" t="s">
        <v>2804</v>
      </c>
      <c r="C1519" s="1021">
        <f>SUM(E1519:P1519)</f>
        <v>19450</v>
      </c>
      <c r="D1519" s="1021">
        <f>AVERAGE(E1519:P1519)</f>
        <v>1620.8333333333333</v>
      </c>
      <c r="E1519" s="1021">
        <v>1800</v>
      </c>
      <c r="F1519" s="1021">
        <v>2200</v>
      </c>
      <c r="G1519" s="1021">
        <v>1900</v>
      </c>
      <c r="H1519" s="1021">
        <v>1800</v>
      </c>
      <c r="I1519" s="1021">
        <v>1650</v>
      </c>
      <c r="J1519" s="1021">
        <v>1600</v>
      </c>
      <c r="K1519" s="1021">
        <v>1600</v>
      </c>
      <c r="L1519" s="1021">
        <v>1500</v>
      </c>
      <c r="M1519" s="1021">
        <v>1400</v>
      </c>
      <c r="N1519" s="1021">
        <v>1400</v>
      </c>
      <c r="O1519" s="1021">
        <v>1300</v>
      </c>
      <c r="P1519" s="1021">
        <v>1300</v>
      </c>
      <c r="Q1519" s="896"/>
    </row>
    <row r="1520" spans="2:17" ht="18.95" customHeight="1">
      <c r="B1520" s="1026" t="s">
        <v>2805</v>
      </c>
      <c r="C1520" s="1021">
        <f>SUM(E1520:P1520)</f>
        <v>10638</v>
      </c>
      <c r="D1520" s="1021">
        <f t="shared" ref="D1520:D1521" si="28">AVERAGE(E1520:P1520)</f>
        <v>886.5</v>
      </c>
      <c r="E1520" s="1021">
        <v>1100</v>
      </c>
      <c r="F1520" s="1021">
        <v>3000</v>
      </c>
      <c r="G1520" s="1021">
        <v>2700</v>
      </c>
      <c r="H1520" s="1021">
        <v>1100</v>
      </c>
      <c r="I1520" s="1021">
        <v>1000</v>
      </c>
      <c r="J1520" s="1021">
        <v>860</v>
      </c>
      <c r="K1520" s="1021">
        <v>217</v>
      </c>
      <c r="L1520" s="1021">
        <v>185</v>
      </c>
      <c r="M1520" s="1021">
        <v>156</v>
      </c>
      <c r="N1520" s="1021">
        <v>70</v>
      </c>
      <c r="O1520" s="1021">
        <v>100</v>
      </c>
      <c r="P1520" s="1021">
        <v>150</v>
      </c>
      <c r="Q1520" s="896"/>
    </row>
    <row r="1521" spans="2:17" ht="18.95" customHeight="1">
      <c r="B1521" s="1025" t="s">
        <v>2806</v>
      </c>
      <c r="C1521" s="1020">
        <f>SUM(C1519:C1520)</f>
        <v>30088</v>
      </c>
      <c r="D1521" s="1020">
        <f t="shared" si="28"/>
        <v>2507.3333333333335</v>
      </c>
      <c r="E1521" s="1020">
        <f t="shared" ref="E1521:P1521" si="29">SUM(E1519:E1520)</f>
        <v>2900</v>
      </c>
      <c r="F1521" s="1020">
        <f t="shared" si="29"/>
        <v>5200</v>
      </c>
      <c r="G1521" s="1020">
        <f t="shared" si="29"/>
        <v>4600</v>
      </c>
      <c r="H1521" s="1020">
        <f t="shared" si="29"/>
        <v>2900</v>
      </c>
      <c r="I1521" s="1020">
        <f t="shared" si="29"/>
        <v>2650</v>
      </c>
      <c r="J1521" s="1020">
        <f t="shared" si="29"/>
        <v>2460</v>
      </c>
      <c r="K1521" s="1020">
        <f t="shared" si="29"/>
        <v>1817</v>
      </c>
      <c r="L1521" s="1020">
        <f t="shared" si="29"/>
        <v>1685</v>
      </c>
      <c r="M1521" s="1020">
        <f t="shared" si="29"/>
        <v>1556</v>
      </c>
      <c r="N1521" s="1020">
        <f t="shared" si="29"/>
        <v>1470</v>
      </c>
      <c r="O1521" s="1020">
        <f t="shared" si="29"/>
        <v>1400</v>
      </c>
      <c r="P1521" s="1020">
        <f t="shared" si="29"/>
        <v>1450</v>
      </c>
      <c r="Q1521" s="896"/>
    </row>
    <row r="1522" spans="2:17" ht="18.95" customHeight="1">
      <c r="B1522" s="894"/>
      <c r="C1522" s="895"/>
      <c r="D1522" s="895"/>
      <c r="E1522" s="895"/>
      <c r="F1522" s="895"/>
      <c r="G1522" s="895"/>
      <c r="H1522" s="895"/>
      <c r="I1522" s="895"/>
      <c r="J1522" s="895"/>
      <c r="K1522" s="895"/>
      <c r="L1522" s="895"/>
      <c r="M1522" s="895"/>
      <c r="N1522" s="895"/>
      <c r="O1522" s="895"/>
      <c r="P1522" s="895"/>
      <c r="Q1522" s="896"/>
    </row>
    <row r="1523" spans="2:17" ht="18.95" customHeight="1">
      <c r="B1523" s="894"/>
      <c r="C1523" s="895"/>
      <c r="D1523" s="895"/>
      <c r="E1523" s="895"/>
      <c r="F1523" s="895"/>
      <c r="G1523" s="895"/>
      <c r="H1523" s="895"/>
      <c r="I1523" s="895"/>
      <c r="J1523" s="895"/>
      <c r="K1523" s="895"/>
      <c r="L1523" s="895"/>
      <c r="M1523" s="895"/>
      <c r="N1523" s="895"/>
      <c r="O1523" s="895"/>
      <c r="P1523" s="895"/>
      <c r="Q1523" s="896"/>
    </row>
    <row r="1524" spans="2:17" ht="18.95" customHeight="1">
      <c r="B1524" s="894"/>
      <c r="C1524" s="1020" t="s">
        <v>2807</v>
      </c>
      <c r="D1524" s="1128" t="s">
        <v>2808</v>
      </c>
      <c r="E1524" s="1128"/>
      <c r="F1524" s="1020"/>
      <c r="G1524" s="895"/>
      <c r="H1524" s="895"/>
      <c r="I1524" s="895"/>
      <c r="J1524" s="895"/>
      <c r="K1524" s="895"/>
      <c r="L1524" s="895"/>
      <c r="M1524" s="895"/>
      <c r="N1524" s="895"/>
      <c r="O1524" s="895"/>
      <c r="P1524" s="895"/>
      <c r="Q1524" s="896"/>
    </row>
    <row r="1525" spans="2:17" ht="18.95" customHeight="1">
      <c r="B1525" s="894"/>
      <c r="C1525" s="1020"/>
      <c r="D1525" s="1022" t="s">
        <v>2809</v>
      </c>
      <c r="E1525" s="1022" t="s">
        <v>2810</v>
      </c>
      <c r="F1525" s="1020" t="s">
        <v>2811</v>
      </c>
      <c r="G1525" s="895"/>
      <c r="H1525" s="895"/>
      <c r="I1525" s="895"/>
      <c r="J1525" s="895"/>
      <c r="K1525" s="895"/>
      <c r="L1525" s="895"/>
      <c r="M1525" s="895"/>
      <c r="N1525" s="895"/>
      <c r="O1525" s="895"/>
      <c r="P1525" s="895"/>
      <c r="Q1525" s="896"/>
    </row>
    <row r="1526" spans="2:17" ht="18.95" customHeight="1">
      <c r="B1526" s="894"/>
      <c r="C1526" s="1020" t="s">
        <v>2805</v>
      </c>
      <c r="D1526" s="1023">
        <v>2</v>
      </c>
      <c r="E1526" s="1023">
        <v>8</v>
      </c>
      <c r="F1526" s="1030">
        <f ca="1">AVERAGE(OFFSET($D$1519,MATCH(C1526,$B$1519:$B$1521,0)-1,D1526,,E1526-D1526+1))</f>
        <v>1294.5714285714287</v>
      </c>
      <c r="G1526" s="895"/>
      <c r="H1526" s="895" t="s">
        <v>2812</v>
      </c>
      <c r="I1526" s="895"/>
      <c r="J1526" s="895"/>
      <c r="K1526" s="895"/>
      <c r="L1526" s="895"/>
      <c r="M1526" s="895"/>
      <c r="N1526" s="895"/>
      <c r="O1526" s="895"/>
      <c r="P1526" s="895"/>
      <c r="Q1526" s="896"/>
    </row>
    <row r="1527" spans="2:17" ht="18.95" customHeight="1">
      <c r="B1527" s="894"/>
      <c r="C1527" s="1020" t="s">
        <v>2804</v>
      </c>
      <c r="D1527" s="1023">
        <v>7</v>
      </c>
      <c r="E1527" s="1023">
        <v>12</v>
      </c>
      <c r="F1527" s="1030">
        <f ca="1">AVERAGE(OFFSET($D$1519,MATCH(C1527,$B$1519:$B$1521,0)-1,D1527,,E1527-D1527+1))</f>
        <v>1416.6666666666667</v>
      </c>
      <c r="G1527" s="895"/>
      <c r="H1527" s="895" t="s">
        <v>2813</v>
      </c>
      <c r="I1527" s="895"/>
      <c r="J1527" s="895"/>
      <c r="K1527" s="895"/>
      <c r="L1527" s="895"/>
      <c r="M1527" s="895"/>
      <c r="N1527" s="895"/>
      <c r="O1527" s="895"/>
      <c r="P1527" s="895"/>
      <c r="Q1527" s="896"/>
    </row>
    <row r="1528" spans="2:17" ht="18.95" customHeight="1">
      <c r="B1528" s="894"/>
      <c r="C1528" s="895"/>
      <c r="D1528" s="895"/>
      <c r="E1528" s="895"/>
      <c r="F1528" s="895"/>
      <c r="G1528" s="895"/>
      <c r="H1528" s="895" t="s">
        <v>2814</v>
      </c>
      <c r="I1528" s="895"/>
      <c r="J1528" s="895"/>
      <c r="K1528" s="895"/>
      <c r="L1528" s="895"/>
      <c r="M1528" s="895"/>
      <c r="N1528" s="895"/>
      <c r="O1528" s="895"/>
      <c r="P1528" s="895"/>
      <c r="Q1528" s="896"/>
    </row>
    <row r="1529" spans="2:17" ht="18.95" customHeight="1">
      <c r="B1529" s="894"/>
      <c r="C1529" s="895"/>
      <c r="D1529" s="1" t="s">
        <v>2815</v>
      </c>
      <c r="E1529" s="895"/>
      <c r="F1529" s="895"/>
      <c r="G1529" s="895"/>
      <c r="H1529" s="895"/>
      <c r="I1529" s="895"/>
      <c r="J1529" s="895"/>
      <c r="K1529" s="895"/>
      <c r="L1529" s="895"/>
      <c r="M1529" s="895"/>
      <c r="N1529" s="895"/>
      <c r="O1529" s="895"/>
      <c r="P1529" s="895"/>
      <c r="Q1529" s="896"/>
    </row>
    <row r="1530" spans="2:17" ht="18.95" customHeight="1">
      <c r="B1530" s="894"/>
      <c r="C1530" s="895"/>
      <c r="D1530" s="895"/>
      <c r="E1530" s="895"/>
      <c r="F1530" s="895"/>
      <c r="G1530" s="895"/>
      <c r="H1530" s="895"/>
      <c r="I1530" s="895"/>
      <c r="J1530" s="895"/>
      <c r="K1530" s="895"/>
      <c r="L1530" s="895"/>
      <c r="M1530" s="895"/>
      <c r="N1530" s="895"/>
      <c r="O1530" s="895"/>
      <c r="P1530" s="895"/>
      <c r="Q1530" s="896"/>
    </row>
    <row r="1531" spans="2:17" ht="18.95" customHeight="1" thickBot="1">
      <c r="B1531" s="1027"/>
      <c r="C1531" s="1028"/>
      <c r="D1531" s="1028"/>
      <c r="E1531" s="1028"/>
      <c r="F1531" s="1028"/>
      <c r="G1531" s="1028"/>
      <c r="H1531" s="1028"/>
      <c r="I1531" s="1028"/>
      <c r="J1531" s="1028"/>
      <c r="K1531" s="1028"/>
      <c r="L1531" s="1028"/>
      <c r="M1531" s="1028"/>
      <c r="N1531" s="1028"/>
      <c r="O1531" s="1028"/>
      <c r="P1531" s="1028"/>
      <c r="Q1531" s="1029"/>
    </row>
    <row r="1533" spans="2:17" ht="18.95" customHeight="1" thickBot="1"/>
    <row r="1534" spans="2:17" ht="18.95" customHeight="1">
      <c r="B1534" s="333"/>
      <c r="C1534" s="324"/>
      <c r="D1534" s="324"/>
      <c r="E1534" s="324"/>
      <c r="F1534" s="324"/>
      <c r="G1534" s="324"/>
      <c r="H1534" s="324"/>
      <c r="I1534" s="324"/>
      <c r="J1534" s="324"/>
      <c r="K1534" s="324"/>
      <c r="L1534" s="324"/>
      <c r="M1534" s="324"/>
      <c r="N1534" s="324"/>
      <c r="O1534" s="324"/>
      <c r="P1534" s="324"/>
      <c r="Q1534" s="325"/>
    </row>
    <row r="1535" spans="2:17" ht="18.95" customHeight="1">
      <c r="B1535" s="1120" t="s">
        <v>2450</v>
      </c>
      <c r="C1535" s="1040" t="s">
        <v>2818</v>
      </c>
      <c r="D1535" s="1041" t="s">
        <v>2819</v>
      </c>
      <c r="E1535" s="1042" t="s">
        <v>2820</v>
      </c>
      <c r="F1535" s="895"/>
      <c r="G1535" s="895"/>
      <c r="H1535" s="895"/>
      <c r="I1535" s="895"/>
      <c r="J1535" s="1037"/>
      <c r="K1535" s="1037"/>
      <c r="L1535" s="1037"/>
      <c r="M1535" s="1037"/>
      <c r="N1535" s="1037"/>
      <c r="O1535" s="1037"/>
      <c r="P1535" s="895"/>
      <c r="Q1535" s="326"/>
    </row>
    <row r="1536" spans="2:17" ht="18.95" customHeight="1">
      <c r="B1536" s="1121"/>
      <c r="C1536" s="1038" t="s">
        <v>2821</v>
      </c>
      <c r="D1536" s="1039" t="s">
        <v>2822</v>
      </c>
      <c r="E1536" s="1043" t="s">
        <v>2823</v>
      </c>
      <c r="F1536" s="895"/>
      <c r="G1536" s="895"/>
      <c r="H1536" s="895"/>
      <c r="I1536" s="909" t="s">
        <v>2861</v>
      </c>
      <c r="J1536" s="1049"/>
      <c r="K1536" s="1037"/>
      <c r="L1536" s="1037"/>
      <c r="M1536" s="1037"/>
      <c r="N1536" s="1037"/>
      <c r="O1536" s="1037"/>
      <c r="P1536" s="895"/>
      <c r="Q1536" s="326"/>
    </row>
    <row r="1537" spans="2:17" ht="18.95" customHeight="1" thickBot="1">
      <c r="B1537" s="1121"/>
      <c r="C1537" s="1038" t="s">
        <v>2824</v>
      </c>
      <c r="D1537" s="1039" t="s">
        <v>2825</v>
      </c>
      <c r="E1537" s="1043" t="s">
        <v>2826</v>
      </c>
      <c r="F1537" s="895"/>
      <c r="G1537" s="895"/>
      <c r="H1537" s="895"/>
      <c r="I1537" s="895"/>
      <c r="J1537" s="1037"/>
      <c r="K1537" s="1037"/>
      <c r="L1537" s="1037"/>
      <c r="M1537" s="1037"/>
      <c r="N1537" s="1037"/>
      <c r="O1537" s="1037"/>
      <c r="P1537" s="895"/>
      <c r="Q1537" s="326"/>
    </row>
    <row r="1538" spans="2:17" ht="18.95" customHeight="1">
      <c r="B1538" s="1121"/>
      <c r="C1538" s="1038" t="s">
        <v>2827</v>
      </c>
      <c r="D1538" s="1039" t="s">
        <v>2828</v>
      </c>
      <c r="E1538" s="1043" t="s">
        <v>2829</v>
      </c>
      <c r="F1538" s="895"/>
      <c r="G1538" s="895"/>
      <c r="H1538" s="895"/>
      <c r="I1538" s="1032"/>
      <c r="J1538" s="1033" t="s">
        <v>2830</v>
      </c>
      <c r="K1538" s="1033" t="s">
        <v>2831</v>
      </c>
      <c r="L1538" s="1033" t="s">
        <v>2832</v>
      </c>
      <c r="M1538" s="1033" t="s">
        <v>2833</v>
      </c>
      <c r="N1538" s="1033" t="s">
        <v>2834</v>
      </c>
      <c r="O1538" s="1034" t="s">
        <v>2835</v>
      </c>
      <c r="P1538" s="895"/>
      <c r="Q1538" s="326"/>
    </row>
    <row r="1539" spans="2:17" ht="18.95" customHeight="1">
      <c r="B1539" s="1121"/>
      <c r="C1539" s="1038" t="s">
        <v>2836</v>
      </c>
      <c r="D1539" s="1039" t="s">
        <v>2837</v>
      </c>
      <c r="E1539" s="1043" t="s">
        <v>2838</v>
      </c>
      <c r="F1539" s="895"/>
      <c r="G1539" s="895"/>
      <c r="H1539" s="895"/>
      <c r="I1539" s="1035" t="s">
        <v>2839</v>
      </c>
      <c r="J1539" s="1048" cm="1">
        <f t="array" ref="J1539">SUM(N(IF(MMULT(N($C$1535:$E$1564=$I1539),{1;1;1}),SIGN(IMREAL(IMDIV($D$1535:$D$1564&amp;"i","1+i"))*MMULT(N($C$1535:$E$1564=$I1539),{1;0;-1})))=(2-COLUMN(A1))))</f>
        <v>2</v>
      </c>
      <c r="K1539" s="1048" cm="1">
        <f t="array" ref="K1539">SUM(N(IF(MMULT(N($C$1535:$E$1564=$I1539),{1;1;1}),SIGN(IMREAL(IMDIV($D$1535:$D$1564&amp;"i","1+i"))*MMULT(N($C$1535:$E$1564=$I1539),{1;0;-1})))=(2-COLUMN(B1))))</f>
        <v>1</v>
      </c>
      <c r="L1539" s="1048" cm="1">
        <f t="array" ref="L1539">SUM(N(IF(MMULT(N($C$1535:$E$1564=$I1539),{1;1;1}),SIGN(IMREAL(IMDIV($D$1535:$D$1564&amp;"i","1+i"))*MMULT(N($C$1535:$E$1564=$I1539),{1;0;-1})))=(2-COLUMN(C1))))</f>
        <v>0</v>
      </c>
      <c r="M1539" s="1048" cm="1">
        <f t="array" ref="M1539">SUM(--TEXT(IMREAL(IMDIV($D$1535:$D$1564&amp;"i","1+i"))*COUNTIF($I1539,$C$1535:$E$1564)*{2,0,-2},IF(M$1538=$M$1538,"0;!0;0","!0;0;0")))</f>
        <v>3</v>
      </c>
      <c r="N1539" s="1048" cm="1">
        <f t="array" ref="N1539">SUM(--TEXT(IMREAL(IMDIV($D$1535:$D$1564&amp;"i","1+i"))*COUNTIF($I1539,$C$1535:$E$1564)*{2,0,-2},IF(N$1538=$M$1538,"0;!0;0","!0;0;0")))</f>
        <v>0</v>
      </c>
      <c r="O1539" s="1048" cm="1">
        <f t="array" ref="O1539">SUM(J1539:K1539*{3,1})</f>
        <v>7</v>
      </c>
      <c r="P1539" s="895"/>
      <c r="Q1539" s="326"/>
    </row>
    <row r="1540" spans="2:17" ht="18.95" customHeight="1">
      <c r="B1540" s="1121"/>
      <c r="C1540" s="1038" t="s">
        <v>2840</v>
      </c>
      <c r="D1540" s="1039" t="s">
        <v>2841</v>
      </c>
      <c r="E1540" s="1043" t="s">
        <v>2842</v>
      </c>
      <c r="F1540" s="895"/>
      <c r="G1540" s="895"/>
      <c r="H1540" s="895"/>
      <c r="I1540" s="1035" t="s">
        <v>2843</v>
      </c>
      <c r="J1540" s="1048" cm="1">
        <f t="array" ref="J1540">SUM(N(IF(MMULT(N($C$1535:$E$1564=$I1540),{1;1;1}),SIGN(IMREAL(IMDIV($D$1535:$D$1564&amp;"i","1+i"))*MMULT(N($C$1535:$E$1564=$I1540),{1;0;-1})))=(2-COLUMN(A2))))</f>
        <v>3</v>
      </c>
      <c r="K1540" s="1048" cm="1">
        <f t="array" ref="K1540">SUM(N(IF(MMULT(N($C$1535:$E$1564=$I1540),{1;1;1}),SIGN(IMREAL(IMDIV($D$1535:$D$1564&amp;"i","1+i"))*MMULT(N($C$1535:$E$1564=$I1540),{1;0;-1})))=(2-COLUMN(B2))))</f>
        <v>0</v>
      </c>
      <c r="L1540" s="1048" cm="1">
        <f t="array" ref="L1540">SUM(N(IF(MMULT(N($C$1535:$E$1564=$I1540),{1;1;1}),SIGN(IMREAL(IMDIV($D$1535:$D$1564&amp;"i","1+i"))*MMULT(N($C$1535:$E$1564=$I1540),{1;0;-1})))=(2-COLUMN(C2))))</f>
        <v>0</v>
      </c>
      <c r="M1540" s="1048" cm="1">
        <f t="array" ref="M1540">SUM(--TEXT(IMREAL(IMDIV($D$1535:$D$1564&amp;"i","1+i"))*COUNTIF($I1540,$C$1535:$E$1564)*{2,0,-2},IF(M$1538=$M$1538,"0;!0;0","!0;0;0")))</f>
        <v>10</v>
      </c>
      <c r="N1540" s="1048" cm="1">
        <f t="array" ref="N1540">SUM(--TEXT(IMREAL(IMDIV($D$1535:$D$1564&amp;"i","1+i"))*COUNTIF($I1540,$C$1535:$E$1564)*{2,0,-2},IF(N$1538=$M$1538,"0;!0;0","!0;0;0")))</f>
        <v>0</v>
      </c>
      <c r="O1540" s="1048" cm="1">
        <f t="array" ref="O1540">SUM(J1540:K1540*{3,1})</f>
        <v>9</v>
      </c>
      <c r="P1540" s="895"/>
      <c r="Q1540" s="326"/>
    </row>
    <row r="1541" spans="2:17" ht="18.95" customHeight="1">
      <c r="B1541" s="1121"/>
      <c r="C1541" s="1038" t="s">
        <v>2844</v>
      </c>
      <c r="D1541" s="1039" t="s">
        <v>2837</v>
      </c>
      <c r="E1541" s="1043" t="s">
        <v>2845</v>
      </c>
      <c r="F1541" s="895"/>
      <c r="G1541" s="895"/>
      <c r="H1541" s="895"/>
      <c r="I1541" s="1035" t="s">
        <v>2846</v>
      </c>
      <c r="J1541" s="1048" cm="1">
        <f t="array" ref="J1541">SUM(N(IF(MMULT(N($C$1535:$E$1564=$I1541),{1;1;1}),SIGN(IMREAL(IMDIV($D$1535:$D$1564&amp;"i","1+i"))*MMULT(N($C$1535:$E$1564=$I1541),{1;0;-1})))=(2-COLUMN(A3))))</f>
        <v>1</v>
      </c>
      <c r="K1541" s="1048" cm="1">
        <f t="array" ref="K1541">SUM(N(IF(MMULT(N($C$1535:$E$1564=$I1541),{1;1;1}),SIGN(IMREAL(IMDIV($D$1535:$D$1564&amp;"i","1+i"))*MMULT(N($C$1535:$E$1564=$I1541),{1;0;-1})))=(2-COLUMN(B3))))</f>
        <v>1</v>
      </c>
      <c r="L1541" s="1048" cm="1">
        <f t="array" ref="L1541">SUM(N(IF(MMULT(N($C$1535:$E$1564=$I1541),{1;1;1}),SIGN(IMREAL(IMDIV($D$1535:$D$1564&amp;"i","1+i"))*MMULT(N($C$1535:$E$1564=$I1541),{1;0;-1})))=(2-COLUMN(C3))))</f>
        <v>1</v>
      </c>
      <c r="M1541" s="1048" cm="1">
        <f t="array" ref="M1541">SUM(--TEXT(IMREAL(IMDIV($D$1535:$D$1564&amp;"i","1+i"))*COUNTIF($I1541,$C$1535:$E$1564)*{2,0,-2},IF(M$1538=$M$1538,"0;!0;0","!0;0;0")))</f>
        <v>2</v>
      </c>
      <c r="N1541" s="1048" cm="1">
        <f t="array" ref="N1541">SUM(--TEXT(IMREAL(IMDIV($D$1535:$D$1564&amp;"i","1+i"))*COUNTIF($I1541,$C$1535:$E$1564)*{2,0,-2},IF(N$1538=$M$1538,"0;!0;0","!0;0;0")))</f>
        <v>1</v>
      </c>
      <c r="O1541" s="1048" cm="1">
        <f t="array" ref="O1541">SUM(J1541:K1541*{3,1})</f>
        <v>4</v>
      </c>
      <c r="P1541" s="895"/>
      <c r="Q1541" s="326"/>
    </row>
    <row r="1542" spans="2:17" ht="18.95" customHeight="1">
      <c r="B1542" s="1121"/>
      <c r="C1542" s="1038" t="s">
        <v>2847</v>
      </c>
      <c r="D1542" s="1039" t="s">
        <v>2848</v>
      </c>
      <c r="E1542" s="1043" t="s">
        <v>2839</v>
      </c>
      <c r="F1542" s="895"/>
      <c r="G1542" s="895"/>
      <c r="H1542" s="895"/>
      <c r="I1542" s="1035" t="s">
        <v>2823</v>
      </c>
      <c r="J1542" s="1048" cm="1">
        <f t="array" ref="J1542">SUM(N(IF(MMULT(N($C$1535:$E$1564=$I1542),{1;1;1}),SIGN(IMREAL(IMDIV($D$1535:$D$1564&amp;"i","1+i"))*MMULT(N($C$1535:$E$1564=$I1542),{1;0;-1})))=(2-COLUMN(A4))))</f>
        <v>2</v>
      </c>
      <c r="K1542" s="1048" cm="1">
        <f t="array" ref="K1542">SUM(N(IF(MMULT(N($C$1535:$E$1564=$I1542),{1;1;1}),SIGN(IMREAL(IMDIV($D$1535:$D$1564&amp;"i","1+i"))*MMULT(N($C$1535:$E$1564=$I1542),{1;0;-1})))=(2-COLUMN(B4))))</f>
        <v>1</v>
      </c>
      <c r="L1542" s="1048" cm="1">
        <f t="array" ref="L1542">SUM(N(IF(MMULT(N($C$1535:$E$1564=$I1542),{1;1;1}),SIGN(IMREAL(IMDIV($D$1535:$D$1564&amp;"i","1+i"))*MMULT(N($C$1535:$E$1564=$I1542),{1;0;-1})))=(2-COLUMN(C4))))</f>
        <v>0</v>
      </c>
      <c r="M1542" s="1048" cm="1">
        <f t="array" ref="M1542">SUM(--TEXT(IMREAL(IMDIV($D$1535:$D$1564&amp;"i","1+i"))*COUNTIF($I1542,$C$1535:$E$1564)*{2,0,-2},IF(M$1538=$M$1538,"0;!0;0","!0;0;0")))</f>
        <v>5</v>
      </c>
      <c r="N1542" s="1048" cm="1">
        <f t="array" ref="N1542">SUM(--TEXT(IMREAL(IMDIV($D$1535:$D$1564&amp;"i","1+i"))*COUNTIF($I1542,$C$1535:$E$1564)*{2,0,-2},IF(N$1538=$M$1538,"0;!0;0","!0;0;0")))</f>
        <v>0</v>
      </c>
      <c r="O1542" s="1048" cm="1">
        <f t="array" ref="O1542">SUM(J1542:K1542*{3,1})</f>
        <v>7</v>
      </c>
      <c r="P1542" s="895"/>
      <c r="Q1542" s="326"/>
    </row>
    <row r="1543" spans="2:17" ht="18.95" customHeight="1">
      <c r="B1543" s="1121"/>
      <c r="C1543" s="1038" t="s">
        <v>2849</v>
      </c>
      <c r="D1543" s="1039" t="s">
        <v>2848</v>
      </c>
      <c r="E1543" s="1043" t="s">
        <v>2846</v>
      </c>
      <c r="F1543" s="895"/>
      <c r="G1543" s="895"/>
      <c r="H1543" s="895"/>
      <c r="I1543" s="1035" t="s">
        <v>2824</v>
      </c>
      <c r="J1543" s="1048" cm="1">
        <f t="array" ref="J1543">SUM(N(IF(MMULT(N($C$1535:$E$1564=$I1543),{1;1;1}),SIGN(IMREAL(IMDIV($D$1535:$D$1564&amp;"i","1+i"))*MMULT(N($C$1535:$E$1564=$I1543),{1;0;-1})))=(2-COLUMN(A5))))</f>
        <v>2</v>
      </c>
      <c r="K1543" s="1048" cm="1">
        <f t="array" ref="K1543">SUM(N(IF(MMULT(N($C$1535:$E$1564=$I1543),{1;1;1}),SIGN(IMREAL(IMDIV($D$1535:$D$1564&amp;"i","1+i"))*MMULT(N($C$1535:$E$1564=$I1543),{1;0;-1})))=(2-COLUMN(B5))))</f>
        <v>0</v>
      </c>
      <c r="L1543" s="1048" cm="1">
        <f t="array" ref="L1543">SUM(N(IF(MMULT(N($C$1535:$E$1564=$I1543),{1;1;1}),SIGN(IMREAL(IMDIV($D$1535:$D$1564&amp;"i","1+i"))*MMULT(N($C$1535:$E$1564=$I1543),{1;0;-1})))=(2-COLUMN(C5))))</f>
        <v>1</v>
      </c>
      <c r="M1543" s="1048" cm="1">
        <f t="array" ref="M1543">SUM(--TEXT(IMREAL(IMDIV($D$1535:$D$1564&amp;"i","1+i"))*COUNTIF($I1543,$C$1535:$E$1564)*{2,0,-2},IF(M$1538=$M$1538,"0;!0;0","!0;0;0")))</f>
        <v>3</v>
      </c>
      <c r="N1543" s="1048" cm="1">
        <f t="array" ref="N1543">SUM(--TEXT(IMREAL(IMDIV($D$1535:$D$1564&amp;"i","1+i"))*COUNTIF($I1543,$C$1535:$E$1564)*{2,0,-2},IF(N$1538=$M$1538,"0;!0;0","!0;0;0")))</f>
        <v>1</v>
      </c>
      <c r="O1543" s="1048" cm="1">
        <f t="array" ref="O1543">SUM(J1543:K1543*{3,1})</f>
        <v>6</v>
      </c>
      <c r="P1543" s="895"/>
      <c r="Q1543" s="326"/>
    </row>
    <row r="1544" spans="2:17" ht="18.95" customHeight="1">
      <c r="B1544" s="1121"/>
      <c r="C1544" s="1038" t="s">
        <v>2843</v>
      </c>
      <c r="D1544" s="1039" t="s">
        <v>2850</v>
      </c>
      <c r="E1544" s="1043" t="s">
        <v>2851</v>
      </c>
      <c r="F1544" s="895"/>
      <c r="G1544" s="895"/>
      <c r="H1544" s="895"/>
      <c r="I1544" s="1035" t="s">
        <v>2818</v>
      </c>
      <c r="J1544" s="1048" cm="1">
        <f t="array" ref="J1544">SUM(N(IF(MMULT(N($C$1535:$E$1564=$I1544),{1;1;1}),SIGN(IMREAL(IMDIV($D$1535:$D$1564&amp;"i","1+i"))*MMULT(N($C$1535:$E$1564=$I1544),{1;0;-1})))=(2-COLUMN(A6))))</f>
        <v>1</v>
      </c>
      <c r="K1544" s="1048" cm="1">
        <f t="array" ref="K1544">SUM(N(IF(MMULT(N($C$1535:$E$1564=$I1544),{1;1;1}),SIGN(IMREAL(IMDIV($D$1535:$D$1564&amp;"i","1+i"))*MMULT(N($C$1535:$E$1564=$I1544),{1;0;-1})))=(2-COLUMN(B6))))</f>
        <v>0</v>
      </c>
      <c r="L1544" s="1048" cm="1">
        <f t="array" ref="L1544">SUM(N(IF(MMULT(N($C$1535:$E$1564=$I1544),{1;1;1}),SIGN(IMREAL(IMDIV($D$1535:$D$1564&amp;"i","1+i"))*MMULT(N($C$1535:$E$1564=$I1544),{1;0;-1})))=(2-COLUMN(C6))))</f>
        <v>2</v>
      </c>
      <c r="M1544" s="1048" cm="1">
        <f t="array" ref="M1544">SUM(--TEXT(IMREAL(IMDIV($D$1535:$D$1564&amp;"i","1+i"))*COUNTIF($I1544,$C$1535:$E$1564)*{2,0,-2},IF(M$1538=$M$1538,"0;!0;0","!0;0;0")))</f>
        <v>1</v>
      </c>
      <c r="N1544" s="1048" cm="1">
        <f t="array" ref="N1544">SUM(--TEXT(IMREAL(IMDIV($D$1535:$D$1564&amp;"i","1+i"))*COUNTIF($I1544,$C$1535:$E$1564)*{2,0,-2},IF(N$1538=$M$1538,"0;!0;0","!0;0;0")))</f>
        <v>5</v>
      </c>
      <c r="O1544" s="1048" cm="1">
        <f t="array" ref="O1544">SUM(J1544:K1544*{3,1})</f>
        <v>3</v>
      </c>
      <c r="P1544" s="895"/>
      <c r="Q1544" s="326"/>
    </row>
    <row r="1545" spans="2:17" ht="18.95" customHeight="1">
      <c r="B1545" s="1121" t="s">
        <v>2451</v>
      </c>
      <c r="C1545" s="1038" t="s">
        <v>2842</v>
      </c>
      <c r="D1545" s="1039" t="s">
        <v>2852</v>
      </c>
      <c r="E1545" s="1043" t="s">
        <v>2843</v>
      </c>
      <c r="F1545" s="895"/>
      <c r="G1545" s="895"/>
      <c r="H1545" s="895"/>
      <c r="I1545" s="1035" t="s">
        <v>2826</v>
      </c>
      <c r="J1545" s="1048" cm="1">
        <f t="array" ref="J1545">SUM(N(IF(MMULT(N($C$1535:$E$1564=$I1545),{1;1;1}),SIGN(IMREAL(IMDIV($D$1535:$D$1564&amp;"i","1+i"))*MMULT(N($C$1535:$E$1564=$I1545),{1;0;-1})))=(2-COLUMN(A7))))</f>
        <v>1</v>
      </c>
      <c r="K1545" s="1048" cm="1">
        <f t="array" ref="K1545">SUM(N(IF(MMULT(N($C$1535:$E$1564=$I1545),{1;1;1}),SIGN(IMREAL(IMDIV($D$1535:$D$1564&amp;"i","1+i"))*MMULT(N($C$1535:$E$1564=$I1545),{1;0;-1})))=(2-COLUMN(B7))))</f>
        <v>1</v>
      </c>
      <c r="L1545" s="1048" cm="1">
        <f t="array" ref="L1545">SUM(N(IF(MMULT(N($C$1535:$E$1564=$I1545),{1;1;1}),SIGN(IMREAL(IMDIV($D$1535:$D$1564&amp;"i","1+i"))*MMULT(N($C$1535:$E$1564=$I1545),{1;0;-1})))=(2-COLUMN(C7))))</f>
        <v>1</v>
      </c>
      <c r="M1545" s="1048" cm="1">
        <f t="array" ref="M1545">SUM(--TEXT(IMREAL(IMDIV($D$1535:$D$1564&amp;"i","1+i"))*COUNTIF($I1545,$C$1535:$E$1564)*{2,0,-2},IF(M$1538=$M$1538,"0;!0;0","!0;0;0")))</f>
        <v>1</v>
      </c>
      <c r="N1545" s="1048" cm="1">
        <f t="array" ref="N1545">SUM(--TEXT(IMREAL(IMDIV($D$1535:$D$1564&amp;"i","1+i"))*COUNTIF($I1545,$C$1535:$E$1564)*{2,0,-2},IF(N$1538=$M$1538,"0;!0;0","!0;0;0")))</f>
        <v>1</v>
      </c>
      <c r="O1545" s="1048" cm="1">
        <f t="array" ref="O1545">SUM(J1545:K1545*{3,1})</f>
        <v>4</v>
      </c>
      <c r="P1545" s="895"/>
      <c r="Q1545" s="326"/>
    </row>
    <row r="1546" spans="2:17" ht="18.95" customHeight="1">
      <c r="B1546" s="1121"/>
      <c r="C1546" s="1038" t="s">
        <v>2826</v>
      </c>
      <c r="D1546" s="1039" t="s">
        <v>2853</v>
      </c>
      <c r="E1546" s="1043" t="s">
        <v>2844</v>
      </c>
      <c r="F1546" s="895"/>
      <c r="G1546" s="895"/>
      <c r="H1546" s="895"/>
      <c r="I1546" s="1035" t="s">
        <v>2836</v>
      </c>
      <c r="J1546" s="1048" cm="1">
        <f t="array" ref="J1546">SUM(N(IF(MMULT(N($C$1535:$E$1564=$I1546),{1;1;1}),SIGN(IMREAL(IMDIV($D$1535:$D$1564&amp;"i","1+i"))*MMULT(N($C$1535:$E$1564=$I1546),{1;0;-1})))=(2-COLUMN(A8))))</f>
        <v>1</v>
      </c>
      <c r="K1546" s="1048" cm="1">
        <f t="array" ref="K1546">SUM(N(IF(MMULT(N($C$1535:$E$1564=$I1546),{1;1;1}),SIGN(IMREAL(IMDIV($D$1535:$D$1564&amp;"i","1+i"))*MMULT(N($C$1535:$E$1564=$I1546),{1;0;-1})))=(2-COLUMN(B8))))</f>
        <v>1</v>
      </c>
      <c r="L1546" s="1048" cm="1">
        <f t="array" ref="L1546">SUM(N(IF(MMULT(N($C$1535:$E$1564=$I1546),{1;1;1}),SIGN(IMREAL(IMDIV($D$1535:$D$1564&amp;"i","1+i"))*MMULT(N($C$1535:$E$1564=$I1546),{1;0;-1})))=(2-COLUMN(C8))))</f>
        <v>1</v>
      </c>
      <c r="M1546" s="1048" cm="1">
        <f t="array" ref="M1546">SUM(--TEXT(IMREAL(IMDIV($D$1535:$D$1564&amp;"i","1+i"))*COUNTIF($I1546,$C$1535:$E$1564)*{2,0,-2},IF(M$1538=$M$1538,"0;!0;0","!0;0;0")))</f>
        <v>1</v>
      </c>
      <c r="N1546" s="1048" cm="1">
        <f t="array" ref="N1546">SUM(--TEXT(IMREAL(IMDIV($D$1535:$D$1564&amp;"i","1+i"))*COUNTIF($I1546,$C$1535:$E$1564)*{2,0,-2},IF(N$1538=$M$1538,"0;!0;0","!0;0;0")))</f>
        <v>2</v>
      </c>
      <c r="O1546" s="1048" cm="1">
        <f t="array" ref="O1546">SUM(J1546:K1546*{3,1})</f>
        <v>4</v>
      </c>
      <c r="P1546" s="895"/>
      <c r="Q1546" s="326"/>
    </row>
    <row r="1547" spans="2:17" ht="18.95" customHeight="1">
      <c r="B1547" s="1121"/>
      <c r="C1547" s="1038" t="s">
        <v>2820</v>
      </c>
      <c r="D1547" s="1039" t="s">
        <v>2854</v>
      </c>
      <c r="E1547" s="1043" t="s">
        <v>2847</v>
      </c>
      <c r="F1547" s="895"/>
      <c r="G1547" s="895"/>
      <c r="H1547" s="895"/>
      <c r="I1547" s="1035" t="s">
        <v>2820</v>
      </c>
      <c r="J1547" s="1048" cm="1">
        <f t="array" ref="J1547">SUM(N(IF(MMULT(N($C$1535:$E$1564=$I1547),{1;1;1}),SIGN(IMREAL(IMDIV($D$1535:$D$1564&amp;"i","1+i"))*MMULT(N($C$1535:$E$1564=$I1547),{1;0;-1})))=(2-COLUMN(A9))))</f>
        <v>1</v>
      </c>
      <c r="K1547" s="1048" cm="1">
        <f t="array" ref="K1547">SUM(N(IF(MMULT(N($C$1535:$E$1564=$I1547),{1;1;1}),SIGN(IMREAL(IMDIV($D$1535:$D$1564&amp;"i","1+i"))*MMULT(N($C$1535:$E$1564=$I1547),{1;0;-1})))=(2-COLUMN(B9))))</f>
        <v>0</v>
      </c>
      <c r="L1547" s="1048" cm="1">
        <f t="array" ref="L1547">SUM(N(IF(MMULT(N($C$1535:$E$1564=$I1547),{1;1;1}),SIGN(IMREAL(IMDIV($D$1535:$D$1564&amp;"i","1+i"))*MMULT(N($C$1535:$E$1564=$I1547),{1;0;-1})))=(2-COLUMN(C9))))</f>
        <v>2</v>
      </c>
      <c r="M1547" s="1048" cm="1">
        <f t="array" ref="M1547">SUM(--TEXT(IMREAL(IMDIV($D$1535:$D$1564&amp;"i","1+i"))*COUNTIF($I1547,$C$1535:$E$1564)*{2,0,-2},IF(M$1538=$M$1538,"0;!0;0","!0;0;0")))</f>
        <v>2</v>
      </c>
      <c r="N1547" s="1048" cm="1">
        <f t="array" ref="N1547">SUM(--TEXT(IMREAL(IMDIV($D$1535:$D$1564&amp;"i","1+i"))*COUNTIF($I1547,$C$1535:$E$1564)*{2,0,-2},IF(N$1538=$M$1538,"0;!0;0","!0;0;0")))</f>
        <v>3</v>
      </c>
      <c r="O1547" s="1048" cm="1">
        <f t="array" ref="O1547">SUM(J1547:K1547*{3,1})</f>
        <v>3</v>
      </c>
      <c r="P1547" s="895"/>
      <c r="Q1547" s="326"/>
    </row>
    <row r="1548" spans="2:17" ht="18.95" customHeight="1">
      <c r="B1548" s="1121"/>
      <c r="C1548" s="1038" t="s">
        <v>2845</v>
      </c>
      <c r="D1548" s="1039" t="s">
        <v>2848</v>
      </c>
      <c r="E1548" s="1043" t="s">
        <v>2821</v>
      </c>
      <c r="F1548" s="895"/>
      <c r="G1548" s="895"/>
      <c r="H1548" s="895"/>
      <c r="I1548" s="1035" t="s">
        <v>2849</v>
      </c>
      <c r="J1548" s="1048" cm="1">
        <f t="array" ref="J1548">SUM(N(IF(MMULT(N($C$1535:$E$1564=$I1548),{1;1;1}),SIGN(IMREAL(IMDIV($D$1535:$D$1564&amp;"i","1+i"))*MMULT(N($C$1535:$E$1564=$I1548),{1;0;-1})))=(2-COLUMN(A10))))</f>
        <v>1</v>
      </c>
      <c r="K1548" s="1048" cm="1">
        <f t="array" ref="K1548">SUM(N(IF(MMULT(N($C$1535:$E$1564=$I1548),{1;1;1}),SIGN(IMREAL(IMDIV($D$1535:$D$1564&amp;"i","1+i"))*MMULT(N($C$1535:$E$1564=$I1548),{1;0;-1})))=(2-COLUMN(B10))))</f>
        <v>0</v>
      </c>
      <c r="L1548" s="1048" cm="1">
        <f t="array" ref="L1548">SUM(N(IF(MMULT(N($C$1535:$E$1564=$I1548),{1;1;1}),SIGN(IMREAL(IMDIV($D$1535:$D$1564&amp;"i","1+i"))*MMULT(N($C$1535:$E$1564=$I1548),{1;0;-1})))=(2-COLUMN(C10))))</f>
        <v>2</v>
      </c>
      <c r="M1548" s="1048" cm="1">
        <f t="array" ref="M1548">SUM(--TEXT(IMREAL(IMDIV($D$1535:$D$1564&amp;"i","1+i"))*COUNTIF($I1548,$C$1535:$E$1564)*{2,0,-2},IF(M$1538=$M$1538,"0;!0;0","!0;0;0")))</f>
        <v>3</v>
      </c>
      <c r="N1548" s="1048" cm="1">
        <f t="array" ref="N1548">SUM(--TEXT(IMREAL(IMDIV($D$1535:$D$1564&amp;"i","1+i"))*COUNTIF($I1548,$C$1535:$E$1564)*{2,0,-2},IF(N$1538=$M$1538,"0;!0;0","!0;0;0")))</f>
        <v>3</v>
      </c>
      <c r="O1548" s="1048" cm="1">
        <f t="array" ref="O1548">SUM(J1548:K1548*{3,1})</f>
        <v>3</v>
      </c>
      <c r="P1548" s="895"/>
      <c r="Q1548" s="326"/>
    </row>
    <row r="1549" spans="2:17" ht="18.95" customHeight="1">
      <c r="B1549" s="1121"/>
      <c r="C1549" s="1038" t="s">
        <v>2823</v>
      </c>
      <c r="D1549" s="1039" t="s">
        <v>2837</v>
      </c>
      <c r="E1549" s="1043" t="s">
        <v>2827</v>
      </c>
      <c r="F1549" s="895"/>
      <c r="G1549" s="895"/>
      <c r="H1549" s="895"/>
      <c r="I1549" s="1035" t="s">
        <v>2827</v>
      </c>
      <c r="J1549" s="1048" cm="1">
        <f t="array" ref="J1549">SUM(N(IF(MMULT(N($C$1535:$E$1564=$I1549),{1;1;1}),SIGN(IMREAL(IMDIV($D$1535:$D$1564&amp;"i","1+i"))*MMULT(N($C$1535:$E$1564=$I1549),{1;0;-1})))=(2-COLUMN(A11))))</f>
        <v>0</v>
      </c>
      <c r="K1549" s="1048" cm="1">
        <f t="array" ref="K1549">SUM(N(IF(MMULT(N($C$1535:$E$1564=$I1549),{1;1;1}),SIGN(IMREAL(IMDIV($D$1535:$D$1564&amp;"i","1+i"))*MMULT(N($C$1535:$E$1564=$I1549),{1;0;-1})))=(2-COLUMN(B11))))</f>
        <v>0</v>
      </c>
      <c r="L1549" s="1048" cm="1">
        <f t="array" ref="L1549">SUM(N(IF(MMULT(N($C$1535:$E$1564=$I1549),{1;1;1}),SIGN(IMREAL(IMDIV($D$1535:$D$1564&amp;"i","1+i"))*MMULT(N($C$1535:$E$1564=$I1549),{1;0;-1})))=(2-COLUMN(C11))))</f>
        <v>3</v>
      </c>
      <c r="M1549" s="1048" cm="1">
        <f t="array" ref="M1549">SUM(--TEXT(IMREAL(IMDIV($D$1535:$D$1564&amp;"i","1+i"))*COUNTIF($I1549,$C$1535:$E$1564)*{2,0,-2},IF(M$1538=$M$1538,"0;!0;0","!0;0;0")))</f>
        <v>0</v>
      </c>
      <c r="N1549" s="1048" cm="1">
        <f t="array" ref="N1549">SUM(--TEXT(IMREAL(IMDIV($D$1535:$D$1564&amp;"i","1+i"))*COUNTIF($I1549,$C$1535:$E$1564)*{2,0,-2},IF(N$1538=$M$1538,"0;!0;0","!0;0;0")))</f>
        <v>6</v>
      </c>
      <c r="O1549" s="1048" cm="1">
        <f t="array" ref="O1549">SUM(J1549:K1549*{3,1})</f>
        <v>0</v>
      </c>
      <c r="P1549" s="895"/>
      <c r="Q1549" s="326"/>
    </row>
    <row r="1550" spans="2:17" ht="18.95" customHeight="1">
      <c r="B1550" s="1121"/>
      <c r="C1550" s="1038" t="s">
        <v>2840</v>
      </c>
      <c r="D1550" s="1039" t="s">
        <v>2855</v>
      </c>
      <c r="E1550" s="1043" t="s">
        <v>2851</v>
      </c>
      <c r="F1550" s="895"/>
      <c r="G1550" s="895"/>
      <c r="H1550" s="895"/>
      <c r="I1550" s="1035" t="s">
        <v>2845</v>
      </c>
      <c r="J1550" s="1048" cm="1">
        <f t="array" ref="J1550">SUM(N(IF(MMULT(N($C$1535:$E$1564=$I1550),{1;1;1}),SIGN(IMREAL(IMDIV($D$1535:$D$1564&amp;"i","1+i"))*MMULT(N($C$1535:$E$1564=$I1550),{1;0;-1})))=(2-COLUMN(A12))))</f>
        <v>0</v>
      </c>
      <c r="K1550" s="1048" cm="1">
        <f t="array" ref="K1550">SUM(N(IF(MMULT(N($C$1535:$E$1564=$I1550),{1;1;1}),SIGN(IMREAL(IMDIV($D$1535:$D$1564&amp;"i","1+i"))*MMULT(N($C$1535:$E$1564=$I1550),{1;0;-1})))=(2-COLUMN(B12))))</f>
        <v>0</v>
      </c>
      <c r="L1550" s="1048" cm="1">
        <f t="array" ref="L1550">SUM(N(IF(MMULT(N($C$1535:$E$1564=$I1550),{1;1;1}),SIGN(IMREAL(IMDIV($D$1535:$D$1564&amp;"i","1+i"))*MMULT(N($C$1535:$E$1564=$I1550),{1;0;-1})))=(2-COLUMN(C12))))</f>
        <v>3</v>
      </c>
      <c r="M1550" s="1048" cm="1">
        <f t="array" ref="M1550">SUM(--TEXT(IMREAL(IMDIV($D$1535:$D$1564&amp;"i","1+i"))*COUNTIF($I1550,$C$1535:$E$1564)*{2,0,-2},IF(M$1538=$M$1538,"0;!0;0","!0;0;0")))</f>
        <v>0</v>
      </c>
      <c r="N1550" s="1048" cm="1">
        <f t="array" ref="N1550">SUM(--TEXT(IMREAL(IMDIV($D$1535:$D$1564&amp;"i","1+i"))*COUNTIF($I1550,$C$1535:$E$1564)*{2,0,-2},IF(N$1538=$M$1538,"0;!0;0","!0;0;0")))</f>
        <v>4</v>
      </c>
      <c r="O1550" s="1048" cm="1">
        <f t="array" ref="O1550">SUM(J1550:K1550*{3,1})</f>
        <v>0</v>
      </c>
      <c r="P1550" s="895"/>
      <c r="Q1550" s="326"/>
    </row>
    <row r="1551" spans="2:17" ht="18.95" customHeight="1">
      <c r="B1551" s="1121"/>
      <c r="C1551" s="1038" t="s">
        <v>2838</v>
      </c>
      <c r="D1551" s="1039" t="s">
        <v>2837</v>
      </c>
      <c r="E1551" s="1043" t="s">
        <v>2818</v>
      </c>
      <c r="F1551" s="895"/>
      <c r="G1551" s="895"/>
      <c r="H1551" s="895"/>
      <c r="I1551" s="1035" t="s">
        <v>2851</v>
      </c>
      <c r="J1551" s="1048" cm="1">
        <f t="array" ref="J1551">SUM(N(IF(MMULT(N($C$1535:$E$1564=$I1551),{1;1;1}),SIGN(IMREAL(IMDIV($D$1535:$D$1564&amp;"i","1+i"))*MMULT(N($C$1535:$E$1564=$I1551),{1;0;-1})))=(2-COLUMN(A13))))</f>
        <v>0</v>
      </c>
      <c r="K1551" s="1048" cm="1">
        <f t="array" ref="K1551">SUM(N(IF(MMULT(N($C$1535:$E$1564=$I1551),{1;1;1}),SIGN(IMREAL(IMDIV($D$1535:$D$1564&amp;"i","1+i"))*MMULT(N($C$1535:$E$1564=$I1551),{1;0;-1})))=(2-COLUMN(B13))))</f>
        <v>0</v>
      </c>
      <c r="L1551" s="1048" cm="1">
        <f t="array" ref="L1551">SUM(N(IF(MMULT(N($C$1535:$E$1564=$I1551),{1;1;1}),SIGN(IMREAL(IMDIV($D$1535:$D$1564&amp;"i","1+i"))*MMULT(N($C$1535:$E$1564=$I1551),{1;0;-1})))=(2-COLUMN(C13))))</f>
        <v>3</v>
      </c>
      <c r="M1551" s="1048" cm="1">
        <f t="array" ref="M1551">SUM(--TEXT(IMREAL(IMDIV($D$1535:$D$1564&amp;"i","1+i"))*COUNTIF($I1551,$C$1535:$E$1564)*{2,0,-2},IF(M$1538=$M$1538,"0;!0;0","!0;0;0")))</f>
        <v>0</v>
      </c>
      <c r="N1551" s="1048" cm="1">
        <f t="array" ref="N1551">SUM(--TEXT(IMREAL(IMDIV($D$1535:$D$1564&amp;"i","1+i"))*COUNTIF($I1551,$C$1535:$E$1564)*{2,0,-2},IF(N$1538=$M$1538,"0;!0;0","!0;0;0")))</f>
        <v>8</v>
      </c>
      <c r="O1551" s="1048" cm="1">
        <f t="array" ref="O1551">SUM(J1551:K1551*{3,1})</f>
        <v>0</v>
      </c>
      <c r="P1551" s="895"/>
      <c r="Q1551" s="326"/>
    </row>
    <row r="1552" spans="2:17" ht="18.95" customHeight="1">
      <c r="B1552" s="1121"/>
      <c r="C1552" s="1038" t="s">
        <v>2829</v>
      </c>
      <c r="D1552" s="1039" t="s">
        <v>2837</v>
      </c>
      <c r="E1552" s="1043" t="s">
        <v>2849</v>
      </c>
      <c r="F1552" s="895"/>
      <c r="G1552" s="895"/>
      <c r="H1552" s="895"/>
      <c r="I1552" s="1035" t="s">
        <v>2821</v>
      </c>
      <c r="J1552" s="1048" cm="1">
        <f t="array" ref="J1552">SUM(N(IF(MMULT(N($C$1535:$E$1564=$I1552),{1;1;1}),SIGN(IMREAL(IMDIV($D$1535:$D$1564&amp;"i","1+i"))*MMULT(N($C$1535:$E$1564=$I1552),{1;0;-1})))=(2-COLUMN(A14))))</f>
        <v>1</v>
      </c>
      <c r="K1552" s="1048" cm="1">
        <f t="array" ref="K1552">SUM(N(IF(MMULT(N($C$1535:$E$1564=$I1552),{1;1;1}),SIGN(IMREAL(IMDIV($D$1535:$D$1564&amp;"i","1+i"))*MMULT(N($C$1535:$E$1564=$I1552),{1;0;-1})))=(2-COLUMN(B14))))</f>
        <v>2</v>
      </c>
      <c r="L1552" s="1048" cm="1">
        <f t="array" ref="L1552">SUM(N(IF(MMULT(N($C$1535:$E$1564=$I1552),{1;1;1}),SIGN(IMREAL(IMDIV($D$1535:$D$1564&amp;"i","1+i"))*MMULT(N($C$1535:$E$1564=$I1552),{1;0;-1})))=(2-COLUMN(C14))))</f>
        <v>0</v>
      </c>
      <c r="M1552" s="1048" cm="1">
        <f t="array" ref="M1552">SUM(--TEXT(IMREAL(IMDIV($D$1535:$D$1564&amp;"i","1+i"))*COUNTIF($I1552,$C$1535:$E$1564)*{2,0,-2},IF(M$1538=$M$1538,"0;!0;0","!0;0;0")))</f>
        <v>2</v>
      </c>
      <c r="N1552" s="1048" cm="1">
        <f t="array" ref="N1552">SUM(--TEXT(IMREAL(IMDIV($D$1535:$D$1564&amp;"i","1+i"))*COUNTIF($I1552,$C$1535:$E$1564)*{2,0,-2},IF(N$1538=$M$1538,"0;!0;0","!0;0;0")))</f>
        <v>0</v>
      </c>
      <c r="O1552" s="1048" cm="1">
        <f t="array" ref="O1552">SUM(J1552:K1552*{3,1})</f>
        <v>5</v>
      </c>
      <c r="P1552" s="895"/>
      <c r="Q1552" s="326"/>
    </row>
    <row r="1553" spans="2:17" ht="18.95" customHeight="1">
      <c r="B1553" s="1121"/>
      <c r="C1553" s="1038" t="s">
        <v>2846</v>
      </c>
      <c r="D1553" s="1039" t="s">
        <v>2856</v>
      </c>
      <c r="E1553" s="1043" t="s">
        <v>2824</v>
      </c>
      <c r="F1553" s="895"/>
      <c r="G1553" s="895"/>
      <c r="H1553" s="895"/>
      <c r="I1553" s="1035" t="s">
        <v>2847</v>
      </c>
      <c r="J1553" s="1048" cm="1">
        <f t="array" ref="J1553">SUM(N(IF(MMULT(N($C$1535:$E$1564=$I1553),{1;1;1}),SIGN(IMREAL(IMDIV($D$1535:$D$1564&amp;"i","1+i"))*MMULT(N($C$1535:$E$1564=$I1553),{1;0;-1})))=(2-COLUMN(A15))))</f>
        <v>0</v>
      </c>
      <c r="K1553" s="1048" cm="1">
        <f t="array" ref="K1553">SUM(N(IF(MMULT(N($C$1535:$E$1564=$I1553),{1;1;1}),SIGN(IMREAL(IMDIV($D$1535:$D$1564&amp;"i","1+i"))*MMULT(N($C$1535:$E$1564=$I1553),{1;0;-1})))=(2-COLUMN(B15))))</f>
        <v>1</v>
      </c>
      <c r="L1553" s="1048" cm="1">
        <f t="array" ref="L1553">SUM(N(IF(MMULT(N($C$1535:$E$1564=$I1553),{1;1;1}),SIGN(IMREAL(IMDIV($D$1535:$D$1564&amp;"i","1+i"))*MMULT(N($C$1535:$E$1564=$I1553),{1;0;-1})))=(2-COLUMN(C15))))</f>
        <v>2</v>
      </c>
      <c r="M1553" s="1048" cm="1">
        <f t="array" ref="M1553">SUM(--TEXT(IMREAL(IMDIV($D$1535:$D$1564&amp;"i","1+i"))*COUNTIF($I1553,$C$1535:$E$1564)*{2,0,-2},IF(M$1538=$M$1538,"0;!0;0","!0;0;0")))</f>
        <v>0</v>
      </c>
      <c r="N1553" s="1048" cm="1">
        <f t="array" ref="N1553">SUM(--TEXT(IMREAL(IMDIV($D$1535:$D$1564&amp;"i","1+i"))*COUNTIF($I1553,$C$1535:$E$1564)*{2,0,-2},IF(N$1538=$M$1538,"0;!0;0","!0;0;0")))</f>
        <v>4</v>
      </c>
      <c r="O1553" s="1048" cm="1">
        <f t="array" ref="O1553">SUM(J1553:K1553*{3,1})</f>
        <v>1</v>
      </c>
      <c r="P1553" s="895"/>
      <c r="Q1553" s="326"/>
    </row>
    <row r="1554" spans="2:17" ht="18.95" customHeight="1">
      <c r="B1554" s="1121"/>
      <c r="C1554" s="1038" t="s">
        <v>2839</v>
      </c>
      <c r="D1554" s="1039" t="s">
        <v>1666</v>
      </c>
      <c r="E1554" s="1043" t="s">
        <v>2836</v>
      </c>
      <c r="F1554" s="895"/>
      <c r="G1554" s="895"/>
      <c r="H1554" s="895"/>
      <c r="I1554" s="1035" t="s">
        <v>2829</v>
      </c>
      <c r="J1554" s="1048" cm="1">
        <f t="array" ref="J1554">SUM(N(IF(MMULT(N($C$1535:$E$1564=$I1554),{1;1;1}),SIGN(IMREAL(IMDIV($D$1535:$D$1564&amp;"i","1+i"))*MMULT(N($C$1535:$E$1564=$I1554),{1;0;-1})))=(2-COLUMN(A16))))</f>
        <v>2</v>
      </c>
      <c r="K1554" s="1048" cm="1">
        <f t="array" ref="K1554">SUM(N(IF(MMULT(N($C$1535:$E$1564=$I1554),{1;1;1}),SIGN(IMREAL(IMDIV($D$1535:$D$1564&amp;"i","1+i"))*MMULT(N($C$1535:$E$1564=$I1554),{1;0;-1})))=(2-COLUMN(B16))))</f>
        <v>1</v>
      </c>
      <c r="L1554" s="1048" cm="1">
        <f t="array" ref="L1554">SUM(N(IF(MMULT(N($C$1535:$E$1564=$I1554),{1;1;1}),SIGN(IMREAL(IMDIV($D$1535:$D$1564&amp;"i","1+i"))*MMULT(N($C$1535:$E$1564=$I1554),{1;0;-1})))=(2-COLUMN(C16))))</f>
        <v>0</v>
      </c>
      <c r="M1554" s="1048" cm="1">
        <f t="array" ref="M1554">SUM(--TEXT(IMREAL(IMDIV($D$1535:$D$1564&amp;"i","1+i"))*COUNTIF($I1554,$C$1535:$E$1564)*{2,0,-2},IF(M$1538=$M$1538,"0;!0;0","!0;0;0")))</f>
        <v>4</v>
      </c>
      <c r="N1554" s="1048" cm="1">
        <f t="array" ref="N1554">SUM(--TEXT(IMREAL(IMDIV($D$1535:$D$1564&amp;"i","1+i"))*COUNTIF($I1554,$C$1535:$E$1564)*{2,0,-2},IF(N$1538=$M$1538,"0;!0;0","!0;0;0")))</f>
        <v>0</v>
      </c>
      <c r="O1554" s="1048" cm="1">
        <f t="array" ref="O1554">SUM(J1554:K1554*{3,1})</f>
        <v>7</v>
      </c>
      <c r="P1554" s="895"/>
      <c r="Q1554" s="326"/>
    </row>
    <row r="1555" spans="2:17" ht="18.95" customHeight="1">
      <c r="B1555" s="1121" t="s">
        <v>2452</v>
      </c>
      <c r="C1555" s="1038" t="s">
        <v>2845</v>
      </c>
      <c r="D1555" s="1039" t="s">
        <v>2856</v>
      </c>
      <c r="E1555" s="1043" t="s">
        <v>2839</v>
      </c>
      <c r="F1555" s="895"/>
      <c r="G1555" s="895"/>
      <c r="H1555" s="895"/>
      <c r="I1555" s="1035" t="s">
        <v>2840</v>
      </c>
      <c r="J1555" s="1048" cm="1">
        <f t="array" ref="J1555">SUM(N(IF(MMULT(N($C$1535:$E$1564=$I1555),{1;1;1}),SIGN(IMREAL(IMDIV($D$1535:$D$1564&amp;"i","1+i"))*MMULT(N($C$1535:$E$1564=$I1555),{1;0;-1})))=(2-COLUMN(A17))))</f>
        <v>1</v>
      </c>
      <c r="K1555" s="1048" cm="1">
        <f t="array" ref="K1555">SUM(N(IF(MMULT(N($C$1535:$E$1564=$I1555),{1;1;1}),SIGN(IMREAL(IMDIV($D$1535:$D$1564&amp;"i","1+i"))*MMULT(N($C$1535:$E$1564=$I1555),{1;0;-1})))=(2-COLUMN(B17))))</f>
        <v>2</v>
      </c>
      <c r="L1555" s="1048" cm="1">
        <f t="array" ref="L1555">SUM(N(IF(MMULT(N($C$1535:$E$1564=$I1555),{1;1;1}),SIGN(IMREAL(IMDIV($D$1535:$D$1564&amp;"i","1+i"))*MMULT(N($C$1535:$E$1564=$I1555),{1;0;-1})))=(2-COLUMN(C17))))</f>
        <v>0</v>
      </c>
      <c r="M1555" s="1048" cm="1">
        <f t="array" ref="M1555">SUM(--TEXT(IMREAL(IMDIV($D$1535:$D$1564&amp;"i","1+i"))*COUNTIF($I1555,$C$1535:$E$1564)*{2,0,-2},IF(M$1538=$M$1538,"0;!0;0","!0;0;0")))</f>
        <v>1</v>
      </c>
      <c r="N1555" s="1048" cm="1">
        <f t="array" ref="N1555">SUM(--TEXT(IMREAL(IMDIV($D$1535:$D$1564&amp;"i","1+i"))*COUNTIF($I1555,$C$1535:$E$1564)*{2,0,-2},IF(N$1538=$M$1538,"0;!0;0","!0;0;0")))</f>
        <v>0</v>
      </c>
      <c r="O1555" s="1048" cm="1">
        <f t="array" ref="O1555">SUM(J1555:K1555*{3,1})</f>
        <v>5</v>
      </c>
      <c r="P1555" s="895"/>
      <c r="Q1555" s="326"/>
    </row>
    <row r="1556" spans="2:17" ht="18.95" customHeight="1">
      <c r="B1556" s="1121"/>
      <c r="C1556" s="1038" t="s">
        <v>2827</v>
      </c>
      <c r="D1556" s="1039" t="s">
        <v>2848</v>
      </c>
      <c r="E1556" s="1043" t="s">
        <v>2842</v>
      </c>
      <c r="F1556" s="895"/>
      <c r="G1556" s="895"/>
      <c r="H1556" s="895"/>
      <c r="I1556" s="1035" t="s">
        <v>2842</v>
      </c>
      <c r="J1556" s="1048" cm="1">
        <f t="array" ref="J1556">SUM(N(IF(MMULT(N($C$1535:$E$1564=$I1556),{1;1;1}),SIGN(IMREAL(IMDIV($D$1535:$D$1564&amp;"i","1+i"))*MMULT(N($C$1535:$E$1564=$I1556),{1;0;-1})))=(2-COLUMN(A18))))</f>
        <v>1</v>
      </c>
      <c r="K1556" s="1048" cm="1">
        <f t="array" ref="K1556">SUM(N(IF(MMULT(N($C$1535:$E$1564=$I1556),{1;1;1}),SIGN(IMREAL(IMDIV($D$1535:$D$1564&amp;"i","1+i"))*MMULT(N($C$1535:$E$1564=$I1556),{1;0;-1})))=(2-COLUMN(B18))))</f>
        <v>1</v>
      </c>
      <c r="L1556" s="1048" cm="1">
        <f t="array" ref="L1556">SUM(N(IF(MMULT(N($C$1535:$E$1564=$I1556),{1;1;1}),SIGN(IMREAL(IMDIV($D$1535:$D$1564&amp;"i","1+i"))*MMULT(N($C$1535:$E$1564=$I1556),{1;0;-1})))=(2-COLUMN(C18))))</f>
        <v>1</v>
      </c>
      <c r="M1556" s="1048" cm="1">
        <f t="array" ref="M1556">SUM(--TEXT(IMREAL(IMDIV($D$1535:$D$1564&amp;"i","1+i"))*COUNTIF($I1556,$C$1535:$E$1564)*{2,0,-2},IF(M$1538=$M$1538,"0;!0;0","!0;0;0")))</f>
        <v>2</v>
      </c>
      <c r="N1556" s="1048" cm="1">
        <f t="array" ref="N1556">SUM(--TEXT(IMREAL(IMDIV($D$1535:$D$1564&amp;"i","1+i"))*COUNTIF($I1556,$C$1535:$E$1564)*{2,0,-2},IF(N$1538=$M$1538,"0;!0;0","!0;0;0")))</f>
        <v>4</v>
      </c>
      <c r="O1556" s="1048" cm="1">
        <f t="array" ref="O1556">SUM(J1556:K1556*{3,1})</f>
        <v>4</v>
      </c>
      <c r="P1556" s="895"/>
      <c r="Q1556" s="326"/>
    </row>
    <row r="1557" spans="2:17" ht="18.95" customHeight="1">
      <c r="B1557" s="1121"/>
      <c r="C1557" s="1038" t="s">
        <v>2849</v>
      </c>
      <c r="D1557" s="1039" t="s">
        <v>2857</v>
      </c>
      <c r="E1557" s="1043" t="s">
        <v>2851</v>
      </c>
      <c r="F1557" s="895"/>
      <c r="G1557" s="895"/>
      <c r="H1557" s="895"/>
      <c r="I1557" s="1035" t="s">
        <v>2838</v>
      </c>
      <c r="J1557" s="1048" cm="1">
        <f t="array" ref="J1557">SUM(N(IF(MMULT(N($C$1535:$E$1564=$I1557),{1;1;1}),SIGN(IMREAL(IMDIV($D$1535:$D$1564&amp;"i","1+i"))*MMULT(N($C$1535:$E$1564=$I1557),{1;0;-1})))=(2-COLUMN(A19))))</f>
        <v>1</v>
      </c>
      <c r="K1557" s="1048" cm="1">
        <f t="array" ref="K1557">SUM(N(IF(MMULT(N($C$1535:$E$1564=$I1557),{1;1;1}),SIGN(IMREAL(IMDIV($D$1535:$D$1564&amp;"i","1+i"))*MMULT(N($C$1535:$E$1564=$I1557),{1;0;-1})))=(2-COLUMN(B19))))</f>
        <v>1</v>
      </c>
      <c r="L1557" s="1048" cm="1">
        <f t="array" ref="L1557">SUM(N(IF(MMULT(N($C$1535:$E$1564=$I1557),{1;1;1}),SIGN(IMREAL(IMDIV($D$1535:$D$1564&amp;"i","1+i"))*MMULT(N($C$1535:$E$1564=$I1557),{1;0;-1})))=(2-COLUMN(C19))))</f>
        <v>1</v>
      </c>
      <c r="M1557" s="1048" cm="1">
        <f t="array" ref="M1557">SUM(--TEXT(IMREAL(IMDIV($D$1535:$D$1564&amp;"i","1+i"))*COUNTIF($I1557,$C$1535:$E$1564)*{2,0,-2},IF(M$1538=$M$1538,"0;!0;0","!0;0;0")))</f>
        <v>1</v>
      </c>
      <c r="N1557" s="1048" cm="1">
        <f t="array" ref="N1557">SUM(--TEXT(IMREAL(IMDIV($D$1535:$D$1564&amp;"i","1+i"))*COUNTIF($I1557,$C$1535:$E$1564)*{2,0,-2},IF(N$1538=$M$1538,"0;!0;0","!0;0;0")))</f>
        <v>1</v>
      </c>
      <c r="O1557" s="1048" cm="1">
        <f t="array" ref="O1557">SUM(J1557:K1557*{3,1})</f>
        <v>4</v>
      </c>
      <c r="P1557" s="895"/>
      <c r="Q1557" s="326"/>
    </row>
    <row r="1558" spans="2:17" ht="18.95" customHeight="1" thickBot="1">
      <c r="B1558" s="1121"/>
      <c r="C1558" s="1038" t="s">
        <v>2821</v>
      </c>
      <c r="D1558" s="1039" t="s">
        <v>2841</v>
      </c>
      <c r="E1558" s="1043" t="s">
        <v>2847</v>
      </c>
      <c r="F1558" s="895"/>
      <c r="G1558" s="895"/>
      <c r="H1558" s="895"/>
      <c r="I1558" s="1036" t="s">
        <v>2844</v>
      </c>
      <c r="J1558" s="1048" cm="1">
        <f t="array" ref="J1558">SUM(N(IF(MMULT(N($C$1535:$E$1564=$I1558),{1;1;1}),SIGN(IMREAL(IMDIV($D$1535:$D$1564&amp;"i","1+i"))*MMULT(N($C$1535:$E$1564=$I1558),{1;0;-1})))=(2-COLUMN(A20))))</f>
        <v>2</v>
      </c>
      <c r="K1558" s="1048" cm="1">
        <f t="array" ref="K1558">SUM(N(IF(MMULT(N($C$1535:$E$1564=$I1558),{1;1;1}),SIGN(IMREAL(IMDIV($D$1535:$D$1564&amp;"i","1+i"))*MMULT(N($C$1535:$E$1564=$I1558),{1;0;-1})))=(2-COLUMN(B20))))</f>
        <v>1</v>
      </c>
      <c r="L1558" s="1048" cm="1">
        <f t="array" ref="L1558">SUM(N(IF(MMULT(N($C$1535:$E$1564=$I1558),{1;1;1}),SIGN(IMREAL(IMDIV($D$1535:$D$1564&amp;"i","1+i"))*MMULT(N($C$1535:$E$1564=$I1558),{1;0;-1})))=(2-COLUMN(C20))))</f>
        <v>0</v>
      </c>
      <c r="M1558" s="1048" cm="1">
        <f t="array" ref="M1558">SUM(--TEXT(IMREAL(IMDIV($D$1535:$D$1564&amp;"i","1+i"))*COUNTIF($I1558,$C$1535:$E$1564)*{2,0,-2},IF(M$1538=$M$1538,"0;!0;0","!0;0;0")))</f>
        <v>2</v>
      </c>
      <c r="N1558" s="1048" cm="1">
        <f t="array" ref="N1558">SUM(--TEXT(IMREAL(IMDIV($D$1535:$D$1564&amp;"i","1+i"))*COUNTIF($I1558,$C$1535:$E$1564)*{2,0,-2},IF(N$1538=$M$1538,"0;!0;0","!0;0;0")))</f>
        <v>0</v>
      </c>
      <c r="O1558" s="1048" cm="1">
        <f t="array" ref="O1558">SUM(J1558:K1558*{3,1})</f>
        <v>7</v>
      </c>
      <c r="P1558" s="895"/>
      <c r="Q1558" s="326"/>
    </row>
    <row r="1559" spans="2:17" ht="18.95" customHeight="1">
      <c r="B1559" s="1121"/>
      <c r="C1559" s="1038" t="s">
        <v>2829</v>
      </c>
      <c r="D1559" s="1039" t="s">
        <v>2841</v>
      </c>
      <c r="E1559" s="1043" t="s">
        <v>2840</v>
      </c>
      <c r="F1559" s="895"/>
      <c r="G1559" s="895"/>
      <c r="H1559" s="895"/>
      <c r="I1559" s="895"/>
      <c r="J1559" s="1037"/>
      <c r="K1559" s="1037"/>
      <c r="L1559" s="1037"/>
      <c r="M1559" s="1037"/>
      <c r="N1559" s="1037"/>
      <c r="O1559" s="1037"/>
      <c r="P1559" s="895"/>
      <c r="Q1559" s="326"/>
    </row>
    <row r="1560" spans="2:17" ht="18.95" customHeight="1">
      <c r="B1560" s="1121"/>
      <c r="C1560" s="1038" t="s">
        <v>2843</v>
      </c>
      <c r="D1560" s="1039" t="s">
        <v>2854</v>
      </c>
      <c r="E1560" s="1043" t="s">
        <v>2820</v>
      </c>
      <c r="F1560" s="895"/>
      <c r="G1560" s="1" t="s">
        <v>2858</v>
      </c>
      <c r="H1560" s="895"/>
      <c r="I1560" s="895"/>
      <c r="J1560" s="1037"/>
      <c r="K1560" s="1037"/>
      <c r="L1560" s="1037"/>
      <c r="M1560" s="1037"/>
      <c r="N1560" s="1037"/>
      <c r="O1560" s="1037"/>
      <c r="P1560" s="895"/>
      <c r="Q1560" s="326"/>
    </row>
    <row r="1561" spans="2:17" ht="18.95" customHeight="1">
      <c r="B1561" s="1121"/>
      <c r="C1561" s="1038" t="s">
        <v>2824</v>
      </c>
      <c r="D1561" s="1039" t="s">
        <v>2854</v>
      </c>
      <c r="E1561" s="1043" t="s">
        <v>2836</v>
      </c>
      <c r="F1561" s="895"/>
      <c r="H1561" s="895"/>
      <c r="I1561" s="895"/>
      <c r="J1561" s="1037"/>
      <c r="K1561" s="1037"/>
      <c r="L1561" s="1037"/>
      <c r="M1561" s="1037"/>
      <c r="N1561" s="1037"/>
      <c r="O1561" s="1037"/>
      <c r="P1561" s="895"/>
      <c r="Q1561" s="326"/>
    </row>
    <row r="1562" spans="2:17" ht="18.95" customHeight="1">
      <c r="B1562" s="1121"/>
      <c r="C1562" s="1038" t="s">
        <v>2844</v>
      </c>
      <c r="D1562" s="1039" t="s">
        <v>1666</v>
      </c>
      <c r="E1562" s="1043" t="s">
        <v>2838</v>
      </c>
      <c r="F1562" s="895"/>
      <c r="G1562" s="1" t="s">
        <v>2859</v>
      </c>
      <c r="H1562" s="895"/>
      <c r="I1562" s="895"/>
      <c r="J1562" s="1037"/>
      <c r="K1562" s="1037"/>
      <c r="L1562" s="1037"/>
      <c r="M1562" s="1037"/>
      <c r="N1562" s="1037"/>
      <c r="O1562" s="1037"/>
      <c r="P1562" s="895"/>
      <c r="Q1562" s="326"/>
    </row>
    <row r="1563" spans="2:17" ht="18.95" customHeight="1">
      <c r="B1563" s="1121"/>
      <c r="C1563" s="1038" t="s">
        <v>2823</v>
      </c>
      <c r="D1563" s="1039" t="s">
        <v>2850</v>
      </c>
      <c r="E1563" s="1043" t="s">
        <v>2818</v>
      </c>
      <c r="F1563" s="895"/>
      <c r="H1563" s="895"/>
      <c r="I1563" s="895"/>
      <c r="J1563" s="1037"/>
      <c r="K1563" s="1037"/>
      <c r="L1563" s="1037"/>
      <c r="M1563" s="1037"/>
      <c r="N1563" s="1037"/>
      <c r="O1563" s="1037"/>
      <c r="P1563" s="895"/>
      <c r="Q1563" s="326"/>
    </row>
    <row r="1564" spans="2:17" ht="18.95" customHeight="1">
      <c r="B1564" s="1122"/>
      <c r="C1564" s="1044" t="s">
        <v>2846</v>
      </c>
      <c r="D1564" s="1045" t="s">
        <v>1666</v>
      </c>
      <c r="E1564" s="1046" t="s">
        <v>2826</v>
      </c>
      <c r="F1564" s="895"/>
      <c r="G1564" s="1" t="s">
        <v>2860</v>
      </c>
      <c r="H1564" s="895"/>
      <c r="I1564" s="895"/>
      <c r="J1564" s="1037"/>
      <c r="K1564" s="1037"/>
      <c r="L1564" s="1037"/>
      <c r="M1564" s="1037"/>
      <c r="N1564" s="1037"/>
      <c r="O1564" s="1037"/>
      <c r="P1564" s="895"/>
      <c r="Q1564" s="326"/>
    </row>
    <row r="1565" spans="2:17" ht="18.95" customHeight="1">
      <c r="B1565" s="894"/>
      <c r="C1565" s="1047"/>
      <c r="D1565" s="1037"/>
      <c r="E1565" s="895"/>
      <c r="F1565" s="895"/>
      <c r="G1565" s="895"/>
      <c r="H1565" s="895"/>
      <c r="I1565" s="895"/>
      <c r="J1565" s="1037"/>
      <c r="K1565" s="1037"/>
      <c r="L1565" s="1037"/>
      <c r="M1565" s="1037"/>
      <c r="N1565" s="1037"/>
      <c r="O1565" s="1037"/>
      <c r="P1565" s="895"/>
      <c r="Q1565" s="326"/>
    </row>
    <row r="1566" spans="2:17" ht="18.95" customHeight="1">
      <c r="B1566" s="894"/>
      <c r="C1566" s="1047"/>
      <c r="D1566" s="1037"/>
      <c r="E1566" s="895"/>
      <c r="F1566" s="895"/>
      <c r="G1566" s="895"/>
      <c r="H1566" s="895"/>
      <c r="I1566" s="895"/>
      <c r="J1566" s="1037"/>
      <c r="K1566" s="1037"/>
      <c r="L1566" s="1037"/>
      <c r="M1566" s="1037"/>
      <c r="N1566" s="1037"/>
      <c r="O1566" s="1037"/>
      <c r="P1566" s="895"/>
      <c r="Q1566" s="326"/>
    </row>
    <row r="1567" spans="2:17" ht="18.95" customHeight="1" thickBot="1">
      <c r="B1567" s="304"/>
      <c r="C1567" s="305"/>
      <c r="D1567" s="305"/>
      <c r="E1567" s="305"/>
      <c r="F1567" s="305"/>
      <c r="G1567" s="305"/>
      <c r="H1567" s="305"/>
      <c r="I1567" s="305"/>
      <c r="J1567" s="305"/>
      <c r="K1567" s="305"/>
      <c r="L1567" s="305"/>
      <c r="M1567" s="305"/>
      <c r="N1567" s="305"/>
      <c r="O1567" s="305"/>
      <c r="P1567" s="305"/>
      <c r="Q1567" s="327"/>
    </row>
    <row r="1568" spans="2:17" ht="18.95" customHeight="1" thickBot="1"/>
    <row r="1569" spans="2:22" ht="18.95" customHeight="1">
      <c r="B1569" s="333"/>
      <c r="C1569" s="324"/>
      <c r="D1569" s="324"/>
      <c r="E1569" s="324"/>
      <c r="F1569" s="324"/>
      <c r="G1569" s="324"/>
      <c r="H1569" s="325"/>
    </row>
    <row r="1570" spans="2:22" ht="18.95" customHeight="1">
      <c r="B1570" s="1050" t="s">
        <v>2862</v>
      </c>
      <c r="C1570" s="972" t="s">
        <v>2863</v>
      </c>
      <c r="D1570" s="972" t="s">
        <v>2864</v>
      </c>
      <c r="E1570" s="972" t="s">
        <v>2865</v>
      </c>
      <c r="F1570" s="972" t="s">
        <v>2866</v>
      </c>
      <c r="G1570" s="116"/>
      <c r="H1570" s="326"/>
    </row>
    <row r="1571" spans="2:22" ht="18.95" customHeight="1">
      <c r="B1571" s="1050" t="s">
        <v>2867</v>
      </c>
      <c r="C1571" s="972" t="s">
        <v>2868</v>
      </c>
      <c r="D1571" s="972">
        <v>5</v>
      </c>
      <c r="E1571" s="972">
        <v>6</v>
      </c>
      <c r="F1571" s="972">
        <v>0</v>
      </c>
      <c r="G1571" s="116"/>
      <c r="H1571" s="326"/>
    </row>
    <row r="1572" spans="2:22" ht="18.95" customHeight="1">
      <c r="B1572" s="1050" t="s">
        <v>2867</v>
      </c>
      <c r="C1572" s="972" t="s">
        <v>2869</v>
      </c>
      <c r="D1572" s="972">
        <v>0</v>
      </c>
      <c r="E1572" s="972">
        <v>1</v>
      </c>
      <c r="F1572" s="972">
        <v>4</v>
      </c>
      <c r="G1572" s="116"/>
      <c r="H1572" s="326"/>
    </row>
    <row r="1573" spans="2:22" ht="18.95" customHeight="1">
      <c r="B1573" s="1050" t="s">
        <v>2870</v>
      </c>
      <c r="C1573" s="972" t="s">
        <v>2871</v>
      </c>
      <c r="D1573" s="972">
        <v>0</v>
      </c>
      <c r="E1573" s="972">
        <v>0</v>
      </c>
      <c r="F1573" s="972">
        <v>1</v>
      </c>
      <c r="G1573" s="116"/>
      <c r="H1573" s="326"/>
    </row>
    <row r="1574" spans="2:22" ht="18.95" customHeight="1">
      <c r="B1574" s="1050" t="s">
        <v>2870</v>
      </c>
      <c r="C1574" s="972" t="s">
        <v>2872</v>
      </c>
      <c r="D1574" s="972">
        <v>1</v>
      </c>
      <c r="E1574" s="972">
        <v>7</v>
      </c>
      <c r="F1574" s="972">
        <v>0</v>
      </c>
      <c r="G1574" s="116"/>
      <c r="H1574" s="326"/>
    </row>
    <row r="1575" spans="2:22" ht="18.95" customHeight="1">
      <c r="B1575" s="1050" t="s">
        <v>2870</v>
      </c>
      <c r="C1575" s="972" t="s">
        <v>2873</v>
      </c>
      <c r="D1575" s="972">
        <v>1</v>
      </c>
      <c r="E1575" s="972">
        <v>4</v>
      </c>
      <c r="F1575" s="972">
        <v>2</v>
      </c>
      <c r="G1575" s="116"/>
      <c r="H1575" s="326"/>
    </row>
    <row r="1576" spans="2:22" ht="18.95" customHeight="1">
      <c r="B1576" s="257"/>
      <c r="C1576" s="946"/>
      <c r="D1576" s="946"/>
      <c r="E1576" s="946"/>
      <c r="F1576" s="946"/>
      <c r="G1576" s="116"/>
      <c r="H1576" s="326"/>
    </row>
    <row r="1577" spans="2:22" ht="18.95" customHeight="1">
      <c r="B1577" s="257" t="s">
        <v>2874</v>
      </c>
      <c r="C1577" s="946"/>
      <c r="D1577" s="946"/>
      <c r="E1577" s="946"/>
      <c r="F1577" s="946"/>
      <c r="G1577" s="116"/>
      <c r="H1577" s="326"/>
    </row>
    <row r="1578" spans="2:22" ht="18.95" customHeight="1">
      <c r="B1578" s="257" t="s">
        <v>2875</v>
      </c>
      <c r="C1578" s="1015" cm="1">
        <f t="array" ref="C1578">COUNT(0/($D$1571:$F$1575&amp;$B$1571:$B$1575=0&amp;B1578))</f>
        <v>2</v>
      </c>
      <c r="D1578" s="946"/>
      <c r="E1578" s="946"/>
      <c r="F1578" s="946"/>
      <c r="G1578" s="116"/>
      <c r="H1578" s="326"/>
    </row>
    <row r="1579" spans="2:22" ht="18.95" customHeight="1">
      <c r="B1579" s="257" t="s">
        <v>2870</v>
      </c>
      <c r="C1579" s="1015" cm="1">
        <f t="array" ref="C1579">COUNT(0/($D$1571:$F$1575&amp;$B$1571:$B$1575=0&amp;B1579))</f>
        <v>3</v>
      </c>
      <c r="D1579" s="946"/>
      <c r="E1579" s="946"/>
      <c r="F1579" s="946"/>
      <c r="G1579" s="116"/>
      <c r="H1579" s="326"/>
    </row>
    <row r="1580" spans="2:22" ht="18.95" customHeight="1">
      <c r="B1580" s="254"/>
      <c r="C1580" s="116"/>
      <c r="D1580" s="116"/>
      <c r="E1580" s="116"/>
      <c r="F1580" s="116"/>
      <c r="G1580" s="116"/>
      <c r="H1580" s="326"/>
    </row>
    <row r="1581" spans="2:22" ht="18.95" customHeight="1">
      <c r="B1581" s="254"/>
      <c r="C1581" s="116" t="s">
        <v>2876</v>
      </c>
      <c r="D1581" s="116"/>
      <c r="E1581" s="116"/>
      <c r="F1581" s="116"/>
      <c r="G1581" s="116"/>
      <c r="H1581" s="326"/>
    </row>
    <row r="1582" spans="2:22" ht="18.95" customHeight="1" thickBot="1">
      <c r="B1582" s="304"/>
      <c r="C1582" s="305"/>
      <c r="D1582" s="305"/>
      <c r="E1582" s="305"/>
      <c r="F1582" s="305"/>
      <c r="G1582" s="305"/>
      <c r="H1582" s="327"/>
    </row>
    <row r="1583" spans="2:22" ht="18.95" customHeight="1" thickBot="1"/>
    <row r="1584" spans="2:22" ht="18.95" customHeight="1">
      <c r="B1584" s="333"/>
      <c r="C1584" s="324"/>
      <c r="D1584" s="324"/>
      <c r="E1584" s="324"/>
      <c r="F1584" s="324"/>
      <c r="G1584" s="324"/>
      <c r="H1584" s="324"/>
      <c r="I1584" s="324"/>
      <c r="J1584" s="324"/>
      <c r="K1584" s="324"/>
      <c r="L1584" s="324"/>
      <c r="M1584" s="324"/>
      <c r="N1584" s="324"/>
      <c r="O1584" s="324"/>
      <c r="P1584" s="324"/>
      <c r="Q1584" s="324"/>
      <c r="R1584" s="324"/>
      <c r="S1584" s="324"/>
      <c r="T1584" s="324"/>
      <c r="U1584" s="324"/>
      <c r="V1584" s="325"/>
    </row>
    <row r="1585" spans="2:22" ht="18.95" customHeight="1">
      <c r="B1585" s="1077" t="s">
        <v>2714</v>
      </c>
      <c r="C1585" s="1066" t="s">
        <v>2718</v>
      </c>
      <c r="D1585" s="1066" t="s">
        <v>2907</v>
      </c>
      <c r="E1585" s="1067" t="s">
        <v>46</v>
      </c>
      <c r="F1585" s="1078"/>
      <c r="G1585" s="1037"/>
      <c r="H1585" s="1037"/>
      <c r="I1585" s="1037"/>
      <c r="J1585" s="1037"/>
      <c r="K1585" s="1037"/>
      <c r="L1585" s="1037"/>
      <c r="M1585" s="1037"/>
      <c r="N1585" s="946"/>
      <c r="O1585" s="946"/>
      <c r="P1585" s="946"/>
      <c r="Q1585" s="946"/>
      <c r="R1585" s="946"/>
      <c r="S1585" s="946"/>
      <c r="T1585" s="116"/>
      <c r="U1585" s="116"/>
      <c r="V1585" s="326"/>
    </row>
    <row r="1586" spans="2:22" ht="18.95" customHeight="1">
      <c r="B1586" s="1079" t="s">
        <v>2908</v>
      </c>
      <c r="C1586" s="1068">
        <v>44775</v>
      </c>
      <c r="D1586" s="1069" t="s">
        <v>2909</v>
      </c>
      <c r="E1586" s="1070">
        <v>0.01</v>
      </c>
      <c r="F1586" s="1037">
        <f>MONTH(C1586)</f>
        <v>8</v>
      </c>
      <c r="G1586" s="1037"/>
      <c r="H1586" s="1037"/>
      <c r="I1586" s="1037"/>
      <c r="J1586" s="1037"/>
      <c r="K1586" s="1037"/>
      <c r="L1586" s="1037"/>
      <c r="M1586" s="1037"/>
      <c r="N1586" s="946"/>
      <c r="O1586" s="946"/>
      <c r="P1586" s="946"/>
      <c r="Q1586" s="946"/>
      <c r="R1586" s="946"/>
      <c r="S1586" s="946"/>
      <c r="T1586" s="116"/>
      <c r="U1586" s="116"/>
      <c r="V1586" s="326"/>
    </row>
    <row r="1587" spans="2:22" ht="18.95" customHeight="1">
      <c r="B1587" s="1079" t="s">
        <v>2908</v>
      </c>
      <c r="C1587" s="1068">
        <v>44775</v>
      </c>
      <c r="D1587" s="1069" t="s">
        <v>2909</v>
      </c>
      <c r="E1587" s="1070">
        <v>31.5</v>
      </c>
      <c r="F1587" s="1037">
        <f t="shared" ref="F1587:F1634" si="30">MONTH(C1587)</f>
        <v>8</v>
      </c>
      <c r="G1587" s="1064" t="s">
        <v>2378</v>
      </c>
      <c r="H1587" s="1065">
        <v>9</v>
      </c>
      <c r="I1587" s="1037" t="s">
        <v>2910</v>
      </c>
      <c r="J1587" s="1080" t="s">
        <v>2911</v>
      </c>
      <c r="K1587" s="1037"/>
      <c r="L1587" s="1037"/>
      <c r="M1587" s="1037"/>
      <c r="N1587" s="946"/>
      <c r="O1587" s="946"/>
      <c r="P1587" s="946"/>
      <c r="Q1587" s="946"/>
      <c r="R1587" s="946"/>
      <c r="S1587" s="946"/>
      <c r="T1587" s="116"/>
      <c r="U1587" s="116"/>
      <c r="V1587" s="326"/>
    </row>
    <row r="1588" spans="2:22" ht="18.95" customHeight="1">
      <c r="B1588" s="1079" t="s">
        <v>2912</v>
      </c>
      <c r="C1588" s="1068">
        <v>44775</v>
      </c>
      <c r="D1588" s="1069" t="s">
        <v>2913</v>
      </c>
      <c r="E1588" s="1070">
        <v>20</v>
      </c>
      <c r="F1588" s="1037">
        <f t="shared" si="30"/>
        <v>8</v>
      </c>
      <c r="G1588" s="1064" t="s">
        <v>2714</v>
      </c>
      <c r="H1588" s="1065" t="s">
        <v>2908</v>
      </c>
      <c r="I1588" s="1037" t="s">
        <v>2910</v>
      </c>
      <c r="J1588" s="1080" t="s">
        <v>2914</v>
      </c>
      <c r="K1588" s="1037"/>
      <c r="L1588" s="1037"/>
      <c r="M1588" s="1037"/>
      <c r="N1588" s="946"/>
      <c r="O1588" s="946"/>
      <c r="P1588" s="946"/>
      <c r="Q1588" s="946"/>
      <c r="R1588" s="946"/>
      <c r="S1588" s="946"/>
      <c r="T1588" s="116"/>
      <c r="U1588" s="116"/>
      <c r="V1588" s="326"/>
    </row>
    <row r="1589" spans="2:22" ht="18.95" customHeight="1">
      <c r="B1589" s="1079" t="s">
        <v>2912</v>
      </c>
      <c r="C1589" s="1068">
        <v>44775</v>
      </c>
      <c r="D1589" s="1069" t="s">
        <v>2915</v>
      </c>
      <c r="E1589" s="1070">
        <v>25</v>
      </c>
      <c r="F1589" s="1037">
        <f t="shared" si="30"/>
        <v>8</v>
      </c>
      <c r="G1589" s="1037"/>
      <c r="H1589" s="1037"/>
      <c r="I1589" s="1037"/>
      <c r="J1589" s="1037"/>
      <c r="K1589" s="1037"/>
      <c r="L1589" s="1037"/>
      <c r="M1589" s="1037"/>
      <c r="N1589" s="946"/>
      <c r="O1589" s="946"/>
      <c r="P1589" s="946"/>
      <c r="Q1589" s="946"/>
      <c r="R1589" s="946"/>
      <c r="S1589" s="946"/>
      <c r="T1589" s="116"/>
      <c r="U1589" s="116"/>
      <c r="V1589" s="326"/>
    </row>
    <row r="1590" spans="2:22" ht="18.95" customHeight="1">
      <c r="B1590" s="1079" t="s">
        <v>2908</v>
      </c>
      <c r="C1590" s="1068">
        <v>44777</v>
      </c>
      <c r="D1590" s="1069" t="s">
        <v>2909</v>
      </c>
      <c r="E1590" s="1070">
        <v>41</v>
      </c>
      <c r="F1590" s="1037">
        <f t="shared" si="30"/>
        <v>8</v>
      </c>
      <c r="G1590" s="1064" t="s">
        <v>2916</v>
      </c>
      <c r="H1590" s="1064" t="s">
        <v>46</v>
      </c>
      <c r="I1590" s="1037"/>
      <c r="J1590" s="946"/>
      <c r="K1590" s="946"/>
      <c r="L1590" s="946"/>
      <c r="M1590" s="946"/>
      <c r="N1590" s="946"/>
      <c r="O1590" s="946"/>
      <c r="P1590" s="946"/>
      <c r="Q1590" s="946"/>
      <c r="R1590" s="946"/>
      <c r="S1590" s="946"/>
      <c r="T1590" s="116"/>
      <c r="U1590" s="116"/>
      <c r="V1590" s="326"/>
    </row>
    <row r="1591" spans="2:22" ht="18.95" customHeight="1">
      <c r="B1591" s="1079" t="s">
        <v>2908</v>
      </c>
      <c r="C1591" s="1068">
        <v>44777</v>
      </c>
      <c r="D1591" s="1069" t="s">
        <v>2917</v>
      </c>
      <c r="E1591" s="1070">
        <v>47</v>
      </c>
      <c r="F1591" s="1037">
        <f t="shared" si="30"/>
        <v>8</v>
      </c>
      <c r="G1591" s="1081" t="str" cm="1">
        <f t="array" ref="G1591">LOOKUP(,0/FREQUENCY(1,(MONTH($C$1586:$C$1634)=$H$1587)*($B$1586:$B$1634=$H$1588)*(COUNTIF($G$1590:G1590,$D$1586:$D$1634)=0)),$D$1586:$D$1634)&amp;""</f>
        <v>伊欧诗</v>
      </c>
      <c r="H1591" s="1081">
        <f>SUMIFS($E$1586:$E$1634,$B$1586:$B$1634,$H$1588,$F$1586:$F$1634,$H$1587,$D$1586:$D$1634,G1591)</f>
        <v>39</v>
      </c>
      <c r="I1591" s="1037"/>
      <c r="J1591" s="949" t="s">
        <v>2935</v>
      </c>
      <c r="K1591" s="946"/>
      <c r="L1591" s="946"/>
      <c r="M1591" s="946"/>
      <c r="N1591" s="946"/>
      <c r="O1591" s="946"/>
      <c r="P1591" s="946"/>
      <c r="Q1591" s="946"/>
      <c r="R1591" s="946"/>
      <c r="S1591" s="946"/>
      <c r="T1591" s="116"/>
      <c r="U1591" s="116"/>
      <c r="V1591" s="326"/>
    </row>
    <row r="1592" spans="2:22" ht="18.95" customHeight="1">
      <c r="B1592" s="1079" t="s">
        <v>2908</v>
      </c>
      <c r="C1592" s="1068">
        <v>44777</v>
      </c>
      <c r="D1592" s="1069" t="s">
        <v>2909</v>
      </c>
      <c r="E1592" s="1070">
        <v>-41</v>
      </c>
      <c r="F1592" s="1037">
        <f t="shared" si="30"/>
        <v>8</v>
      </c>
      <c r="G1592" s="1081" t="str" cm="1">
        <f t="array" ref="G1592">LOOKUP(,0/FREQUENCY(1,(MONTH($C$1586:$C$1634)=$H$1587)*($B$1586:$B$1634=$H$1588)*(COUNTIF($G$1590:G1591,$D$1586:$D$1634)=0)),$D$1586:$D$1634)&amp;""</f>
        <v>欧莱雅</v>
      </c>
      <c r="H1592" s="1081">
        <f t="shared" ref="H1592:H1616" si="31">SUMIFS($E$1586:$E$1634,$B$1586:$B$1634,$H$1588,$F$1586:$F$1634,$H$1587,$D$1586:$D$1634,G1592)</f>
        <v>-184</v>
      </c>
      <c r="I1592" s="1037"/>
      <c r="J1592" s="946"/>
      <c r="K1592" s="946"/>
      <c r="L1592" s="946"/>
      <c r="M1592" s="946"/>
      <c r="N1592" s="946"/>
      <c r="O1592" s="946"/>
      <c r="P1592" s="946"/>
      <c r="Q1592" s="946"/>
      <c r="R1592" s="946"/>
      <c r="S1592" s="946"/>
      <c r="T1592" s="116"/>
      <c r="U1592" s="116"/>
      <c r="V1592" s="326"/>
    </row>
    <row r="1593" spans="2:22" ht="18.95" customHeight="1">
      <c r="B1593" s="1079" t="s">
        <v>2918</v>
      </c>
      <c r="C1593" s="1068">
        <v>44777</v>
      </c>
      <c r="D1593" s="1069" t="s">
        <v>2917</v>
      </c>
      <c r="E1593" s="1070">
        <v>-30</v>
      </c>
      <c r="F1593" s="1037">
        <f t="shared" si="30"/>
        <v>8</v>
      </c>
      <c r="G1593" s="1081" t="str" cm="1">
        <f t="array" ref="G1593">LOOKUP(,0/FREQUENCY(1,(MONTH($C$1586:$C$1634)=$H$1587)*($B$1586:$B$1634=$H$1588)*(COUNTIF($G$1590:G1592,$D$1586:$D$1634)=0)),$D$1586:$D$1634)&amp;""</f>
        <v>飘柔</v>
      </c>
      <c r="H1593" s="1081">
        <f t="shared" si="31"/>
        <v>0</v>
      </c>
      <c r="I1593" s="1037"/>
      <c r="J1593" s="949" t="s">
        <v>2936</v>
      </c>
      <c r="K1593" s="946"/>
      <c r="L1593" s="946"/>
      <c r="M1593" s="949"/>
      <c r="N1593" s="946"/>
      <c r="O1593" s="946"/>
      <c r="P1593" s="946"/>
      <c r="Q1593" s="946"/>
      <c r="R1593" s="946"/>
      <c r="S1593" s="946"/>
      <c r="T1593" s="116"/>
      <c r="U1593" s="116"/>
      <c r="V1593" s="326"/>
    </row>
    <row r="1594" spans="2:22" ht="18.95" customHeight="1">
      <c r="B1594" s="1079" t="s">
        <v>2918</v>
      </c>
      <c r="C1594" s="1068">
        <v>44809</v>
      </c>
      <c r="D1594" s="1069" t="s">
        <v>2919</v>
      </c>
      <c r="E1594" s="1070">
        <v>-14</v>
      </c>
      <c r="F1594" s="1037">
        <f t="shared" si="30"/>
        <v>9</v>
      </c>
      <c r="G1594" s="1081" t="str" cm="1">
        <f t="array" ref="G1594">LOOKUP(,0/FREQUENCY(1,(MONTH($C$1586:$C$1634)=$H$1587)*($B$1586:$B$1634=$H$1588)*(COUNTIF($G$1590:G1593,$D$1586:$D$1634)=0)),$D$1586:$D$1634)&amp;""</f>
        <v>强生婴儿</v>
      </c>
      <c r="H1594" s="1081">
        <f t="shared" si="31"/>
        <v>4.9000000000000004</v>
      </c>
      <c r="I1594" s="1037"/>
      <c r="J1594" s="946"/>
      <c r="K1594" s="946"/>
      <c r="L1594" s="946"/>
      <c r="M1594" s="946"/>
      <c r="N1594" s="946"/>
      <c r="O1594" s="946"/>
      <c r="P1594" s="946"/>
      <c r="Q1594" s="946"/>
      <c r="R1594" s="946"/>
      <c r="S1594" s="946"/>
      <c r="T1594" s="116"/>
      <c r="U1594" s="116"/>
      <c r="V1594" s="326"/>
    </row>
    <row r="1595" spans="2:22" ht="18.95" customHeight="1">
      <c r="B1595" s="1079" t="s">
        <v>2918</v>
      </c>
      <c r="C1595" s="1068">
        <v>44809</v>
      </c>
      <c r="D1595" s="1069" t="s">
        <v>2920</v>
      </c>
      <c r="E1595" s="1070">
        <v>-30.5</v>
      </c>
      <c r="F1595" s="1037">
        <f t="shared" si="30"/>
        <v>9</v>
      </c>
      <c r="G1595" s="1081" t="str" cm="1">
        <f t="array" ref="G1595">LOOKUP(,0/FREQUENCY(1,(MONTH($C$1586:$C$1634)=$H$1587)*($B$1586:$B$1634=$H$1588)*(COUNTIF($G$1590:G1594,$D$1586:$D$1634)=0)),$D$1586:$D$1634)&amp;""</f>
        <v/>
      </c>
      <c r="H1595" s="1081">
        <f t="shared" si="31"/>
        <v>0</v>
      </c>
      <c r="I1595" s="1037"/>
      <c r="J1595" s="946"/>
      <c r="K1595" s="946"/>
      <c r="L1595" s="946"/>
      <c r="M1595" s="949"/>
      <c r="N1595" s="946"/>
      <c r="O1595" s="946"/>
      <c r="P1595" s="946"/>
      <c r="Q1595" s="946"/>
      <c r="R1595" s="946"/>
      <c r="S1595" s="946"/>
      <c r="T1595" s="116"/>
      <c r="U1595" s="116"/>
      <c r="V1595" s="326"/>
    </row>
    <row r="1596" spans="2:22" ht="18.95" customHeight="1">
      <c r="B1596" s="1079" t="s">
        <v>2918</v>
      </c>
      <c r="C1596" s="1068">
        <v>44809</v>
      </c>
      <c r="D1596" s="1069" t="s">
        <v>2921</v>
      </c>
      <c r="E1596" s="1070">
        <v>-27.7</v>
      </c>
      <c r="F1596" s="1037">
        <f t="shared" si="30"/>
        <v>9</v>
      </c>
      <c r="G1596" s="1081" t="str" cm="1">
        <f t="array" ref="G1596">LOOKUP(,0/FREQUENCY(1,(MONTH($C$1586:$C$1634)=$H$1587)*($B$1586:$B$1634=$H$1588)*(COUNTIF($G$1590:G1595,$D$1586:$D$1634)=0)),$D$1586:$D$1634)&amp;""</f>
        <v/>
      </c>
      <c r="H1596" s="1081">
        <f t="shared" si="31"/>
        <v>0</v>
      </c>
      <c r="I1596" s="1037"/>
      <c r="J1596" s="949" t="s">
        <v>2938</v>
      </c>
      <c r="K1596" s="946"/>
      <c r="L1596" s="946"/>
      <c r="M1596" s="946"/>
      <c r="N1596" s="946" t="s">
        <v>2941</v>
      </c>
      <c r="O1596" s="946"/>
      <c r="P1596" s="946"/>
      <c r="Q1596" s="946"/>
      <c r="R1596" s="946"/>
      <c r="S1596" s="946"/>
      <c r="T1596" s="116"/>
      <c r="U1596" s="116"/>
      <c r="V1596" s="326"/>
    </row>
    <row r="1597" spans="2:22" ht="18.95" customHeight="1">
      <c r="B1597" s="1079" t="s">
        <v>2908</v>
      </c>
      <c r="C1597" s="1075">
        <v>44809</v>
      </c>
      <c r="D1597" s="1076" t="s">
        <v>2922</v>
      </c>
      <c r="E1597" s="1070">
        <v>39</v>
      </c>
      <c r="F1597" s="1037">
        <f t="shared" si="30"/>
        <v>9</v>
      </c>
      <c r="G1597" s="1081" t="str" cm="1">
        <f t="array" ref="G1597">LOOKUP(,0/FREQUENCY(1,(MONTH($C$1586:$C$1634)=$H$1587)*($B$1586:$B$1634=$H$1588)*(COUNTIF($G$1590:G1596,$D$1586:$D$1634)=0)),$D$1586:$D$1634)&amp;""</f>
        <v/>
      </c>
      <c r="H1597" s="1081">
        <f t="shared" si="31"/>
        <v>0</v>
      </c>
      <c r="I1597" s="1037"/>
      <c r="J1597" s="946"/>
      <c r="K1597" s="946"/>
      <c r="L1597" s="946"/>
      <c r="M1597" s="946"/>
      <c r="N1597" s="946"/>
      <c r="O1597" s="946"/>
      <c r="P1597" s="946"/>
      <c r="Q1597" s="946"/>
      <c r="R1597" s="946"/>
      <c r="S1597" s="946"/>
      <c r="T1597" s="116"/>
      <c r="U1597" s="116"/>
      <c r="V1597" s="326"/>
    </row>
    <row r="1598" spans="2:22" ht="18.95" customHeight="1">
      <c r="B1598" s="1079" t="s">
        <v>2908</v>
      </c>
      <c r="C1598" s="1075">
        <v>44809</v>
      </c>
      <c r="D1598" s="1076" t="s">
        <v>2923</v>
      </c>
      <c r="E1598" s="1070">
        <v>-18</v>
      </c>
      <c r="F1598" s="1037">
        <f t="shared" si="30"/>
        <v>9</v>
      </c>
      <c r="G1598" s="1081" t="str" cm="1">
        <f t="array" ref="G1598">LOOKUP(,0/FREQUENCY(1,(MONTH($C$1586:$C$1634)=$H$1587)*($B$1586:$B$1634=$H$1588)*(COUNTIF($G$1590:G1597,$D$1586:$D$1634)=0)),$D$1586:$D$1634)&amp;""</f>
        <v/>
      </c>
      <c r="H1598" s="1081">
        <f t="shared" si="31"/>
        <v>0</v>
      </c>
      <c r="I1598" s="1037"/>
      <c r="J1598" s="946" t="s">
        <v>2939</v>
      </c>
      <c r="K1598" s="946"/>
      <c r="L1598" s="946"/>
      <c r="M1598" s="946"/>
      <c r="N1598" s="946"/>
      <c r="O1598" s="946"/>
      <c r="P1598" s="946"/>
      <c r="Q1598" s="946"/>
      <c r="R1598" s="946"/>
      <c r="S1598" s="946"/>
      <c r="T1598" s="116"/>
      <c r="U1598" s="116"/>
      <c r="V1598" s="326"/>
    </row>
    <row r="1599" spans="2:22" ht="18.95" customHeight="1">
      <c r="B1599" s="1079" t="s">
        <v>2908</v>
      </c>
      <c r="C1599" s="1075">
        <v>44809</v>
      </c>
      <c r="D1599" s="1076" t="s">
        <v>2923</v>
      </c>
      <c r="E1599" s="1070">
        <v>-166</v>
      </c>
      <c r="F1599" s="1037">
        <f t="shared" si="30"/>
        <v>9</v>
      </c>
      <c r="G1599" s="1081" t="str" cm="1">
        <f t="array" ref="G1599">LOOKUP(,0/FREQUENCY(1,(MONTH($C$1586:$C$1634)=$H$1587)*($B$1586:$B$1634=$H$1588)*(COUNTIF($G$1590:G1598,$D$1586:$D$1634)=0)),$D$1586:$D$1634)&amp;""</f>
        <v/>
      </c>
      <c r="H1599" s="1081">
        <f t="shared" si="31"/>
        <v>0</v>
      </c>
      <c r="I1599" s="1037"/>
      <c r="J1599" s="946" t="s">
        <v>2940</v>
      </c>
      <c r="K1599" s="946"/>
      <c r="L1599" s="946"/>
      <c r="M1599" s="946"/>
      <c r="N1599" s="946"/>
      <c r="O1599" s="946"/>
      <c r="P1599" s="946"/>
      <c r="Q1599" s="946"/>
      <c r="R1599" s="946"/>
      <c r="S1599" s="946"/>
      <c r="T1599" s="116"/>
      <c r="U1599" s="116"/>
      <c r="V1599" s="326"/>
    </row>
    <row r="1600" spans="2:22" ht="18.95" customHeight="1">
      <c r="B1600" s="1079" t="s">
        <v>2908</v>
      </c>
      <c r="C1600" s="1075">
        <v>44809</v>
      </c>
      <c r="D1600" s="1076" t="s">
        <v>2921</v>
      </c>
      <c r="E1600" s="1070">
        <v>-14.9</v>
      </c>
      <c r="F1600" s="1037">
        <f t="shared" si="30"/>
        <v>9</v>
      </c>
      <c r="G1600" s="1081" t="str" cm="1">
        <f t="array" ref="G1600">LOOKUP(,0/FREQUENCY(1,(MONTH($C$1586:$C$1634)=$H$1587)*($B$1586:$B$1634=$H$1588)*(COUNTIF($G$1590:G1599,$D$1586:$D$1634)=0)),$D$1586:$D$1634)&amp;""</f>
        <v/>
      </c>
      <c r="H1600" s="1081">
        <f t="shared" si="31"/>
        <v>0</v>
      </c>
      <c r="I1600" s="1037"/>
      <c r="J1600" s="946"/>
      <c r="K1600" s="946"/>
      <c r="L1600" s="946"/>
      <c r="M1600" s="946"/>
      <c r="N1600" s="946"/>
      <c r="O1600" s="946"/>
      <c r="P1600" s="946"/>
      <c r="Q1600" s="946"/>
      <c r="R1600" s="946"/>
      <c r="S1600" s="946"/>
      <c r="T1600" s="116"/>
      <c r="U1600" s="116"/>
      <c r="V1600" s="326"/>
    </row>
    <row r="1601" spans="2:22" ht="18.95" customHeight="1" thickBot="1">
      <c r="B1601" s="1079" t="s">
        <v>2908</v>
      </c>
      <c r="C1601" s="1075">
        <v>44809</v>
      </c>
      <c r="D1601" s="1076" t="s">
        <v>2921</v>
      </c>
      <c r="E1601" s="1070">
        <v>14.9</v>
      </c>
      <c r="F1601" s="1037">
        <f t="shared" si="30"/>
        <v>9</v>
      </c>
      <c r="G1601" s="1081" t="str" cm="1">
        <f t="array" ref="G1601">LOOKUP(,0/FREQUENCY(1,(MONTH($C$1586:$C$1634)=$H$1587)*($B$1586:$B$1634=$H$1588)*(COUNTIF($G$1590:G1600,$D$1586:$D$1634)=0)),$D$1586:$D$1634)&amp;""</f>
        <v/>
      </c>
      <c r="H1601" s="1081">
        <f t="shared" si="31"/>
        <v>0</v>
      </c>
      <c r="I1601" s="1037"/>
      <c r="J1601" s="1083" t="s">
        <v>2949</v>
      </c>
      <c r="K1601" s="946"/>
      <c r="L1601" s="946"/>
      <c r="M1601" s="946"/>
      <c r="N1601" s="946"/>
      <c r="O1601" s="946"/>
      <c r="P1601" s="946"/>
      <c r="Q1601" s="946"/>
      <c r="R1601" s="946"/>
      <c r="S1601" s="946"/>
      <c r="T1601" s="116"/>
      <c r="U1601" s="116"/>
      <c r="V1601" s="326"/>
    </row>
    <row r="1602" spans="2:22" ht="18.95" customHeight="1" thickTop="1">
      <c r="B1602" s="1079" t="s">
        <v>2908</v>
      </c>
      <c r="C1602" s="1075">
        <v>44809</v>
      </c>
      <c r="D1602" s="1076" t="s">
        <v>2924</v>
      </c>
      <c r="E1602" s="1070">
        <v>14.9</v>
      </c>
      <c r="F1602" s="1037">
        <f t="shared" si="30"/>
        <v>9</v>
      </c>
      <c r="G1602" s="1081" t="str" cm="1">
        <f t="array" ref="G1602">LOOKUP(,0/FREQUENCY(1,(MONTH($C$1586:$C$1634)=$H$1587)*($B$1586:$B$1634=$H$1588)*(COUNTIF($G$1590:G1601,$D$1586:$D$1634)=0)),$D$1586:$D$1634)&amp;""</f>
        <v/>
      </c>
      <c r="H1602" s="1081">
        <f t="shared" si="31"/>
        <v>0</v>
      </c>
      <c r="I1602" s="1037"/>
      <c r="J1602" s="946"/>
      <c r="K1602" s="946"/>
      <c r="L1602" s="946"/>
      <c r="M1602" s="946"/>
      <c r="N1602" s="946"/>
      <c r="O1602" s="946"/>
      <c r="P1602" s="946"/>
      <c r="Q1602" s="946"/>
      <c r="R1602" s="946"/>
      <c r="S1602" s="946"/>
      <c r="T1602" s="116"/>
      <c r="U1602" s="116"/>
      <c r="V1602" s="326"/>
    </row>
    <row r="1603" spans="2:22" ht="18.95" customHeight="1">
      <c r="B1603" s="1079" t="s">
        <v>2908</v>
      </c>
      <c r="C1603" s="1075">
        <v>44809</v>
      </c>
      <c r="D1603" s="1076" t="s">
        <v>2924</v>
      </c>
      <c r="E1603" s="1070">
        <v>-10</v>
      </c>
      <c r="F1603" s="1037">
        <f t="shared" si="30"/>
        <v>9</v>
      </c>
      <c r="G1603" s="1081" t="str" cm="1">
        <f t="array" ref="G1603">LOOKUP(,0/FREQUENCY(1,(MONTH($C$1586:$C$1634)=$H$1587)*($B$1586:$B$1634=$H$1588)*(COUNTIF($G$1590:G1602,$D$1586:$D$1634)=0)),$D$1586:$D$1634)&amp;""</f>
        <v/>
      </c>
      <c r="H1603" s="1081">
        <f t="shared" si="31"/>
        <v>0</v>
      </c>
      <c r="I1603" s="1037"/>
      <c r="J1603" s="946"/>
      <c r="K1603" s="946"/>
      <c r="L1603" s="946"/>
      <c r="M1603" s="949"/>
      <c r="N1603" s="946"/>
      <c r="O1603" s="946"/>
      <c r="P1603" s="946"/>
      <c r="Q1603" s="946"/>
      <c r="R1603" s="946"/>
      <c r="S1603" s="946"/>
      <c r="T1603" s="116"/>
      <c r="U1603" s="116"/>
      <c r="V1603" s="326"/>
    </row>
    <row r="1604" spans="2:22" ht="18.95" customHeight="1">
      <c r="B1604" s="1079" t="s">
        <v>2918</v>
      </c>
      <c r="C1604" s="1068">
        <v>44844</v>
      </c>
      <c r="D1604" s="1069" t="s">
        <v>2925</v>
      </c>
      <c r="E1604" s="1070">
        <v>-12</v>
      </c>
      <c r="F1604" s="1037">
        <f t="shared" si="30"/>
        <v>10</v>
      </c>
      <c r="G1604" s="1081" t="str" cm="1">
        <f t="array" ref="G1604">LOOKUP(,0/FREQUENCY(1,(MONTH($C$1586:$C$1634)=$H$1587)*($B$1586:$B$1634=$H$1588)*(COUNTIF($G$1590:G1603,$D$1586:$D$1634)=0)),$D$1586:$D$1634)&amp;""</f>
        <v/>
      </c>
      <c r="H1604" s="1081">
        <f t="shared" si="31"/>
        <v>0</v>
      </c>
      <c r="I1604" s="1037"/>
      <c r="J1604" s="946"/>
      <c r="K1604" s="946"/>
      <c r="L1604" s="946"/>
      <c r="M1604" s="946"/>
      <c r="N1604" s="946"/>
      <c r="O1604" s="946"/>
      <c r="P1604" s="946"/>
      <c r="Q1604" s="946"/>
      <c r="R1604" s="946"/>
      <c r="S1604" s="946"/>
      <c r="T1604" s="116"/>
      <c r="U1604" s="116"/>
      <c r="V1604" s="326"/>
    </row>
    <row r="1605" spans="2:22" ht="18.95" customHeight="1">
      <c r="B1605" s="1079" t="s">
        <v>2918</v>
      </c>
      <c r="C1605" s="1068">
        <v>44844</v>
      </c>
      <c r="D1605" s="1069" t="s">
        <v>2924</v>
      </c>
      <c r="E1605" s="1070">
        <v>18</v>
      </c>
      <c r="F1605" s="1037">
        <f t="shared" si="30"/>
        <v>10</v>
      </c>
      <c r="G1605" s="1081" t="str" cm="1">
        <f t="array" ref="G1605">LOOKUP(,0/FREQUENCY(1,(MONTH($C$1586:$C$1634)=$H$1587)*($B$1586:$B$1634=$H$1588)*(COUNTIF($G$1590:G1604,$D$1586:$D$1634)=0)),$D$1586:$D$1634)&amp;""</f>
        <v/>
      </c>
      <c r="H1605" s="1081">
        <f t="shared" si="31"/>
        <v>0</v>
      </c>
      <c r="I1605" s="1037"/>
      <c r="J1605" s="946"/>
      <c r="K1605" s="946"/>
      <c r="L1605" s="946"/>
      <c r="M1605" s="949"/>
      <c r="N1605" s="946"/>
      <c r="O1605" s="946"/>
      <c r="P1605" s="946"/>
      <c r="Q1605" s="946"/>
      <c r="R1605" s="946"/>
      <c r="S1605" s="946"/>
      <c r="T1605" s="116"/>
      <c r="U1605" s="116"/>
      <c r="V1605" s="326"/>
    </row>
    <row r="1606" spans="2:22" ht="18.95" customHeight="1">
      <c r="B1606" s="1079" t="s">
        <v>2918</v>
      </c>
      <c r="C1606" s="1068">
        <v>44844</v>
      </c>
      <c r="D1606" s="1069" t="s">
        <v>2926</v>
      </c>
      <c r="E1606" s="1070">
        <v>30.5</v>
      </c>
      <c r="F1606" s="1037">
        <f t="shared" si="30"/>
        <v>10</v>
      </c>
      <c r="G1606" s="1081" t="str" cm="1">
        <f t="array" ref="G1606">LOOKUP(,0/FREQUENCY(1,(MONTH($C$1586:$C$1634)=$H$1587)*($B$1586:$B$1634=$H$1588)*(COUNTIF($G$1590:G1605,$D$1586:$D$1634)=0)),$D$1586:$D$1634)&amp;""</f>
        <v/>
      </c>
      <c r="H1606" s="1081">
        <f t="shared" si="31"/>
        <v>0</v>
      </c>
      <c r="I1606" s="1037"/>
      <c r="J1606" s="946"/>
      <c r="K1606" s="946"/>
      <c r="L1606" s="946"/>
      <c r="M1606" s="946"/>
      <c r="N1606" s="946"/>
      <c r="O1606" s="946"/>
      <c r="P1606" s="946"/>
      <c r="Q1606" s="946"/>
      <c r="R1606" s="946"/>
      <c r="S1606" s="946"/>
      <c r="T1606" s="116"/>
      <c r="U1606" s="116"/>
      <c r="V1606" s="326"/>
    </row>
    <row r="1607" spans="2:22" ht="18.95" customHeight="1">
      <c r="B1607" s="1079" t="s">
        <v>2918</v>
      </c>
      <c r="C1607" s="1068">
        <v>44844</v>
      </c>
      <c r="D1607" s="1069" t="s">
        <v>2927</v>
      </c>
      <c r="E1607" s="1070">
        <v>15</v>
      </c>
      <c r="F1607" s="1037">
        <f t="shared" si="30"/>
        <v>10</v>
      </c>
      <c r="G1607" s="1081" t="str" cm="1">
        <f t="array" ref="G1607">LOOKUP(,0/FREQUENCY(1,(MONTH($C$1586:$C$1634)=$H$1587)*($B$1586:$B$1634=$H$1588)*(COUNTIF($G$1590:G1606,$D$1586:$D$1634)=0)),$D$1586:$D$1634)&amp;""</f>
        <v/>
      </c>
      <c r="H1607" s="1081">
        <f t="shared" si="31"/>
        <v>0</v>
      </c>
      <c r="I1607" s="1037"/>
      <c r="J1607" s="946"/>
      <c r="K1607" s="946"/>
      <c r="L1607" s="946"/>
      <c r="M1607" s="946"/>
      <c r="N1607" s="946"/>
      <c r="O1607" s="946"/>
      <c r="P1607" s="946"/>
      <c r="Q1607" s="946"/>
      <c r="R1607" s="946"/>
      <c r="S1607" s="946"/>
      <c r="T1607" s="116"/>
      <c r="U1607" s="116"/>
      <c r="V1607" s="326"/>
    </row>
    <row r="1608" spans="2:22" ht="18.95" customHeight="1">
      <c r="B1608" s="1079" t="s">
        <v>2908</v>
      </c>
      <c r="C1608" s="1068">
        <v>44844</v>
      </c>
      <c r="D1608" s="1069" t="s">
        <v>2927</v>
      </c>
      <c r="E1608" s="1070">
        <v>45</v>
      </c>
      <c r="F1608" s="1037">
        <f t="shared" si="30"/>
        <v>10</v>
      </c>
      <c r="G1608" s="1081" t="str" cm="1">
        <f t="array" ref="G1608">LOOKUP(,0/FREQUENCY(1,(MONTH($C$1586:$C$1634)=$H$1587)*($B$1586:$B$1634=$H$1588)*(COUNTIF($G$1590:G1607,$D$1586:$D$1634)=0)),$D$1586:$D$1634)&amp;""</f>
        <v/>
      </c>
      <c r="H1608" s="1081">
        <f t="shared" si="31"/>
        <v>0</v>
      </c>
      <c r="I1608" s="1037"/>
      <c r="J1608" s="946"/>
      <c r="K1608" s="946"/>
      <c r="L1608" s="946"/>
      <c r="M1608" s="946"/>
      <c r="N1608" s="946"/>
      <c r="O1608" s="946"/>
      <c r="P1608" s="946"/>
      <c r="Q1608" s="946"/>
      <c r="R1608" s="946"/>
      <c r="S1608" s="946"/>
      <c r="T1608" s="116"/>
      <c r="U1608" s="116"/>
      <c r="V1608" s="326"/>
    </row>
    <row r="1609" spans="2:22" ht="18.95" customHeight="1">
      <c r="B1609" s="1079" t="s">
        <v>2908</v>
      </c>
      <c r="C1609" s="1068">
        <v>44844</v>
      </c>
      <c r="D1609" s="1069" t="s">
        <v>2926</v>
      </c>
      <c r="E1609" s="1070">
        <v>-29</v>
      </c>
      <c r="F1609" s="1037">
        <f t="shared" si="30"/>
        <v>10</v>
      </c>
      <c r="G1609" s="1081" t="str" cm="1">
        <f t="array" ref="G1609">LOOKUP(,0/FREQUENCY(1,(MONTH($C$1586:$C$1634)=$H$1587)*($B$1586:$B$1634=$H$1588)*(COUNTIF($G$1590:G1608,$D$1586:$D$1634)=0)),$D$1586:$D$1634)&amp;""</f>
        <v/>
      </c>
      <c r="H1609" s="1081">
        <f t="shared" si="31"/>
        <v>0</v>
      </c>
      <c r="I1609" s="1037"/>
      <c r="J1609" s="946"/>
      <c r="K1609" s="946"/>
      <c r="L1609" s="946"/>
      <c r="M1609" s="1037"/>
      <c r="N1609" s="946"/>
      <c r="O1609" s="946"/>
      <c r="P1609" s="946"/>
      <c r="Q1609" s="946"/>
      <c r="R1609" s="946"/>
      <c r="S1609" s="946"/>
      <c r="T1609" s="116"/>
      <c r="U1609" s="116"/>
      <c r="V1609" s="326"/>
    </row>
    <row r="1610" spans="2:22" ht="18.95" customHeight="1">
      <c r="B1610" s="1079" t="s">
        <v>2908</v>
      </c>
      <c r="C1610" s="1068">
        <v>44844</v>
      </c>
      <c r="D1610" s="1069" t="s">
        <v>2928</v>
      </c>
      <c r="E1610" s="1070">
        <v>5</v>
      </c>
      <c r="F1610" s="1037">
        <f t="shared" si="30"/>
        <v>10</v>
      </c>
      <c r="G1610" s="1081" t="str" cm="1">
        <f t="array" ref="G1610">LOOKUP(,0/FREQUENCY(1,(MONTH($C$1586:$C$1634)=$H$1587)*($B$1586:$B$1634=$H$1588)*(COUNTIF($G$1590:G1609,$D$1586:$D$1634)=0)),$D$1586:$D$1634)&amp;""</f>
        <v/>
      </c>
      <c r="H1610" s="1081">
        <f t="shared" si="31"/>
        <v>0</v>
      </c>
      <c r="I1610" s="1037"/>
      <c r="J1610" s="946"/>
      <c r="K1610" s="946"/>
      <c r="L1610" s="946"/>
      <c r="M1610" s="1037"/>
      <c r="N1610" s="946"/>
      <c r="O1610" s="946"/>
      <c r="P1610" s="946"/>
      <c r="Q1610" s="946"/>
      <c r="R1610" s="946"/>
      <c r="S1610" s="946"/>
      <c r="T1610" s="116"/>
      <c r="U1610" s="116"/>
      <c r="V1610" s="326"/>
    </row>
    <row r="1611" spans="2:22" ht="18.95" customHeight="1">
      <c r="B1611" s="1079" t="s">
        <v>2908</v>
      </c>
      <c r="C1611" s="1068">
        <v>44844</v>
      </c>
      <c r="D1611" s="1069" t="s">
        <v>2928</v>
      </c>
      <c r="E1611" s="1070">
        <v>-5</v>
      </c>
      <c r="F1611" s="1037">
        <f t="shared" si="30"/>
        <v>10</v>
      </c>
      <c r="G1611" s="1081" t="str" cm="1">
        <f t="array" ref="G1611">LOOKUP(,0/FREQUENCY(1,(MONTH($C$1586:$C$1634)=$H$1587)*($B$1586:$B$1634=$H$1588)*(COUNTIF($G$1590:G1610,$D$1586:$D$1634)=0)),$D$1586:$D$1634)&amp;""</f>
        <v/>
      </c>
      <c r="H1611" s="1081">
        <f t="shared" si="31"/>
        <v>0</v>
      </c>
      <c r="I1611" s="1037"/>
      <c r="J1611" s="946"/>
      <c r="K1611" s="946"/>
      <c r="L1611" s="946"/>
      <c r="M1611" s="1037"/>
      <c r="N1611" s="949" t="s">
        <v>2929</v>
      </c>
      <c r="O1611" s="946"/>
      <c r="P1611" s="946"/>
      <c r="Q1611" s="946"/>
      <c r="R1611" s="946"/>
      <c r="S1611" s="946"/>
      <c r="T1611" s="116"/>
      <c r="U1611" s="116"/>
      <c r="V1611" s="326"/>
    </row>
    <row r="1612" spans="2:22" ht="18.95" customHeight="1">
      <c r="B1612" s="1079" t="s">
        <v>2908</v>
      </c>
      <c r="C1612" s="1068">
        <v>44844</v>
      </c>
      <c r="D1612" s="1069" t="s">
        <v>2926</v>
      </c>
      <c r="E1612" s="1070">
        <v>-61</v>
      </c>
      <c r="F1612" s="1037">
        <f t="shared" si="30"/>
        <v>10</v>
      </c>
      <c r="G1612" s="1081" t="str" cm="1">
        <f t="array" ref="G1612">LOOKUP(,0/FREQUENCY(1,(MONTH($C$1586:$C$1634)=$H$1587)*($B$1586:$B$1634=$H$1588)*(COUNTIF($G$1590:G1611,$D$1586:$D$1634)=0)),$D$1586:$D$1634)&amp;""</f>
        <v/>
      </c>
      <c r="H1612" s="1081">
        <f t="shared" si="31"/>
        <v>0</v>
      </c>
      <c r="I1612" s="1037"/>
      <c r="J1612" s="946"/>
      <c r="K1612" s="946"/>
      <c r="L1612" s="946"/>
      <c r="M1612" s="1037"/>
      <c r="N1612" s="946"/>
      <c r="O1612" s="946"/>
      <c r="P1612" s="946"/>
      <c r="Q1612" s="946"/>
      <c r="R1612" s="946"/>
      <c r="S1612" s="946"/>
      <c r="T1612" s="116"/>
      <c r="U1612" s="116"/>
      <c r="V1612" s="326"/>
    </row>
    <row r="1613" spans="2:22" ht="18.95" customHeight="1">
      <c r="B1613" s="1079" t="s">
        <v>2908</v>
      </c>
      <c r="C1613" s="1068">
        <v>44844</v>
      </c>
      <c r="D1613" s="1069" t="s">
        <v>2930</v>
      </c>
      <c r="E1613" s="1070">
        <v>3</v>
      </c>
      <c r="F1613" s="1037">
        <f t="shared" si="30"/>
        <v>10</v>
      </c>
      <c r="G1613" s="1081" t="str" cm="1">
        <f t="array" ref="G1613">LOOKUP(,0/FREQUENCY(1,(MONTH($C$1586:$C$1634)=$H$1587)*($B$1586:$B$1634=$H$1588)*(COUNTIF($G$1590:G1612,$D$1586:$D$1634)=0)),$D$1586:$D$1634)&amp;""</f>
        <v/>
      </c>
      <c r="H1613" s="1081">
        <f t="shared" si="31"/>
        <v>0</v>
      </c>
      <c r="I1613" s="1037"/>
      <c r="J1613" s="946"/>
      <c r="K1613" s="946"/>
      <c r="L1613" s="946"/>
      <c r="M1613" s="1037"/>
      <c r="N1613" s="946"/>
      <c r="O1613" s="946"/>
      <c r="P1613" s="946"/>
      <c r="Q1613" s="946"/>
      <c r="R1613" s="946"/>
      <c r="S1613" s="946"/>
      <c r="T1613" s="116"/>
      <c r="U1613" s="116"/>
      <c r="V1613" s="326"/>
    </row>
    <row r="1614" spans="2:22" ht="18.95" customHeight="1">
      <c r="B1614" s="1079" t="s">
        <v>2918</v>
      </c>
      <c r="C1614" s="1068">
        <v>44849</v>
      </c>
      <c r="D1614" s="1069" t="s">
        <v>2927</v>
      </c>
      <c r="E1614" s="1070">
        <v>128</v>
      </c>
      <c r="F1614" s="1037">
        <f t="shared" si="30"/>
        <v>10</v>
      </c>
      <c r="G1614" s="1081" t="str" cm="1">
        <f t="array" ref="G1614">LOOKUP(,0/FREQUENCY(1,(MONTH($C$1586:$C$1634)=$H$1587)*($B$1586:$B$1634=$H$1588)*(COUNTIF($G$1590:G1613,$D$1586:$D$1634)=0)),$D$1586:$D$1634)&amp;""</f>
        <v/>
      </c>
      <c r="H1614" s="1081">
        <f t="shared" si="31"/>
        <v>0</v>
      </c>
      <c r="I1614" s="1037"/>
      <c r="J1614" s="946"/>
      <c r="K1614" s="946"/>
      <c r="L1614" s="946"/>
      <c r="M1614" s="1037"/>
      <c r="N1614" s="946"/>
      <c r="O1614" s="946"/>
      <c r="P1614" s="946"/>
      <c r="Q1614" s="946"/>
      <c r="R1614" s="946"/>
      <c r="S1614" s="946"/>
      <c r="T1614" s="116"/>
      <c r="U1614" s="116"/>
      <c r="V1614" s="326"/>
    </row>
    <row r="1615" spans="2:22" ht="18.95" customHeight="1">
      <c r="B1615" s="1079" t="s">
        <v>2918</v>
      </c>
      <c r="C1615" s="1068">
        <v>44849</v>
      </c>
      <c r="D1615" s="1069" t="s">
        <v>2921</v>
      </c>
      <c r="E1615" s="1070">
        <v>70</v>
      </c>
      <c r="F1615" s="1037">
        <f t="shared" si="30"/>
        <v>10</v>
      </c>
      <c r="G1615" s="1081" t="str" cm="1">
        <f t="array" ref="G1615">LOOKUP(,0/FREQUENCY(1,(MONTH($C$1586:$C$1634)=$H$1587)*($B$1586:$B$1634=$H$1588)*(COUNTIF($G$1590:G1614,$D$1586:$D$1634)=0)),$D$1586:$D$1634)&amp;""</f>
        <v/>
      </c>
      <c r="H1615" s="1081">
        <f t="shared" si="31"/>
        <v>0</v>
      </c>
      <c r="I1615" s="1037"/>
      <c r="J1615" s="946"/>
      <c r="K1615" s="946"/>
      <c r="L1615" s="946"/>
      <c r="M1615" s="1037"/>
      <c r="N1615" s="946"/>
      <c r="O1615" s="946"/>
      <c r="P1615" s="946"/>
      <c r="Q1615" s="946"/>
      <c r="R1615" s="946"/>
      <c r="S1615" s="946"/>
      <c r="T1615" s="116"/>
      <c r="U1615" s="116"/>
      <c r="V1615" s="326"/>
    </row>
    <row r="1616" spans="2:22" ht="18.95" customHeight="1">
      <c r="B1616" s="1079" t="s">
        <v>2918</v>
      </c>
      <c r="C1616" s="1068">
        <v>44849</v>
      </c>
      <c r="D1616" s="1069" t="s">
        <v>2921</v>
      </c>
      <c r="E1616" s="1070">
        <v>35</v>
      </c>
      <c r="F1616" s="1037">
        <f t="shared" si="30"/>
        <v>10</v>
      </c>
      <c r="G1616" s="1081" t="str" cm="1">
        <f t="array" ref="G1616">LOOKUP(,0/FREQUENCY(1,(MONTH($C$1586:$C$1634)=$H$1587)*($B$1586:$B$1634=$H$1588)*(COUNTIF($G$1590:G1615,$D$1586:$D$1634)=0)),$D$1586:$D$1634)&amp;""</f>
        <v/>
      </c>
      <c r="H1616" s="1081">
        <f t="shared" si="31"/>
        <v>0</v>
      </c>
      <c r="I1616" s="1037"/>
      <c r="J1616" s="946"/>
      <c r="K1616" s="946"/>
      <c r="L1616" s="946"/>
      <c r="M1616" s="1037"/>
      <c r="N1616" s="946"/>
      <c r="O1616" s="946"/>
      <c r="P1616" s="946"/>
      <c r="Q1616" s="946"/>
      <c r="R1616" s="946"/>
      <c r="S1616" s="946"/>
      <c r="T1616" s="116"/>
      <c r="U1616" s="116"/>
      <c r="V1616" s="326"/>
    </row>
    <row r="1617" spans="2:22" ht="18.95" customHeight="1">
      <c r="B1617" s="1079" t="s">
        <v>2918</v>
      </c>
      <c r="C1617" s="1068">
        <v>44849</v>
      </c>
      <c r="D1617" s="1069" t="s">
        <v>2923</v>
      </c>
      <c r="E1617" s="1070">
        <v>-108</v>
      </c>
      <c r="F1617" s="1037">
        <f t="shared" si="30"/>
        <v>10</v>
      </c>
      <c r="G1617" s="1037"/>
      <c r="H1617" s="1037"/>
      <c r="I1617" s="1037"/>
      <c r="J1617" s="946"/>
      <c r="K1617" s="946"/>
      <c r="L1617" s="946"/>
      <c r="M1617" s="1037"/>
      <c r="N1617" s="946"/>
      <c r="O1617" s="946"/>
      <c r="P1617" s="946"/>
      <c r="Q1617" s="946"/>
      <c r="R1617" s="946"/>
      <c r="S1617" s="946"/>
      <c r="T1617" s="116"/>
      <c r="U1617" s="116"/>
      <c r="V1617" s="326"/>
    </row>
    <row r="1618" spans="2:22" ht="18.95" customHeight="1">
      <c r="B1618" s="1079" t="s">
        <v>2918</v>
      </c>
      <c r="C1618" s="1068">
        <v>44849</v>
      </c>
      <c r="D1618" s="1069" t="s">
        <v>2921</v>
      </c>
      <c r="E1618" s="1070">
        <v>19.899999999999999</v>
      </c>
      <c r="F1618" s="1037">
        <f t="shared" si="30"/>
        <v>10</v>
      </c>
      <c r="G1618" s="1037"/>
      <c r="H1618" s="1037"/>
      <c r="I1618" s="1037"/>
      <c r="J1618" s="946"/>
      <c r="K1618" s="946"/>
      <c r="L1618" s="946"/>
      <c r="M1618" s="1037"/>
      <c r="N1618" s="946"/>
      <c r="O1618" s="946"/>
      <c r="P1618" s="946"/>
      <c r="Q1618" s="946"/>
      <c r="R1618" s="946"/>
      <c r="S1618" s="946"/>
      <c r="T1618" s="116"/>
      <c r="U1618" s="116"/>
      <c r="V1618" s="326"/>
    </row>
    <row r="1619" spans="2:22" ht="18.95" customHeight="1">
      <c r="B1619" s="1079" t="s">
        <v>2918</v>
      </c>
      <c r="C1619" s="1068">
        <v>44849</v>
      </c>
      <c r="D1619" s="1069" t="s">
        <v>2931</v>
      </c>
      <c r="E1619" s="1070">
        <v>280.5</v>
      </c>
      <c r="F1619" s="1037">
        <f t="shared" si="30"/>
        <v>10</v>
      </c>
      <c r="G1619" s="1037"/>
      <c r="H1619" s="1037"/>
      <c r="I1619" s="1037"/>
      <c r="J1619" s="946"/>
      <c r="K1619" s="946"/>
      <c r="L1619" s="946"/>
      <c r="M1619" s="1037"/>
      <c r="N1619" s="946"/>
      <c r="O1619" s="946"/>
      <c r="P1619" s="946"/>
      <c r="Q1619" s="946"/>
      <c r="R1619" s="946"/>
      <c r="S1619" s="946"/>
      <c r="T1619" s="116"/>
      <c r="U1619" s="116"/>
      <c r="V1619" s="326"/>
    </row>
    <row r="1620" spans="2:22" ht="18.95" customHeight="1">
      <c r="B1620" s="1079" t="s">
        <v>2918</v>
      </c>
      <c r="C1620" s="1068">
        <v>44849</v>
      </c>
      <c r="D1620" s="1069" t="s">
        <v>2921</v>
      </c>
      <c r="E1620" s="1070">
        <v>-19.899999999999999</v>
      </c>
      <c r="F1620" s="1037">
        <f t="shared" si="30"/>
        <v>10</v>
      </c>
      <c r="G1620" s="1037"/>
      <c r="H1620" s="1037"/>
      <c r="I1620" s="1037"/>
      <c r="J1620" s="946"/>
      <c r="K1620" s="946"/>
      <c r="L1620" s="946"/>
      <c r="M1620" s="1037"/>
      <c r="N1620" s="946"/>
      <c r="O1620" s="946"/>
      <c r="P1620" s="946"/>
      <c r="Q1620" s="946"/>
      <c r="R1620" s="946"/>
      <c r="S1620" s="946"/>
      <c r="T1620" s="116"/>
      <c r="U1620" s="116"/>
      <c r="V1620" s="326"/>
    </row>
    <row r="1621" spans="2:22" ht="18.95" customHeight="1">
      <c r="B1621" s="1079" t="s">
        <v>2918</v>
      </c>
      <c r="C1621" s="1068">
        <v>44849</v>
      </c>
      <c r="D1621" s="1069" t="s">
        <v>2931</v>
      </c>
      <c r="E1621" s="1070">
        <v>-280.5</v>
      </c>
      <c r="F1621" s="1037">
        <f t="shared" si="30"/>
        <v>10</v>
      </c>
      <c r="G1621" s="1037"/>
      <c r="H1621" s="1037"/>
      <c r="I1621" s="1037"/>
      <c r="J1621" s="946"/>
      <c r="K1621" s="946"/>
      <c r="L1621" s="946"/>
      <c r="M1621" s="1037"/>
      <c r="N1621" s="946"/>
      <c r="O1621" s="946"/>
      <c r="P1621" s="946"/>
      <c r="Q1621" s="946"/>
      <c r="R1621" s="946"/>
      <c r="S1621" s="946"/>
      <c r="T1621" s="116"/>
      <c r="U1621" s="116"/>
      <c r="V1621" s="326"/>
    </row>
    <row r="1622" spans="2:22" ht="18.95" customHeight="1">
      <c r="B1622" s="1079" t="s">
        <v>2912</v>
      </c>
      <c r="C1622" s="1071">
        <v>44871</v>
      </c>
      <c r="D1622" s="1069" t="s">
        <v>2923</v>
      </c>
      <c r="E1622" s="1070">
        <v>109</v>
      </c>
      <c r="F1622" s="1037">
        <f t="shared" si="30"/>
        <v>11</v>
      </c>
      <c r="G1622" s="1037"/>
      <c r="H1622" s="1037"/>
      <c r="I1622" s="1037"/>
      <c r="J1622" s="1037"/>
      <c r="K1622" s="1037"/>
      <c r="L1622" s="1037"/>
      <c r="M1622" s="1037"/>
      <c r="N1622" s="946"/>
      <c r="O1622" s="946"/>
      <c r="P1622" s="946"/>
      <c r="Q1622" s="946"/>
      <c r="R1622" s="946"/>
      <c r="S1622" s="946"/>
      <c r="T1622" s="116"/>
      <c r="U1622" s="116"/>
      <c r="V1622" s="326"/>
    </row>
    <row r="1623" spans="2:22" ht="18.95" customHeight="1">
      <c r="B1623" s="1079" t="s">
        <v>2912</v>
      </c>
      <c r="C1623" s="1071">
        <v>44871</v>
      </c>
      <c r="D1623" s="1069" t="s">
        <v>2923</v>
      </c>
      <c r="E1623" s="1070">
        <v>38</v>
      </c>
      <c r="F1623" s="1037">
        <f t="shared" si="30"/>
        <v>11</v>
      </c>
      <c r="G1623" s="1037"/>
      <c r="H1623" s="1037"/>
      <c r="I1623" s="1037"/>
      <c r="J1623" s="1037"/>
      <c r="K1623" s="1037"/>
      <c r="L1623" s="1037"/>
      <c r="M1623" s="1037"/>
      <c r="N1623" s="946"/>
      <c r="O1623" s="946"/>
      <c r="P1623" s="946"/>
      <c r="Q1623" s="946"/>
      <c r="R1623" s="946"/>
      <c r="S1623" s="946"/>
      <c r="T1623" s="116"/>
      <c r="U1623" s="116"/>
      <c r="V1623" s="326"/>
    </row>
    <row r="1624" spans="2:22" ht="18.95" customHeight="1">
      <c r="B1624" s="1079" t="s">
        <v>2908</v>
      </c>
      <c r="C1624" s="1071">
        <v>44871</v>
      </c>
      <c r="D1624" s="1069" t="s">
        <v>2923</v>
      </c>
      <c r="E1624" s="1070">
        <v>-109</v>
      </c>
      <c r="F1624" s="1037">
        <f t="shared" si="30"/>
        <v>11</v>
      </c>
      <c r="G1624" s="1037"/>
      <c r="H1624" s="1037"/>
      <c r="I1624" s="1037"/>
      <c r="J1624" s="1037"/>
      <c r="K1624" s="1037"/>
      <c r="L1624" s="1037"/>
      <c r="M1624" s="1037"/>
      <c r="N1624" s="946"/>
      <c r="O1624" s="946"/>
      <c r="P1624" s="946"/>
      <c r="Q1624" s="946"/>
      <c r="R1624" s="946"/>
      <c r="S1624" s="946"/>
      <c r="T1624" s="116"/>
      <c r="U1624" s="116"/>
      <c r="V1624" s="326"/>
    </row>
    <row r="1625" spans="2:22" ht="18.95" customHeight="1">
      <c r="B1625" s="1079" t="s">
        <v>2908</v>
      </c>
      <c r="C1625" s="1071">
        <v>44871</v>
      </c>
      <c r="D1625" s="1069" t="s">
        <v>2923</v>
      </c>
      <c r="E1625" s="1070">
        <v>-38</v>
      </c>
      <c r="F1625" s="1037">
        <f t="shared" si="30"/>
        <v>11</v>
      </c>
      <c r="G1625" s="1037"/>
      <c r="H1625" s="1037"/>
      <c r="I1625" s="1037"/>
      <c r="J1625" s="1037"/>
      <c r="K1625" s="1037"/>
      <c r="L1625" s="1037"/>
      <c r="M1625" s="1037"/>
      <c r="N1625" s="946"/>
      <c r="O1625" s="946"/>
      <c r="P1625" s="946"/>
      <c r="Q1625" s="946"/>
      <c r="R1625" s="946"/>
      <c r="S1625" s="946"/>
      <c r="T1625" s="116"/>
      <c r="U1625" s="116"/>
      <c r="V1625" s="326"/>
    </row>
    <row r="1626" spans="2:22" ht="18.95" customHeight="1">
      <c r="B1626" s="1079" t="s">
        <v>2908</v>
      </c>
      <c r="C1626" s="1071">
        <v>44871</v>
      </c>
      <c r="D1626" s="1069" t="s">
        <v>2932</v>
      </c>
      <c r="E1626" s="1070">
        <v>376</v>
      </c>
      <c r="F1626" s="1037">
        <f t="shared" si="30"/>
        <v>11</v>
      </c>
      <c r="G1626" s="1037"/>
      <c r="H1626" s="1037"/>
      <c r="I1626" s="1037"/>
      <c r="J1626" s="1037"/>
      <c r="K1626" s="1037"/>
      <c r="L1626" s="1037"/>
      <c r="M1626" s="1037"/>
      <c r="N1626" s="946"/>
      <c r="O1626" s="946"/>
      <c r="P1626" s="946"/>
      <c r="Q1626" s="946"/>
      <c r="R1626" s="946"/>
      <c r="S1626" s="946"/>
      <c r="T1626" s="116"/>
      <c r="U1626" s="116"/>
      <c r="V1626" s="326"/>
    </row>
    <row r="1627" spans="2:22" ht="18.95" customHeight="1">
      <c r="B1627" s="1079" t="s">
        <v>2918</v>
      </c>
      <c r="C1627" s="1071">
        <v>44871</v>
      </c>
      <c r="D1627" s="1069" t="s">
        <v>2933</v>
      </c>
      <c r="E1627" s="1070">
        <v>11</v>
      </c>
      <c r="F1627" s="1037">
        <f t="shared" si="30"/>
        <v>11</v>
      </c>
      <c r="G1627" s="1037"/>
      <c r="H1627" s="1037"/>
      <c r="I1627" s="1037"/>
      <c r="J1627" s="1037"/>
      <c r="K1627" s="1037"/>
      <c r="L1627" s="1037"/>
      <c r="M1627" s="1037"/>
      <c r="N1627" s="946"/>
      <c r="O1627" s="946"/>
      <c r="P1627" s="946"/>
      <c r="Q1627" s="946"/>
      <c r="R1627" s="946"/>
      <c r="S1627" s="946"/>
      <c r="T1627" s="116"/>
      <c r="U1627" s="116"/>
      <c r="V1627" s="326"/>
    </row>
    <row r="1628" spans="2:22" ht="18.95" customHeight="1">
      <c r="B1628" s="1079" t="s">
        <v>2918</v>
      </c>
      <c r="C1628" s="1071">
        <v>44871</v>
      </c>
      <c r="D1628" s="1069" t="s">
        <v>2923</v>
      </c>
      <c r="E1628" s="1070">
        <v>115.5</v>
      </c>
      <c r="F1628" s="1037">
        <f t="shared" si="30"/>
        <v>11</v>
      </c>
      <c r="G1628" s="1037"/>
      <c r="H1628" s="1037"/>
      <c r="I1628" s="1037"/>
      <c r="J1628" s="1037"/>
      <c r="K1628" s="1037"/>
      <c r="L1628" s="1037"/>
      <c r="M1628" s="1037"/>
      <c r="N1628" s="946"/>
      <c r="O1628" s="946"/>
      <c r="P1628" s="946"/>
      <c r="Q1628" s="946"/>
      <c r="R1628" s="946"/>
      <c r="S1628" s="946"/>
      <c r="T1628" s="116"/>
      <c r="U1628" s="116"/>
      <c r="V1628" s="326"/>
    </row>
    <row r="1629" spans="2:22" ht="18.95" customHeight="1">
      <c r="B1629" s="1079" t="s">
        <v>2918</v>
      </c>
      <c r="C1629" s="1071">
        <v>44871</v>
      </c>
      <c r="D1629" s="1069" t="s">
        <v>2921</v>
      </c>
      <c r="E1629" s="1070">
        <v>20</v>
      </c>
      <c r="F1629" s="1037">
        <f t="shared" si="30"/>
        <v>11</v>
      </c>
      <c r="G1629" s="1037"/>
      <c r="H1629" s="1037"/>
      <c r="I1629" s="1037"/>
      <c r="J1629" s="1037"/>
      <c r="K1629" s="1037"/>
      <c r="L1629" s="1037"/>
      <c r="M1629" s="1037"/>
      <c r="N1629" s="946"/>
      <c r="O1629" s="946"/>
      <c r="P1629" s="946"/>
      <c r="Q1629" s="946"/>
      <c r="R1629" s="946"/>
      <c r="S1629" s="946"/>
      <c r="T1629" s="116"/>
      <c r="U1629" s="116"/>
      <c r="V1629" s="326"/>
    </row>
    <row r="1630" spans="2:22" ht="18.95" customHeight="1">
      <c r="B1630" s="1079" t="s">
        <v>2918</v>
      </c>
      <c r="C1630" s="1071">
        <v>44890</v>
      </c>
      <c r="D1630" s="1069" t="s">
        <v>2932</v>
      </c>
      <c r="E1630" s="1070">
        <v>-376</v>
      </c>
      <c r="F1630" s="1037">
        <f t="shared" si="30"/>
        <v>11</v>
      </c>
      <c r="G1630" s="1037"/>
      <c r="H1630" s="1037"/>
      <c r="I1630" s="1037"/>
      <c r="J1630" s="1037"/>
      <c r="K1630" s="1037"/>
      <c r="L1630" s="1037"/>
      <c r="M1630" s="1037"/>
      <c r="N1630" s="946"/>
      <c r="O1630" s="946"/>
      <c r="P1630" s="946"/>
      <c r="Q1630" s="946"/>
      <c r="R1630" s="946"/>
      <c r="S1630" s="946"/>
      <c r="T1630" s="116"/>
      <c r="U1630" s="116"/>
      <c r="V1630" s="326"/>
    </row>
    <row r="1631" spans="2:22" ht="18.95" customHeight="1">
      <c r="B1631" s="1079" t="s">
        <v>2912</v>
      </c>
      <c r="C1631" s="1071">
        <v>44890</v>
      </c>
      <c r="D1631" s="1069" t="s">
        <v>2933</v>
      </c>
      <c r="E1631" s="1070">
        <v>-11</v>
      </c>
      <c r="F1631" s="1037">
        <f t="shared" si="30"/>
        <v>11</v>
      </c>
      <c r="G1631" s="1037"/>
      <c r="H1631" s="1037"/>
      <c r="I1631" s="1037"/>
      <c r="J1631" s="1037"/>
      <c r="K1631" s="1037"/>
      <c r="L1631" s="1037"/>
      <c r="M1631" s="1037"/>
      <c r="N1631" s="946"/>
      <c r="O1631" s="946"/>
      <c r="P1631" s="946"/>
      <c r="Q1631" s="946"/>
      <c r="R1631" s="946"/>
      <c r="S1631" s="946"/>
      <c r="T1631" s="116"/>
      <c r="U1631" s="116"/>
      <c r="V1631" s="326"/>
    </row>
    <row r="1632" spans="2:22" ht="18.95" customHeight="1">
      <c r="B1632" s="1079" t="s">
        <v>2912</v>
      </c>
      <c r="C1632" s="1071">
        <v>44890</v>
      </c>
      <c r="D1632" s="1069" t="s">
        <v>2923</v>
      </c>
      <c r="E1632" s="1070">
        <v>-115.5</v>
      </c>
      <c r="F1632" s="1037">
        <f t="shared" si="30"/>
        <v>11</v>
      </c>
      <c r="G1632" s="1037"/>
      <c r="H1632" s="1037"/>
      <c r="I1632" s="1037"/>
      <c r="J1632" s="1037"/>
      <c r="K1632" s="1037"/>
      <c r="L1632" s="1037"/>
      <c r="M1632" s="1037"/>
      <c r="N1632" s="946"/>
      <c r="O1632" s="946"/>
      <c r="P1632" s="946"/>
      <c r="Q1632" s="946"/>
      <c r="R1632" s="946"/>
      <c r="S1632" s="946"/>
      <c r="T1632" s="116"/>
      <c r="U1632" s="116"/>
      <c r="V1632" s="326"/>
    </row>
    <row r="1633" spans="2:22" ht="18.95" customHeight="1">
      <c r="B1633" s="1079" t="s">
        <v>2912</v>
      </c>
      <c r="C1633" s="1071">
        <v>44890</v>
      </c>
      <c r="D1633" s="1069" t="s">
        <v>2921</v>
      </c>
      <c r="E1633" s="1070">
        <v>-4.5</v>
      </c>
      <c r="F1633" s="1037">
        <f t="shared" si="30"/>
        <v>11</v>
      </c>
      <c r="G1633" s="1037"/>
      <c r="H1633" s="1037"/>
      <c r="I1633" s="1037"/>
      <c r="J1633" s="1037"/>
      <c r="K1633" s="1037"/>
      <c r="L1633" s="1037"/>
      <c r="M1633" s="1037"/>
      <c r="N1633" s="946"/>
      <c r="O1633" s="946"/>
      <c r="P1633" s="946"/>
      <c r="Q1633" s="946"/>
      <c r="R1633" s="946"/>
      <c r="S1633" s="946"/>
      <c r="T1633" s="116"/>
      <c r="U1633" s="116"/>
      <c r="V1633" s="326"/>
    </row>
    <row r="1634" spans="2:22" ht="18.95" customHeight="1">
      <c r="B1634" s="1082" t="s">
        <v>2912</v>
      </c>
      <c r="C1634" s="1072">
        <v>44890</v>
      </c>
      <c r="D1634" s="1073" t="s">
        <v>2934</v>
      </c>
      <c r="E1634" s="1074">
        <v>65</v>
      </c>
      <c r="F1634" s="1037">
        <f t="shared" si="30"/>
        <v>11</v>
      </c>
      <c r="G1634" s="1037"/>
      <c r="H1634" s="1037"/>
      <c r="I1634" s="1037"/>
      <c r="J1634" s="1037"/>
      <c r="K1634" s="1037"/>
      <c r="L1634" s="1037"/>
      <c r="M1634" s="1037"/>
      <c r="N1634" s="946"/>
      <c r="O1634" s="946"/>
      <c r="P1634" s="946"/>
      <c r="Q1634" s="946"/>
      <c r="R1634" s="946"/>
      <c r="S1634" s="946"/>
      <c r="T1634" s="116"/>
      <c r="U1634" s="116"/>
      <c r="V1634" s="326"/>
    </row>
    <row r="1635" spans="2:22" ht="18.95" customHeight="1">
      <c r="B1635" s="254"/>
      <c r="C1635" s="116"/>
      <c r="D1635" s="116"/>
      <c r="E1635" s="116"/>
      <c r="F1635" s="116"/>
      <c r="G1635" s="116"/>
      <c r="H1635" s="116"/>
      <c r="I1635" s="116"/>
      <c r="J1635" s="116"/>
      <c r="K1635" s="116"/>
      <c r="L1635" s="116"/>
      <c r="M1635" s="116"/>
      <c r="N1635" s="116"/>
      <c r="O1635" s="116"/>
      <c r="P1635" s="116"/>
      <c r="Q1635" s="116"/>
      <c r="R1635" s="116"/>
      <c r="S1635" s="116"/>
      <c r="T1635" s="116"/>
      <c r="U1635" s="116"/>
      <c r="V1635" s="326"/>
    </row>
    <row r="1636" spans="2:22" ht="18.95" customHeight="1" thickBot="1">
      <c r="B1636" s="304"/>
      <c r="C1636" s="305"/>
      <c r="D1636" s="305"/>
      <c r="E1636" s="305"/>
      <c r="F1636" s="305"/>
      <c r="G1636" s="305"/>
      <c r="H1636" s="305"/>
      <c r="I1636" s="305"/>
      <c r="J1636" s="305"/>
      <c r="K1636" s="305"/>
      <c r="L1636" s="305"/>
      <c r="M1636" s="305"/>
      <c r="N1636" s="305"/>
      <c r="O1636" s="305"/>
      <c r="P1636" s="305"/>
      <c r="Q1636" s="305"/>
      <c r="R1636" s="305"/>
      <c r="S1636" s="305"/>
      <c r="T1636" s="305"/>
      <c r="U1636" s="305"/>
      <c r="V1636" s="327"/>
    </row>
    <row r="1639" spans="2:22" ht="18.95" customHeight="1" thickBot="1">
      <c r="B1639"/>
      <c r="C1639"/>
      <c r="D1639"/>
      <c r="E1639"/>
      <c r="F1639"/>
      <c r="G1639"/>
      <c r="H1639"/>
      <c r="I1639"/>
      <c r="J1639"/>
      <c r="K1639"/>
      <c r="L1639"/>
      <c r="M1639"/>
      <c r="N1639"/>
      <c r="O1639"/>
      <c r="P1639"/>
      <c r="Q1639"/>
      <c r="R1639"/>
      <c r="S1639"/>
    </row>
    <row r="1640" spans="2:22" ht="18.95" customHeight="1">
      <c r="B1640" s="255"/>
      <c r="C1640" s="977"/>
      <c r="D1640" s="977"/>
      <c r="E1640" s="977"/>
      <c r="F1640" s="977"/>
      <c r="G1640" s="977"/>
      <c r="H1640" s="1089" t="s">
        <v>2957</v>
      </c>
      <c r="I1640" s="977"/>
      <c r="J1640" s="977"/>
      <c r="K1640" s="977"/>
      <c r="L1640" s="977"/>
      <c r="M1640" s="977"/>
      <c r="N1640" s="977"/>
      <c r="O1640" s="977"/>
      <c r="P1640" s="977"/>
      <c r="Q1640" s="977"/>
      <c r="R1640" s="977"/>
      <c r="S1640" s="977"/>
      <c r="T1640" s="324"/>
      <c r="U1640" s="325"/>
    </row>
    <row r="1641" spans="2:22" ht="18.95" customHeight="1">
      <c r="B1641" s="257"/>
      <c r="C1641" s="946"/>
      <c r="D1641" s="946"/>
      <c r="E1641" s="946"/>
      <c r="F1641" s="946"/>
      <c r="G1641" s="946"/>
      <c r="H1641" s="949" t="s">
        <v>2956</v>
      </c>
      <c r="I1641" s="946"/>
      <c r="J1641" s="946"/>
      <c r="K1641" s="946"/>
      <c r="L1641" s="946"/>
      <c r="M1641" s="946"/>
      <c r="N1641" s="946"/>
      <c r="O1641" s="946"/>
      <c r="P1641" s="946"/>
      <c r="Q1641" s="946"/>
      <c r="R1641" s="946"/>
      <c r="S1641" s="946"/>
      <c r="T1641" s="116"/>
      <c r="U1641" s="326"/>
    </row>
    <row r="1642" spans="2:22" ht="18.95" customHeight="1">
      <c r="B1642" s="257"/>
      <c r="C1642" s="946"/>
      <c r="D1642" s="946"/>
      <c r="E1642" s="946"/>
      <c r="F1642" s="946"/>
      <c r="G1642" s="946"/>
      <c r="H1642" s="949" t="s">
        <v>2955</v>
      </c>
      <c r="I1642" s="946"/>
      <c r="J1642" s="946"/>
      <c r="K1642" s="946"/>
      <c r="L1642" s="946"/>
      <c r="M1642" s="946"/>
      <c r="N1642" s="946"/>
      <c r="O1642" s="946"/>
      <c r="P1642" s="946"/>
      <c r="Q1642" s="946"/>
      <c r="R1642" s="946"/>
      <c r="S1642" s="946"/>
      <c r="T1642" s="116"/>
      <c r="U1642" s="326"/>
    </row>
    <row r="1643" spans="2:22" ht="18.95" customHeight="1">
      <c r="B1643" s="1085">
        <v>0</v>
      </c>
      <c r="C1643" s="1086">
        <v>8</v>
      </c>
      <c r="D1643" s="1086">
        <v>9</v>
      </c>
      <c r="E1643" s="1086">
        <v>0</v>
      </c>
      <c r="F1643" s="1086">
        <v>0</v>
      </c>
      <c r="G1643" s="946"/>
      <c r="H1643" s="1087">
        <v>3</v>
      </c>
      <c r="I1643" s="946"/>
      <c r="J1643" s="946"/>
      <c r="K1643" s="1088">
        <f t="array" ref="K1643">LOOKUP((2-OR(ABS(IF({1,0},B1643-C1643:D1643,D1643-C1643))=1)&amp;2-OR(ABS(IF({1,0},D1643-E1643:F1643,E1643-F1643))=1))/1,{11,12,21,22},{0,3,4,1})</f>
        <v>3</v>
      </c>
      <c r="L1643" s="1088">
        <f>VLOOKUP(VALUE(IF(OR(ABS(B1643-C1643)=1,ABS(C1643-D1643)=1,ABS(B1643-D1643)=1),1,2)&amp;IF(OR(ABS(D1643-E1643)=1,ABS(E1643-F1643)=1,ABS(D1643-F1643)=1),1,2)),$R$1643:$S$1646,2,0)</f>
        <v>3</v>
      </c>
      <c r="M1643" s="946"/>
      <c r="N1643" s="946"/>
      <c r="O1643" s="946"/>
      <c r="P1643" s="946"/>
      <c r="Q1643" s="946"/>
      <c r="R1643" s="946">
        <v>11</v>
      </c>
      <c r="S1643" s="946">
        <v>0</v>
      </c>
      <c r="T1643" s="116"/>
      <c r="U1643" s="326"/>
    </row>
    <row r="1644" spans="2:22" ht="18.95" customHeight="1">
      <c r="B1644" s="1085">
        <v>0</v>
      </c>
      <c r="C1644" s="1086">
        <v>8</v>
      </c>
      <c r="D1644" s="1086">
        <v>9</v>
      </c>
      <c r="E1644" s="1086">
        <v>0</v>
      </c>
      <c r="F1644" s="1086">
        <v>1</v>
      </c>
      <c r="G1644" s="946"/>
      <c r="H1644" s="1087">
        <v>0</v>
      </c>
      <c r="I1644" s="946"/>
      <c r="J1644" s="946"/>
      <c r="K1644" s="1088">
        <f t="array" ref="K1644">LOOKUP((2-OR(ABS(IF({1,0},B1644-C1644:D1644,D1644-C1644))=1)&amp;2-OR(ABS(IF({1,0},D1644-E1644:F1644,E1644-F1644))=1))/1,{11,12,21,22},{0,3,4,1})</f>
        <v>0</v>
      </c>
      <c r="L1644" s="1088">
        <f t="shared" ref="L1644:L1648" si="32">VLOOKUP(VALUE(IF(OR(ABS(B1644-C1644)=1,ABS(C1644-D1644)=1,ABS(B1644-D1644)=1),1,2)&amp;IF(OR(ABS(D1644-E1644)=1,ABS(E1644-F1644)=1,ABS(D1644-F1644)=1),1,2)),$R$1643:$S$1646,2,0)</f>
        <v>0</v>
      </c>
      <c r="M1644" s="946"/>
      <c r="N1644" s="946"/>
      <c r="O1644" s="946"/>
      <c r="P1644" s="946"/>
      <c r="Q1644" s="946"/>
      <c r="R1644" s="946">
        <v>22</v>
      </c>
      <c r="S1644" s="946">
        <v>1</v>
      </c>
      <c r="T1644" s="116"/>
      <c r="U1644" s="326"/>
    </row>
    <row r="1645" spans="2:22" ht="18.95" customHeight="1">
      <c r="B1645" s="1085">
        <v>1</v>
      </c>
      <c r="C1645" s="1086">
        <v>4</v>
      </c>
      <c r="D1645" s="1086">
        <v>3</v>
      </c>
      <c r="E1645" s="1086">
        <v>9</v>
      </c>
      <c r="F1645" s="1086">
        <v>8</v>
      </c>
      <c r="G1645" s="946"/>
      <c r="H1645" s="1087">
        <v>0</v>
      </c>
      <c r="I1645" s="946"/>
      <c r="J1645" s="946"/>
      <c r="K1645" s="1088">
        <f t="array" ref="K1645">LOOKUP((2-OR(ABS(IF({1,0},B1645-C1645:D1645,D1645-C1645))=1)&amp;2-OR(ABS(IF({1,0},D1645-E1645:F1645,E1645-F1645))=1))/1,{11,12,21,22},{0,3,4,1})</f>
        <v>0</v>
      </c>
      <c r="L1645" s="1088">
        <f t="shared" si="32"/>
        <v>0</v>
      </c>
      <c r="M1645" s="946"/>
      <c r="N1645" s="946"/>
      <c r="O1645" s="946"/>
      <c r="P1645" s="946"/>
      <c r="Q1645" s="946"/>
      <c r="R1645" s="946">
        <v>12</v>
      </c>
      <c r="S1645" s="946">
        <v>3</v>
      </c>
      <c r="T1645" s="116"/>
      <c r="U1645" s="326"/>
    </row>
    <row r="1646" spans="2:22" ht="18.95" customHeight="1">
      <c r="B1646" s="1085">
        <v>1</v>
      </c>
      <c r="C1646" s="1086">
        <v>4</v>
      </c>
      <c r="D1646" s="1086">
        <v>3</v>
      </c>
      <c r="E1646" s="1086">
        <v>9</v>
      </c>
      <c r="F1646" s="1086">
        <v>9</v>
      </c>
      <c r="G1646" s="946"/>
      <c r="H1646" s="1087">
        <v>3</v>
      </c>
      <c r="I1646" s="946"/>
      <c r="J1646" s="946"/>
      <c r="K1646" s="1088">
        <f t="array" ref="K1646">LOOKUP((2-OR(ABS(IF({1,0},B1646-C1646:D1646,D1646-C1646))=1)&amp;2-OR(ABS(IF({1,0},D1646-E1646:F1646,E1646-F1646))=1))/1,{11,12,21,22},{0,3,4,1})</f>
        <v>3</v>
      </c>
      <c r="L1646" s="1088">
        <f t="shared" si="32"/>
        <v>3</v>
      </c>
      <c r="M1646" s="946"/>
      <c r="N1646" s="946"/>
      <c r="O1646" s="946"/>
      <c r="P1646" s="946"/>
      <c r="Q1646" s="946"/>
      <c r="R1646" s="946">
        <v>21</v>
      </c>
      <c r="S1646" s="946">
        <v>4</v>
      </c>
      <c r="T1646" s="116"/>
      <c r="U1646" s="326"/>
    </row>
    <row r="1647" spans="2:22" ht="18.95" customHeight="1">
      <c r="B1647" s="1085">
        <v>0</v>
      </c>
      <c r="C1647" s="1086">
        <v>5</v>
      </c>
      <c r="D1647" s="1086">
        <v>7</v>
      </c>
      <c r="E1647" s="1086">
        <v>3</v>
      </c>
      <c r="F1647" s="1086">
        <v>9</v>
      </c>
      <c r="G1647" s="946"/>
      <c r="H1647" s="1087">
        <v>1</v>
      </c>
      <c r="I1647" s="946"/>
      <c r="J1647" s="946"/>
      <c r="K1647" s="1088">
        <f t="array" ref="K1647">LOOKUP((2-OR(ABS(IF({1,0},B1647-C1647:D1647,D1647-C1647))=1)&amp;2-OR(ABS(IF({1,0},D1647-E1647:F1647,E1647-F1647))=1))/1,{11,12,21,22},{0,3,4,1})</f>
        <v>1</v>
      </c>
      <c r="L1647" s="1088">
        <f t="shared" si="32"/>
        <v>1</v>
      </c>
      <c r="M1647" s="946"/>
      <c r="N1647" s="946"/>
      <c r="O1647" s="946"/>
      <c r="P1647" s="946"/>
      <c r="Q1647" s="946"/>
      <c r="R1647" s="946"/>
      <c r="S1647" s="946"/>
      <c r="T1647" s="116"/>
      <c r="U1647" s="326"/>
    </row>
    <row r="1648" spans="2:22" ht="18.95" customHeight="1">
      <c r="B1648" s="1085">
        <v>0</v>
      </c>
      <c r="C1648" s="1086">
        <v>3</v>
      </c>
      <c r="D1648" s="1086">
        <v>8</v>
      </c>
      <c r="E1648" s="1086">
        <v>5</v>
      </c>
      <c r="F1648" s="1086">
        <v>6</v>
      </c>
      <c r="G1648" s="946"/>
      <c r="H1648" s="1087">
        <v>4</v>
      </c>
      <c r="I1648" s="946"/>
      <c r="J1648" s="946"/>
      <c r="K1648" s="1088">
        <f t="array" ref="K1648">LOOKUP((2-OR(ABS(IF({1,0},B1648-C1648:D1648,D1648-C1648))=1)&amp;2-OR(ABS(IF({1,0},D1648-E1648:F1648,E1648-F1648))=1))/1,{11,12,21,22},{0,3,4,1})</f>
        <v>4</v>
      </c>
      <c r="L1648" s="1088">
        <f t="shared" si="32"/>
        <v>4</v>
      </c>
      <c r="M1648" s="946"/>
      <c r="N1648" s="946"/>
      <c r="O1648" s="946"/>
      <c r="P1648" s="946"/>
      <c r="Q1648" s="946"/>
      <c r="R1648" s="946"/>
      <c r="S1648" s="946"/>
      <c r="T1648" s="116"/>
      <c r="U1648" s="326"/>
    </row>
    <row r="1649" spans="2:21" ht="18.95" customHeight="1">
      <c r="B1649" s="257"/>
      <c r="C1649" s="946"/>
      <c r="D1649" s="946"/>
      <c r="E1649" s="946"/>
      <c r="F1649" s="946"/>
      <c r="G1649" s="946"/>
      <c r="H1649" s="946"/>
      <c r="I1649" s="946"/>
      <c r="J1649" s="946"/>
      <c r="K1649" s="946"/>
      <c r="L1649" s="946"/>
      <c r="M1649" s="946"/>
      <c r="N1649" s="946"/>
      <c r="O1649" s="946"/>
      <c r="P1649" s="946"/>
      <c r="Q1649" s="946"/>
      <c r="R1649" s="946"/>
      <c r="S1649" s="946"/>
      <c r="T1649" s="116"/>
      <c r="U1649" s="326"/>
    </row>
    <row r="1650" spans="2:21" ht="18.95" customHeight="1">
      <c r="B1650" s="257"/>
      <c r="C1650" s="946"/>
      <c r="D1650" s="946"/>
      <c r="E1650" s="946"/>
      <c r="F1650" s="946"/>
      <c r="G1650" s="946"/>
      <c r="H1650" s="946"/>
      <c r="I1650" s="946"/>
      <c r="J1650" s="946"/>
      <c r="K1650" s="946"/>
      <c r="L1650" s="946"/>
      <c r="M1650" s="946"/>
      <c r="N1650" s="946"/>
      <c r="O1650" s="946"/>
      <c r="P1650" s="946"/>
      <c r="Q1650" s="946"/>
      <c r="R1650" s="946"/>
      <c r="S1650" s="946"/>
      <c r="T1650" s="116"/>
      <c r="U1650" s="326"/>
    </row>
    <row r="1651" spans="2:21" ht="18.95" customHeight="1">
      <c r="B1651" s="254"/>
      <c r="C1651" s="116"/>
      <c r="D1651" s="116" t="s">
        <v>2958</v>
      </c>
      <c r="E1651" s="116"/>
      <c r="F1651" s="116"/>
      <c r="G1651" s="116"/>
      <c r="H1651" s="116"/>
      <c r="I1651" s="116"/>
      <c r="J1651" s="116"/>
      <c r="K1651" s="116"/>
      <c r="L1651" s="116"/>
      <c r="M1651" s="116"/>
      <c r="N1651" s="116"/>
      <c r="O1651" s="116"/>
      <c r="P1651" s="116"/>
      <c r="Q1651" s="116"/>
      <c r="R1651" s="116"/>
      <c r="S1651" s="116"/>
      <c r="T1651" s="116"/>
      <c r="U1651" s="326"/>
    </row>
    <row r="1652" spans="2:21" ht="18.95" customHeight="1">
      <c r="B1652" s="254"/>
      <c r="C1652" s="116"/>
      <c r="D1652" s="116" t="s">
        <v>2959</v>
      </c>
      <c r="E1652" s="116"/>
      <c r="F1652" s="116"/>
      <c r="G1652" s="116"/>
      <c r="H1652" s="116"/>
      <c r="I1652" s="116"/>
      <c r="J1652" s="116"/>
      <c r="K1652" s="116"/>
      <c r="L1652" s="116"/>
      <c r="M1652" s="116"/>
      <c r="N1652" s="116"/>
      <c r="O1652" s="116"/>
      <c r="P1652" s="116"/>
      <c r="Q1652" s="116"/>
      <c r="R1652" s="116"/>
      <c r="S1652" s="116"/>
      <c r="T1652" s="116"/>
      <c r="U1652" s="326"/>
    </row>
    <row r="1653" spans="2:21" ht="18.95" customHeight="1">
      <c r="B1653" s="254"/>
      <c r="C1653" s="116"/>
      <c r="D1653" s="116"/>
      <c r="E1653" s="116"/>
      <c r="F1653" s="116"/>
      <c r="G1653" s="116"/>
      <c r="H1653" s="116"/>
      <c r="I1653" s="116"/>
      <c r="J1653" s="116"/>
      <c r="K1653" s="116"/>
      <c r="L1653" s="116"/>
      <c r="M1653" s="116"/>
      <c r="N1653" s="116"/>
      <c r="O1653" s="116"/>
      <c r="P1653" s="116"/>
      <c r="Q1653" s="116"/>
      <c r="R1653" s="116"/>
      <c r="S1653" s="116"/>
      <c r="T1653" s="116"/>
      <c r="U1653" s="326"/>
    </row>
    <row r="1654" spans="2:21" ht="18.95" customHeight="1">
      <c r="B1654" s="254"/>
      <c r="C1654" s="116"/>
      <c r="D1654" s="116"/>
      <c r="E1654" s="116"/>
      <c r="F1654" s="116"/>
      <c r="G1654" s="116"/>
      <c r="H1654" s="116"/>
      <c r="I1654" s="116"/>
      <c r="J1654" s="116"/>
      <c r="K1654" s="116"/>
      <c r="L1654" s="116"/>
      <c r="M1654" s="116"/>
      <c r="N1654" s="116"/>
      <c r="O1654" s="116"/>
      <c r="P1654" s="116"/>
      <c r="Q1654" s="116"/>
      <c r="R1654" s="116"/>
      <c r="S1654" s="116"/>
      <c r="T1654" s="116"/>
      <c r="U1654" s="326"/>
    </row>
    <row r="1655" spans="2:21" ht="18.95" customHeight="1">
      <c r="B1655" s="254"/>
      <c r="C1655" s="116"/>
      <c r="D1655" s="116"/>
      <c r="E1655" s="116"/>
      <c r="F1655" s="116"/>
      <c r="G1655" s="116"/>
      <c r="H1655" s="116"/>
      <c r="I1655" s="116"/>
      <c r="J1655" s="116"/>
      <c r="K1655" s="116"/>
      <c r="L1655" s="116"/>
      <c r="M1655" s="116"/>
      <c r="N1655" s="116"/>
      <c r="O1655" s="116"/>
      <c r="P1655" s="116"/>
      <c r="Q1655" s="116"/>
      <c r="R1655" s="116"/>
      <c r="S1655" s="116"/>
      <c r="T1655" s="116"/>
      <c r="U1655" s="326"/>
    </row>
    <row r="1656" spans="2:21" ht="18.95" customHeight="1" thickBot="1">
      <c r="B1656" s="304"/>
      <c r="C1656" s="305"/>
      <c r="D1656" s="305"/>
      <c r="E1656" s="305"/>
      <c r="F1656" s="305"/>
      <c r="G1656" s="305"/>
      <c r="H1656" s="305"/>
      <c r="I1656" s="305"/>
      <c r="J1656" s="305"/>
      <c r="K1656" s="305"/>
      <c r="L1656" s="305"/>
      <c r="M1656" s="305"/>
      <c r="N1656" s="305"/>
      <c r="O1656" s="305"/>
      <c r="P1656" s="305"/>
      <c r="Q1656" s="305"/>
      <c r="R1656" s="305"/>
      <c r="S1656" s="305"/>
      <c r="T1656" s="305"/>
      <c r="U1656" s="327"/>
    </row>
    <row r="1658" spans="2:21" ht="18.95" customHeight="1" thickBot="1"/>
    <row r="1659" spans="2:21" ht="18.95" customHeight="1">
      <c r="B1659" s="333" t="s">
        <v>2982</v>
      </c>
      <c r="C1659" s="324"/>
      <c r="D1659" s="324"/>
      <c r="E1659" s="325"/>
    </row>
    <row r="1660" spans="2:21" ht="18.95" customHeight="1">
      <c r="B1660" s="254"/>
      <c r="C1660" s="116"/>
      <c r="D1660" s="116"/>
      <c r="E1660" s="326"/>
    </row>
    <row r="1661" spans="2:21" ht="18.95" customHeight="1">
      <c r="B1661" s="254" t="s">
        <v>2983</v>
      </c>
      <c r="C1661" s="116"/>
      <c r="D1661" s="116">
        <f>ROUNDUP(ROW(A2)/4,0)</f>
        <v>1</v>
      </c>
      <c r="E1661" s="326"/>
    </row>
    <row r="1662" spans="2:21" ht="18.95" customHeight="1">
      <c r="B1662" s="254"/>
      <c r="C1662" s="116"/>
      <c r="D1662" s="116">
        <f t="shared" ref="D1662:D1668" si="33">ROUNDUP(ROW(A3)/4,0)</f>
        <v>1</v>
      </c>
      <c r="E1662" s="326"/>
    </row>
    <row r="1663" spans="2:21" ht="18.95" customHeight="1">
      <c r="B1663" s="254"/>
      <c r="C1663" s="116"/>
      <c r="D1663" s="116">
        <f t="shared" si="33"/>
        <v>1</v>
      </c>
      <c r="E1663" s="326"/>
    </row>
    <row r="1664" spans="2:21" ht="18.95" customHeight="1">
      <c r="B1664" s="338" t="s">
        <v>2984</v>
      </c>
      <c r="C1664" s="116"/>
      <c r="D1664" s="116">
        <f t="shared" si="33"/>
        <v>2</v>
      </c>
      <c r="E1664" s="326"/>
    </row>
    <row r="1665" spans="2:12" ht="18.95" customHeight="1">
      <c r="B1665" s="254"/>
      <c r="C1665" s="116"/>
      <c r="D1665" s="116">
        <f t="shared" si="33"/>
        <v>2</v>
      </c>
      <c r="E1665" s="326"/>
    </row>
    <row r="1666" spans="2:12" ht="18.95" customHeight="1">
      <c r="B1666" s="254"/>
      <c r="C1666" s="116"/>
      <c r="D1666" s="116">
        <f t="shared" si="33"/>
        <v>2</v>
      </c>
      <c r="E1666" s="326"/>
    </row>
    <row r="1667" spans="2:12" ht="18.95" customHeight="1">
      <c r="B1667" s="254"/>
      <c r="C1667" s="116"/>
      <c r="D1667" s="116">
        <f t="shared" si="33"/>
        <v>2</v>
      </c>
      <c r="E1667" s="326"/>
    </row>
    <row r="1668" spans="2:12" ht="18.95" customHeight="1">
      <c r="B1668" s="254"/>
      <c r="C1668" s="116"/>
      <c r="D1668" s="116">
        <f t="shared" si="33"/>
        <v>3</v>
      </c>
      <c r="E1668" s="326"/>
    </row>
    <row r="1669" spans="2:12" ht="18.95" customHeight="1" thickBot="1">
      <c r="B1669" s="304"/>
      <c r="C1669" s="305"/>
      <c r="D1669" s="305"/>
      <c r="E1669" s="327"/>
    </row>
    <row r="1671" spans="2:12" ht="18.95" customHeight="1" thickBot="1"/>
    <row r="1672" spans="2:12" ht="18.95" customHeight="1">
      <c r="B1672" s="255" t="s">
        <v>2985</v>
      </c>
      <c r="C1672" s="977"/>
      <c r="D1672" s="324"/>
      <c r="E1672" s="324"/>
      <c r="F1672" s="324"/>
      <c r="G1672" s="324"/>
      <c r="H1672" s="324"/>
      <c r="I1672" s="324"/>
      <c r="J1672" s="324"/>
      <c r="K1672" s="324"/>
      <c r="L1672" s="325"/>
    </row>
    <row r="1673" spans="2:12" ht="18.95" customHeight="1">
      <c r="B1673" s="257" t="s">
        <v>2986</v>
      </c>
      <c r="C1673" s="946"/>
      <c r="D1673" s="116"/>
      <c r="E1673" s="116"/>
      <c r="F1673" s="116"/>
      <c r="G1673" s="116"/>
      <c r="H1673" s="116"/>
      <c r="I1673" s="116"/>
      <c r="J1673" s="116"/>
      <c r="K1673" s="116"/>
      <c r="L1673" s="326"/>
    </row>
    <row r="1674" spans="2:12" ht="18.95" customHeight="1">
      <c r="B1674" s="1092" t="s">
        <v>2987</v>
      </c>
      <c r="C1674" s="1088" cm="1">
        <f t="array" ref="C1674">SUM(10^MMULT(IFERROR(LOG(--TEXT({1,-1}%,SUBSTITUTE(TRIM(MID(SUBSTITUTE(B1674," ",REPT(" ",99)),ROW($1:$9)*99-98,99)),"*",";"))),-666),{1;1}))</f>
        <v>3325718.0000000051</v>
      </c>
      <c r="D1674" s="1093" t="str">
        <f>SUBSTITUTE(B1674," ","+")</f>
        <v>2411*402+2498*502+2500*441</v>
      </c>
      <c r="E1674" s="1088" cm="1">
        <f t="array" ref="E1674:E1694">数学计算_evaluate</f>
        <v>3325718</v>
      </c>
      <c r="F1674" s="116"/>
      <c r="G1674" s="116"/>
      <c r="H1674" s="116"/>
      <c r="I1674" s="116"/>
      <c r="J1674" s="116"/>
      <c r="K1674" s="116"/>
      <c r="L1674" s="326"/>
    </row>
    <row r="1675" spans="2:12" ht="18.95" customHeight="1">
      <c r="B1675" s="257" t="s">
        <v>2988</v>
      </c>
      <c r="C1675" s="1088" cm="1">
        <f t="array" ref="C1675">SUM(10^MMULT(IFERROR(LOG(--TEXT({1,-1}%,SUBSTITUTE(TRIM(MID(SUBSTITUTE(B1675," ",REPT(" ",99)),ROW($1:$9)*99-98,99)),"*",";"))),-666),{1;1}))</f>
        <v>638595.0000000007</v>
      </c>
      <c r="D1675" s="1093" t="str">
        <f t="shared" ref="D1675:D1694" si="34">SUBSTITUTE(B1675," ","+")</f>
        <v>660*437+805*435</v>
      </c>
      <c r="E1675" s="1088">
        <v>638595</v>
      </c>
      <c r="F1675" s="116"/>
      <c r="G1675" s="116"/>
      <c r="H1675" s="116"/>
      <c r="I1675" s="116"/>
      <c r="J1675" s="116"/>
      <c r="K1675" s="116"/>
      <c r="L1675" s="326"/>
    </row>
    <row r="1676" spans="2:12" ht="18.95" customHeight="1">
      <c r="B1676" s="257" t="s">
        <v>2989</v>
      </c>
      <c r="C1676" s="1088" cm="1">
        <f t="array" ref="C1676">SUM(10^MMULT(IFERROR(LOG(--TEXT({1,-1}%,SUBSTITUTE(TRIM(MID(SUBSTITUTE(B1676," ",REPT(" ",99)),ROW($1:$9)*99-98,99)),"*",";"))),-666),{1;1}))</f>
        <v>1292654.0000000016</v>
      </c>
      <c r="D1676" s="1093" t="str">
        <f t="shared" si="34"/>
        <v>325*797+685*447+2283*50+685*471+697*417</v>
      </c>
      <c r="E1676" s="1088">
        <v>1292654</v>
      </c>
      <c r="F1676" s="116"/>
      <c r="G1676" s="116"/>
      <c r="H1676" s="116"/>
      <c r="I1676" s="116"/>
      <c r="J1676" s="116"/>
      <c r="K1676" s="116"/>
      <c r="L1676" s="326"/>
    </row>
    <row r="1677" spans="2:12" ht="18.95" customHeight="1">
      <c r="B1677" s="257" t="s">
        <v>2990</v>
      </c>
      <c r="C1677" s="1088" cm="1">
        <f t="array" ref="C1677">SUM(10^MMULT(IFERROR(LOG(--TEXT({1,-1}%,SUBSTITUTE(TRIM(MID(SUBSTITUTE(B1677," ",REPT(" ",99)),ROW($1:$9)*99-98,99)),"*",";"))),-666),{1;1}))</f>
        <v>2948453.0000000047</v>
      </c>
      <c r="D1677" s="1093" t="str">
        <f t="shared" si="34"/>
        <v>711*298+997*283+2413*610+724*610+718*397+571*448</v>
      </c>
      <c r="E1677" s="1088">
        <v>2948453</v>
      </c>
      <c r="F1677" s="116"/>
      <c r="G1677" s="116"/>
      <c r="H1677" s="116"/>
      <c r="I1677" s="116"/>
      <c r="J1677" s="116"/>
      <c r="K1677" s="116"/>
      <c r="L1677" s="326"/>
    </row>
    <row r="1678" spans="2:12" ht="18.95" customHeight="1">
      <c r="B1678" s="257" t="s">
        <v>2991</v>
      </c>
      <c r="C1678" s="1088" cm="1">
        <f t="array" ref="C1678">SUM(10^MMULT(IFERROR(LOG(--TEXT({1,-1}%,SUBSTITUTE(TRIM(MID(SUBSTITUTE(B1678," ",REPT(" ",99)),ROW($1:$9)*99-98,99)),"*",";"))),-666),{1;1}))</f>
        <v>240786.00000000047</v>
      </c>
      <c r="D1678" s="1093" t="str">
        <f t="shared" si="34"/>
        <v>637*378</v>
      </c>
      <c r="E1678" s="1088">
        <v>240786</v>
      </c>
      <c r="F1678" s="116"/>
      <c r="G1678" s="116"/>
      <c r="H1678" s="116"/>
      <c r="I1678" s="116"/>
      <c r="J1678" s="116"/>
      <c r="K1678" s="116"/>
      <c r="L1678" s="326"/>
    </row>
    <row r="1679" spans="2:12" ht="18.95" customHeight="1">
      <c r="B1679" s="257" t="s">
        <v>2992</v>
      </c>
      <c r="C1679" s="1088" cm="1">
        <f t="array" ref="C1679">SUM(10^MMULT(IFERROR(LOG(--TEXT({1,-1}%,SUBSTITUTE(TRIM(MID(SUBSTITUTE(B1679," ",REPT(" ",99)),ROW($1:$9)*99-98,99)),"*",";"))),-666),{1;1}))</f>
        <v>1014464.0000000014</v>
      </c>
      <c r="D1679" s="1093" t="str">
        <f t="shared" si="34"/>
        <v>1277*597+635*397</v>
      </c>
      <c r="E1679" s="1088">
        <v>1014464</v>
      </c>
      <c r="F1679" s="116"/>
      <c r="G1679" s="116"/>
      <c r="H1679" s="116"/>
      <c r="I1679" s="116"/>
      <c r="J1679" s="116"/>
      <c r="K1679" s="116"/>
      <c r="L1679" s="326"/>
    </row>
    <row r="1680" spans="2:12" ht="18.95" customHeight="1">
      <c r="B1680" s="257" t="s">
        <v>2993</v>
      </c>
      <c r="C1680" s="1088" cm="1">
        <f t="array" ref="C1680">SUM(10^MMULT(IFERROR(LOG(--TEXT({1,-1}%,SUBSTITUTE(TRIM(MID(SUBSTITUTE(B1680," ",REPT(" ",99)),ROW($1:$9)*99-98,99)),"*",";"))),-666),{1;1}))</f>
        <v>707479.0000000007</v>
      </c>
      <c r="D1680" s="1093" t="str">
        <f t="shared" si="34"/>
        <v>875*398+793*453</v>
      </c>
      <c r="E1680" s="1088">
        <v>707479</v>
      </c>
      <c r="F1680" s="116"/>
      <c r="G1680" s="116"/>
      <c r="H1680" s="116"/>
      <c r="I1680" s="116"/>
      <c r="J1680" s="116"/>
      <c r="K1680" s="116"/>
      <c r="L1680" s="326"/>
    </row>
    <row r="1681" spans="2:12" ht="18.95" customHeight="1">
      <c r="B1681" s="257" t="s">
        <v>2994</v>
      </c>
      <c r="C1681" s="1088" cm="1">
        <f t="array" ref="C1681">SUM(10^MMULT(IFERROR(LOG(--TEXT({1,-1}%,SUBSTITUTE(TRIM(MID(SUBSTITUTE(B1681," ",REPT(" ",99)),ROW($1:$9)*99-98,99)),"*",";"))),-666),{1;1}))</f>
        <v>364843.00000000041</v>
      </c>
      <c r="D1681" s="1093" t="str">
        <f t="shared" si="34"/>
        <v>919*397</v>
      </c>
      <c r="E1681" s="1088">
        <v>364843</v>
      </c>
      <c r="F1681" s="116"/>
      <c r="G1681" s="116"/>
      <c r="H1681" s="116"/>
      <c r="I1681" s="116"/>
      <c r="J1681" s="116"/>
      <c r="K1681" s="116"/>
      <c r="L1681" s="326"/>
    </row>
    <row r="1682" spans="2:12" ht="18.95" customHeight="1">
      <c r="B1682" s="257" t="s">
        <v>2995</v>
      </c>
      <c r="C1682" s="1088" cm="1">
        <f t="array" ref="C1682">SUM(10^MMULT(IFERROR(LOG(--TEXT({1,-1}%,SUBSTITUTE(TRIM(MID(SUBSTITUTE(B1682," ",REPT(" ",99)),ROW($1:$9)*99-98,99)),"*",";"))),-666),{1;1}))</f>
        <v>190770.00000000035</v>
      </c>
      <c r="D1682" s="1093" t="str">
        <f t="shared" si="34"/>
        <v>2310*50+130*579</v>
      </c>
      <c r="E1682" s="1088">
        <v>190770</v>
      </c>
      <c r="F1682" s="116"/>
      <c r="G1682" s="116"/>
      <c r="H1682" s="116"/>
      <c r="I1682" s="116"/>
      <c r="J1682" s="116"/>
      <c r="K1682" s="116"/>
      <c r="L1682" s="326"/>
    </row>
    <row r="1683" spans="2:12" ht="18.95" customHeight="1">
      <c r="B1683" s="257" t="s">
        <v>2996</v>
      </c>
      <c r="C1683" s="1088" cm="1">
        <f t="array" ref="C1683">SUM(10^MMULT(IFERROR(LOG(--TEXT({1,-1}%,SUBSTITUTE(TRIM(MID(SUBSTITUTE(B1683," ",REPT(" ",99)),ROW($1:$9)*99-98,99)),"*",";"))),-666),{1;1}))</f>
        <v>250950.00000000006</v>
      </c>
      <c r="D1683" s="1093" t="str">
        <f t="shared" si="34"/>
        <v>717*350</v>
      </c>
      <c r="E1683" s="1088">
        <v>250950</v>
      </c>
      <c r="F1683" s="116"/>
      <c r="G1683" s="116"/>
      <c r="H1683" s="116"/>
      <c r="I1683" s="116"/>
      <c r="J1683" s="116"/>
      <c r="K1683" s="116"/>
      <c r="L1683" s="326"/>
    </row>
    <row r="1684" spans="2:12" ht="18.95" customHeight="1">
      <c r="B1684" s="257" t="s">
        <v>2997</v>
      </c>
      <c r="C1684" s="1088" cm="1">
        <f t="array" ref="C1684">SUM(10^MMULT(IFERROR(LOG(--TEXT({1,-1}%,SUBSTITUTE(TRIM(MID(SUBSTITUTE(B1684," ",REPT(" ",99)),ROW($1:$9)*99-98,99)),"*",";"))),-666),{1;1}))</f>
        <v>1106295.9999999995</v>
      </c>
      <c r="D1684" s="1093" t="str">
        <f t="shared" si="34"/>
        <v>2267*488</v>
      </c>
      <c r="E1684" s="1088">
        <v>1106296</v>
      </c>
      <c r="F1684" s="116"/>
      <c r="G1684" s="116"/>
      <c r="H1684" s="116"/>
      <c r="I1684" s="116"/>
      <c r="J1684" s="116"/>
      <c r="K1684" s="116"/>
      <c r="L1684" s="326"/>
    </row>
    <row r="1685" spans="2:12" ht="18.95" customHeight="1">
      <c r="B1685" s="257" t="s">
        <v>2998</v>
      </c>
      <c r="C1685" s="1088" cm="1">
        <f t="array" ref="C1685">SUM(10^MMULT(IFERROR(LOG(--TEXT({1,-1}%,SUBSTITUTE(TRIM(MID(SUBSTITUTE(B1685," ",REPT(" ",99)),ROW($1:$9)*99-98,99)),"*",";"))),-666),{1;1}))</f>
        <v>64091.999999999978</v>
      </c>
      <c r="D1685" s="1093" t="str">
        <f t="shared" si="34"/>
        <v>654*98</v>
      </c>
      <c r="E1685" s="1088">
        <v>64092</v>
      </c>
      <c r="F1685" s="116"/>
      <c r="G1685" s="116"/>
      <c r="H1685" s="116"/>
      <c r="I1685" s="116"/>
      <c r="J1685" s="116"/>
      <c r="K1685" s="116"/>
      <c r="L1685" s="326"/>
    </row>
    <row r="1686" spans="2:12" ht="18.95" customHeight="1">
      <c r="B1686" s="257" t="s">
        <v>2999</v>
      </c>
      <c r="C1686" s="1088" cm="1">
        <f t="array" ref="C1686">SUM(10^MMULT(IFERROR(LOG(--TEXT({1,-1}%,SUBSTITUTE(TRIM(MID(SUBSTITUTE(B1686," ",REPT(" ",99)),ROW($1:$9)*99-98,99)),"*",";"))),-666),{1;1}))</f>
        <v>410250.00000000064</v>
      </c>
      <c r="D1686" s="1093" t="str">
        <f t="shared" si="34"/>
        <v>750*547</v>
      </c>
      <c r="E1686" s="1088">
        <v>410250</v>
      </c>
      <c r="F1686" s="116"/>
      <c r="G1686" s="116"/>
      <c r="H1686" s="116"/>
      <c r="I1686" s="116"/>
      <c r="J1686" s="116"/>
      <c r="K1686" s="116"/>
      <c r="L1686" s="326"/>
    </row>
    <row r="1687" spans="2:12" ht="18.95" customHeight="1">
      <c r="B1687" s="257" t="s">
        <v>3000</v>
      </c>
      <c r="C1687" s="1088" cm="1">
        <f t="array" ref="C1687">SUM(10^MMULT(IFERROR(LOG(--TEXT({1,-1}%,SUBSTITUTE(TRIM(MID(SUBSTITUTE(B1687," ",REPT(" ",99)),ROW($1:$9)*99-98,99)),"*",";"))),-666),{1;1}))</f>
        <v>168025.00000000012</v>
      </c>
      <c r="D1687" s="1093" t="str">
        <f t="shared" si="34"/>
        <v>325*517</v>
      </c>
      <c r="E1687" s="1088">
        <v>168025</v>
      </c>
      <c r="F1687" s="116"/>
      <c r="G1687" s="116"/>
      <c r="H1687" s="116"/>
      <c r="I1687" s="116"/>
      <c r="J1687" s="116"/>
      <c r="K1687" s="116"/>
      <c r="L1687" s="326"/>
    </row>
    <row r="1688" spans="2:12" ht="18.95" customHeight="1">
      <c r="B1688" s="257" t="s">
        <v>3001</v>
      </c>
      <c r="C1688" s="1088" cm="1">
        <f t="array" ref="C1688">SUM(10^MMULT(IFERROR(LOG(--TEXT({1,-1}%,SUBSTITUTE(TRIM(MID(SUBSTITUTE(B1688," ",REPT(" ",99)),ROW($1:$9)*99-98,99)),"*",";"))),-666),{1;1}))</f>
        <v>682994.00000000163</v>
      </c>
      <c r="D1688" s="1093" t="str">
        <f t="shared" si="34"/>
        <v>978*373+860*370</v>
      </c>
      <c r="E1688" s="1088">
        <v>682994</v>
      </c>
      <c r="F1688" s="116"/>
      <c r="G1688" s="116"/>
      <c r="H1688" s="116"/>
      <c r="I1688" s="116"/>
      <c r="J1688" s="116"/>
      <c r="K1688" s="116"/>
      <c r="L1688" s="326"/>
    </row>
    <row r="1689" spans="2:12" ht="18.95" customHeight="1">
      <c r="B1689" s="257" t="s">
        <v>3002</v>
      </c>
      <c r="C1689" s="1088" cm="1">
        <f t="array" ref="C1689">SUM(10^MMULT(IFERROR(LOG(--TEXT({1,-1}%,SUBSTITUTE(TRIM(MID(SUBSTITUTE(B1689," ",REPT(" ",99)),ROW($1:$9)*99-98,99)),"*",";"))),-666),{1;1}))</f>
        <v>615000.00000000081</v>
      </c>
      <c r="D1689" s="1093" t="str">
        <f t="shared" si="34"/>
        <v>2050*300</v>
      </c>
      <c r="E1689" s="1088">
        <v>615000</v>
      </c>
      <c r="F1689" s="116"/>
      <c r="G1689" s="116"/>
      <c r="H1689" s="116"/>
      <c r="I1689" s="116"/>
      <c r="J1689" s="116"/>
      <c r="K1689" s="116"/>
      <c r="L1689" s="326"/>
    </row>
    <row r="1690" spans="2:12" ht="18.95" customHeight="1">
      <c r="B1690" s="257" t="s">
        <v>3003</v>
      </c>
      <c r="C1690" s="1088" cm="1">
        <f t="array" ref="C1690">SUM(10^MMULT(IFERROR(LOG(--TEXT({1,-1}%,SUBSTITUTE(TRIM(MID(SUBSTITUTE(B1690," ",REPT(" ",99)),ROW($1:$9)*99-98,99)),"*",";"))),-666),{1;1}))</f>
        <v>252216.00000000006</v>
      </c>
      <c r="D1690" s="1093" t="str">
        <f t="shared" si="34"/>
        <v>558*452</v>
      </c>
      <c r="E1690" s="1088">
        <v>252216</v>
      </c>
      <c r="F1690" s="116"/>
      <c r="G1690" s="116"/>
      <c r="H1690" s="116"/>
      <c r="I1690" s="116"/>
      <c r="J1690" s="116"/>
      <c r="K1690" s="116"/>
      <c r="L1690" s="326"/>
    </row>
    <row r="1691" spans="2:12" ht="18.95" customHeight="1">
      <c r="B1691" s="257" t="s">
        <v>3004</v>
      </c>
      <c r="C1691" s="1088" cm="1">
        <f t="array" ref="C1691">SUM(10^MMULT(IFERROR(LOG(--TEXT({1,-1}%,SUBSTITUTE(TRIM(MID(SUBSTITUTE(B1691," ",REPT(" ",99)),ROW($1:$9)*99-98,99)),"*",";"))),-666),{1;1}))</f>
        <v>22850.000000000018</v>
      </c>
      <c r="D1691" s="1093" t="str">
        <f t="shared" si="34"/>
        <v>457*50</v>
      </c>
      <c r="E1691" s="1088">
        <v>22850</v>
      </c>
      <c r="F1691" s="116"/>
      <c r="G1691" s="116"/>
      <c r="H1691" s="116"/>
      <c r="I1691" s="116"/>
      <c r="J1691" s="116"/>
      <c r="K1691" s="116"/>
      <c r="L1691" s="326"/>
    </row>
    <row r="1692" spans="2:12" ht="18.95" customHeight="1">
      <c r="B1692" s="257" t="s">
        <v>3005</v>
      </c>
      <c r="C1692" s="1088" cm="1">
        <f t="array" ref="C1692">SUM(10^MMULT(IFERROR(LOG(--TEXT({1,-1}%,SUBSTITUTE(TRIM(MID(SUBSTITUTE(B1692," ",REPT(" ",99)),ROW($1:$9)*99-98,99)),"*",";"))),-666),{1;1}))</f>
        <v>1227630.0000000019</v>
      </c>
      <c r="D1692" s="1093" t="str">
        <f t="shared" si="34"/>
        <v>2710*453</v>
      </c>
      <c r="E1692" s="1088">
        <v>1227630</v>
      </c>
      <c r="F1692" s="116"/>
      <c r="G1692" s="116" t="s">
        <v>3010</v>
      </c>
      <c r="H1692" s="116"/>
      <c r="I1692" s="116"/>
      <c r="J1692" s="116"/>
      <c r="K1692" s="116"/>
      <c r="L1692" s="326"/>
    </row>
    <row r="1693" spans="2:12" ht="18.95" customHeight="1">
      <c r="B1693" s="257" t="s">
        <v>3006</v>
      </c>
      <c r="C1693" s="1088" cm="1">
        <f t="array" ref="C1693">SUM(10^MMULT(IFERROR(LOG(--TEXT({1,-1}%,SUBSTITUTE(TRIM(MID(SUBSTITUTE(B1693," ",REPT(" ",99)),ROW($1:$9)*99-98,99)),"*",";"))),-666),{1;1}))</f>
        <v>1062409.0000000019</v>
      </c>
      <c r="D1693" s="1093" t="str">
        <f t="shared" si="34"/>
        <v>2327*447+278*80</v>
      </c>
      <c r="E1693" s="1088">
        <v>1062409</v>
      </c>
      <c r="F1693" s="116"/>
      <c r="G1693" s="116"/>
      <c r="H1693" s="116"/>
      <c r="I1693" s="116"/>
      <c r="J1693" s="116"/>
      <c r="K1693" s="116"/>
      <c r="L1693" s="326"/>
    </row>
    <row r="1694" spans="2:12" ht="18.95" customHeight="1">
      <c r="B1694" s="257" t="s">
        <v>3007</v>
      </c>
      <c r="C1694" s="1088" cm="1">
        <f t="array" ref="C1694">SUM(10^MMULT(IFERROR(LOG(--TEXT({1,-1}%,SUBSTITUTE(TRIM(MID(SUBSTITUTE(B1694," ",REPT(" ",99)),ROW($1:$9)*99-98,99)),"*",";"))),-666),{1;1}))</f>
        <v>1154540.0000000021</v>
      </c>
      <c r="D1694" s="1093" t="str">
        <f t="shared" si="34"/>
        <v>810*580++670*418+670*327+670*277</v>
      </c>
      <c r="E1694" s="1088">
        <v>1154540</v>
      </c>
      <c r="F1694" s="116"/>
      <c r="G1694" s="116"/>
      <c r="H1694" s="116"/>
      <c r="I1694" s="116"/>
      <c r="J1694" s="116"/>
      <c r="K1694" s="116"/>
      <c r="L1694" s="326"/>
    </row>
    <row r="1695" spans="2:12" ht="18.95" customHeight="1">
      <c r="B1695" s="254"/>
      <c r="C1695" s="116" t="s">
        <v>3008</v>
      </c>
      <c r="D1695" s="116"/>
      <c r="E1695" s="116"/>
      <c r="F1695" s="116"/>
      <c r="G1695" s="116"/>
      <c r="H1695" s="116"/>
      <c r="I1695" s="116"/>
      <c r="J1695" s="116"/>
      <c r="K1695" s="116"/>
      <c r="L1695" s="326"/>
    </row>
    <row r="1696" spans="2:12" ht="18.95" customHeight="1" thickBot="1">
      <c r="B1696" s="304"/>
      <c r="C1696" s="305" t="s">
        <v>3009</v>
      </c>
      <c r="D1696" s="305"/>
      <c r="E1696" s="305"/>
      <c r="F1696" s="305"/>
      <c r="G1696" s="305"/>
      <c r="H1696" s="305"/>
      <c r="I1696" s="305"/>
      <c r="J1696" s="305"/>
      <c r="K1696" s="305"/>
      <c r="L1696" s="327"/>
    </row>
  </sheetData>
  <protectedRanges>
    <protectedRange sqref="B218:F272" name="区域1"/>
  </protectedRanges>
  <mergeCells count="60">
    <mergeCell ref="F315:G315"/>
    <mergeCell ref="B588:D588"/>
    <mergeCell ref="G604:H604"/>
    <mergeCell ref="B643:C643"/>
    <mergeCell ref="B644:C644"/>
    <mergeCell ref="F625:F638"/>
    <mergeCell ref="B89:L89"/>
    <mergeCell ref="B200:M200"/>
    <mergeCell ref="B216:F216"/>
    <mergeCell ref="I216:L216"/>
    <mergeCell ref="K276:Q276"/>
    <mergeCell ref="G650:G651"/>
    <mergeCell ref="D1282:I1282"/>
    <mergeCell ref="D1283:I1283"/>
    <mergeCell ref="B1039:B1042"/>
    <mergeCell ref="B1043:B1047"/>
    <mergeCell ref="B1048:B1050"/>
    <mergeCell ref="B1051:B1058"/>
    <mergeCell ref="F1216:J1220"/>
    <mergeCell ref="F1063:J1066"/>
    <mergeCell ref="D1275:I1275"/>
    <mergeCell ref="D1276:I1276"/>
    <mergeCell ref="D1277:I1277"/>
    <mergeCell ref="D1278:I1278"/>
    <mergeCell ref="D1279:I1279"/>
    <mergeCell ref="J1081:L1081"/>
    <mergeCell ref="G675:M675"/>
    <mergeCell ref="N651:P655"/>
    <mergeCell ref="B149:C150"/>
    <mergeCell ref="G149:I150"/>
    <mergeCell ref="D1280:I1280"/>
    <mergeCell ref="B645:C645"/>
    <mergeCell ref="B646:C646"/>
    <mergeCell ref="F649:J649"/>
    <mergeCell ref="J650:J651"/>
    <mergeCell ref="G676:G677"/>
    <mergeCell ref="H650:H651"/>
    <mergeCell ref="H676:H677"/>
    <mergeCell ref="I650:I651"/>
    <mergeCell ref="I676:I677"/>
    <mergeCell ref="C971:G971"/>
    <mergeCell ref="F650:F651"/>
    <mergeCell ref="J676:M676"/>
    <mergeCell ref="F1082:H1082"/>
    <mergeCell ref="B732:F732"/>
    <mergeCell ref="G732:K732"/>
    <mergeCell ref="C766:I766"/>
    <mergeCell ref="B767:I767"/>
    <mergeCell ref="C855:G855"/>
    <mergeCell ref="B1082:D1082"/>
    <mergeCell ref="B1535:B1544"/>
    <mergeCell ref="B1545:B1554"/>
    <mergeCell ref="B1555:B1564"/>
    <mergeCell ref="D1274:I1274"/>
    <mergeCell ref="J1165:J1172"/>
    <mergeCell ref="D1281:I1281"/>
    <mergeCell ref="D1524:E1524"/>
    <mergeCell ref="B1446:G1446"/>
    <mergeCell ref="J1446:M1446"/>
    <mergeCell ref="K1310:O1310"/>
  </mergeCells>
  <phoneticPr fontId="95" type="noConversion"/>
  <conditionalFormatting sqref="B704">
    <cfRule type="containsText" dxfId="31" priority="5" operator="containsText" text="D">
      <formula>NOT(ISERROR(SEARCH("D",B704)))</formula>
    </cfRule>
    <cfRule type="containsText" dxfId="30" priority="6" operator="containsText" text="G">
      <formula>NOT(ISERROR(SEARCH("G",B704)))</formula>
    </cfRule>
    <cfRule type="containsText" dxfId="29" priority="7" operator="containsText" text="C">
      <formula>NOT(ISERROR(SEARCH("C",B704)))</formula>
    </cfRule>
    <cfRule type="containsText" dxfId="28" priority="8" operator="containsText" text="F">
      <formula>NOT(ISERROR(SEARCH("F",B704)))</formula>
    </cfRule>
    <cfRule type="containsText" dxfId="27" priority="9" operator="containsText" text="B">
      <formula>NOT(ISERROR(SEARCH("B",B704)))</formula>
    </cfRule>
    <cfRule type="containsText" dxfId="26" priority="10" operator="containsText" text="O">
      <formula>NOT(ISERROR(SEARCH("O",B704)))</formula>
    </cfRule>
    <cfRule type="containsText" dxfId="25" priority="11" operator="containsText" text="E">
      <formula>NOT(ISERROR(SEARCH("E",B704)))</formula>
    </cfRule>
    <cfRule type="containsText" dxfId="24" priority="12" operator="containsText" text="A">
      <formula>NOT(ISERROR(SEARCH("A",B704)))</formula>
    </cfRule>
  </conditionalFormatting>
  <conditionalFormatting sqref="C1296:C1299">
    <cfRule type="expression" dxfId="23" priority="2">
      <formula>C1296&lt;&gt;B1296</formula>
    </cfRule>
  </conditionalFormatting>
  <conditionalFormatting sqref="B714 F713:H715">
    <cfRule type="duplicateValues" dxfId="22" priority="4"/>
  </conditionalFormatting>
  <conditionalFormatting sqref="E1350:E1371">
    <cfRule type="expression" dxfId="21" priority="1">
      <formula>$E1350&lt;=SMALL(IF(B1350=$B$1350:$B$1371,$E$1350:$E$1371),3)</formula>
    </cfRule>
  </conditionalFormatting>
  <dataValidations disablePrompts="1" count="9">
    <dataValidation type="list" allowBlank="1" showInputMessage="1" showErrorMessage="1" sqref="G48:G49" xr:uid="{00000000-0002-0000-0300-000000000000}">
      <formula1>$B$44:$B$46</formula1>
    </dataValidation>
    <dataValidation type="list" allowBlank="1" showInputMessage="1" showErrorMessage="1" sqref="N2" xr:uid="{00000000-0002-0000-0300-000001000000}">
      <formula1>$C$2:$C$11</formula1>
    </dataValidation>
    <dataValidation type="list" allowBlank="1" showInputMessage="1" showErrorMessage="1" sqref="H32 H36" xr:uid="{00000000-0002-0000-0300-000002000000}">
      <formula1>$C$32:$C$41</formula1>
    </dataValidation>
    <dataValidation errorStyle="warning" allowBlank="1" showInputMessage="1" showErrorMessage="1" sqref="E1240:E1250" xr:uid="{00000000-0002-0000-0300-000003000000}"/>
    <dataValidation type="custom" allowBlank="1" showInputMessage="1" showErrorMessage="1" sqref="R806:R810" xr:uid="{00000000-0002-0000-0300-000004000000}">
      <formula1>AND(WEEKDAY(R806)&lt;&gt;7,WEEKDAY(R806)&lt;&gt;1)</formula1>
    </dataValidation>
    <dataValidation type="list" allowBlank="1" showDropDown="1" showInputMessage="1" showErrorMessage="1" sqref="B1241:D1247" xr:uid="{00000000-0002-0000-0300-000005000000}">
      <formula1>"，，，，，，，，，，，，，"</formula1>
    </dataValidation>
    <dataValidation type="list" allowBlank="1" showInputMessage="1" showErrorMessage="1" sqref="K1312" xr:uid="{0B84CD8F-E5F8-45BB-85AD-1BF3CEC061F2}">
      <formula1>$I$4:$I$13</formula1>
    </dataValidation>
    <dataValidation type="list" allowBlank="1" showInputMessage="1" showErrorMessage="1" sqref="K1317" xr:uid="{F31932DD-EB17-4DB9-A096-DA2B739E04D0}">
      <formula1>$J$1306:$J$1315</formula1>
    </dataValidation>
    <dataValidation type="list" allowBlank="1" showInputMessage="1" showErrorMessage="1" sqref="I1375" xr:uid="{B70E1CFF-12E4-4C6B-A1DB-2AE6FB60FFE9}">
      <formula1>$F$1378:$F$1382</formula1>
    </dataValidation>
  </dataValidations>
  <pageMargins left="0.7" right="0.7" top="0.75" bottom="0.75" header="0.3" footer="0.3"/>
  <pageSetup paperSize="9" orientation="portrait" r:id="rId3"/>
  <ignoredErrors>
    <ignoredError sqref="C1350:C1371" numberStoredAsText="1"/>
    <ignoredError sqref="F1164:F1180" unlockedFormula="1"/>
  </ignoredError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FA825-4372-41A7-B687-BD236E352A2F}">
  <sheetPr codeName="Sheet5">
    <tabColor rgb="FFFF0000"/>
  </sheetPr>
  <dimension ref="A1:M71"/>
  <sheetViews>
    <sheetView workbookViewId="0">
      <pane ySplit="2" topLeftCell="A90" activePane="bottomLeft" state="frozen"/>
      <selection pane="bottomLeft" activeCell="B79" sqref="B79:C101"/>
    </sheetView>
  </sheetViews>
  <sheetFormatPr defaultColWidth="9" defaultRowHeight="13.5"/>
  <cols>
    <col min="1" max="1" width="10" style="1053" customWidth="1"/>
    <col min="2" max="2" width="5.5" style="1051" customWidth="1"/>
    <col min="3" max="3" width="21.375" style="1051" customWidth="1"/>
    <col min="4" max="4" width="5.5" style="1051" customWidth="1"/>
    <col min="5" max="5" width="14.75" style="1051" customWidth="1"/>
    <col min="6" max="6" width="9" style="1052"/>
    <col min="7" max="7" width="8.5" style="1051" customWidth="1"/>
    <col min="8" max="12" width="9" style="1051"/>
    <col min="13" max="13" width="18.625" style="1051" customWidth="1"/>
    <col min="14" max="16384" width="9" style="1051"/>
  </cols>
  <sheetData>
    <row r="1" spans="1:13" ht="33.200000000000003" customHeight="1">
      <c r="A1" s="1209" t="s">
        <v>2906</v>
      </c>
      <c r="B1" s="1209"/>
      <c r="C1" s="1209"/>
      <c r="D1" s="1209"/>
      <c r="E1" s="1209"/>
      <c r="F1" s="1209"/>
      <c r="G1" s="1209"/>
      <c r="H1" s="1209"/>
    </row>
    <row r="2" spans="1:13" s="1052" customFormat="1" ht="27">
      <c r="A2" s="1057" t="s">
        <v>2905</v>
      </c>
      <c r="B2" s="1059" t="s">
        <v>1800</v>
      </c>
      <c r="C2" s="1055" t="s">
        <v>2904</v>
      </c>
      <c r="D2" s="1059" t="s">
        <v>1791</v>
      </c>
      <c r="E2" s="1055" t="s">
        <v>2903</v>
      </c>
      <c r="F2" s="1059" t="s">
        <v>1373</v>
      </c>
      <c r="G2" s="1063" t="s">
        <v>2902</v>
      </c>
      <c r="H2" s="1055" t="s">
        <v>2431</v>
      </c>
    </row>
    <row r="3" spans="1:13">
      <c r="A3" s="1193" t="s">
        <v>2901</v>
      </c>
      <c r="B3" s="1197" t="s">
        <v>2900</v>
      </c>
      <c r="C3" s="1203" t="s">
        <v>2882</v>
      </c>
      <c r="D3" s="1208" t="s">
        <v>2892</v>
      </c>
      <c r="E3" s="1055" t="s">
        <v>2888</v>
      </c>
      <c r="F3" s="1060" t="s">
        <v>2887</v>
      </c>
      <c r="G3" s="1055" t="s">
        <v>1393</v>
      </c>
      <c r="H3" s="1054"/>
    </row>
    <row r="4" spans="1:13">
      <c r="A4" s="1194"/>
      <c r="B4" s="1198"/>
      <c r="C4" s="1204"/>
      <c r="D4" s="1208"/>
      <c r="E4" s="1055" t="s">
        <v>2886</v>
      </c>
      <c r="F4" s="1056" t="s">
        <v>2885</v>
      </c>
      <c r="G4" s="1055" t="s">
        <v>1393</v>
      </c>
      <c r="H4" s="1054"/>
    </row>
    <row r="5" spans="1:13">
      <c r="A5" s="1194"/>
      <c r="B5" s="1198"/>
      <c r="C5" s="1204"/>
      <c r="D5" s="1208"/>
      <c r="E5" s="1055" t="s">
        <v>2884</v>
      </c>
      <c r="F5" s="1056" t="s">
        <v>2883</v>
      </c>
      <c r="G5" s="1055" t="s">
        <v>1393</v>
      </c>
      <c r="H5" s="1054"/>
    </row>
    <row r="6" spans="1:13">
      <c r="A6" s="1194"/>
      <c r="B6" s="1198"/>
      <c r="C6" s="1205"/>
      <c r="D6" s="1208"/>
      <c r="E6" s="1055" t="s">
        <v>2882</v>
      </c>
      <c r="F6" s="1055">
        <v>1</v>
      </c>
      <c r="G6" s="1055" t="s">
        <v>1393</v>
      </c>
      <c r="H6" s="1054"/>
      <c r="J6" s="1062" t="s">
        <v>2899</v>
      </c>
      <c r="K6" s="1062"/>
      <c r="L6" s="1062"/>
      <c r="M6" s="1062"/>
    </row>
    <row r="7" spans="1:13">
      <c r="A7" s="1194"/>
      <c r="B7" s="1198"/>
      <c r="C7" s="1203" t="s">
        <v>2884</v>
      </c>
      <c r="D7" s="1206" t="s">
        <v>2891</v>
      </c>
      <c r="E7" s="1055" t="s">
        <v>2888</v>
      </c>
      <c r="F7" s="1056" t="s">
        <v>2887</v>
      </c>
      <c r="G7" s="1055" t="s">
        <v>1393</v>
      </c>
      <c r="H7" s="1054"/>
    </row>
    <row r="8" spans="1:13">
      <c r="A8" s="1194"/>
      <c r="B8" s="1198"/>
      <c r="C8" s="1204"/>
      <c r="D8" s="1206"/>
      <c r="E8" s="1055" t="s">
        <v>2886</v>
      </c>
      <c r="F8" s="1056" t="s">
        <v>2885</v>
      </c>
      <c r="G8" s="1055" t="s">
        <v>1393</v>
      </c>
      <c r="H8" s="1054"/>
      <c r="J8" s="1059" t="s">
        <v>1800</v>
      </c>
      <c r="K8" s="1059" t="s">
        <v>1791</v>
      </c>
      <c r="L8" s="1059" t="s">
        <v>1373</v>
      </c>
      <c r="M8" s="1061" t="s">
        <v>2898</v>
      </c>
    </row>
    <row r="9" spans="1:13" ht="14.25">
      <c r="A9" s="1194"/>
      <c r="B9" s="1198"/>
      <c r="C9" s="1204"/>
      <c r="D9" s="1206"/>
      <c r="E9" s="1055" t="s">
        <v>2884</v>
      </c>
      <c r="F9" s="1056" t="s">
        <v>2883</v>
      </c>
      <c r="G9" s="1055" t="s">
        <v>1393</v>
      </c>
      <c r="H9" s="1054"/>
      <c r="J9" s="1055">
        <v>9</v>
      </c>
      <c r="K9" s="1055">
        <v>9</v>
      </c>
      <c r="L9" s="1055">
        <v>9</v>
      </c>
      <c r="M9" s="1015" t="str">
        <f t="array" ref="M9">INDEX(G:G,MIN(69,SUM(17*(J9&lt;{9;7;4;2}))+SUM(4*(K9&lt;{8;6;4;2}))+SUM(N(L9&lt;{7;5;2}))+3))</f>
        <v>H</v>
      </c>
    </row>
    <row r="10" spans="1:13" ht="14.25">
      <c r="A10" s="1194"/>
      <c r="B10" s="1198"/>
      <c r="C10" s="1205"/>
      <c r="D10" s="1206"/>
      <c r="E10" s="1055" t="s">
        <v>2882</v>
      </c>
      <c r="F10" s="1055">
        <v>1</v>
      </c>
      <c r="G10" s="1055" t="s">
        <v>1393</v>
      </c>
      <c r="H10" s="1054"/>
      <c r="J10" s="1055">
        <v>7</v>
      </c>
      <c r="K10" s="1055">
        <v>4</v>
      </c>
      <c r="L10" s="1055">
        <v>3</v>
      </c>
      <c r="M10" s="1015" t="str">
        <f t="array" ref="M10">INDEX(G:G,MIN(69,SUM(17*(J10&lt;{9;7;4;2}))+SUM(4*(K10&lt;{8;6;4;2}))+SUM(N(L10&lt;{7;5;2}))+3))</f>
        <v>M</v>
      </c>
    </row>
    <row r="11" spans="1:13" ht="14.25">
      <c r="A11" s="1194"/>
      <c r="B11" s="1198"/>
      <c r="C11" s="1203" t="s">
        <v>2886</v>
      </c>
      <c r="D11" s="1206" t="s">
        <v>2890</v>
      </c>
      <c r="E11" s="1055" t="s">
        <v>2888</v>
      </c>
      <c r="F11" s="1056" t="s">
        <v>2887</v>
      </c>
      <c r="G11" s="1055" t="s">
        <v>1393</v>
      </c>
      <c r="H11" s="1054"/>
      <c r="J11" s="1055">
        <v>4</v>
      </c>
      <c r="K11" s="1055">
        <v>5</v>
      </c>
      <c r="L11" s="1055">
        <v>9</v>
      </c>
      <c r="M11" s="1015" t="str">
        <f t="array" ref="M11">INDEX(G:G,MIN(69,SUM(17*(J11&lt;{9;7;4;2}))+SUM(4*(K11&lt;{8;6;4;2}))+SUM(N(L11&lt;{7;5;2}))+3))</f>
        <v>M</v>
      </c>
    </row>
    <row r="12" spans="1:13">
      <c r="A12" s="1194"/>
      <c r="B12" s="1198"/>
      <c r="C12" s="1204"/>
      <c r="D12" s="1206"/>
      <c r="E12" s="1055" t="s">
        <v>2886</v>
      </c>
      <c r="F12" s="1056" t="s">
        <v>2885</v>
      </c>
      <c r="G12" s="1055" t="s">
        <v>1393</v>
      </c>
      <c r="H12" s="1054"/>
    </row>
    <row r="13" spans="1:13">
      <c r="A13" s="1194"/>
      <c r="B13" s="1198"/>
      <c r="C13" s="1204"/>
      <c r="D13" s="1206"/>
      <c r="E13" s="1055" t="s">
        <v>2884</v>
      </c>
      <c r="F13" s="1056" t="s">
        <v>2883</v>
      </c>
      <c r="G13" s="1055" t="s">
        <v>1393</v>
      </c>
      <c r="H13" s="1054"/>
    </row>
    <row r="14" spans="1:13">
      <c r="A14" s="1194"/>
      <c r="B14" s="1198"/>
      <c r="C14" s="1205"/>
      <c r="D14" s="1206"/>
      <c r="E14" s="1055" t="s">
        <v>2882</v>
      </c>
      <c r="F14" s="1055">
        <v>1</v>
      </c>
      <c r="G14" s="1055" t="s">
        <v>1711</v>
      </c>
      <c r="H14" s="1054"/>
      <c r="M14" s="1051" t="s">
        <v>2981</v>
      </c>
    </row>
    <row r="15" spans="1:13">
      <c r="A15" s="1194"/>
      <c r="B15" s="1198"/>
      <c r="C15" s="1203" t="s">
        <v>2889</v>
      </c>
      <c r="D15" s="1206" t="s">
        <v>2825</v>
      </c>
      <c r="E15" s="1055" t="s">
        <v>2888</v>
      </c>
      <c r="F15" s="1056" t="s">
        <v>2887</v>
      </c>
      <c r="G15" s="1055" t="s">
        <v>1393</v>
      </c>
      <c r="H15" s="1054"/>
    </row>
    <row r="16" spans="1:13">
      <c r="A16" s="1194"/>
      <c r="B16" s="1198"/>
      <c r="C16" s="1204"/>
      <c r="D16" s="1206"/>
      <c r="E16" s="1055" t="s">
        <v>2886</v>
      </c>
      <c r="F16" s="1056" t="s">
        <v>2885</v>
      </c>
      <c r="G16" s="1055" t="s">
        <v>1711</v>
      </c>
      <c r="H16" s="1054"/>
    </row>
    <row r="17" spans="1:8">
      <c r="A17" s="1194"/>
      <c r="B17" s="1198"/>
      <c r="C17" s="1204"/>
      <c r="D17" s="1206"/>
      <c r="E17" s="1055" t="s">
        <v>2884</v>
      </c>
      <c r="F17" s="1056" t="s">
        <v>2883</v>
      </c>
      <c r="G17" s="1055" t="s">
        <v>1714</v>
      </c>
      <c r="H17" s="1054"/>
    </row>
    <row r="18" spans="1:8">
      <c r="A18" s="1194"/>
      <c r="B18" s="1198"/>
      <c r="C18" s="1205"/>
      <c r="D18" s="1206"/>
      <c r="E18" s="1055" t="s">
        <v>2882</v>
      </c>
      <c r="F18" s="1055">
        <v>1</v>
      </c>
      <c r="G18" s="1055" t="s">
        <v>1714</v>
      </c>
      <c r="H18" s="1054"/>
    </row>
    <row r="19" spans="1:8">
      <c r="A19" s="1195"/>
      <c r="B19" s="1199"/>
      <c r="C19" s="1055" t="s">
        <v>2881</v>
      </c>
      <c r="D19" s="1055">
        <v>1</v>
      </c>
      <c r="E19" s="1054" t="s">
        <v>2880</v>
      </c>
      <c r="F19" s="1056" t="s">
        <v>2877</v>
      </c>
      <c r="G19" s="1055" t="s">
        <v>1714</v>
      </c>
      <c r="H19" s="1054"/>
    </row>
    <row r="20" spans="1:8">
      <c r="A20" s="1193" t="s">
        <v>2897</v>
      </c>
      <c r="B20" s="1200" t="s">
        <v>2896</v>
      </c>
      <c r="C20" s="1203" t="s">
        <v>2882</v>
      </c>
      <c r="D20" s="1206" t="s">
        <v>2892</v>
      </c>
      <c r="E20" s="1055" t="s">
        <v>2888</v>
      </c>
      <c r="F20" s="1056" t="s">
        <v>2887</v>
      </c>
      <c r="G20" s="1055" t="s">
        <v>1393</v>
      </c>
      <c r="H20" s="1054"/>
    </row>
    <row r="21" spans="1:8">
      <c r="A21" s="1194"/>
      <c r="B21" s="1201"/>
      <c r="C21" s="1204"/>
      <c r="D21" s="1206"/>
      <c r="E21" s="1055" t="s">
        <v>2886</v>
      </c>
      <c r="F21" s="1056" t="s">
        <v>2885</v>
      </c>
      <c r="G21" s="1055" t="s">
        <v>1393</v>
      </c>
      <c r="H21" s="1054"/>
    </row>
    <row r="22" spans="1:8">
      <c r="A22" s="1194"/>
      <c r="B22" s="1201"/>
      <c r="C22" s="1204"/>
      <c r="D22" s="1206"/>
      <c r="E22" s="1055" t="s">
        <v>2884</v>
      </c>
      <c r="F22" s="1056" t="s">
        <v>2883</v>
      </c>
      <c r="G22" s="1055" t="s">
        <v>1393</v>
      </c>
      <c r="H22" s="1054"/>
    </row>
    <row r="23" spans="1:8">
      <c r="A23" s="1194"/>
      <c r="B23" s="1201"/>
      <c r="C23" s="1205"/>
      <c r="D23" s="1206"/>
      <c r="E23" s="1055" t="s">
        <v>2882</v>
      </c>
      <c r="F23" s="1055">
        <v>1</v>
      </c>
      <c r="G23" s="1055" t="s">
        <v>1393</v>
      </c>
      <c r="H23" s="1054"/>
    </row>
    <row r="24" spans="1:8">
      <c r="A24" s="1194"/>
      <c r="B24" s="1201"/>
      <c r="C24" s="1203" t="s">
        <v>2884</v>
      </c>
      <c r="D24" s="1206" t="s">
        <v>2891</v>
      </c>
      <c r="E24" s="1055" t="s">
        <v>2888</v>
      </c>
      <c r="F24" s="1056" t="s">
        <v>2887</v>
      </c>
      <c r="G24" s="1055" t="s">
        <v>1393</v>
      </c>
      <c r="H24" s="1054"/>
    </row>
    <row r="25" spans="1:8">
      <c r="A25" s="1194"/>
      <c r="B25" s="1201"/>
      <c r="C25" s="1204"/>
      <c r="D25" s="1206"/>
      <c r="E25" s="1055" t="s">
        <v>2886</v>
      </c>
      <c r="F25" s="1056" t="s">
        <v>2885</v>
      </c>
      <c r="G25" s="1055" t="s">
        <v>1393</v>
      </c>
      <c r="H25" s="1054"/>
    </row>
    <row r="26" spans="1:8">
      <c r="A26" s="1194"/>
      <c r="B26" s="1201"/>
      <c r="C26" s="1204"/>
      <c r="D26" s="1206"/>
      <c r="E26" s="1055" t="s">
        <v>2884</v>
      </c>
      <c r="F26" s="1056" t="s">
        <v>2883</v>
      </c>
      <c r="G26" s="1055" t="s">
        <v>1393</v>
      </c>
      <c r="H26" s="1054"/>
    </row>
    <row r="27" spans="1:8">
      <c r="A27" s="1194"/>
      <c r="B27" s="1201"/>
      <c r="C27" s="1205"/>
      <c r="D27" s="1206"/>
      <c r="E27" s="1055" t="s">
        <v>2882</v>
      </c>
      <c r="F27" s="1055">
        <v>1</v>
      </c>
      <c r="G27" s="1055" t="s">
        <v>1711</v>
      </c>
      <c r="H27" s="1054"/>
    </row>
    <row r="28" spans="1:8">
      <c r="A28" s="1194"/>
      <c r="B28" s="1201"/>
      <c r="C28" s="1203" t="s">
        <v>2886</v>
      </c>
      <c r="D28" s="1206" t="s">
        <v>2890</v>
      </c>
      <c r="E28" s="1055" t="s">
        <v>2888</v>
      </c>
      <c r="F28" s="1056" t="s">
        <v>2887</v>
      </c>
      <c r="G28" s="1055" t="s">
        <v>1393</v>
      </c>
      <c r="H28" s="1054"/>
    </row>
    <row r="29" spans="1:8">
      <c r="A29" s="1194"/>
      <c r="B29" s="1201"/>
      <c r="C29" s="1204"/>
      <c r="D29" s="1206"/>
      <c r="E29" s="1055" t="s">
        <v>2886</v>
      </c>
      <c r="F29" s="1056" t="s">
        <v>2885</v>
      </c>
      <c r="G29" s="1055" t="s">
        <v>1711</v>
      </c>
      <c r="H29" s="1054"/>
    </row>
    <row r="30" spans="1:8">
      <c r="A30" s="1194"/>
      <c r="B30" s="1201"/>
      <c r="C30" s="1204"/>
      <c r="D30" s="1206"/>
      <c r="E30" s="1055" t="s">
        <v>2884</v>
      </c>
      <c r="F30" s="1056" t="s">
        <v>2883</v>
      </c>
      <c r="G30" s="1055" t="s">
        <v>1711</v>
      </c>
      <c r="H30" s="1054"/>
    </row>
    <row r="31" spans="1:8">
      <c r="A31" s="1194"/>
      <c r="B31" s="1201"/>
      <c r="C31" s="1205"/>
      <c r="D31" s="1206"/>
      <c r="E31" s="1055" t="s">
        <v>2882</v>
      </c>
      <c r="F31" s="1055">
        <v>1</v>
      </c>
      <c r="G31" s="1055" t="s">
        <v>1711</v>
      </c>
      <c r="H31" s="1054"/>
    </row>
    <row r="32" spans="1:8">
      <c r="A32" s="1194"/>
      <c r="B32" s="1201"/>
      <c r="C32" s="1203" t="s">
        <v>2889</v>
      </c>
      <c r="D32" s="1206" t="s">
        <v>2825</v>
      </c>
      <c r="E32" s="1055" t="s">
        <v>2888</v>
      </c>
      <c r="F32" s="1056" t="s">
        <v>2887</v>
      </c>
      <c r="G32" s="1055" t="s">
        <v>1711</v>
      </c>
      <c r="H32" s="1054"/>
    </row>
    <row r="33" spans="1:8">
      <c r="A33" s="1194"/>
      <c r="B33" s="1201"/>
      <c r="C33" s="1204"/>
      <c r="D33" s="1206"/>
      <c r="E33" s="1055" t="s">
        <v>2886</v>
      </c>
      <c r="F33" s="1056" t="s">
        <v>2885</v>
      </c>
      <c r="G33" s="1055" t="s">
        <v>1711</v>
      </c>
      <c r="H33" s="1054"/>
    </row>
    <row r="34" spans="1:8">
      <c r="A34" s="1194"/>
      <c r="B34" s="1201"/>
      <c r="C34" s="1204"/>
      <c r="D34" s="1206"/>
      <c r="E34" s="1055" t="s">
        <v>2884</v>
      </c>
      <c r="F34" s="1056" t="s">
        <v>2883</v>
      </c>
      <c r="G34" s="1055" t="s">
        <v>1714</v>
      </c>
      <c r="H34" s="1054"/>
    </row>
    <row r="35" spans="1:8">
      <c r="A35" s="1194"/>
      <c r="B35" s="1201"/>
      <c r="C35" s="1205"/>
      <c r="D35" s="1206"/>
      <c r="E35" s="1055" t="s">
        <v>2882</v>
      </c>
      <c r="F35" s="1055">
        <v>1</v>
      </c>
      <c r="G35" s="1055" t="s">
        <v>1714</v>
      </c>
      <c r="H35" s="1054"/>
    </row>
    <row r="36" spans="1:8">
      <c r="A36" s="1195"/>
      <c r="B36" s="1202"/>
      <c r="C36" s="1055" t="s">
        <v>2881</v>
      </c>
      <c r="D36" s="1055">
        <v>1</v>
      </c>
      <c r="E36" s="1054" t="s">
        <v>2880</v>
      </c>
      <c r="F36" s="1056" t="s">
        <v>2877</v>
      </c>
      <c r="G36" s="1055" t="s">
        <v>1714</v>
      </c>
      <c r="H36" s="1054"/>
    </row>
    <row r="37" spans="1:8">
      <c r="A37" s="1193" t="s">
        <v>2895</v>
      </c>
      <c r="B37" s="1200" t="s">
        <v>2894</v>
      </c>
      <c r="C37" s="1203" t="s">
        <v>2882</v>
      </c>
      <c r="D37" s="1206" t="s">
        <v>2892</v>
      </c>
      <c r="E37" s="1055" t="s">
        <v>2888</v>
      </c>
      <c r="F37" s="1056" t="s">
        <v>2887</v>
      </c>
      <c r="G37" s="1055" t="s">
        <v>1393</v>
      </c>
      <c r="H37" s="1054"/>
    </row>
    <row r="38" spans="1:8">
      <c r="A38" s="1194"/>
      <c r="B38" s="1201"/>
      <c r="C38" s="1204"/>
      <c r="D38" s="1206"/>
      <c r="E38" s="1055" t="s">
        <v>2886</v>
      </c>
      <c r="F38" s="1056" t="s">
        <v>2885</v>
      </c>
      <c r="G38" s="1055" t="s">
        <v>1393</v>
      </c>
      <c r="H38" s="1054"/>
    </row>
    <row r="39" spans="1:8">
      <c r="A39" s="1194"/>
      <c r="B39" s="1201"/>
      <c r="C39" s="1204"/>
      <c r="D39" s="1206"/>
      <c r="E39" s="1055" t="s">
        <v>2884</v>
      </c>
      <c r="F39" s="1056" t="s">
        <v>2883</v>
      </c>
      <c r="G39" s="1055" t="s">
        <v>1711</v>
      </c>
      <c r="H39" s="1054"/>
    </row>
    <row r="40" spans="1:8">
      <c r="A40" s="1194"/>
      <c r="B40" s="1201"/>
      <c r="C40" s="1205"/>
      <c r="D40" s="1206"/>
      <c r="E40" s="1055" t="s">
        <v>2882</v>
      </c>
      <c r="F40" s="1055">
        <v>1</v>
      </c>
      <c r="G40" s="1055" t="s">
        <v>1711</v>
      </c>
      <c r="H40" s="1054"/>
    </row>
    <row r="41" spans="1:8">
      <c r="A41" s="1194"/>
      <c r="B41" s="1201"/>
      <c r="C41" s="1203" t="s">
        <v>2884</v>
      </c>
      <c r="D41" s="1206" t="s">
        <v>2891</v>
      </c>
      <c r="E41" s="1055" t="s">
        <v>2888</v>
      </c>
      <c r="F41" s="1056" t="s">
        <v>2887</v>
      </c>
      <c r="G41" s="1055" t="s">
        <v>1711</v>
      </c>
      <c r="H41" s="1054"/>
    </row>
    <row r="42" spans="1:8">
      <c r="A42" s="1194"/>
      <c r="B42" s="1201"/>
      <c r="C42" s="1204"/>
      <c r="D42" s="1206"/>
      <c r="E42" s="1055" t="s">
        <v>2886</v>
      </c>
      <c r="F42" s="1056" t="s">
        <v>2885</v>
      </c>
      <c r="G42" s="1055" t="s">
        <v>1711</v>
      </c>
      <c r="H42" s="1054"/>
    </row>
    <row r="43" spans="1:8">
      <c r="A43" s="1194"/>
      <c r="B43" s="1201"/>
      <c r="C43" s="1204"/>
      <c r="D43" s="1206"/>
      <c r="E43" s="1055" t="s">
        <v>2884</v>
      </c>
      <c r="F43" s="1056" t="s">
        <v>2883</v>
      </c>
      <c r="G43" s="1055" t="s">
        <v>1711</v>
      </c>
      <c r="H43" s="1054"/>
    </row>
    <row r="44" spans="1:8">
      <c r="A44" s="1194"/>
      <c r="B44" s="1201"/>
      <c r="C44" s="1205"/>
      <c r="D44" s="1206"/>
      <c r="E44" s="1055" t="s">
        <v>2882</v>
      </c>
      <c r="F44" s="1055">
        <v>1</v>
      </c>
      <c r="G44" s="1055" t="s">
        <v>1714</v>
      </c>
      <c r="H44" s="1054"/>
    </row>
    <row r="45" spans="1:8">
      <c r="A45" s="1194"/>
      <c r="B45" s="1201"/>
      <c r="C45" s="1203" t="s">
        <v>2886</v>
      </c>
      <c r="D45" s="1206" t="s">
        <v>2890</v>
      </c>
      <c r="E45" s="1055" t="s">
        <v>2888</v>
      </c>
      <c r="F45" s="1056" t="s">
        <v>2887</v>
      </c>
      <c r="G45" s="1055" t="s">
        <v>1711</v>
      </c>
      <c r="H45" s="1054"/>
    </row>
    <row r="46" spans="1:8">
      <c r="A46" s="1194"/>
      <c r="B46" s="1201"/>
      <c r="C46" s="1204"/>
      <c r="D46" s="1206"/>
      <c r="E46" s="1055" t="s">
        <v>2886</v>
      </c>
      <c r="F46" s="1056" t="s">
        <v>2885</v>
      </c>
      <c r="G46" s="1055" t="s">
        <v>1714</v>
      </c>
      <c r="H46" s="1054"/>
    </row>
    <row r="47" spans="1:8">
      <c r="A47" s="1194"/>
      <c r="B47" s="1201"/>
      <c r="C47" s="1204"/>
      <c r="D47" s="1206"/>
      <c r="E47" s="1055" t="s">
        <v>2884</v>
      </c>
      <c r="F47" s="1056" t="s">
        <v>2883</v>
      </c>
      <c r="G47" s="1055" t="s">
        <v>1714</v>
      </c>
      <c r="H47" s="1054"/>
    </row>
    <row r="48" spans="1:8">
      <c r="A48" s="1194"/>
      <c r="B48" s="1201"/>
      <c r="C48" s="1205"/>
      <c r="D48" s="1206"/>
      <c r="E48" s="1055" t="s">
        <v>2882</v>
      </c>
      <c r="F48" s="1055">
        <v>1</v>
      </c>
      <c r="G48" s="1055" t="s">
        <v>1714</v>
      </c>
      <c r="H48" s="1054"/>
    </row>
    <row r="49" spans="1:8">
      <c r="A49" s="1194"/>
      <c r="B49" s="1201"/>
      <c r="C49" s="1203" t="s">
        <v>2889</v>
      </c>
      <c r="D49" s="1206" t="s">
        <v>2825</v>
      </c>
      <c r="E49" s="1055" t="s">
        <v>2888</v>
      </c>
      <c r="F49" s="1056" t="s">
        <v>2887</v>
      </c>
      <c r="G49" s="1055" t="s">
        <v>1714</v>
      </c>
      <c r="H49" s="1054"/>
    </row>
    <row r="50" spans="1:8">
      <c r="A50" s="1194"/>
      <c r="B50" s="1201"/>
      <c r="C50" s="1204"/>
      <c r="D50" s="1206"/>
      <c r="E50" s="1055" t="s">
        <v>2886</v>
      </c>
      <c r="F50" s="1056" t="s">
        <v>2885</v>
      </c>
      <c r="G50" s="1055" t="s">
        <v>1714</v>
      </c>
      <c r="H50" s="1054"/>
    </row>
    <row r="51" spans="1:8">
      <c r="A51" s="1194"/>
      <c r="B51" s="1201"/>
      <c r="C51" s="1204"/>
      <c r="D51" s="1206"/>
      <c r="E51" s="1055" t="s">
        <v>2884</v>
      </c>
      <c r="F51" s="1056" t="s">
        <v>2883</v>
      </c>
      <c r="G51" s="1055" t="s">
        <v>1714</v>
      </c>
      <c r="H51" s="1054"/>
    </row>
    <row r="52" spans="1:8">
      <c r="A52" s="1194"/>
      <c r="B52" s="1201"/>
      <c r="C52" s="1205"/>
      <c r="D52" s="1206"/>
      <c r="E52" s="1055" t="s">
        <v>2882</v>
      </c>
      <c r="F52" s="1055">
        <v>1</v>
      </c>
      <c r="G52" s="1055" t="s">
        <v>1714</v>
      </c>
      <c r="H52" s="1054"/>
    </row>
    <row r="53" spans="1:8">
      <c r="A53" s="1195"/>
      <c r="B53" s="1202"/>
      <c r="C53" s="1055" t="s">
        <v>2881</v>
      </c>
      <c r="D53" s="1055">
        <v>1</v>
      </c>
      <c r="E53" s="1054" t="s">
        <v>2880</v>
      </c>
      <c r="F53" s="1056" t="s">
        <v>2877</v>
      </c>
      <c r="G53" s="1055" t="s">
        <v>1714</v>
      </c>
      <c r="H53" s="1054"/>
    </row>
    <row r="54" spans="1:8" ht="13.7" customHeight="1">
      <c r="A54" s="1196" t="s">
        <v>2893</v>
      </c>
      <c r="B54" s="1197" t="s">
        <v>2825</v>
      </c>
      <c r="C54" s="1207" t="s">
        <v>2882</v>
      </c>
      <c r="D54" s="1208" t="s">
        <v>2892</v>
      </c>
      <c r="E54" s="1059" t="s">
        <v>2888</v>
      </c>
      <c r="F54" s="1060" t="s">
        <v>2887</v>
      </c>
      <c r="G54" s="1059" t="s">
        <v>1711</v>
      </c>
      <c r="H54" s="1058"/>
    </row>
    <row r="55" spans="1:8">
      <c r="A55" s="1194"/>
      <c r="B55" s="1201"/>
      <c r="C55" s="1204"/>
      <c r="D55" s="1206"/>
      <c r="E55" s="1055" t="s">
        <v>2886</v>
      </c>
      <c r="F55" s="1056" t="s">
        <v>2885</v>
      </c>
      <c r="G55" s="1055" t="s">
        <v>1711</v>
      </c>
      <c r="H55" s="1054"/>
    </row>
    <row r="56" spans="1:8">
      <c r="A56" s="1194"/>
      <c r="B56" s="1201"/>
      <c r="C56" s="1204"/>
      <c r="D56" s="1206"/>
      <c r="E56" s="1055" t="s">
        <v>2884</v>
      </c>
      <c r="F56" s="1056" t="s">
        <v>2883</v>
      </c>
      <c r="G56" s="1055" t="s">
        <v>1714</v>
      </c>
      <c r="H56" s="1054"/>
    </row>
    <row r="57" spans="1:8">
      <c r="A57" s="1194"/>
      <c r="B57" s="1201"/>
      <c r="C57" s="1205"/>
      <c r="D57" s="1206"/>
      <c r="E57" s="1055" t="s">
        <v>2882</v>
      </c>
      <c r="F57" s="1055">
        <v>1</v>
      </c>
      <c r="G57" s="1055" t="s">
        <v>1714</v>
      </c>
      <c r="H57" s="1054"/>
    </row>
    <row r="58" spans="1:8">
      <c r="A58" s="1194"/>
      <c r="B58" s="1201"/>
      <c r="C58" s="1203" t="s">
        <v>2884</v>
      </c>
      <c r="D58" s="1206" t="s">
        <v>2891</v>
      </c>
      <c r="E58" s="1055" t="s">
        <v>2888</v>
      </c>
      <c r="F58" s="1056" t="s">
        <v>2887</v>
      </c>
      <c r="G58" s="1055" t="s">
        <v>1714</v>
      </c>
      <c r="H58" s="1054"/>
    </row>
    <row r="59" spans="1:8">
      <c r="A59" s="1194"/>
      <c r="B59" s="1201"/>
      <c r="C59" s="1204"/>
      <c r="D59" s="1206"/>
      <c r="E59" s="1055" t="s">
        <v>2886</v>
      </c>
      <c r="F59" s="1056" t="s">
        <v>2885</v>
      </c>
      <c r="G59" s="1055" t="s">
        <v>1714</v>
      </c>
      <c r="H59" s="1054"/>
    </row>
    <row r="60" spans="1:8">
      <c r="A60" s="1194"/>
      <c r="B60" s="1201"/>
      <c r="C60" s="1204"/>
      <c r="D60" s="1206"/>
      <c r="E60" s="1055" t="s">
        <v>2884</v>
      </c>
      <c r="F60" s="1056" t="s">
        <v>2883</v>
      </c>
      <c r="G60" s="1055" t="s">
        <v>1714</v>
      </c>
      <c r="H60" s="1054"/>
    </row>
    <row r="61" spans="1:8">
      <c r="A61" s="1194"/>
      <c r="B61" s="1201"/>
      <c r="C61" s="1205"/>
      <c r="D61" s="1206"/>
      <c r="E61" s="1055" t="s">
        <v>2882</v>
      </c>
      <c r="F61" s="1055">
        <v>1</v>
      </c>
      <c r="G61" s="1055" t="s">
        <v>1714</v>
      </c>
      <c r="H61" s="1054"/>
    </row>
    <row r="62" spans="1:8">
      <c r="A62" s="1194"/>
      <c r="B62" s="1201"/>
      <c r="C62" s="1203" t="s">
        <v>2886</v>
      </c>
      <c r="D62" s="1206" t="s">
        <v>2890</v>
      </c>
      <c r="E62" s="1055" t="s">
        <v>2888</v>
      </c>
      <c r="F62" s="1056" t="s">
        <v>2887</v>
      </c>
      <c r="G62" s="1055" t="s">
        <v>1714</v>
      </c>
      <c r="H62" s="1054"/>
    </row>
    <row r="63" spans="1:8">
      <c r="A63" s="1194"/>
      <c r="B63" s="1201"/>
      <c r="C63" s="1204"/>
      <c r="D63" s="1206"/>
      <c r="E63" s="1055" t="s">
        <v>2886</v>
      </c>
      <c r="F63" s="1056" t="s">
        <v>2885</v>
      </c>
      <c r="G63" s="1055" t="s">
        <v>1714</v>
      </c>
      <c r="H63" s="1054"/>
    </row>
    <row r="64" spans="1:8">
      <c r="A64" s="1194"/>
      <c r="B64" s="1201"/>
      <c r="C64" s="1204"/>
      <c r="D64" s="1206"/>
      <c r="E64" s="1055" t="s">
        <v>2884</v>
      </c>
      <c r="F64" s="1056" t="s">
        <v>2883</v>
      </c>
      <c r="G64" s="1055" t="s">
        <v>1714</v>
      </c>
      <c r="H64" s="1054"/>
    </row>
    <row r="65" spans="1:8">
      <c r="A65" s="1194"/>
      <c r="B65" s="1201"/>
      <c r="C65" s="1205"/>
      <c r="D65" s="1206"/>
      <c r="E65" s="1055" t="s">
        <v>2882</v>
      </c>
      <c r="F65" s="1055">
        <v>1</v>
      </c>
      <c r="G65" s="1055" t="s">
        <v>1714</v>
      </c>
      <c r="H65" s="1054"/>
    </row>
    <row r="66" spans="1:8">
      <c r="A66" s="1194"/>
      <c r="B66" s="1201"/>
      <c r="C66" s="1203" t="s">
        <v>2889</v>
      </c>
      <c r="D66" s="1206" t="s">
        <v>2825</v>
      </c>
      <c r="E66" s="1055" t="s">
        <v>2888</v>
      </c>
      <c r="F66" s="1056" t="s">
        <v>2887</v>
      </c>
      <c r="G66" s="1055" t="s">
        <v>1714</v>
      </c>
      <c r="H66" s="1054"/>
    </row>
    <row r="67" spans="1:8">
      <c r="A67" s="1194"/>
      <c r="B67" s="1201"/>
      <c r="C67" s="1204"/>
      <c r="D67" s="1206"/>
      <c r="E67" s="1055" t="s">
        <v>2886</v>
      </c>
      <c r="F67" s="1056" t="s">
        <v>2885</v>
      </c>
      <c r="G67" s="1055" t="s">
        <v>1714</v>
      </c>
      <c r="H67" s="1054"/>
    </row>
    <row r="68" spans="1:8">
      <c r="A68" s="1194"/>
      <c r="B68" s="1201"/>
      <c r="C68" s="1204"/>
      <c r="D68" s="1206"/>
      <c r="E68" s="1055" t="s">
        <v>2884</v>
      </c>
      <c r="F68" s="1056" t="s">
        <v>2883</v>
      </c>
      <c r="G68" s="1055" t="s">
        <v>1714</v>
      </c>
      <c r="H68" s="1054"/>
    </row>
    <row r="69" spans="1:8">
      <c r="A69" s="1194"/>
      <c r="B69" s="1201"/>
      <c r="C69" s="1205"/>
      <c r="D69" s="1206"/>
      <c r="E69" s="1055" t="s">
        <v>2882</v>
      </c>
      <c r="F69" s="1055">
        <v>1</v>
      </c>
      <c r="G69" s="1055" t="s">
        <v>1714</v>
      </c>
      <c r="H69" s="1054"/>
    </row>
    <row r="70" spans="1:8">
      <c r="A70" s="1195"/>
      <c r="B70" s="1202"/>
      <c r="C70" s="1055" t="s">
        <v>2881</v>
      </c>
      <c r="D70" s="1055">
        <v>1</v>
      </c>
      <c r="E70" s="1054" t="s">
        <v>2880</v>
      </c>
      <c r="F70" s="1056" t="s">
        <v>2877</v>
      </c>
      <c r="G70" s="1055" t="s">
        <v>1714</v>
      </c>
      <c r="H70" s="1054"/>
    </row>
    <row r="71" spans="1:8" ht="27">
      <c r="A71" s="1057" t="s">
        <v>2879</v>
      </c>
      <c r="B71" s="1055">
        <v>1</v>
      </c>
      <c r="C71" s="1055" t="s">
        <v>2878</v>
      </c>
      <c r="D71" s="1056" t="s">
        <v>2877</v>
      </c>
      <c r="E71" s="1055" t="s">
        <v>2878</v>
      </c>
      <c r="F71" s="1056" t="s">
        <v>2877</v>
      </c>
      <c r="G71" s="1055" t="s">
        <v>1714</v>
      </c>
      <c r="H71" s="1054"/>
    </row>
  </sheetData>
  <autoFilter ref="A2:H71" xr:uid="{00000000-0001-0000-0000-000000000000}"/>
  <mergeCells count="41">
    <mergeCell ref="D66:D69"/>
    <mergeCell ref="A1:H1"/>
    <mergeCell ref="C66:C69"/>
    <mergeCell ref="D3:D6"/>
    <mergeCell ref="D7:D10"/>
    <mergeCell ref="D11:D14"/>
    <mergeCell ref="D15:D18"/>
    <mergeCell ref="D20:D23"/>
    <mergeCell ref="D24:D27"/>
    <mergeCell ref="D28:D31"/>
    <mergeCell ref="D32:D35"/>
    <mergeCell ref="D37:D40"/>
    <mergeCell ref="D41:D44"/>
    <mergeCell ref="D45:D48"/>
    <mergeCell ref="D49:D52"/>
    <mergeCell ref="D58:D61"/>
    <mergeCell ref="D62:D65"/>
    <mergeCell ref="C45:C48"/>
    <mergeCell ref="C49:C52"/>
    <mergeCell ref="C54:C57"/>
    <mergeCell ref="C58:C61"/>
    <mergeCell ref="C62:C65"/>
    <mergeCell ref="D54:D57"/>
    <mergeCell ref="C3:C6"/>
    <mergeCell ref="C7:C10"/>
    <mergeCell ref="C11:C14"/>
    <mergeCell ref="C15:C18"/>
    <mergeCell ref="C20:C23"/>
    <mergeCell ref="C24:C27"/>
    <mergeCell ref="C28:C31"/>
    <mergeCell ref="C32:C35"/>
    <mergeCell ref="C37:C40"/>
    <mergeCell ref="C41:C44"/>
    <mergeCell ref="A3:A19"/>
    <mergeCell ref="A20:A36"/>
    <mergeCell ref="A37:A53"/>
    <mergeCell ref="A54:A70"/>
    <mergeCell ref="B3:B19"/>
    <mergeCell ref="B20:B36"/>
    <mergeCell ref="B37:B53"/>
    <mergeCell ref="B54:B70"/>
  </mergeCells>
  <phoneticPr fontId="95" type="noConversion"/>
  <pageMargins left="0.7" right="0.7" top="0.75" bottom="0.75" header="0.3" footer="0.3"/>
  <pageSetup paperSize="9"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theme="7" tint="0.39994506668294322"/>
  </sheetPr>
  <dimension ref="A1:AK366"/>
  <sheetViews>
    <sheetView topLeftCell="A321" workbookViewId="0">
      <selection activeCell="E325" sqref="E325"/>
    </sheetView>
  </sheetViews>
  <sheetFormatPr defaultColWidth="9" defaultRowHeight="20.100000000000001" customHeight="1"/>
  <cols>
    <col min="1" max="1" width="12.125" style="1" customWidth="1"/>
    <col min="2" max="4" width="11.625" style="1" customWidth="1"/>
    <col min="5" max="5" width="13" style="1" bestFit="1" customWidth="1"/>
    <col min="6" max="6" width="13.25" style="1" bestFit="1" customWidth="1"/>
    <col min="7" max="36" width="31.875" style="1" bestFit="1" customWidth="1"/>
    <col min="37" max="37" width="5.75" style="1" bestFit="1" customWidth="1"/>
    <col min="38" max="16384" width="9" style="1"/>
  </cols>
  <sheetData>
    <row r="1" spans="1:6" ht="20.100000000000001" customHeight="1">
      <c r="A1" s="1212" t="s">
        <v>2406</v>
      </c>
      <c r="B1" s="1212"/>
      <c r="C1" s="1212"/>
      <c r="D1" s="1212"/>
      <c r="E1" s="1212"/>
      <c r="F1" s="1212"/>
    </row>
    <row r="2" spans="1:6" ht="20.100000000000001" customHeight="1">
      <c r="A2" s="2"/>
      <c r="B2" s="2"/>
      <c r="C2" s="2"/>
      <c r="D2" s="2"/>
      <c r="E2" s="2"/>
      <c r="F2" s="2"/>
    </row>
    <row r="3" spans="1:6" ht="20.100000000000001" customHeight="1">
      <c r="A3" s="3" t="s">
        <v>2407</v>
      </c>
      <c r="E3" s="2"/>
      <c r="F3" s="2"/>
    </row>
    <row r="4" spans="1:6" ht="20.100000000000001" customHeight="1">
      <c r="A4" s="1" t="s">
        <v>2408</v>
      </c>
      <c r="E4" s="2"/>
      <c r="F4" s="2"/>
    </row>
    <row r="5" spans="1:6" ht="20.100000000000001" customHeight="1">
      <c r="A5" s="1" t="s">
        <v>2409</v>
      </c>
    </row>
    <row r="7" spans="1:6" ht="20.100000000000001" customHeight="1">
      <c r="A7" s="1" t="s">
        <v>2410</v>
      </c>
    </row>
    <row r="9" spans="1:6" ht="20.100000000000001" customHeight="1">
      <c r="A9" s="4"/>
      <c r="B9" s="5" t="s">
        <v>2411</v>
      </c>
      <c r="C9" s="5" t="s">
        <v>1710</v>
      </c>
      <c r="D9" s="6" t="s">
        <v>2412</v>
      </c>
    </row>
    <row r="10" spans="1:6" ht="20.100000000000001" customHeight="1">
      <c r="A10" s="7" t="s">
        <v>1195</v>
      </c>
      <c r="B10" s="8">
        <v>1</v>
      </c>
      <c r="C10" s="8">
        <v>2</v>
      </c>
      <c r="D10" s="9">
        <v>3</v>
      </c>
    </row>
    <row r="11" spans="1:6" ht="20.100000000000001" customHeight="1">
      <c r="A11" s="7" t="s">
        <v>1197</v>
      </c>
      <c r="B11" s="8">
        <v>2</v>
      </c>
      <c r="C11" s="8">
        <v>3</v>
      </c>
      <c r="D11" s="9">
        <v>4</v>
      </c>
    </row>
    <row r="12" spans="1:6" ht="20.100000000000001" customHeight="1">
      <c r="A12" s="7" t="s">
        <v>1198</v>
      </c>
      <c r="B12" s="8">
        <v>3</v>
      </c>
      <c r="C12" s="8">
        <v>4</v>
      </c>
      <c r="D12" s="9">
        <v>5</v>
      </c>
    </row>
    <row r="14" spans="1:6" ht="20.100000000000001" customHeight="1">
      <c r="A14" s="10" t="s">
        <v>2413</v>
      </c>
      <c r="B14" s="11" t="s">
        <v>1197</v>
      </c>
      <c r="C14" s="11">
        <v>2.5</v>
      </c>
      <c r="D14" s="12"/>
    </row>
    <row r="16" spans="1:6" ht="20.100000000000001" customHeight="1">
      <c r="A16" s="1" t="s">
        <v>2414</v>
      </c>
    </row>
    <row r="18" spans="1:6" ht="20.100000000000001" customHeight="1">
      <c r="A18" s="13" t="s">
        <v>284</v>
      </c>
      <c r="B18" s="13" t="s">
        <v>43</v>
      </c>
      <c r="C18" s="13" t="s">
        <v>2415</v>
      </c>
    </row>
    <row r="19" spans="1:6" ht="20.100000000000001" customHeight="1">
      <c r="A19" s="14" t="s">
        <v>32</v>
      </c>
      <c r="B19" s="15">
        <v>44199</v>
      </c>
      <c r="C19" s="14" t="s">
        <v>2416</v>
      </c>
    </row>
    <row r="20" spans="1:6" ht="20.100000000000001" customHeight="1">
      <c r="A20" s="16" t="s">
        <v>34</v>
      </c>
      <c r="B20" s="17">
        <v>44228</v>
      </c>
      <c r="C20" s="16" t="s">
        <v>2417</v>
      </c>
    </row>
    <row r="21" spans="1:6" ht="20.100000000000001" customHeight="1">
      <c r="A21" s="18" t="s">
        <v>36</v>
      </c>
      <c r="B21" s="19">
        <v>44199</v>
      </c>
      <c r="C21" s="18" t="s">
        <v>2418</v>
      </c>
    </row>
    <row r="22" spans="1:6" ht="20.100000000000001" customHeight="1">
      <c r="A22" s="16" t="s">
        <v>32</v>
      </c>
      <c r="B22" s="17">
        <v>44198</v>
      </c>
      <c r="C22" s="16" t="s">
        <v>2419</v>
      </c>
    </row>
    <row r="23" spans="1:6" ht="20.100000000000001" customHeight="1">
      <c r="A23" s="20" t="s">
        <v>36</v>
      </c>
      <c r="B23" s="21">
        <v>44197</v>
      </c>
      <c r="C23" s="20" t="s">
        <v>2420</v>
      </c>
    </row>
    <row r="25" spans="1:6" ht="20.100000000000001" customHeight="1">
      <c r="A25" s="13" t="s">
        <v>284</v>
      </c>
      <c r="B25" s="13" t="s">
        <v>43</v>
      </c>
      <c r="C25" s="13" t="s">
        <v>2415</v>
      </c>
    </row>
    <row r="26" spans="1:6" ht="20.100000000000001" customHeight="1">
      <c r="A26" s="22" t="s">
        <v>36</v>
      </c>
      <c r="B26" s="23">
        <v>44199</v>
      </c>
      <c r="C26" s="24"/>
    </row>
    <row r="28" spans="1:6" ht="20.100000000000001" customHeight="1">
      <c r="A28" s="1" t="s">
        <v>2421</v>
      </c>
    </row>
    <row r="30" spans="1:6" ht="20.100000000000001" customHeight="1">
      <c r="A30" s="25"/>
      <c r="B30" s="25" t="s">
        <v>26</v>
      </c>
      <c r="C30" s="25" t="s">
        <v>27</v>
      </c>
      <c r="D30" s="25" t="s">
        <v>28</v>
      </c>
      <c r="E30" s="26" t="s">
        <v>101</v>
      </c>
      <c r="F30" s="26" t="s">
        <v>2422</v>
      </c>
    </row>
    <row r="31" spans="1:6" ht="20.100000000000001" customHeight="1">
      <c r="A31" s="27" t="s">
        <v>61</v>
      </c>
      <c r="B31" s="27">
        <v>35</v>
      </c>
      <c r="C31" s="27"/>
      <c r="D31" s="27">
        <v>56</v>
      </c>
      <c r="E31" s="28"/>
      <c r="F31" s="29"/>
    </row>
    <row r="32" spans="1:6" ht="20.100000000000001" customHeight="1">
      <c r="A32" s="30" t="s">
        <v>62</v>
      </c>
      <c r="B32" s="30"/>
      <c r="C32" s="30">
        <v>45</v>
      </c>
      <c r="D32" s="30"/>
      <c r="E32" s="31">
        <v>45</v>
      </c>
      <c r="F32" s="32"/>
    </row>
    <row r="33" spans="1:6" ht="20.100000000000001" customHeight="1">
      <c r="A33" s="33" t="s">
        <v>65</v>
      </c>
      <c r="B33" s="33">
        <v>45</v>
      </c>
      <c r="C33" s="33"/>
      <c r="D33" s="33">
        <v>45</v>
      </c>
      <c r="E33" s="34"/>
      <c r="F33" s="35"/>
    </row>
    <row r="34" spans="1:6" ht="20.100000000000001" customHeight="1">
      <c r="A34" s="36" t="s">
        <v>68</v>
      </c>
      <c r="B34" s="36">
        <v>45</v>
      </c>
      <c r="C34" s="36">
        <v>54</v>
      </c>
      <c r="D34" s="36">
        <v>454</v>
      </c>
      <c r="E34" s="37"/>
      <c r="F34" s="38"/>
    </row>
    <row r="36" spans="1:6" ht="20.100000000000001" customHeight="1">
      <c r="A36" s="1" t="s">
        <v>2423</v>
      </c>
    </row>
    <row r="38" spans="1:6" ht="20.100000000000001" customHeight="1">
      <c r="A38" s="39" t="s">
        <v>20</v>
      </c>
      <c r="B38" s="39" t="s">
        <v>21</v>
      </c>
    </row>
    <row r="39" spans="1:6" ht="20.100000000000001" customHeight="1">
      <c r="A39" s="40" t="s">
        <v>13</v>
      </c>
      <c r="B39" s="41"/>
    </row>
    <row r="40" spans="1:6" ht="20.100000000000001" customHeight="1">
      <c r="A40" s="40" t="s">
        <v>14</v>
      </c>
    </row>
    <row r="41" spans="1:6" ht="20.100000000000001" customHeight="1">
      <c r="A41" s="40" t="s">
        <v>15</v>
      </c>
    </row>
    <row r="42" spans="1:6" ht="20.100000000000001" customHeight="1">
      <c r="A42" s="40" t="s">
        <v>14</v>
      </c>
    </row>
    <row r="43" spans="1:6" ht="20.100000000000001" customHeight="1">
      <c r="A43" s="40" t="s">
        <v>15</v>
      </c>
    </row>
    <row r="45" spans="1:6" ht="20.100000000000001" customHeight="1">
      <c r="A45" s="42" t="s">
        <v>2424</v>
      </c>
    </row>
    <row r="46" spans="1:6" ht="20.100000000000001" customHeight="1">
      <c r="A46" s="16"/>
    </row>
    <row r="47" spans="1:6" ht="20.100000000000001" customHeight="1">
      <c r="A47" s="43" t="s">
        <v>25</v>
      </c>
      <c r="B47" s="43" t="s">
        <v>45</v>
      </c>
      <c r="C47" s="43" t="s">
        <v>46</v>
      </c>
    </row>
    <row r="48" spans="1:6" ht="20.100000000000001" customHeight="1">
      <c r="A48" s="44" t="s">
        <v>48</v>
      </c>
      <c r="B48" s="44">
        <v>3</v>
      </c>
      <c r="C48" s="44">
        <v>11</v>
      </c>
    </row>
    <row r="49" spans="1:3" ht="20.100000000000001" customHeight="1">
      <c r="A49" s="45" t="s">
        <v>50</v>
      </c>
      <c r="B49" s="45">
        <v>5</v>
      </c>
      <c r="C49" s="45">
        <v>26</v>
      </c>
    </row>
    <row r="50" spans="1:3" ht="20.100000000000001" customHeight="1">
      <c r="A50" s="46" t="s">
        <v>52</v>
      </c>
      <c r="B50" s="46">
        <v>7</v>
      </c>
      <c r="C50" s="46">
        <v>24</v>
      </c>
    </row>
    <row r="52" spans="1:3" ht="20.100000000000001" customHeight="1">
      <c r="A52" s="43" t="s">
        <v>2425</v>
      </c>
      <c r="B52" s="43"/>
      <c r="C52" s="47"/>
    </row>
    <row r="54" spans="1:3" ht="20.100000000000001" customHeight="1">
      <c r="A54" s="1" t="s">
        <v>2426</v>
      </c>
    </row>
    <row r="56" spans="1:3" ht="20.100000000000001" customHeight="1">
      <c r="A56" s="48" t="s">
        <v>85</v>
      </c>
      <c r="B56" s="49" t="s">
        <v>86</v>
      </c>
      <c r="C56" s="49" t="s">
        <v>87</v>
      </c>
    </row>
    <row r="57" spans="1:3" ht="20.100000000000001" customHeight="1">
      <c r="A57" s="50">
        <v>40910</v>
      </c>
      <c r="B57" s="51" t="s">
        <v>61</v>
      </c>
      <c r="C57" s="51">
        <v>10</v>
      </c>
    </row>
    <row r="58" spans="1:3" ht="20.100000000000001" customHeight="1">
      <c r="A58" s="52">
        <v>40911</v>
      </c>
      <c r="B58" s="53" t="s">
        <v>62</v>
      </c>
      <c r="C58" s="53">
        <v>34</v>
      </c>
    </row>
    <row r="59" spans="1:3" ht="20.100000000000001" customHeight="1">
      <c r="A59" s="54">
        <v>40912</v>
      </c>
      <c r="B59" s="55" t="s">
        <v>61</v>
      </c>
      <c r="C59" s="55">
        <v>19</v>
      </c>
    </row>
    <row r="60" spans="1:3" ht="20.100000000000001" customHeight="1">
      <c r="A60" s="52">
        <v>40913</v>
      </c>
      <c r="B60" s="53" t="s">
        <v>66</v>
      </c>
      <c r="C60" s="53">
        <v>25</v>
      </c>
    </row>
    <row r="61" spans="1:3" ht="20.100000000000001" customHeight="1">
      <c r="A61" s="54">
        <v>40914</v>
      </c>
      <c r="B61" s="55" t="s">
        <v>61</v>
      </c>
      <c r="C61" s="55">
        <v>12</v>
      </c>
    </row>
    <row r="62" spans="1:3" ht="20.100000000000001" customHeight="1">
      <c r="A62" s="52">
        <v>40915</v>
      </c>
      <c r="B62" s="53" t="s">
        <v>63</v>
      </c>
      <c r="C62" s="53">
        <v>25</v>
      </c>
    </row>
    <row r="64" spans="1:3" ht="20.100000000000001" customHeight="1">
      <c r="A64" s="56" t="s">
        <v>85</v>
      </c>
      <c r="B64" s="57">
        <v>40910</v>
      </c>
    </row>
    <row r="65" spans="1:6" ht="20.100000000000001" customHeight="1">
      <c r="A65" s="58" t="s">
        <v>86</v>
      </c>
      <c r="B65" s="59" t="s">
        <v>61</v>
      </c>
    </row>
    <row r="66" spans="1:6" ht="20.100000000000001" customHeight="1">
      <c r="A66" s="60" t="s">
        <v>87</v>
      </c>
      <c r="B66" s="61"/>
    </row>
    <row r="68" spans="1:6" ht="20.100000000000001" customHeight="1">
      <c r="A68" s="1" t="s">
        <v>2427</v>
      </c>
    </row>
    <row r="70" spans="1:6" ht="20.100000000000001" customHeight="1">
      <c r="A70" s="62"/>
      <c r="B70" s="63" t="s">
        <v>61</v>
      </c>
      <c r="C70" s="64" t="s">
        <v>62</v>
      </c>
    </row>
    <row r="71" spans="1:6" ht="20.100000000000001" customHeight="1">
      <c r="A71" s="65">
        <v>44562</v>
      </c>
      <c r="B71" s="66">
        <v>2</v>
      </c>
      <c r="C71" s="67"/>
    </row>
    <row r="72" spans="1:6" ht="20.100000000000001" customHeight="1">
      <c r="A72" s="68">
        <v>44563</v>
      </c>
      <c r="B72" s="69"/>
      <c r="C72" s="70">
        <v>4</v>
      </c>
    </row>
    <row r="73" spans="1:6" ht="20.100000000000001" customHeight="1">
      <c r="A73" s="65">
        <v>44564</v>
      </c>
      <c r="B73" s="66">
        <v>3</v>
      </c>
      <c r="C73" s="67"/>
    </row>
    <row r="74" spans="1:6" ht="20.100000000000001" customHeight="1">
      <c r="A74" s="71">
        <v>44565</v>
      </c>
      <c r="B74" s="72"/>
      <c r="C74" s="73">
        <v>1</v>
      </c>
    </row>
    <row r="75" spans="1:6" ht="20.100000000000001" customHeight="1">
      <c r="A75" s="65" t="s">
        <v>2428</v>
      </c>
      <c r="B75" s="61"/>
      <c r="C75" s="61"/>
    </row>
    <row r="77" spans="1:6" ht="20.100000000000001" customHeight="1">
      <c r="A77" s="1" t="s">
        <v>2429</v>
      </c>
    </row>
    <row r="79" spans="1:6" ht="20.100000000000001" customHeight="1">
      <c r="A79" s="74"/>
      <c r="B79" s="75" t="s">
        <v>2430</v>
      </c>
      <c r="C79" s="76" t="s">
        <v>1797</v>
      </c>
      <c r="D79" s="76" t="s">
        <v>2430</v>
      </c>
      <c r="E79" s="76" t="s">
        <v>1797</v>
      </c>
      <c r="F79" s="40" t="s">
        <v>2431</v>
      </c>
    </row>
    <row r="80" spans="1:6" ht="20.100000000000001" customHeight="1">
      <c r="A80" s="77" t="s">
        <v>1457</v>
      </c>
      <c r="B80" s="78">
        <v>22</v>
      </c>
      <c r="C80" s="79"/>
      <c r="D80" s="76">
        <v>0</v>
      </c>
      <c r="E80" s="76" t="s">
        <v>1707</v>
      </c>
      <c r="F80" s="76" t="s">
        <v>2432</v>
      </c>
    </row>
    <row r="81" spans="1:7" ht="20.100000000000001" customHeight="1">
      <c r="A81" s="80" t="s">
        <v>2433</v>
      </c>
      <c r="B81" s="81">
        <v>66</v>
      </c>
      <c r="C81" s="61"/>
      <c r="D81" s="76">
        <v>60</v>
      </c>
      <c r="E81" s="76" t="s">
        <v>2434</v>
      </c>
      <c r="F81" s="82" t="s">
        <v>2435</v>
      </c>
    </row>
    <row r="82" spans="1:7" ht="20.100000000000001" customHeight="1">
      <c r="A82" s="83" t="s">
        <v>1938</v>
      </c>
      <c r="B82" s="84">
        <v>88</v>
      </c>
      <c r="C82" s="61"/>
      <c r="D82" s="76">
        <v>80</v>
      </c>
      <c r="E82" s="76" t="s">
        <v>2436</v>
      </c>
      <c r="F82" s="40" t="s">
        <v>2437</v>
      </c>
    </row>
    <row r="84" spans="1:7" ht="20.100000000000001" customHeight="1">
      <c r="A84" s="1" t="s">
        <v>2438</v>
      </c>
    </row>
    <row r="86" spans="1:7" ht="20.100000000000001" customHeight="1">
      <c r="A86" s="48" t="s">
        <v>150</v>
      </c>
      <c r="B86" s="49" t="s">
        <v>151</v>
      </c>
    </row>
    <row r="87" spans="1:7" ht="20.100000000000001" customHeight="1">
      <c r="A87" s="85" t="s">
        <v>152</v>
      </c>
      <c r="B87" s="61"/>
    </row>
    <row r="88" spans="1:7" ht="20.100000000000001" customHeight="1">
      <c r="A88" s="86" t="s">
        <v>154</v>
      </c>
      <c r="B88" s="61"/>
    </row>
    <row r="89" spans="1:7" ht="20.100000000000001" customHeight="1">
      <c r="A89" s="87" t="s">
        <v>162</v>
      </c>
      <c r="B89" s="61"/>
    </row>
    <row r="90" spans="1:7" ht="20.100000000000001" customHeight="1">
      <c r="A90" s="86" t="s">
        <v>157</v>
      </c>
      <c r="B90" s="61"/>
    </row>
    <row r="91" spans="1:7" ht="20.100000000000001" customHeight="1">
      <c r="A91" s="87" t="s">
        <v>163</v>
      </c>
      <c r="B91" s="61"/>
    </row>
    <row r="93" spans="1:7" ht="20.100000000000001" customHeight="1">
      <c r="A93" s="1" t="s">
        <v>2439</v>
      </c>
    </row>
    <row r="95" spans="1:7" ht="20.100000000000001" customHeight="1">
      <c r="A95" s="88" t="s">
        <v>131</v>
      </c>
      <c r="B95" s="89" t="s">
        <v>1199</v>
      </c>
      <c r="D95" s="90"/>
      <c r="E95" s="91" t="s">
        <v>2440</v>
      </c>
      <c r="F95" s="91" t="s">
        <v>2441</v>
      </c>
      <c r="G95" s="91" t="s">
        <v>2442</v>
      </c>
    </row>
    <row r="96" spans="1:7" ht="20.100000000000001" customHeight="1">
      <c r="A96" s="92" t="s">
        <v>540</v>
      </c>
      <c r="B96" s="93">
        <v>44562</v>
      </c>
      <c r="D96" s="90" t="s">
        <v>540</v>
      </c>
      <c r="E96" s="94"/>
      <c r="F96" s="94"/>
      <c r="G96" s="94"/>
    </row>
    <row r="97" spans="1:10" ht="20.100000000000001" customHeight="1">
      <c r="A97" s="95" t="s">
        <v>542</v>
      </c>
      <c r="B97" s="96">
        <v>44563</v>
      </c>
      <c r="D97" s="90" t="s">
        <v>542</v>
      </c>
      <c r="E97" s="94"/>
      <c r="F97" s="94"/>
      <c r="G97" s="94"/>
    </row>
    <row r="98" spans="1:10" ht="20.100000000000001" customHeight="1">
      <c r="A98" s="97" t="s">
        <v>540</v>
      </c>
      <c r="B98" s="98">
        <v>44581</v>
      </c>
      <c r="D98" s="99" t="s">
        <v>544</v>
      </c>
      <c r="E98" s="41"/>
      <c r="F98" s="41"/>
      <c r="G98" s="41"/>
    </row>
    <row r="99" spans="1:10" ht="20.100000000000001" customHeight="1">
      <c r="A99" s="95" t="s">
        <v>544</v>
      </c>
      <c r="B99" s="96">
        <v>44570</v>
      </c>
    </row>
    <row r="100" spans="1:10" ht="20.100000000000001" customHeight="1">
      <c r="A100" s="100" t="s">
        <v>540</v>
      </c>
      <c r="B100" s="101">
        <v>44620</v>
      </c>
    </row>
    <row r="102" spans="1:10" ht="20.100000000000001" customHeight="1">
      <c r="A102" s="1" t="s">
        <v>2443</v>
      </c>
    </row>
    <row r="104" spans="1:10" ht="20.100000000000001" customHeight="1">
      <c r="A104" s="102" t="s">
        <v>1245</v>
      </c>
      <c r="B104" s="103" t="s">
        <v>1246</v>
      </c>
      <c r="C104" s="104" t="s">
        <v>46</v>
      </c>
      <c r="D104" s="105"/>
      <c r="E104" s="105"/>
      <c r="F104" s="1213" t="s">
        <v>2444</v>
      </c>
      <c r="G104" s="1213"/>
      <c r="H104" s="1213"/>
      <c r="I104" s="116"/>
      <c r="J104" s="116"/>
    </row>
    <row r="105" spans="1:10" ht="20.100000000000001" customHeight="1">
      <c r="A105" s="106" t="s">
        <v>1247</v>
      </c>
      <c r="B105" s="107" t="s">
        <v>2445</v>
      </c>
      <c r="C105" s="108">
        <v>1</v>
      </c>
      <c r="D105" s="105"/>
      <c r="E105" s="105"/>
      <c r="F105" s="90" t="s">
        <v>1245</v>
      </c>
      <c r="G105" s="76">
        <v>1.1000000000000001</v>
      </c>
      <c r="H105" s="76">
        <v>1.4</v>
      </c>
      <c r="I105" s="116"/>
      <c r="J105" s="116"/>
    </row>
    <row r="106" spans="1:10" ht="20.100000000000001" customHeight="1">
      <c r="A106" s="109" t="s">
        <v>1247</v>
      </c>
      <c r="B106" s="110" t="s">
        <v>1249</v>
      </c>
      <c r="C106" s="111">
        <v>1</v>
      </c>
      <c r="D106" s="105"/>
      <c r="E106" s="105"/>
      <c r="F106" s="90" t="s">
        <v>1247</v>
      </c>
      <c r="G106" s="94"/>
      <c r="H106" s="94"/>
      <c r="I106" s="116"/>
      <c r="J106" s="116"/>
    </row>
    <row r="107" spans="1:10" ht="20.100000000000001" customHeight="1">
      <c r="A107" s="106" t="s">
        <v>1247</v>
      </c>
      <c r="B107" s="107" t="s">
        <v>1249</v>
      </c>
      <c r="C107" s="108">
        <v>1</v>
      </c>
      <c r="D107" s="105"/>
      <c r="E107" s="105"/>
      <c r="F107" s="90" t="s">
        <v>1250</v>
      </c>
      <c r="G107" s="94"/>
      <c r="H107" s="94"/>
      <c r="I107" s="116"/>
      <c r="J107" s="116"/>
    </row>
    <row r="108" spans="1:10" ht="20.100000000000001" customHeight="1">
      <c r="A108" s="109" t="s">
        <v>1247</v>
      </c>
      <c r="B108" s="110" t="s">
        <v>1252</v>
      </c>
      <c r="C108" s="111">
        <v>1</v>
      </c>
      <c r="D108" s="105"/>
      <c r="E108" s="105"/>
      <c r="F108" s="90" t="s">
        <v>1251</v>
      </c>
      <c r="G108" s="94"/>
      <c r="H108" s="94"/>
      <c r="I108" s="116"/>
      <c r="J108" s="116"/>
    </row>
    <row r="109" spans="1:10" ht="20.100000000000001" customHeight="1">
      <c r="A109" s="106" t="s">
        <v>1247</v>
      </c>
      <c r="B109" s="107" t="s">
        <v>1253</v>
      </c>
      <c r="C109" s="108">
        <v>1</v>
      </c>
      <c r="D109" s="105"/>
      <c r="E109" s="105"/>
      <c r="F109" s="105"/>
      <c r="G109" s="105"/>
      <c r="H109" s="105"/>
      <c r="I109" s="116"/>
      <c r="J109" s="116"/>
    </row>
    <row r="110" spans="1:10" ht="20.100000000000001" customHeight="1">
      <c r="A110" s="109" t="s">
        <v>1247</v>
      </c>
      <c r="B110" s="110" t="s">
        <v>1253</v>
      </c>
      <c r="C110" s="111">
        <v>1</v>
      </c>
      <c r="D110" s="105"/>
      <c r="E110" s="105"/>
      <c r="F110" s="105"/>
      <c r="G110" s="112"/>
      <c r="H110" s="112"/>
      <c r="I110" s="116"/>
      <c r="J110" s="116"/>
    </row>
    <row r="111" spans="1:10" ht="20.100000000000001" customHeight="1">
      <c r="A111" s="106" t="s">
        <v>1247</v>
      </c>
      <c r="B111" s="107" t="s">
        <v>1254</v>
      </c>
      <c r="C111" s="108">
        <v>1</v>
      </c>
      <c r="D111" s="105"/>
      <c r="E111" s="105"/>
      <c r="F111" s="105"/>
      <c r="G111" s="112"/>
      <c r="H111" s="112"/>
      <c r="I111" s="116"/>
      <c r="J111" s="116"/>
    </row>
    <row r="112" spans="1:10" ht="20.100000000000001" customHeight="1">
      <c r="A112" s="109" t="s">
        <v>1247</v>
      </c>
      <c r="B112" s="110" t="s">
        <v>1254</v>
      </c>
      <c r="C112" s="111">
        <v>1</v>
      </c>
      <c r="D112" s="105"/>
      <c r="E112" s="105"/>
      <c r="F112" s="105"/>
      <c r="G112" s="112"/>
      <c r="H112" s="112"/>
      <c r="I112" s="116"/>
      <c r="J112" s="116"/>
    </row>
    <row r="113" spans="1:10" ht="20.100000000000001" customHeight="1">
      <c r="A113" s="106" t="s">
        <v>1247</v>
      </c>
      <c r="B113" s="107" t="s">
        <v>1254</v>
      </c>
      <c r="C113" s="108">
        <v>1</v>
      </c>
      <c r="D113" s="105"/>
      <c r="E113" s="105"/>
      <c r="F113" s="105"/>
      <c r="G113" s="112"/>
      <c r="H113" s="112"/>
      <c r="I113" s="116"/>
      <c r="J113" s="116"/>
    </row>
    <row r="114" spans="1:10" ht="20.100000000000001" customHeight="1">
      <c r="A114" s="109" t="s">
        <v>1247</v>
      </c>
      <c r="B114" s="110" t="s">
        <v>1254</v>
      </c>
      <c r="C114" s="111">
        <v>1</v>
      </c>
      <c r="D114" s="105"/>
      <c r="E114" s="105"/>
      <c r="F114" s="105"/>
      <c r="G114" s="112"/>
      <c r="H114" s="112"/>
      <c r="I114" s="116"/>
      <c r="J114" s="116"/>
    </row>
    <row r="115" spans="1:10" ht="20.100000000000001" customHeight="1">
      <c r="A115" s="106" t="s">
        <v>1250</v>
      </c>
      <c r="B115" s="107" t="s">
        <v>1253</v>
      </c>
      <c r="C115" s="108">
        <v>1</v>
      </c>
      <c r="D115" s="105"/>
      <c r="E115" s="105"/>
      <c r="F115" s="105"/>
      <c r="G115" s="112"/>
      <c r="H115" s="112"/>
      <c r="I115" s="116"/>
      <c r="J115" s="116"/>
    </row>
    <row r="116" spans="1:10" ht="20.100000000000001" customHeight="1">
      <c r="A116" s="109" t="s">
        <v>1250</v>
      </c>
      <c r="B116" s="110" t="s">
        <v>1253</v>
      </c>
      <c r="C116" s="111">
        <v>1</v>
      </c>
      <c r="D116" s="105"/>
      <c r="E116" s="105"/>
      <c r="F116" s="105"/>
      <c r="G116" s="112"/>
      <c r="H116" s="112"/>
      <c r="I116" s="116"/>
      <c r="J116" s="116"/>
    </row>
    <row r="117" spans="1:10" ht="20.100000000000001" customHeight="1">
      <c r="A117" s="106" t="s">
        <v>1250</v>
      </c>
      <c r="B117" s="107" t="s">
        <v>1252</v>
      </c>
      <c r="C117" s="108">
        <v>1</v>
      </c>
      <c r="D117" s="105"/>
      <c r="E117" s="105"/>
      <c r="F117" s="105"/>
      <c r="G117" s="112"/>
      <c r="H117" s="112"/>
      <c r="I117" s="116"/>
      <c r="J117" s="116"/>
    </row>
    <row r="118" spans="1:10" ht="20.100000000000001" customHeight="1">
      <c r="A118" s="113" t="s">
        <v>1251</v>
      </c>
      <c r="B118" s="114" t="s">
        <v>1256</v>
      </c>
      <c r="C118" s="115">
        <v>1</v>
      </c>
      <c r="D118" s="105"/>
      <c r="E118" s="105"/>
      <c r="F118" s="105"/>
      <c r="G118" s="112"/>
      <c r="H118" s="112"/>
      <c r="I118" s="116"/>
      <c r="J118" s="116"/>
    </row>
    <row r="120" spans="1:10" ht="20.100000000000001" customHeight="1">
      <c r="A120" s="1" t="s">
        <v>2446</v>
      </c>
    </row>
    <row r="122" spans="1:10" ht="20.100000000000001" customHeight="1">
      <c r="A122" s="102" t="s">
        <v>43</v>
      </c>
      <c r="B122" s="116"/>
      <c r="C122" s="117" t="s">
        <v>43</v>
      </c>
      <c r="D122" s="118" t="s">
        <v>2447</v>
      </c>
      <c r="E122" s="116"/>
    </row>
    <row r="123" spans="1:10" ht="20.100000000000001" customHeight="1">
      <c r="A123" s="106">
        <v>20220101</v>
      </c>
      <c r="B123" s="112"/>
      <c r="C123" s="107">
        <v>202201</v>
      </c>
      <c r="D123" s="119"/>
    </row>
    <row r="124" spans="1:10" ht="20.100000000000001" customHeight="1">
      <c r="A124" s="109">
        <v>20220102</v>
      </c>
      <c r="B124" s="112"/>
      <c r="C124" s="110">
        <v>202202</v>
      </c>
      <c r="D124" s="119"/>
    </row>
    <row r="125" spans="1:10" ht="20.100000000000001" customHeight="1">
      <c r="A125" s="106">
        <v>20220103</v>
      </c>
      <c r="B125" s="112"/>
      <c r="C125" s="116"/>
      <c r="D125" s="116"/>
      <c r="E125" s="116"/>
    </row>
    <row r="126" spans="1:10" ht="20.100000000000001" customHeight="1">
      <c r="A126" s="109">
        <v>20220104</v>
      </c>
      <c r="B126" s="112"/>
      <c r="C126" s="116"/>
      <c r="D126" s="116"/>
      <c r="E126" s="116"/>
    </row>
    <row r="127" spans="1:10" ht="20.100000000000001" customHeight="1">
      <c r="A127" s="106">
        <v>20220206</v>
      </c>
      <c r="B127" s="112"/>
      <c r="C127" s="116"/>
      <c r="D127" s="112"/>
      <c r="E127" s="116"/>
    </row>
    <row r="128" spans="1:10" ht="20.100000000000001" customHeight="1">
      <c r="A128" s="109">
        <v>20220207</v>
      </c>
      <c r="B128" s="112"/>
      <c r="C128" s="116"/>
      <c r="D128" s="116"/>
      <c r="E128" s="116"/>
    </row>
    <row r="129" spans="1:10" ht="20.100000000000001" customHeight="1">
      <c r="A129" s="106">
        <v>20220208</v>
      </c>
      <c r="B129" s="112"/>
      <c r="C129" s="116"/>
      <c r="D129" s="116"/>
      <c r="E129" s="116"/>
    </row>
    <row r="130" spans="1:10" ht="20.100000000000001" customHeight="1">
      <c r="A130" s="109">
        <v>20220209</v>
      </c>
      <c r="B130" s="112"/>
      <c r="C130" s="116"/>
      <c r="D130" s="116"/>
      <c r="E130" s="116"/>
    </row>
    <row r="131" spans="1:10" ht="20.100000000000001" customHeight="1">
      <c r="A131" s="106">
        <v>20220210</v>
      </c>
      <c r="B131" s="112"/>
      <c r="C131" s="116"/>
      <c r="D131" s="116"/>
      <c r="E131" s="116"/>
    </row>
    <row r="132" spans="1:10" ht="20.100000000000001" customHeight="1">
      <c r="A132" s="109">
        <v>20220211</v>
      </c>
      <c r="B132" s="112"/>
      <c r="C132" s="116"/>
      <c r="D132" s="116"/>
      <c r="E132" s="116"/>
    </row>
    <row r="133" spans="1:10" ht="20.100000000000001" customHeight="1">
      <c r="A133" s="106">
        <v>20220212</v>
      </c>
      <c r="B133" s="112"/>
      <c r="C133" s="116"/>
      <c r="D133" s="116"/>
      <c r="E133" s="116"/>
    </row>
    <row r="135" spans="1:10" ht="20.100000000000001" customHeight="1">
      <c r="A135" s="1" t="s">
        <v>2448</v>
      </c>
    </row>
    <row r="137" spans="1:10" ht="20.100000000000001" customHeight="1">
      <c r="A137" s="120" t="s">
        <v>194</v>
      </c>
      <c r="B137" s="121" t="s">
        <v>1310</v>
      </c>
      <c r="C137" s="121" t="s">
        <v>44</v>
      </c>
      <c r="D137" s="122" t="s">
        <v>46</v>
      </c>
      <c r="G137" s="123" t="s">
        <v>194</v>
      </c>
      <c r="H137" s="124" t="s">
        <v>1311</v>
      </c>
      <c r="I137" s="121" t="s">
        <v>44</v>
      </c>
      <c r="J137" s="122" t="s">
        <v>46</v>
      </c>
    </row>
    <row r="138" spans="1:10" ht="20.100000000000001" customHeight="1">
      <c r="A138" s="125" t="s">
        <v>1312</v>
      </c>
      <c r="B138" s="126" t="s">
        <v>1313</v>
      </c>
      <c r="C138" s="126">
        <v>1</v>
      </c>
      <c r="D138" s="127">
        <v>89</v>
      </c>
      <c r="G138" s="128" t="s">
        <v>1312</v>
      </c>
      <c r="H138" s="129" t="s">
        <v>1313</v>
      </c>
      <c r="I138" s="176"/>
      <c r="J138" s="177"/>
    </row>
    <row r="139" spans="1:10" ht="20.100000000000001" customHeight="1">
      <c r="A139" s="130" t="s">
        <v>1314</v>
      </c>
      <c r="B139" s="131" t="s">
        <v>1315</v>
      </c>
      <c r="C139" s="131">
        <v>2</v>
      </c>
      <c r="D139" s="132">
        <v>20</v>
      </c>
      <c r="G139" s="133" t="s">
        <v>1314</v>
      </c>
      <c r="H139" s="134" t="s">
        <v>1315</v>
      </c>
      <c r="I139" s="176"/>
      <c r="J139" s="177"/>
    </row>
    <row r="140" spans="1:10" ht="20.100000000000001" customHeight="1">
      <c r="A140" s="125" t="s">
        <v>1316</v>
      </c>
      <c r="B140" s="126" t="s">
        <v>1317</v>
      </c>
      <c r="C140" s="126">
        <v>3</v>
      </c>
      <c r="D140" s="127">
        <v>35</v>
      </c>
      <c r="G140" s="128" t="s">
        <v>1318</v>
      </c>
      <c r="H140" s="129" t="s">
        <v>1319</v>
      </c>
      <c r="I140" s="176"/>
      <c r="J140" s="177"/>
    </row>
    <row r="141" spans="1:10" ht="20.100000000000001" customHeight="1">
      <c r="A141" s="130" t="s">
        <v>1316</v>
      </c>
      <c r="B141" s="131" t="s">
        <v>1320</v>
      </c>
      <c r="C141" s="131">
        <v>3</v>
      </c>
      <c r="D141" s="132">
        <v>20.8</v>
      </c>
      <c r="G141" s="133" t="s">
        <v>1316</v>
      </c>
      <c r="H141" s="134" t="s">
        <v>1320</v>
      </c>
      <c r="I141" s="176"/>
      <c r="J141" s="177"/>
    </row>
    <row r="142" spans="1:10" ht="20.100000000000001" customHeight="1">
      <c r="A142" s="125" t="s">
        <v>1321</v>
      </c>
      <c r="B142" s="126" t="s">
        <v>1320</v>
      </c>
      <c r="C142" s="126">
        <v>5</v>
      </c>
      <c r="D142" s="127">
        <v>20.8</v>
      </c>
      <c r="G142" s="128" t="str">
        <f>G141</f>
        <v>343339553300783</v>
      </c>
      <c r="H142" s="129" t="s">
        <v>1322</v>
      </c>
      <c r="I142" s="176"/>
      <c r="J142" s="177"/>
    </row>
    <row r="143" spans="1:10" ht="20.100000000000001" customHeight="1">
      <c r="A143" s="130" t="s">
        <v>1323</v>
      </c>
      <c r="B143" s="131" t="s">
        <v>1324</v>
      </c>
      <c r="C143" s="131">
        <v>7</v>
      </c>
      <c r="D143" s="132">
        <v>127.2</v>
      </c>
      <c r="G143" s="133" t="s">
        <v>1321</v>
      </c>
      <c r="H143" s="134" t="s">
        <v>1320</v>
      </c>
      <c r="I143" s="176"/>
      <c r="J143" s="177"/>
    </row>
    <row r="144" spans="1:10" ht="20.100000000000001" customHeight="1">
      <c r="A144" s="125" t="s">
        <v>1325</v>
      </c>
      <c r="B144" s="126" t="s">
        <v>1326</v>
      </c>
      <c r="C144" s="126">
        <v>7</v>
      </c>
      <c r="D144" s="127">
        <v>19</v>
      </c>
      <c r="G144" s="128" t="s">
        <v>1323</v>
      </c>
      <c r="H144" s="129" t="s">
        <v>1324</v>
      </c>
      <c r="I144" s="176"/>
      <c r="J144" s="177"/>
    </row>
    <row r="145" spans="1:15" ht="20.100000000000001" customHeight="1">
      <c r="A145" s="130" t="s">
        <v>1327</v>
      </c>
      <c r="B145" s="131" t="s">
        <v>1328</v>
      </c>
      <c r="C145" s="131">
        <v>5</v>
      </c>
      <c r="D145" s="132">
        <v>39</v>
      </c>
      <c r="G145" s="133" t="s">
        <v>1325</v>
      </c>
      <c r="H145" s="134" t="s">
        <v>1326</v>
      </c>
      <c r="I145" s="176"/>
      <c r="J145" s="177"/>
    </row>
    <row r="146" spans="1:15" ht="20.100000000000001" customHeight="1">
      <c r="A146" s="125" t="s">
        <v>1329</v>
      </c>
      <c r="B146" s="126" t="s">
        <v>1330</v>
      </c>
      <c r="C146" s="126">
        <v>9</v>
      </c>
      <c r="D146" s="127">
        <v>158.4</v>
      </c>
      <c r="G146" s="128" t="s">
        <v>1327</v>
      </c>
      <c r="H146" s="129" t="s">
        <v>1331</v>
      </c>
      <c r="I146" s="176"/>
      <c r="J146" s="177"/>
    </row>
    <row r="147" spans="1:15" ht="20.100000000000001" customHeight="1">
      <c r="A147" s="130" t="s">
        <v>1332</v>
      </c>
      <c r="B147" s="131" t="s">
        <v>1333</v>
      </c>
      <c r="C147" s="131">
        <v>3</v>
      </c>
      <c r="D147" s="132">
        <v>54.4</v>
      </c>
      <c r="G147" s="133" t="s">
        <v>1334</v>
      </c>
      <c r="H147" s="134" t="s">
        <v>1335</v>
      </c>
      <c r="I147" s="176"/>
      <c r="J147" s="177"/>
    </row>
    <row r="148" spans="1:15" ht="20.100000000000001" customHeight="1">
      <c r="A148" s="125" t="s">
        <v>1336</v>
      </c>
      <c r="B148" s="126" t="s">
        <v>1337</v>
      </c>
      <c r="C148" s="126">
        <v>3</v>
      </c>
      <c r="D148" s="127">
        <v>71.2</v>
      </c>
      <c r="G148" s="128" t="s">
        <v>1329</v>
      </c>
      <c r="H148" s="129" t="s">
        <v>1330</v>
      </c>
      <c r="I148" s="176"/>
      <c r="J148" s="177"/>
    </row>
    <row r="149" spans="1:15" ht="20.100000000000001" customHeight="1">
      <c r="A149" s="130" t="s">
        <v>1338</v>
      </c>
      <c r="B149" s="131" t="s">
        <v>1339</v>
      </c>
      <c r="C149" s="131">
        <v>8</v>
      </c>
      <c r="D149" s="132">
        <v>55.2</v>
      </c>
      <c r="G149" s="133" t="s">
        <v>1332</v>
      </c>
      <c r="H149" s="134" t="s">
        <v>1333</v>
      </c>
      <c r="I149" s="176"/>
      <c r="J149" s="177"/>
    </row>
    <row r="150" spans="1:15" ht="20.100000000000001" customHeight="1">
      <c r="A150" s="125" t="s">
        <v>1338</v>
      </c>
      <c r="B150" s="126" t="s">
        <v>1340</v>
      </c>
      <c r="C150" s="126">
        <v>8</v>
      </c>
      <c r="D150" s="127">
        <v>28.7</v>
      </c>
      <c r="G150" s="128" t="s">
        <v>1336</v>
      </c>
      <c r="H150" s="129" t="s">
        <v>1337</v>
      </c>
      <c r="I150" s="176"/>
      <c r="J150" s="177"/>
    </row>
    <row r="151" spans="1:15" ht="20.100000000000001" customHeight="1">
      <c r="A151" s="130" t="s">
        <v>1338</v>
      </c>
      <c r="B151" s="131" t="s">
        <v>1341</v>
      </c>
      <c r="C151" s="131">
        <v>2</v>
      </c>
      <c r="D151" s="132">
        <v>47.2</v>
      </c>
      <c r="G151" s="133" t="s">
        <v>1342</v>
      </c>
      <c r="H151" s="134" t="s">
        <v>1343</v>
      </c>
      <c r="I151" s="176"/>
      <c r="J151" s="177"/>
    </row>
    <row r="152" spans="1:15" ht="20.100000000000001" customHeight="1">
      <c r="A152" s="135" t="s">
        <v>1344</v>
      </c>
      <c r="B152" s="136" t="s">
        <v>1345</v>
      </c>
      <c r="C152" s="136">
        <v>2</v>
      </c>
      <c r="D152" s="137">
        <v>78.400000000000006</v>
      </c>
      <c r="G152" s="138" t="str">
        <f>G151</f>
        <v>521498702182464</v>
      </c>
      <c r="H152" s="139" t="s">
        <v>1346</v>
      </c>
      <c r="I152" s="178"/>
      <c r="J152" s="179"/>
    </row>
    <row r="154" spans="1:15" ht="20.100000000000001" customHeight="1">
      <c r="A154" s="1" t="s">
        <v>2449</v>
      </c>
    </row>
    <row r="155" spans="1:15" ht="20.100000000000001" customHeight="1">
      <c r="A155" s="1214" t="s">
        <v>1347</v>
      </c>
      <c r="B155" s="1215"/>
      <c r="C155" s="1215"/>
      <c r="D155" s="1215"/>
      <c r="E155" s="1215"/>
      <c r="F155" s="1215"/>
      <c r="G155" s="1215"/>
      <c r="H155" s="1215"/>
      <c r="I155" s="1215"/>
      <c r="J155" s="1215"/>
      <c r="K155" s="1215"/>
      <c r="L155" s="1215"/>
    </row>
    <row r="156" spans="1:15" ht="20.100000000000001" customHeight="1">
      <c r="A156" s="140" t="s">
        <v>1348</v>
      </c>
      <c r="B156" s="141" t="s">
        <v>131</v>
      </c>
      <c r="C156" s="142" t="s">
        <v>2450</v>
      </c>
      <c r="D156" s="142" t="s">
        <v>2451</v>
      </c>
      <c r="E156" s="142" t="s">
        <v>2452</v>
      </c>
      <c r="F156" s="142" t="s">
        <v>2453</v>
      </c>
      <c r="G156" s="142" t="s">
        <v>2454</v>
      </c>
      <c r="H156" s="142" t="s">
        <v>2455</v>
      </c>
      <c r="I156" s="142" t="s">
        <v>2456</v>
      </c>
      <c r="J156" s="142" t="s">
        <v>2457</v>
      </c>
      <c r="K156" s="142" t="s">
        <v>2458</v>
      </c>
      <c r="L156" s="180" t="s">
        <v>2459</v>
      </c>
      <c r="N156" s="181" t="s">
        <v>43</v>
      </c>
      <c r="O156" s="182" t="s">
        <v>1349</v>
      </c>
    </row>
    <row r="157" spans="1:15" ht="20.100000000000001" customHeight="1">
      <c r="A157" s="143">
        <v>97</v>
      </c>
      <c r="B157" s="144" t="s">
        <v>1350</v>
      </c>
      <c r="C157" s="145">
        <v>1</v>
      </c>
      <c r="D157" s="145"/>
      <c r="E157" s="145"/>
      <c r="F157" s="145"/>
      <c r="G157" s="145"/>
      <c r="H157" s="145"/>
      <c r="I157" s="145"/>
      <c r="J157" s="145">
        <v>1</v>
      </c>
      <c r="K157" s="145"/>
      <c r="L157" s="183"/>
      <c r="N157" s="181">
        <v>1</v>
      </c>
      <c r="O157" s="184"/>
    </row>
    <row r="158" spans="1:15" ht="20.100000000000001" customHeight="1">
      <c r="A158" s="146">
        <v>71</v>
      </c>
      <c r="B158" s="147" t="s">
        <v>1351</v>
      </c>
      <c r="C158" s="148"/>
      <c r="D158" s="148">
        <v>1</v>
      </c>
      <c r="E158" s="148">
        <v>1</v>
      </c>
      <c r="F158" s="148">
        <v>1</v>
      </c>
      <c r="G158" s="148"/>
      <c r="H158" s="148">
        <v>1</v>
      </c>
      <c r="I158" s="148"/>
      <c r="J158" s="148"/>
      <c r="K158" s="148"/>
      <c r="L158" s="185">
        <v>1</v>
      </c>
      <c r="N158" s="181">
        <v>2</v>
      </c>
      <c r="O158" s="184"/>
    </row>
    <row r="159" spans="1:15" ht="20.100000000000001" customHeight="1">
      <c r="A159" s="143">
        <v>82</v>
      </c>
      <c r="B159" s="149" t="s">
        <v>1352</v>
      </c>
      <c r="C159" s="145">
        <v>1</v>
      </c>
      <c r="D159" s="145"/>
      <c r="E159" s="145">
        <v>1</v>
      </c>
      <c r="F159" s="145"/>
      <c r="G159" s="145">
        <v>1</v>
      </c>
      <c r="H159" s="145"/>
      <c r="I159" s="145"/>
      <c r="J159" s="145"/>
      <c r="K159" s="145">
        <v>1</v>
      </c>
      <c r="L159" s="183"/>
      <c r="N159" s="181">
        <v>3</v>
      </c>
      <c r="O159" s="184"/>
    </row>
    <row r="160" spans="1:15" ht="20.100000000000001" customHeight="1">
      <c r="A160" s="146">
        <v>91</v>
      </c>
      <c r="B160" s="147" t="s">
        <v>1353</v>
      </c>
      <c r="C160" s="148"/>
      <c r="D160" s="148">
        <v>1</v>
      </c>
      <c r="E160" s="148"/>
      <c r="F160" s="148"/>
      <c r="G160" s="148"/>
      <c r="H160" s="148"/>
      <c r="I160" s="148"/>
      <c r="J160" s="148"/>
      <c r="K160" s="148"/>
      <c r="L160" s="185">
        <v>1</v>
      </c>
      <c r="N160" s="181">
        <v>4</v>
      </c>
      <c r="O160" s="184"/>
    </row>
    <row r="161" spans="1:15" ht="20.100000000000001" customHeight="1">
      <c r="A161" s="143">
        <v>18</v>
      </c>
      <c r="B161" s="149" t="s">
        <v>1354</v>
      </c>
      <c r="C161" s="145"/>
      <c r="D161" s="145"/>
      <c r="E161" s="145"/>
      <c r="F161" s="145"/>
      <c r="G161" s="145"/>
      <c r="H161" s="145"/>
      <c r="I161" s="145">
        <v>1</v>
      </c>
      <c r="J161" s="145">
        <v>1</v>
      </c>
      <c r="K161" s="145">
        <v>1</v>
      </c>
      <c r="L161" s="183"/>
      <c r="N161" s="181">
        <v>5</v>
      </c>
      <c r="O161" s="184"/>
    </row>
    <row r="162" spans="1:15" ht="20.100000000000001" customHeight="1">
      <c r="A162" s="146">
        <v>35</v>
      </c>
      <c r="B162" s="147" t="s">
        <v>1355</v>
      </c>
      <c r="C162" s="148"/>
      <c r="D162" s="148"/>
      <c r="E162" s="148">
        <v>1</v>
      </c>
      <c r="F162" s="148"/>
      <c r="G162" s="148"/>
      <c r="H162" s="148">
        <v>1</v>
      </c>
      <c r="I162" s="148"/>
      <c r="J162" s="148"/>
      <c r="K162" s="148"/>
      <c r="L162" s="185"/>
      <c r="N162" s="181">
        <v>6</v>
      </c>
      <c r="O162" s="184"/>
    </row>
    <row r="163" spans="1:15" ht="20.100000000000001" customHeight="1">
      <c r="A163" s="143">
        <v>36</v>
      </c>
      <c r="B163" s="149" t="s">
        <v>1356</v>
      </c>
      <c r="C163" s="145">
        <v>1</v>
      </c>
      <c r="D163" s="145"/>
      <c r="E163" s="145"/>
      <c r="F163" s="145">
        <v>1</v>
      </c>
      <c r="G163" s="145"/>
      <c r="H163" s="145"/>
      <c r="I163" s="145"/>
      <c r="J163" s="145"/>
      <c r="K163" s="145"/>
      <c r="L163" s="183"/>
      <c r="N163" s="181">
        <v>7</v>
      </c>
      <c r="O163" s="184"/>
    </row>
    <row r="164" spans="1:15" ht="20.100000000000001" customHeight="1">
      <c r="A164" s="146">
        <v>41</v>
      </c>
      <c r="B164" s="147" t="s">
        <v>1357</v>
      </c>
      <c r="C164" s="148"/>
      <c r="D164" s="148"/>
      <c r="E164" s="148">
        <v>1</v>
      </c>
      <c r="F164" s="148"/>
      <c r="G164" s="148">
        <v>1</v>
      </c>
      <c r="H164" s="148"/>
      <c r="I164" s="148"/>
      <c r="J164" s="148"/>
      <c r="K164" s="148">
        <v>1</v>
      </c>
      <c r="L164" s="185"/>
      <c r="N164" s="181">
        <v>8</v>
      </c>
      <c r="O164" s="184"/>
    </row>
    <row r="165" spans="1:15" ht="20.100000000000001" customHeight="1">
      <c r="A165" s="143">
        <v>43</v>
      </c>
      <c r="B165" s="149" t="s">
        <v>1358</v>
      </c>
      <c r="C165" s="145"/>
      <c r="D165" s="145">
        <v>1</v>
      </c>
      <c r="E165" s="145">
        <v>1</v>
      </c>
      <c r="F165" s="145"/>
      <c r="G165" s="145"/>
      <c r="H165" s="145">
        <v>1</v>
      </c>
      <c r="I165" s="145"/>
      <c r="J165" s="145"/>
      <c r="K165" s="145"/>
      <c r="L165" s="183"/>
      <c r="N165" s="181">
        <v>9</v>
      </c>
      <c r="O165" s="184"/>
    </row>
    <row r="166" spans="1:15" ht="20.100000000000001" customHeight="1">
      <c r="A166" s="150">
        <v>46</v>
      </c>
      <c r="B166" s="151" t="s">
        <v>1359</v>
      </c>
      <c r="C166" s="152"/>
      <c r="D166" s="152"/>
      <c r="E166" s="152"/>
      <c r="F166" s="152"/>
      <c r="G166" s="152"/>
      <c r="H166" s="152">
        <v>1</v>
      </c>
      <c r="I166" s="152"/>
      <c r="J166" s="152">
        <v>1</v>
      </c>
      <c r="K166" s="152"/>
      <c r="L166" s="186"/>
      <c r="N166" s="181">
        <v>10</v>
      </c>
      <c r="O166" s="184"/>
    </row>
    <row r="168" spans="1:15" ht="20.100000000000001" customHeight="1">
      <c r="A168" s="1" t="s">
        <v>2460</v>
      </c>
    </row>
    <row r="170" spans="1:15" ht="20.100000000000001" customHeight="1">
      <c r="A170" s="1216" t="s">
        <v>1361</v>
      </c>
      <c r="B170" s="1216"/>
      <c r="C170" s="1216"/>
      <c r="D170" s="1216"/>
      <c r="E170" s="1216"/>
      <c r="F170" s="153"/>
      <c r="G170" s="153"/>
      <c r="H170" s="1182" t="s">
        <v>1362</v>
      </c>
      <c r="I170" s="1182"/>
      <c r="J170" s="1182"/>
      <c r="K170" s="1182"/>
    </row>
    <row r="171" spans="1:15" ht="20.100000000000001" customHeight="1">
      <c r="A171" s="154" t="s">
        <v>1348</v>
      </c>
      <c r="B171" s="155" t="s">
        <v>131</v>
      </c>
      <c r="C171" s="156" t="s">
        <v>1363</v>
      </c>
      <c r="D171" s="156" t="s">
        <v>1364</v>
      </c>
      <c r="E171" s="157" t="s">
        <v>1365</v>
      </c>
      <c r="F171" s="153"/>
      <c r="G171" s="153"/>
      <c r="H171" s="158"/>
      <c r="I171" s="156" t="s">
        <v>1363</v>
      </c>
      <c r="J171" s="156" t="s">
        <v>1364</v>
      </c>
      <c r="K171" s="157" t="s">
        <v>1365</v>
      </c>
    </row>
    <row r="172" spans="1:15" ht="20.100000000000001" customHeight="1">
      <c r="A172" s="159">
        <v>1</v>
      </c>
      <c r="B172" s="160" t="s">
        <v>1366</v>
      </c>
      <c r="C172" s="161" t="s">
        <v>32</v>
      </c>
      <c r="D172" s="160" t="s">
        <v>32</v>
      </c>
      <c r="E172" s="162" t="s">
        <v>34</v>
      </c>
      <c r="F172" s="153"/>
      <c r="G172" s="153"/>
      <c r="H172" s="163" t="s">
        <v>1367</v>
      </c>
      <c r="I172" s="187"/>
      <c r="J172" s="187"/>
      <c r="K172" s="188"/>
    </row>
    <row r="173" spans="1:15" ht="20.100000000000001" customHeight="1">
      <c r="A173" s="164">
        <v>2</v>
      </c>
      <c r="B173" s="165" t="s">
        <v>1368</v>
      </c>
      <c r="C173" s="166" t="s">
        <v>34</v>
      </c>
      <c r="D173" s="165" t="s">
        <v>32</v>
      </c>
      <c r="E173" s="167" t="s">
        <v>32</v>
      </c>
      <c r="F173" s="153"/>
      <c r="G173" s="153"/>
      <c r="H173" s="168" t="s">
        <v>1369</v>
      </c>
      <c r="I173" s="187"/>
      <c r="J173" s="187"/>
      <c r="K173" s="188"/>
    </row>
    <row r="174" spans="1:15" ht="20.100000000000001" customHeight="1">
      <c r="A174" s="159">
        <v>3</v>
      </c>
      <c r="B174" s="160" t="s">
        <v>1370</v>
      </c>
      <c r="C174" s="161" t="s">
        <v>36</v>
      </c>
      <c r="D174" s="160" t="s">
        <v>32</v>
      </c>
      <c r="E174" s="162" t="s">
        <v>34</v>
      </c>
      <c r="F174" s="153"/>
      <c r="G174" s="153"/>
      <c r="H174" s="163" t="s">
        <v>1371</v>
      </c>
      <c r="I174" s="187"/>
      <c r="J174" s="187"/>
      <c r="K174" s="188"/>
    </row>
    <row r="175" spans="1:15" ht="20.100000000000001" customHeight="1">
      <c r="A175" s="164">
        <v>4</v>
      </c>
      <c r="B175" s="165" t="s">
        <v>1372</v>
      </c>
      <c r="C175" s="166" t="s">
        <v>1373</v>
      </c>
      <c r="D175" s="165" t="s">
        <v>32</v>
      </c>
      <c r="E175" s="167" t="s">
        <v>34</v>
      </c>
      <c r="F175" s="153"/>
      <c r="G175" s="153"/>
      <c r="H175" s="168" t="s">
        <v>1374</v>
      </c>
      <c r="I175" s="187"/>
      <c r="J175" s="187"/>
      <c r="K175" s="188"/>
    </row>
    <row r="176" spans="1:15" ht="20.100000000000001" customHeight="1">
      <c r="A176" s="169">
        <v>5</v>
      </c>
      <c r="B176" s="170" t="s">
        <v>1375</v>
      </c>
      <c r="C176" s="161" t="s">
        <v>1376</v>
      </c>
      <c r="D176" s="160" t="s">
        <v>32</v>
      </c>
      <c r="E176" s="162" t="s">
        <v>34</v>
      </c>
      <c r="F176" s="153"/>
      <c r="G176" s="153"/>
      <c r="H176" s="163" t="s">
        <v>1377</v>
      </c>
      <c r="I176" s="189"/>
      <c r="J176" s="189"/>
      <c r="K176" s="189"/>
    </row>
    <row r="177" spans="1:11" ht="20.100000000000001" customHeight="1">
      <c r="A177" s="171">
        <v>6</v>
      </c>
      <c r="B177" s="172" t="s">
        <v>1378</v>
      </c>
      <c r="C177" s="173" t="s">
        <v>34</v>
      </c>
      <c r="D177" s="173" t="s">
        <v>34</v>
      </c>
      <c r="E177" s="167" t="s">
        <v>34</v>
      </c>
      <c r="F177" s="153"/>
      <c r="G177" s="153"/>
      <c r="H177" s="168" t="s">
        <v>1379</v>
      </c>
      <c r="I177" s="190"/>
    </row>
    <row r="178" spans="1:11" ht="20.100000000000001" customHeight="1">
      <c r="A178" s="169">
        <v>7</v>
      </c>
      <c r="B178" s="170" t="s">
        <v>1380</v>
      </c>
      <c r="C178" s="174" t="s">
        <v>32</v>
      </c>
      <c r="D178" s="174" t="s">
        <v>32</v>
      </c>
      <c r="E178" s="162" t="s">
        <v>32</v>
      </c>
      <c r="F178" s="153"/>
      <c r="G178" s="153"/>
      <c r="H178" s="163" t="s">
        <v>1381</v>
      </c>
      <c r="I178" s="191"/>
      <c r="J178" s="191"/>
      <c r="K178" s="191"/>
    </row>
    <row r="179" spans="1:11" ht="20.100000000000001" customHeight="1">
      <c r="A179" s="171">
        <v>8</v>
      </c>
      <c r="B179" s="172" t="s">
        <v>1382</v>
      </c>
      <c r="C179" s="173" t="s">
        <v>32</v>
      </c>
      <c r="D179" s="173" t="s">
        <v>32</v>
      </c>
      <c r="E179" s="167" t="s">
        <v>32</v>
      </c>
      <c r="F179" s="153"/>
      <c r="G179" s="153"/>
      <c r="H179" s="168" t="s">
        <v>1383</v>
      </c>
      <c r="I179" s="191"/>
      <c r="J179" s="191"/>
      <c r="K179" s="191"/>
    </row>
    <row r="180" spans="1:11" ht="20.100000000000001" customHeight="1">
      <c r="A180" s="169">
        <v>9</v>
      </c>
      <c r="B180" s="170" t="s">
        <v>1384</v>
      </c>
      <c r="C180" s="174" t="s">
        <v>34</v>
      </c>
      <c r="D180" s="174" t="s">
        <v>34</v>
      </c>
      <c r="E180" s="162" t="s">
        <v>34</v>
      </c>
      <c r="F180" s="153"/>
      <c r="G180" s="153"/>
      <c r="H180" s="175" t="s">
        <v>1385</v>
      </c>
      <c r="I180" s="192"/>
    </row>
    <row r="181" spans="1:11" ht="20.100000000000001" customHeight="1">
      <c r="A181" s="171">
        <v>10</v>
      </c>
      <c r="B181" s="172" t="s">
        <v>1386</v>
      </c>
      <c r="C181" s="166" t="s">
        <v>34</v>
      </c>
      <c r="D181" s="173" t="s">
        <v>34</v>
      </c>
      <c r="E181" s="167"/>
      <c r="F181" s="153"/>
      <c r="G181" s="153"/>
      <c r="H181" s="153"/>
      <c r="I181" s="153"/>
      <c r="J181" s="153"/>
      <c r="K181" s="153"/>
    </row>
    <row r="182" spans="1:11" ht="20.100000000000001" customHeight="1">
      <c r="A182" s="169">
        <v>11</v>
      </c>
      <c r="B182" s="170" t="s">
        <v>1387</v>
      </c>
      <c r="C182" s="161" t="s">
        <v>36</v>
      </c>
      <c r="D182" s="174" t="s">
        <v>34</v>
      </c>
      <c r="E182" s="162" t="s">
        <v>32</v>
      </c>
      <c r="F182" s="153"/>
      <c r="G182" s="153"/>
      <c r="H182" s="153"/>
      <c r="I182" s="153"/>
      <c r="J182" s="153"/>
      <c r="K182" s="153"/>
    </row>
    <row r="183" spans="1:11" ht="20.100000000000001" customHeight="1">
      <c r="A183" s="171">
        <v>12</v>
      </c>
      <c r="B183" s="172" t="s">
        <v>1388</v>
      </c>
      <c r="C183" s="166" t="s">
        <v>1373</v>
      </c>
      <c r="D183" s="173" t="s">
        <v>32</v>
      </c>
      <c r="E183" s="167" t="s">
        <v>32</v>
      </c>
      <c r="F183" s="153"/>
      <c r="G183" s="153"/>
      <c r="H183" s="153"/>
      <c r="I183" s="153"/>
      <c r="J183" s="153"/>
      <c r="K183" s="153"/>
    </row>
    <row r="184" spans="1:11" ht="20.100000000000001" customHeight="1">
      <c r="A184" s="169">
        <v>13</v>
      </c>
      <c r="B184" s="170" t="s">
        <v>1389</v>
      </c>
      <c r="C184" s="161" t="s">
        <v>1376</v>
      </c>
      <c r="D184" s="174" t="s">
        <v>32</v>
      </c>
      <c r="E184" s="162" t="s">
        <v>36</v>
      </c>
      <c r="F184" s="153"/>
      <c r="G184" s="153"/>
      <c r="H184" s="153"/>
      <c r="I184" s="153"/>
      <c r="J184" s="153"/>
      <c r="K184" s="153"/>
    </row>
    <row r="185" spans="1:11" ht="20.100000000000001" customHeight="1">
      <c r="A185" s="171">
        <v>14</v>
      </c>
      <c r="B185" s="172" t="s">
        <v>1390</v>
      </c>
      <c r="C185" s="166" t="s">
        <v>1391</v>
      </c>
      <c r="D185" s="173" t="s">
        <v>32</v>
      </c>
      <c r="E185" s="167" t="s">
        <v>32</v>
      </c>
      <c r="F185" s="153"/>
      <c r="G185" s="153"/>
      <c r="H185" s="153"/>
      <c r="I185" s="153"/>
      <c r="J185" s="153"/>
      <c r="K185" s="153"/>
    </row>
    <row r="186" spans="1:11" ht="20.100000000000001" customHeight="1">
      <c r="A186" s="169">
        <v>15</v>
      </c>
      <c r="B186" s="170" t="s">
        <v>1392</v>
      </c>
      <c r="C186" s="161" t="s">
        <v>1393</v>
      </c>
      <c r="D186" s="174" t="s">
        <v>34</v>
      </c>
      <c r="E186" s="162" t="s">
        <v>32</v>
      </c>
      <c r="F186" s="153"/>
      <c r="G186" s="153"/>
      <c r="H186" s="153"/>
      <c r="I186" s="153"/>
      <c r="J186" s="153"/>
      <c r="K186" s="153"/>
    </row>
    <row r="187" spans="1:11" ht="20.100000000000001" customHeight="1">
      <c r="A187" s="171">
        <v>16</v>
      </c>
      <c r="B187" s="172" t="s">
        <v>1394</v>
      </c>
      <c r="C187" s="166" t="s">
        <v>1395</v>
      </c>
      <c r="D187" s="173" t="s">
        <v>32</v>
      </c>
      <c r="E187" s="167" t="s">
        <v>34</v>
      </c>
      <c r="F187" s="153"/>
      <c r="G187" s="153"/>
      <c r="H187" s="153"/>
      <c r="I187" s="153"/>
      <c r="J187" s="153"/>
      <c r="K187" s="153"/>
    </row>
    <row r="188" spans="1:11" ht="20.100000000000001" customHeight="1">
      <c r="A188" s="169">
        <v>17</v>
      </c>
      <c r="B188" s="170" t="s">
        <v>1396</v>
      </c>
      <c r="C188" s="161" t="s">
        <v>32</v>
      </c>
      <c r="D188" s="174" t="s">
        <v>34</v>
      </c>
      <c r="E188" s="162" t="s">
        <v>34</v>
      </c>
      <c r="F188" s="153"/>
      <c r="G188" s="153"/>
      <c r="H188" s="153"/>
      <c r="I188" s="153"/>
      <c r="J188" s="153"/>
      <c r="K188" s="153"/>
    </row>
    <row r="189" spans="1:11" ht="20.100000000000001" customHeight="1">
      <c r="A189" s="171">
        <v>18</v>
      </c>
      <c r="B189" s="172" t="s">
        <v>1397</v>
      </c>
      <c r="C189" s="166" t="s">
        <v>34</v>
      </c>
      <c r="D189" s="173" t="s">
        <v>32</v>
      </c>
      <c r="E189" s="167" t="s">
        <v>34</v>
      </c>
      <c r="F189" s="153"/>
      <c r="G189" s="153"/>
      <c r="H189" s="153"/>
      <c r="I189" s="153"/>
      <c r="J189" s="153"/>
      <c r="K189" s="153"/>
    </row>
    <row r="190" spans="1:11" ht="20.100000000000001" customHeight="1">
      <c r="A190" s="169">
        <v>19</v>
      </c>
      <c r="B190" s="170" t="s">
        <v>1398</v>
      </c>
      <c r="C190" s="161" t="s">
        <v>36</v>
      </c>
      <c r="D190" s="174" t="s">
        <v>34</v>
      </c>
      <c r="E190" s="162" t="s">
        <v>34</v>
      </c>
      <c r="F190" s="153"/>
      <c r="G190" s="153"/>
      <c r="H190" s="153"/>
      <c r="I190" s="153"/>
      <c r="J190" s="153"/>
      <c r="K190" s="153"/>
    </row>
    <row r="191" spans="1:11" ht="20.100000000000001" customHeight="1">
      <c r="A191" s="171">
        <v>20</v>
      </c>
      <c r="B191" s="172" t="s">
        <v>1399</v>
      </c>
      <c r="C191" s="166" t="s">
        <v>1373</v>
      </c>
      <c r="D191" s="173" t="s">
        <v>32</v>
      </c>
      <c r="E191" s="167"/>
      <c r="F191" s="153"/>
      <c r="G191" s="153"/>
      <c r="H191" s="153"/>
      <c r="I191" s="153"/>
      <c r="J191" s="153"/>
      <c r="K191" s="153"/>
    </row>
    <row r="192" spans="1:11" ht="20.100000000000001" customHeight="1">
      <c r="A192" s="169">
        <v>21</v>
      </c>
      <c r="B192" s="170" t="s">
        <v>1400</v>
      </c>
      <c r="C192" s="161" t="s">
        <v>1376</v>
      </c>
      <c r="D192" s="174" t="s">
        <v>34</v>
      </c>
      <c r="E192" s="162" t="s">
        <v>32</v>
      </c>
      <c r="F192" s="153"/>
      <c r="G192" s="153"/>
      <c r="H192" s="153"/>
      <c r="I192" s="153"/>
      <c r="J192" s="153"/>
      <c r="K192" s="153"/>
    </row>
    <row r="193" spans="1:11" ht="20.100000000000001" customHeight="1">
      <c r="A193" s="193">
        <v>22</v>
      </c>
      <c r="B193" s="194" t="s">
        <v>1401</v>
      </c>
      <c r="C193" s="195" t="s">
        <v>1391</v>
      </c>
      <c r="D193" s="196" t="s">
        <v>32</v>
      </c>
      <c r="E193" s="76" t="s">
        <v>34</v>
      </c>
      <c r="F193" s="153"/>
      <c r="G193" s="153"/>
      <c r="H193" s="153"/>
      <c r="I193" s="153"/>
      <c r="J193" s="153"/>
      <c r="K193" s="153"/>
    </row>
    <row r="195" spans="1:11" ht="20.100000000000001" customHeight="1">
      <c r="A195" s="1" t="s">
        <v>2461</v>
      </c>
    </row>
    <row r="197" spans="1:11" ht="20.100000000000001" customHeight="1">
      <c r="A197" s="197" t="s">
        <v>140</v>
      </c>
      <c r="B197" s="198" t="s">
        <v>2462</v>
      </c>
      <c r="C197" s="199" t="s">
        <v>1584</v>
      </c>
    </row>
    <row r="198" spans="1:11" ht="20.100000000000001" customHeight="1">
      <c r="A198" s="200" t="s">
        <v>1363</v>
      </c>
      <c r="B198" s="201">
        <v>100</v>
      </c>
      <c r="C198" s="202"/>
      <c r="D198" s="203"/>
    </row>
    <row r="199" spans="1:11" ht="20.100000000000001" customHeight="1">
      <c r="A199" s="204" t="s">
        <v>1364</v>
      </c>
      <c r="B199" s="205">
        <v>150</v>
      </c>
      <c r="C199" s="206"/>
      <c r="D199" s="203"/>
      <c r="G199" s="207" t="s">
        <v>1586</v>
      </c>
    </row>
    <row r="200" spans="1:11" ht="20.100000000000001" customHeight="1">
      <c r="A200" s="200" t="s">
        <v>1365</v>
      </c>
      <c r="B200" s="201">
        <v>200</v>
      </c>
      <c r="C200" s="202"/>
      <c r="D200" s="203"/>
      <c r="G200" s="207" t="s">
        <v>1587</v>
      </c>
    </row>
    <row r="201" spans="1:11" ht="20.100000000000001" customHeight="1">
      <c r="A201" s="204" t="s">
        <v>1589</v>
      </c>
      <c r="B201" s="205">
        <v>259</v>
      </c>
      <c r="C201" s="206"/>
      <c r="D201" s="203"/>
      <c r="G201" s="207" t="s">
        <v>1588</v>
      </c>
    </row>
    <row r="202" spans="1:11" ht="20.100000000000001" customHeight="1">
      <c r="A202" s="200" t="s">
        <v>1363</v>
      </c>
      <c r="B202" s="201">
        <v>88</v>
      </c>
      <c r="C202" s="202"/>
      <c r="D202" s="203"/>
      <c r="G202" s="207" t="s">
        <v>1591</v>
      </c>
    </row>
    <row r="203" spans="1:11" ht="20.100000000000001" customHeight="1">
      <c r="A203" s="204" t="s">
        <v>1364</v>
      </c>
      <c r="B203" s="205">
        <v>111</v>
      </c>
      <c r="C203" s="206"/>
      <c r="D203" s="203"/>
      <c r="G203" s="207" t="s">
        <v>1592</v>
      </c>
    </row>
    <row r="204" spans="1:11" ht="20.100000000000001" customHeight="1">
      <c r="A204" s="200" t="s">
        <v>1365</v>
      </c>
      <c r="B204" s="201">
        <v>189</v>
      </c>
      <c r="C204" s="202"/>
      <c r="D204" s="203"/>
      <c r="I204" s="219"/>
    </row>
    <row r="205" spans="1:11" ht="20.100000000000001" customHeight="1">
      <c r="A205" s="204" t="s">
        <v>1589</v>
      </c>
      <c r="B205" s="205">
        <v>243</v>
      </c>
      <c r="C205" s="206"/>
      <c r="D205" s="203"/>
      <c r="I205" s="220"/>
    </row>
    <row r="206" spans="1:11" ht="20.100000000000001" customHeight="1">
      <c r="A206" s="200" t="s">
        <v>1363</v>
      </c>
      <c r="B206" s="201">
        <v>101</v>
      </c>
      <c r="C206" s="202"/>
      <c r="D206" s="203"/>
      <c r="I206" s="220"/>
    </row>
    <row r="207" spans="1:11" ht="20.100000000000001" customHeight="1">
      <c r="A207" s="204" t="s">
        <v>1364</v>
      </c>
      <c r="B207" s="205">
        <v>155</v>
      </c>
      <c r="C207" s="206"/>
      <c r="D207" s="203"/>
      <c r="I207" s="220"/>
    </row>
    <row r="208" spans="1:11" ht="20.100000000000001" customHeight="1">
      <c r="A208" s="200" t="s">
        <v>1365</v>
      </c>
      <c r="B208" s="201">
        <v>178</v>
      </c>
      <c r="C208" s="202"/>
      <c r="D208" s="203"/>
    </row>
    <row r="209" spans="1:4" ht="20.100000000000001" customHeight="1">
      <c r="A209" s="204" t="s">
        <v>1589</v>
      </c>
      <c r="B209" s="205">
        <v>222</v>
      </c>
      <c r="C209" s="206"/>
      <c r="D209" s="203"/>
    </row>
    <row r="210" spans="1:4" ht="20.100000000000001" customHeight="1">
      <c r="A210" s="200" t="s">
        <v>1363</v>
      </c>
      <c r="B210" s="201">
        <v>88</v>
      </c>
      <c r="C210" s="202"/>
      <c r="D210" s="203"/>
    </row>
    <row r="211" spans="1:4" ht="20.100000000000001" customHeight="1">
      <c r="A211" s="204" t="s">
        <v>1364</v>
      </c>
      <c r="B211" s="205">
        <v>147</v>
      </c>
      <c r="C211" s="206"/>
      <c r="D211" s="203"/>
    </row>
    <row r="212" spans="1:4" ht="20.100000000000001" customHeight="1">
      <c r="A212" s="200" t="s">
        <v>1365</v>
      </c>
      <c r="B212" s="201">
        <v>198</v>
      </c>
      <c r="C212" s="202"/>
      <c r="D212" s="203"/>
    </row>
    <row r="213" spans="1:4" ht="20.100000000000001" customHeight="1">
      <c r="A213" s="208" t="s">
        <v>1589</v>
      </c>
      <c r="B213" s="209">
        <v>255</v>
      </c>
      <c r="C213" s="210"/>
      <c r="D213" s="203"/>
    </row>
    <row r="215" spans="1:4" ht="20.100000000000001" customHeight="1">
      <c r="A215" s="1" t="s">
        <v>2463</v>
      </c>
    </row>
    <row r="217" spans="1:4" ht="20.100000000000001" customHeight="1">
      <c r="A217" s="211" t="s">
        <v>781</v>
      </c>
      <c r="B217" s="199" t="s">
        <v>848</v>
      </c>
    </row>
    <row r="218" spans="1:4" ht="20.100000000000001" customHeight="1">
      <c r="A218" s="200" t="s">
        <v>96</v>
      </c>
      <c r="B218" s="212"/>
    </row>
    <row r="219" spans="1:4" ht="20.100000000000001" customHeight="1">
      <c r="A219" s="208" t="s">
        <v>98</v>
      </c>
      <c r="B219" s="213"/>
    </row>
    <row r="221" spans="1:4" ht="20.100000000000001" customHeight="1">
      <c r="A221" s="1" t="s">
        <v>2464</v>
      </c>
    </row>
    <row r="223" spans="1:4" ht="20.100000000000001" customHeight="1">
      <c r="A223" s="214" t="s">
        <v>61</v>
      </c>
      <c r="B223" s="215" t="s">
        <v>744</v>
      </c>
    </row>
    <row r="224" spans="1:4" ht="20.100000000000001" customHeight="1">
      <c r="A224" s="200" t="s">
        <v>1648</v>
      </c>
      <c r="B224" s="212"/>
      <c r="D224" s="1" t="s">
        <v>1650</v>
      </c>
    </row>
    <row r="225" spans="1:14" ht="20.100000000000001" customHeight="1">
      <c r="A225" s="204" t="s">
        <v>1649</v>
      </c>
      <c r="B225" s="216"/>
      <c r="D225" s="1" t="s">
        <v>1653</v>
      </c>
    </row>
    <row r="226" spans="1:14" ht="20.100000000000001" customHeight="1">
      <c r="A226" s="200" t="s">
        <v>1650</v>
      </c>
      <c r="B226" s="212"/>
      <c r="D226" s="1" t="s">
        <v>1655</v>
      </c>
    </row>
    <row r="227" spans="1:14" ht="20.100000000000001" customHeight="1">
      <c r="A227" s="204" t="s">
        <v>1651</v>
      </c>
      <c r="B227" s="216"/>
      <c r="D227" s="1" t="s">
        <v>1657</v>
      </c>
    </row>
    <row r="228" spans="1:14" ht="20.100000000000001" customHeight="1">
      <c r="A228" s="200" t="s">
        <v>1652</v>
      </c>
      <c r="B228" s="212"/>
      <c r="D228" s="1" t="s">
        <v>1658</v>
      </c>
    </row>
    <row r="229" spans="1:14" ht="20.100000000000001" customHeight="1">
      <c r="A229" s="204" t="s">
        <v>1653</v>
      </c>
      <c r="B229" s="216"/>
    </row>
    <row r="230" spans="1:14" ht="20.100000000000001" customHeight="1">
      <c r="A230" s="200" t="s">
        <v>1654</v>
      </c>
      <c r="B230" s="212"/>
    </row>
    <row r="231" spans="1:14" ht="20.100000000000001" customHeight="1">
      <c r="A231" s="204" t="s">
        <v>1655</v>
      </c>
      <c r="B231" s="216"/>
    </row>
    <row r="232" spans="1:14" ht="20.100000000000001" customHeight="1">
      <c r="A232" s="200" t="s">
        <v>1657</v>
      </c>
      <c r="B232" s="212"/>
    </row>
    <row r="233" spans="1:14" ht="20.100000000000001" customHeight="1">
      <c r="A233" s="208" t="s">
        <v>1658</v>
      </c>
      <c r="B233" s="213"/>
    </row>
    <row r="235" spans="1:14" ht="20.100000000000001" customHeight="1">
      <c r="A235" s="1" t="s">
        <v>2465</v>
      </c>
    </row>
    <row r="237" spans="1:14" ht="20.100000000000001" customHeight="1">
      <c r="A237" s="1117" t="s">
        <v>2466</v>
      </c>
      <c r="B237" s="1117"/>
      <c r="C237" s="1117"/>
      <c r="D237" s="1117"/>
      <c r="E237" s="1117"/>
      <c r="F237" s="1117"/>
      <c r="G237" s="1117"/>
      <c r="H237" s="1117"/>
      <c r="I237" s="1117"/>
      <c r="J237" s="1117"/>
      <c r="K237" s="1117"/>
      <c r="L237" s="1117"/>
      <c r="M237" s="1117"/>
      <c r="N237" s="1117"/>
    </row>
    <row r="238" spans="1:14" ht="20.100000000000001" customHeight="1">
      <c r="A238" s="217" t="s">
        <v>1659</v>
      </c>
      <c r="B238" s="218">
        <v>1</v>
      </c>
      <c r="C238" s="218">
        <v>2</v>
      </c>
      <c r="D238" s="218">
        <v>3</v>
      </c>
      <c r="E238" s="218">
        <v>4</v>
      </c>
      <c r="F238" s="218">
        <v>5</v>
      </c>
      <c r="G238" s="218">
        <v>6</v>
      </c>
      <c r="H238" s="218">
        <v>7</v>
      </c>
      <c r="I238" s="218">
        <v>8</v>
      </c>
      <c r="J238" s="218">
        <v>9</v>
      </c>
      <c r="K238" s="218">
        <v>10</v>
      </c>
      <c r="L238" s="218">
        <v>11</v>
      </c>
      <c r="M238" s="218">
        <v>12</v>
      </c>
      <c r="N238" s="218">
        <v>13</v>
      </c>
    </row>
    <row r="239" spans="1:14" ht="20.100000000000001" customHeight="1">
      <c r="A239" s="217">
        <v>1</v>
      </c>
      <c r="B239" s="218">
        <v>184.86666666666699</v>
      </c>
      <c r="C239" s="218">
        <v>212.86666666666699</v>
      </c>
      <c r="D239" s="218">
        <v>240.8</v>
      </c>
      <c r="E239" s="218">
        <v>268.8</v>
      </c>
      <c r="F239" s="218">
        <v>296.8</v>
      </c>
      <c r="G239" s="218">
        <v>324.73333333333301</v>
      </c>
      <c r="H239" s="218">
        <v>352.73333333333301</v>
      </c>
      <c r="I239" s="218">
        <v>380.73333333333301</v>
      </c>
      <c r="J239" s="218">
        <v>408.66666666666703</v>
      </c>
      <c r="K239" s="218">
        <v>436.66666666666703</v>
      </c>
      <c r="L239" s="218">
        <v>464.66666666666703</v>
      </c>
      <c r="M239" s="218">
        <v>492.6</v>
      </c>
      <c r="N239" s="218">
        <v>520.6</v>
      </c>
    </row>
    <row r="240" spans="1:14" ht="20.100000000000001" customHeight="1">
      <c r="A240" s="217">
        <v>2</v>
      </c>
      <c r="B240" s="218">
        <v>352.86666666666702</v>
      </c>
      <c r="C240" s="218">
        <v>385.066666666667</v>
      </c>
      <c r="D240" s="218">
        <v>417.2</v>
      </c>
      <c r="E240" s="218">
        <v>449.4</v>
      </c>
      <c r="F240" s="218">
        <v>481.6</v>
      </c>
      <c r="G240" s="218">
        <v>513.73333333333301</v>
      </c>
      <c r="H240" s="218">
        <v>545.93333333333305</v>
      </c>
      <c r="I240" s="218">
        <v>578.13333333333298</v>
      </c>
      <c r="J240" s="218">
        <v>610.26666666666699</v>
      </c>
      <c r="K240" s="218">
        <v>642.46666666666704</v>
      </c>
      <c r="L240" s="218">
        <v>674.66666666666697</v>
      </c>
      <c r="M240" s="218">
        <v>706.8</v>
      </c>
      <c r="N240" s="218">
        <v>739</v>
      </c>
    </row>
    <row r="241" spans="1:14" ht="20.100000000000001" customHeight="1">
      <c r="A241" s="217">
        <v>3</v>
      </c>
      <c r="B241" s="218">
        <v>546</v>
      </c>
      <c r="C241" s="218">
        <v>583</v>
      </c>
      <c r="D241" s="218">
        <v>620</v>
      </c>
      <c r="E241" s="218">
        <v>657.06666666666695</v>
      </c>
      <c r="F241" s="218">
        <v>694.06666666666695</v>
      </c>
      <c r="G241" s="218">
        <v>731.06666666666695</v>
      </c>
      <c r="H241" s="218">
        <v>768.06666666666695</v>
      </c>
      <c r="I241" s="218">
        <v>805.06666666666695</v>
      </c>
      <c r="J241" s="218">
        <v>842.06666666666695</v>
      </c>
      <c r="K241" s="218">
        <v>879.06666666666695</v>
      </c>
      <c r="L241" s="218">
        <v>916.13333333333298</v>
      </c>
      <c r="M241" s="218">
        <v>953.13333333333298</v>
      </c>
      <c r="N241" s="218">
        <v>990.13333333333298</v>
      </c>
    </row>
    <row r="242" spans="1:14" ht="20.100000000000001" customHeight="1">
      <c r="A242" s="217">
        <v>4</v>
      </c>
      <c r="B242" s="218">
        <v>768</v>
      </c>
      <c r="C242" s="218">
        <v>810.53333333333399</v>
      </c>
      <c r="D242" s="218">
        <v>853.13333333333298</v>
      </c>
      <c r="E242" s="218">
        <v>895.66666666666697</v>
      </c>
      <c r="F242" s="218">
        <v>938.2</v>
      </c>
      <c r="G242" s="218">
        <v>980.8</v>
      </c>
      <c r="H242" s="218">
        <v>1023.33333333333</v>
      </c>
      <c r="I242" s="218">
        <v>1065.86666666667</v>
      </c>
      <c r="J242" s="218">
        <v>1108.4666666666701</v>
      </c>
      <c r="K242" s="218">
        <v>1151</v>
      </c>
      <c r="L242" s="218">
        <v>1193.5333333333299</v>
      </c>
      <c r="M242" s="218">
        <v>1236.13333333333</v>
      </c>
      <c r="N242" s="218">
        <v>1278.6666666666699</v>
      </c>
    </row>
    <row r="243" spans="1:14" ht="20.100000000000001" customHeight="1">
      <c r="A243" s="217">
        <v>5</v>
      </c>
      <c r="B243" s="218">
        <v>857.6875</v>
      </c>
      <c r="C243" s="218">
        <v>910.0625</v>
      </c>
      <c r="D243" s="218">
        <v>962.4375</v>
      </c>
      <c r="E243" s="218">
        <v>1014.8125</v>
      </c>
      <c r="F243" s="218">
        <v>1067.25</v>
      </c>
      <c r="G243" s="218">
        <v>1119.625</v>
      </c>
      <c r="H243" s="218">
        <v>1172</v>
      </c>
      <c r="I243" s="218">
        <v>1224.375</v>
      </c>
      <c r="J243" s="218">
        <v>1276.75</v>
      </c>
      <c r="K243" s="218">
        <v>1329.1875</v>
      </c>
      <c r="L243" s="218">
        <v>1381.5625</v>
      </c>
      <c r="M243" s="218">
        <v>1433.9375</v>
      </c>
      <c r="N243" s="218">
        <v>1486.3125</v>
      </c>
    </row>
    <row r="244" spans="1:14" ht="20.100000000000001" customHeight="1">
      <c r="A244" s="217">
        <v>6</v>
      </c>
      <c r="B244" s="218">
        <v>1127.25</v>
      </c>
      <c r="C244" s="218">
        <v>1187.5</v>
      </c>
      <c r="D244" s="218">
        <v>1247.75</v>
      </c>
      <c r="E244" s="218">
        <v>1308</v>
      </c>
      <c r="F244" s="218">
        <v>1368.25</v>
      </c>
      <c r="G244" s="218">
        <v>1428.5</v>
      </c>
      <c r="H244" s="218">
        <v>1488.75</v>
      </c>
      <c r="I244" s="218">
        <v>1549</v>
      </c>
      <c r="J244" s="218">
        <v>1609.25</v>
      </c>
      <c r="K244" s="218">
        <v>1669.5</v>
      </c>
      <c r="L244" s="218">
        <v>1729.75</v>
      </c>
      <c r="M244" s="218">
        <v>1790</v>
      </c>
      <c r="N244" s="218">
        <v>1850.25</v>
      </c>
    </row>
    <row r="245" spans="1:14" ht="20.100000000000001" customHeight="1">
      <c r="A245" s="217">
        <v>7</v>
      </c>
      <c r="B245" s="218">
        <v>1437.0625</v>
      </c>
      <c r="C245" s="218">
        <v>1506.3125</v>
      </c>
      <c r="D245" s="218">
        <v>1575.625</v>
      </c>
      <c r="E245" s="218">
        <v>1644.875</v>
      </c>
      <c r="F245" s="218">
        <v>1714.1875</v>
      </c>
      <c r="G245" s="218">
        <v>1783.4375</v>
      </c>
      <c r="H245" s="218">
        <v>1852.75</v>
      </c>
      <c r="I245" s="218">
        <v>1922.0625</v>
      </c>
      <c r="J245" s="218">
        <v>1991.3125</v>
      </c>
      <c r="K245" s="218">
        <v>2060.625</v>
      </c>
      <c r="L245" s="218">
        <v>2129.875</v>
      </c>
      <c r="M245" s="218">
        <v>2199.1875</v>
      </c>
      <c r="N245" s="218">
        <v>2268.4375</v>
      </c>
    </row>
    <row r="246" spans="1:14" ht="20.100000000000001" customHeight="1">
      <c r="A246" s="217">
        <v>8</v>
      </c>
      <c r="B246" s="218">
        <v>1607.0833333333301</v>
      </c>
      <c r="C246" s="218">
        <v>1681.4583333333301</v>
      </c>
      <c r="D246" s="218">
        <v>1755.8333333333301</v>
      </c>
      <c r="E246" s="218">
        <v>1830.15</v>
      </c>
      <c r="F246" s="218">
        <v>1904.5250000000001</v>
      </c>
      <c r="G246" s="218">
        <v>1978.9</v>
      </c>
      <c r="H246" s="218">
        <v>2053.2750000000001</v>
      </c>
      <c r="I246" s="218">
        <v>2127.65</v>
      </c>
      <c r="J246" s="218">
        <v>2202.0250000000001</v>
      </c>
      <c r="K246" s="218">
        <v>2276.4</v>
      </c>
      <c r="L246" s="218">
        <v>2350.7166666666699</v>
      </c>
      <c r="M246" s="218">
        <v>2425.0916666666699</v>
      </c>
      <c r="N246" s="218">
        <v>2499.4666666666699</v>
      </c>
    </row>
    <row r="247" spans="1:14" ht="20.100000000000001" customHeight="1">
      <c r="A247" s="217">
        <v>9</v>
      </c>
      <c r="B247" s="218">
        <v>1928.61666666667</v>
      </c>
      <c r="C247" s="218">
        <v>2024.2833333333299</v>
      </c>
      <c r="D247" s="218">
        <v>2120.00833333333</v>
      </c>
      <c r="E247" s="218">
        <v>2215.7333333333299</v>
      </c>
      <c r="F247" s="218">
        <v>2311.4583333333298</v>
      </c>
      <c r="G247" s="218">
        <v>2407.125</v>
      </c>
      <c r="H247" s="218">
        <v>2502.85</v>
      </c>
      <c r="I247" s="218">
        <v>2598.5749999999998</v>
      </c>
      <c r="J247" s="218">
        <v>2694.24166666667</v>
      </c>
      <c r="K247" s="218">
        <v>2789.9666666666699</v>
      </c>
      <c r="L247" s="218">
        <v>2885.6916666666698</v>
      </c>
      <c r="M247" s="218">
        <v>2981.4166666666702</v>
      </c>
      <c r="N247" s="218">
        <v>3077.0833333333298</v>
      </c>
    </row>
    <row r="248" spans="1:14" ht="20.100000000000001" customHeight="1">
      <c r="A248" s="217">
        <v>10</v>
      </c>
      <c r="B248" s="218">
        <v>2359.4083333333301</v>
      </c>
      <c r="C248" s="218">
        <v>2469.4833333333299</v>
      </c>
      <c r="D248" s="218">
        <v>2579.5</v>
      </c>
      <c r="E248" s="218">
        <v>2689.5749999999998</v>
      </c>
      <c r="F248" s="218">
        <v>2799.65</v>
      </c>
      <c r="G248" s="218">
        <v>2909.7249999999999</v>
      </c>
      <c r="H248" s="218">
        <v>3019.8</v>
      </c>
      <c r="I248" s="218">
        <v>3129.875</v>
      </c>
      <c r="J248" s="218">
        <v>3239.95</v>
      </c>
      <c r="K248" s="218">
        <v>3350.0250000000001</v>
      </c>
      <c r="L248" s="218">
        <v>3460.1</v>
      </c>
      <c r="M248" s="218">
        <v>3570.11666666667</v>
      </c>
      <c r="N248" s="218">
        <v>3680.1916666666698</v>
      </c>
    </row>
    <row r="249" spans="1:14" ht="20.100000000000001" customHeight="1">
      <c r="A249" s="217">
        <v>11</v>
      </c>
      <c r="B249" s="218">
        <v>2579.4166666666702</v>
      </c>
      <c r="C249" s="218">
        <v>2696.9583333333298</v>
      </c>
      <c r="D249" s="218">
        <v>2814.5</v>
      </c>
      <c r="E249" s="218">
        <v>2932.0416666666702</v>
      </c>
      <c r="F249" s="218">
        <v>3049.5833333333298</v>
      </c>
      <c r="G249" s="218">
        <v>3167.125</v>
      </c>
      <c r="H249" s="218">
        <v>3284.6666666666702</v>
      </c>
      <c r="I249" s="218">
        <v>3402.2083333333298</v>
      </c>
      <c r="J249" s="218">
        <v>3519.75</v>
      </c>
      <c r="K249" s="218">
        <v>3637.2916666666702</v>
      </c>
      <c r="L249" s="218">
        <v>3754.8333333333298</v>
      </c>
      <c r="M249" s="218">
        <v>3872.375</v>
      </c>
      <c r="N249" s="218">
        <v>3989.9166666666702</v>
      </c>
    </row>
    <row r="250" spans="1:14" ht="20.100000000000001" customHeight="1">
      <c r="A250" s="217">
        <v>12</v>
      </c>
      <c r="B250" s="218">
        <v>3108.3541666666702</v>
      </c>
      <c r="C250" s="218">
        <v>3243.55416666667</v>
      </c>
      <c r="D250" s="218">
        <v>3378.7</v>
      </c>
      <c r="E250" s="218">
        <v>3513.9</v>
      </c>
      <c r="F250" s="218">
        <v>3649.0458333333299</v>
      </c>
      <c r="G250" s="218">
        <v>3784.2458333333302</v>
      </c>
      <c r="H250" s="218">
        <v>3919.3916666666701</v>
      </c>
      <c r="I250" s="218">
        <v>4054.5916666666699</v>
      </c>
      <c r="J250" s="218">
        <v>4189.7375000000002</v>
      </c>
      <c r="K250" s="218">
        <v>4324.9375</v>
      </c>
      <c r="L250" s="218">
        <v>4460.0833333333303</v>
      </c>
      <c r="M250" s="218">
        <v>4595.2833333333301</v>
      </c>
      <c r="N250" s="218">
        <v>4730.4291666666704</v>
      </c>
    </row>
    <row r="251" spans="1:14" ht="20.100000000000001" customHeight="1">
      <c r="A251" s="217">
        <v>13</v>
      </c>
      <c r="B251" s="218">
        <v>3265.85</v>
      </c>
      <c r="C251" s="218">
        <v>3424</v>
      </c>
      <c r="D251" s="218">
        <v>3582.1</v>
      </c>
      <c r="E251" s="218">
        <v>3740.25</v>
      </c>
      <c r="F251" s="218">
        <v>3898.4</v>
      </c>
      <c r="G251" s="218">
        <v>4056.5</v>
      </c>
      <c r="H251" s="218">
        <v>4214.6499999999996</v>
      </c>
      <c r="I251" s="218">
        <v>4372.8</v>
      </c>
      <c r="J251" s="218">
        <v>4530.8999999999996</v>
      </c>
      <c r="K251" s="218">
        <v>4689.05</v>
      </c>
      <c r="L251" s="218">
        <v>4847.2</v>
      </c>
      <c r="M251" s="218">
        <v>5005.3</v>
      </c>
      <c r="N251" s="218">
        <v>5163.45</v>
      </c>
    </row>
    <row r="252" spans="1:14" ht="20.100000000000001" customHeight="1">
      <c r="A252" s="217">
        <v>14</v>
      </c>
      <c r="B252" s="218">
        <v>3898.45</v>
      </c>
      <c r="C252" s="218">
        <v>4080.3</v>
      </c>
      <c r="D252" s="218">
        <v>4262.1499999999996</v>
      </c>
      <c r="E252" s="218">
        <v>4444</v>
      </c>
      <c r="F252" s="218">
        <v>4625.8500000000004</v>
      </c>
      <c r="G252" s="218">
        <v>4807.7</v>
      </c>
      <c r="H252" s="218">
        <v>4989.55</v>
      </c>
      <c r="I252" s="218">
        <v>5171.3999999999996</v>
      </c>
      <c r="J252" s="218">
        <v>5353.25</v>
      </c>
      <c r="K252" s="218">
        <v>5535.1</v>
      </c>
      <c r="L252" s="218">
        <v>5716.95</v>
      </c>
      <c r="M252" s="218">
        <v>5898.8</v>
      </c>
      <c r="N252" s="218">
        <v>6080.65</v>
      </c>
    </row>
    <row r="253" spans="1:14" ht="20.100000000000001" customHeight="1">
      <c r="A253" s="217">
        <v>15</v>
      </c>
      <c r="B253" s="218">
        <v>4156.9458333333296</v>
      </c>
      <c r="C253" s="218">
        <v>4348.6666666666697</v>
      </c>
      <c r="D253" s="218">
        <v>4540.3416666666699</v>
      </c>
      <c r="E253" s="218">
        <v>4732.0625</v>
      </c>
      <c r="F253" s="218">
        <v>4923.7833333333301</v>
      </c>
      <c r="G253" s="218">
        <v>5115.4583333333303</v>
      </c>
      <c r="H253" s="218">
        <v>5307.1791666666704</v>
      </c>
      <c r="I253" s="218">
        <v>5498.9</v>
      </c>
      <c r="J253" s="218">
        <v>5690.5749999999998</v>
      </c>
      <c r="K253" s="218">
        <v>5882.2958333333299</v>
      </c>
      <c r="L253" s="218">
        <v>6074.0166666666701</v>
      </c>
      <c r="M253" s="218">
        <v>6265.6916666666702</v>
      </c>
      <c r="N253" s="218">
        <v>6457.4125000000004</v>
      </c>
    </row>
    <row r="254" spans="1:14" ht="20.100000000000001" customHeight="1">
      <c r="A254" s="217">
        <v>16</v>
      </c>
      <c r="B254" s="218">
        <v>4923.8291666666701</v>
      </c>
      <c r="C254" s="218">
        <v>5144.2875000000004</v>
      </c>
      <c r="D254" s="218">
        <v>5364.7458333333298</v>
      </c>
      <c r="E254" s="218">
        <v>5585.2041666666701</v>
      </c>
      <c r="F254" s="218">
        <v>5805.6625000000004</v>
      </c>
      <c r="G254" s="218">
        <v>6026.1208333333298</v>
      </c>
      <c r="H254" s="218">
        <v>6246.5791666666701</v>
      </c>
      <c r="I254" s="218">
        <v>6467.0375000000004</v>
      </c>
      <c r="J254" s="218">
        <v>6687.4958333333298</v>
      </c>
      <c r="K254" s="218">
        <v>6907.9541666666701</v>
      </c>
      <c r="L254" s="218">
        <v>7128.4125000000004</v>
      </c>
      <c r="M254" s="218">
        <v>7348.8708333333298</v>
      </c>
      <c r="N254" s="218">
        <v>7569.3291666666701</v>
      </c>
    </row>
    <row r="255" spans="1:14" ht="20.100000000000001" customHeight="1">
      <c r="A255" s="217">
        <v>17</v>
      </c>
      <c r="B255" s="218">
        <v>5864.5583333333298</v>
      </c>
      <c r="C255" s="218">
        <v>6120.3083333333298</v>
      </c>
      <c r="D255" s="218">
        <v>6376.0583333333298</v>
      </c>
      <c r="E255" s="218">
        <v>6631.8083333333298</v>
      </c>
      <c r="F255" s="218">
        <v>6887.5124999999998</v>
      </c>
      <c r="G255" s="218">
        <v>7143.2624999999998</v>
      </c>
      <c r="H255" s="218">
        <v>7399.0124999999998</v>
      </c>
      <c r="I255" s="218">
        <v>7654.7624999999998</v>
      </c>
      <c r="J255" s="218">
        <v>7910.5124999999998</v>
      </c>
      <c r="K255" s="218">
        <v>8166.2166666666699</v>
      </c>
      <c r="L255" s="218">
        <v>8421.9666666666708</v>
      </c>
      <c r="M255" s="218">
        <v>8677.7166666666708</v>
      </c>
      <c r="N255" s="218">
        <v>8933.4666666666708</v>
      </c>
    </row>
    <row r="256" spans="1:14" ht="20.100000000000001" customHeight="1">
      <c r="A256" s="217">
        <v>18</v>
      </c>
      <c r="B256" s="218">
        <v>6232.3333333333303</v>
      </c>
      <c r="C256" s="218">
        <v>6502.0416666666697</v>
      </c>
      <c r="D256" s="218">
        <v>6771.7083333333303</v>
      </c>
      <c r="E256" s="218">
        <v>7041.4166666666697</v>
      </c>
      <c r="F256" s="218">
        <v>7311.0833333333303</v>
      </c>
      <c r="G256" s="218">
        <v>7580.7916666666697</v>
      </c>
      <c r="H256" s="218">
        <v>7850.4583333333303</v>
      </c>
      <c r="I256" s="218">
        <v>8120.1666666666697</v>
      </c>
      <c r="J256" s="218">
        <v>8389.8333333333303</v>
      </c>
      <c r="K256" s="218">
        <v>8659.5416666666697</v>
      </c>
      <c r="L256" s="218">
        <v>8929.2083333333303</v>
      </c>
      <c r="M256" s="218">
        <v>9198.9166666666697</v>
      </c>
      <c r="N256" s="218">
        <v>9468.5833333333303</v>
      </c>
    </row>
    <row r="257" spans="1:14" ht="20.100000000000001" customHeight="1">
      <c r="A257" s="217">
        <v>19</v>
      </c>
      <c r="B257" s="218">
        <v>7383.0416666666697</v>
      </c>
      <c r="C257" s="218">
        <v>7695.875</v>
      </c>
      <c r="D257" s="218">
        <v>8008.7083333333303</v>
      </c>
      <c r="E257" s="218">
        <v>8321.5833333333303</v>
      </c>
      <c r="F257" s="218">
        <v>8634.4166666666697</v>
      </c>
      <c r="G257" s="218">
        <v>8947.25</v>
      </c>
      <c r="H257" s="218">
        <v>9260.0833333333303</v>
      </c>
      <c r="I257" s="218">
        <v>9572.9166666666697</v>
      </c>
      <c r="J257" s="218">
        <v>9885.75</v>
      </c>
      <c r="K257" s="218">
        <v>10198.583333333299</v>
      </c>
      <c r="L257" s="218">
        <v>10511.458333333299</v>
      </c>
      <c r="M257" s="218">
        <v>10824.291666666701</v>
      </c>
      <c r="N257" s="218">
        <v>11137.125</v>
      </c>
    </row>
    <row r="258" spans="1:14" ht="20.100000000000001" customHeight="1">
      <c r="A258" s="217">
        <v>20</v>
      </c>
      <c r="B258" s="218">
        <v>8338.3333333333303</v>
      </c>
      <c r="C258" s="218">
        <v>8764.4583333333303</v>
      </c>
      <c r="D258" s="218">
        <v>9190.5833333333303</v>
      </c>
      <c r="E258" s="218">
        <v>9616.75</v>
      </c>
      <c r="F258" s="218">
        <v>10042.875</v>
      </c>
      <c r="G258" s="218">
        <v>10469.041666666701</v>
      </c>
      <c r="H258" s="218">
        <v>10895.166666666701</v>
      </c>
      <c r="I258" s="218">
        <v>11321.291666666701</v>
      </c>
      <c r="J258" s="218">
        <v>11747.458333333299</v>
      </c>
      <c r="K258" s="218">
        <v>12173.583333333299</v>
      </c>
      <c r="L258" s="218">
        <v>12599.75</v>
      </c>
      <c r="M258" s="218">
        <v>13025.875</v>
      </c>
      <c r="N258" s="218">
        <v>13452</v>
      </c>
    </row>
    <row r="259" spans="1:14" ht="20.100000000000001" customHeight="1">
      <c r="A259" s="217">
        <v>21</v>
      </c>
      <c r="B259" s="218">
        <v>8743.2250000000004</v>
      </c>
      <c r="C259" s="218">
        <v>9188.125</v>
      </c>
      <c r="D259" s="218">
        <v>9633.0249999999996</v>
      </c>
      <c r="E259" s="218">
        <v>10077.924999999999</v>
      </c>
      <c r="F259" s="218">
        <v>10522.7875</v>
      </c>
      <c r="G259" s="218">
        <v>10967.6875</v>
      </c>
      <c r="H259" s="218">
        <v>11412.5875</v>
      </c>
      <c r="I259" s="218">
        <v>11857.487499999999</v>
      </c>
      <c r="J259" s="218">
        <v>12302.387500000001</v>
      </c>
      <c r="K259" s="218">
        <v>12747.25</v>
      </c>
      <c r="L259" s="218">
        <v>13192.15</v>
      </c>
      <c r="M259" s="218">
        <v>13637.05</v>
      </c>
      <c r="N259" s="218">
        <v>14081.95</v>
      </c>
    </row>
    <row r="261" spans="1:14" ht="20.100000000000001" customHeight="1">
      <c r="A261" s="221"/>
      <c r="B261" s="222" t="s">
        <v>2591</v>
      </c>
      <c r="C261" s="944" t="s">
        <v>2592</v>
      </c>
    </row>
    <row r="262" spans="1:14" ht="20.100000000000001" customHeight="1">
      <c r="A262" s="223" t="s">
        <v>540</v>
      </c>
      <c r="B262" s="224" t="s">
        <v>1666</v>
      </c>
      <c r="C262" s="225"/>
      <c r="E262" s="1" t="s">
        <v>2467</v>
      </c>
    </row>
    <row r="263" spans="1:14" ht="20.100000000000001" customHeight="1">
      <c r="A263" s="226" t="s">
        <v>542</v>
      </c>
      <c r="B263" s="224" t="s">
        <v>1668</v>
      </c>
      <c r="C263" s="227"/>
    </row>
    <row r="264" spans="1:14" ht="20.100000000000001" customHeight="1">
      <c r="A264" s="228" t="s">
        <v>544</v>
      </c>
      <c r="B264" s="229" t="s">
        <v>1669</v>
      </c>
      <c r="C264" s="230"/>
    </row>
    <row r="266" spans="1:14" ht="20.100000000000001" customHeight="1">
      <c r="A266" s="1" t="s">
        <v>2468</v>
      </c>
    </row>
    <row r="268" spans="1:14" ht="20.100000000000001" customHeight="1">
      <c r="A268" s="935" t="s">
        <v>131</v>
      </c>
      <c r="B268" s="936" t="s">
        <v>1676</v>
      </c>
      <c r="C268" s="936" t="s">
        <v>1677</v>
      </c>
      <c r="D268" s="936" t="s">
        <v>1678</v>
      </c>
      <c r="F268" s="116"/>
      <c r="G268" s="116"/>
      <c r="H268" s="116"/>
      <c r="I268" s="261" t="s">
        <v>1245</v>
      </c>
      <c r="J268" s="261" t="s">
        <v>1679</v>
      </c>
      <c r="K268" s="261" t="s">
        <v>1680</v>
      </c>
      <c r="L268" s="262" t="s">
        <v>1681</v>
      </c>
    </row>
    <row r="269" spans="1:14" ht="20.100000000000001" customHeight="1">
      <c r="A269" s="233" t="s">
        <v>1680</v>
      </c>
      <c r="B269" s="76">
        <v>45</v>
      </c>
      <c r="C269" s="76">
        <v>12</v>
      </c>
      <c r="D269" s="76">
        <v>5</v>
      </c>
      <c r="F269" s="116"/>
      <c r="G269" s="116"/>
      <c r="H269" s="116"/>
      <c r="I269" s="263" t="s">
        <v>1676</v>
      </c>
      <c r="J269" s="264"/>
      <c r="K269" s="264"/>
      <c r="L269" s="265"/>
    </row>
    <row r="270" spans="1:14" ht="20.100000000000001" customHeight="1">
      <c r="A270" s="233" t="s">
        <v>1679</v>
      </c>
      <c r="B270" s="76"/>
      <c r="C270" s="76">
        <v>32</v>
      </c>
      <c r="D270" s="76"/>
      <c r="F270" s="116"/>
      <c r="G270" s="116"/>
      <c r="H270" s="116"/>
      <c r="I270" s="242" t="s">
        <v>1677</v>
      </c>
      <c r="J270" s="266"/>
      <c r="K270" s="266"/>
      <c r="L270" s="267"/>
    </row>
    <row r="271" spans="1:14" ht="20.100000000000001" customHeight="1">
      <c r="A271" s="233" t="s">
        <v>1681</v>
      </c>
      <c r="B271" s="76">
        <v>10</v>
      </c>
      <c r="C271" s="76"/>
      <c r="D271" s="76">
        <v>45</v>
      </c>
      <c r="F271" s="116"/>
      <c r="G271" s="116"/>
      <c r="H271" s="116"/>
      <c r="I271" s="268" t="s">
        <v>1678</v>
      </c>
      <c r="J271" s="269"/>
      <c r="K271" s="269"/>
      <c r="L271" s="270"/>
    </row>
    <row r="273" spans="1:13" ht="20.100000000000001" customHeight="1">
      <c r="A273" s="42" t="s">
        <v>2469</v>
      </c>
    </row>
    <row r="275" spans="1:13" ht="20.100000000000001" customHeight="1">
      <c r="A275" s="1210" t="s">
        <v>1685</v>
      </c>
      <c r="B275" s="1211"/>
      <c r="C275" s="1211"/>
      <c r="D275" s="234"/>
      <c r="E275" s="234" t="s">
        <v>1686</v>
      </c>
      <c r="F275" s="234" t="s">
        <v>1687</v>
      </c>
      <c r="G275" s="234" t="s">
        <v>1688</v>
      </c>
      <c r="H275" s="234" t="s">
        <v>1689</v>
      </c>
      <c r="I275" s="271" t="s">
        <v>29</v>
      </c>
      <c r="J275" s="116"/>
      <c r="K275" s="945" t="s">
        <v>1690</v>
      </c>
      <c r="L275" s="937" t="s">
        <v>1208</v>
      </c>
      <c r="M275" s="938" t="s">
        <v>1691</v>
      </c>
    </row>
    <row r="276" spans="1:13" ht="20.100000000000001" customHeight="1">
      <c r="A276" s="235">
        <v>0</v>
      </c>
      <c r="B276" s="236" t="s">
        <v>1692</v>
      </c>
      <c r="C276" s="236">
        <v>80</v>
      </c>
      <c r="D276" s="237"/>
      <c r="E276" s="236">
        <v>1</v>
      </c>
      <c r="F276" s="237"/>
      <c r="G276" s="237"/>
      <c r="H276" s="238">
        <v>1</v>
      </c>
      <c r="I276" s="274">
        <f t="shared" ref="I276:I284" si="0">SUM(E276:H276)</f>
        <v>2</v>
      </c>
      <c r="J276" s="116"/>
      <c r="K276" s="482">
        <v>272</v>
      </c>
      <c r="L276" s="939" t="s">
        <v>1686</v>
      </c>
      <c r="M276" s="940"/>
    </row>
    <row r="277" spans="1:13" ht="20.100000000000001" customHeight="1">
      <c r="A277" s="239">
        <v>80</v>
      </c>
      <c r="B277" s="236" t="s">
        <v>1692</v>
      </c>
      <c r="C277" s="236">
        <v>200</v>
      </c>
      <c r="D277" s="236"/>
      <c r="E277" s="236">
        <v>1</v>
      </c>
      <c r="F277" s="236"/>
      <c r="G277" s="236"/>
      <c r="H277" s="236">
        <v>2</v>
      </c>
      <c r="I277" s="277">
        <f t="shared" si="0"/>
        <v>3</v>
      </c>
      <c r="J277" s="116"/>
      <c r="K277" s="872">
        <v>599</v>
      </c>
      <c r="L277" s="941" t="s">
        <v>1689</v>
      </c>
      <c r="M277" s="942"/>
    </row>
    <row r="278" spans="1:13" ht="20.100000000000001" customHeight="1">
      <c r="A278" s="239">
        <v>200</v>
      </c>
      <c r="B278" s="236" t="s">
        <v>1692</v>
      </c>
      <c r="C278" s="236">
        <v>350</v>
      </c>
      <c r="D278" s="236"/>
      <c r="E278" s="236">
        <v>2</v>
      </c>
      <c r="F278" s="236"/>
      <c r="G278" s="236"/>
      <c r="H278" s="236">
        <v>3</v>
      </c>
      <c r="I278" s="277">
        <f t="shared" si="0"/>
        <v>5</v>
      </c>
      <c r="J278" s="116"/>
      <c r="K278" s="482">
        <v>601</v>
      </c>
      <c r="L278" s="943" t="s">
        <v>1688</v>
      </c>
      <c r="M278" s="940"/>
    </row>
    <row r="279" spans="1:13" ht="20.100000000000001" customHeight="1">
      <c r="A279" s="239">
        <v>350</v>
      </c>
      <c r="B279" s="236" t="s">
        <v>1692</v>
      </c>
      <c r="C279" s="236">
        <v>450</v>
      </c>
      <c r="D279" s="236"/>
      <c r="E279" s="236">
        <v>1</v>
      </c>
      <c r="F279" s="236"/>
      <c r="G279" s="236">
        <v>1</v>
      </c>
      <c r="H279" s="236">
        <v>3</v>
      </c>
      <c r="I279" s="277">
        <f t="shared" si="0"/>
        <v>5</v>
      </c>
      <c r="J279" s="116"/>
      <c r="K279" s="116"/>
      <c r="L279" s="116"/>
      <c r="M279" s="116"/>
    </row>
    <row r="280" spans="1:13" ht="20.100000000000001" customHeight="1">
      <c r="A280" s="239">
        <v>450</v>
      </c>
      <c r="B280" s="236" t="s">
        <v>1692</v>
      </c>
      <c r="C280" s="236">
        <v>600</v>
      </c>
      <c r="D280" s="236"/>
      <c r="E280" s="236">
        <v>1</v>
      </c>
      <c r="F280" s="236">
        <v>1</v>
      </c>
      <c r="G280" s="236">
        <v>1</v>
      </c>
      <c r="H280" s="236">
        <v>3</v>
      </c>
      <c r="I280" s="277">
        <f t="shared" si="0"/>
        <v>6</v>
      </c>
      <c r="J280" s="116"/>
      <c r="K280" s="116"/>
      <c r="L280" s="116"/>
      <c r="M280" s="116"/>
    </row>
    <row r="281" spans="1:13" ht="20.100000000000001" customHeight="1">
      <c r="A281" s="239">
        <v>600</v>
      </c>
      <c r="B281" s="236" t="s">
        <v>1692</v>
      </c>
      <c r="C281" s="236">
        <v>750</v>
      </c>
      <c r="D281" s="236"/>
      <c r="E281" s="236">
        <v>1</v>
      </c>
      <c r="F281" s="236">
        <v>1</v>
      </c>
      <c r="G281" s="236">
        <v>1</v>
      </c>
      <c r="H281" s="236">
        <v>4</v>
      </c>
      <c r="I281" s="277">
        <f t="shared" si="0"/>
        <v>7</v>
      </c>
      <c r="J281" s="116"/>
      <c r="K281" s="116"/>
      <c r="L281" s="116"/>
      <c r="M281" s="116"/>
    </row>
    <row r="282" spans="1:13" ht="20.100000000000001" customHeight="1">
      <c r="A282" s="239">
        <v>750</v>
      </c>
      <c r="B282" s="236" t="s">
        <v>1692</v>
      </c>
      <c r="C282" s="236">
        <v>900</v>
      </c>
      <c r="D282" s="236"/>
      <c r="E282" s="236">
        <v>1</v>
      </c>
      <c r="F282" s="236">
        <v>1</v>
      </c>
      <c r="G282" s="236">
        <v>2</v>
      </c>
      <c r="H282" s="236">
        <v>4</v>
      </c>
      <c r="I282" s="277">
        <f t="shared" si="0"/>
        <v>8</v>
      </c>
      <c r="J282" s="116"/>
      <c r="K282" s="116"/>
      <c r="L282" s="116"/>
      <c r="M282" s="116"/>
    </row>
    <row r="283" spans="1:13" ht="20.100000000000001" customHeight="1">
      <c r="A283" s="239">
        <v>900</v>
      </c>
      <c r="B283" s="236" t="s">
        <v>1692</v>
      </c>
      <c r="C283" s="236">
        <v>1050</v>
      </c>
      <c r="D283" s="236"/>
      <c r="E283" s="236">
        <v>1</v>
      </c>
      <c r="F283" s="236">
        <v>1</v>
      </c>
      <c r="G283" s="236">
        <v>2</v>
      </c>
      <c r="H283" s="236">
        <v>5</v>
      </c>
      <c r="I283" s="277">
        <f t="shared" si="0"/>
        <v>9</v>
      </c>
      <c r="J283" s="116"/>
      <c r="K283" s="116"/>
      <c r="L283" s="116"/>
      <c r="M283" s="116"/>
    </row>
    <row r="284" spans="1:13" ht="20.100000000000001" customHeight="1">
      <c r="A284" s="239">
        <v>1050</v>
      </c>
      <c r="B284" s="236" t="s">
        <v>1692</v>
      </c>
      <c r="C284" s="236">
        <v>1200</v>
      </c>
      <c r="D284" s="236"/>
      <c r="E284" s="236">
        <v>1</v>
      </c>
      <c r="F284" s="236">
        <v>2</v>
      </c>
      <c r="G284" s="236">
        <v>2</v>
      </c>
      <c r="H284" s="236">
        <v>5</v>
      </c>
      <c r="I284" s="277">
        <f t="shared" si="0"/>
        <v>10</v>
      </c>
      <c r="J284" s="116"/>
      <c r="K284" s="116"/>
      <c r="L284" s="116"/>
      <c r="M284" s="116"/>
    </row>
    <row r="285" spans="1:13" ht="20.100000000000001" customHeight="1">
      <c r="A285" s="239">
        <v>1200</v>
      </c>
      <c r="B285" s="236" t="s">
        <v>1692</v>
      </c>
      <c r="C285" s="236">
        <v>1350</v>
      </c>
      <c r="D285" s="236"/>
      <c r="E285" s="236">
        <v>1</v>
      </c>
      <c r="F285" s="236">
        <v>2</v>
      </c>
      <c r="G285" s="236">
        <v>2</v>
      </c>
      <c r="H285" s="236">
        <v>6</v>
      </c>
      <c r="I285" s="277">
        <v>11</v>
      </c>
      <c r="J285" s="116"/>
      <c r="K285" s="116"/>
      <c r="L285" s="116"/>
      <c r="M285" s="116"/>
    </row>
    <row r="286" spans="1:13" ht="20.100000000000001" customHeight="1">
      <c r="A286" s="240">
        <v>1350</v>
      </c>
      <c r="B286" s="241" t="s">
        <v>1692</v>
      </c>
      <c r="C286" s="241"/>
      <c r="D286" s="241"/>
      <c r="E286" s="241">
        <v>1</v>
      </c>
      <c r="F286" s="241">
        <v>2</v>
      </c>
      <c r="G286" s="241">
        <v>2</v>
      </c>
      <c r="H286" s="241">
        <v>6</v>
      </c>
      <c r="I286" s="280">
        <v>12</v>
      </c>
      <c r="J286" s="116"/>
      <c r="K286" s="116"/>
      <c r="L286" s="116"/>
      <c r="M286" s="116"/>
    </row>
    <row r="288" spans="1:13" ht="20.100000000000001" customHeight="1">
      <c r="A288" s="1" t="s">
        <v>2470</v>
      </c>
    </row>
    <row r="290" spans="1:7" ht="20.100000000000001" customHeight="1">
      <c r="A290" s="242" t="s">
        <v>1693</v>
      </c>
      <c r="B290" s="243" t="s">
        <v>1694</v>
      </c>
      <c r="C290" s="244" t="s">
        <v>44</v>
      </c>
      <c r="F290" s="1188" t="s">
        <v>2471</v>
      </c>
      <c r="G290" s="1189"/>
    </row>
    <row r="291" spans="1:7" ht="20.100000000000001" customHeight="1">
      <c r="A291" s="245">
        <v>44621</v>
      </c>
      <c r="B291" s="116" t="s">
        <v>1696</v>
      </c>
      <c r="C291" s="246">
        <v>1</v>
      </c>
      <c r="F291" s="247" t="s">
        <v>1694</v>
      </c>
      <c r="G291" s="248" t="s">
        <v>1697</v>
      </c>
    </row>
    <row r="292" spans="1:7" ht="20.100000000000001" customHeight="1">
      <c r="A292" s="245">
        <v>44621</v>
      </c>
      <c r="B292" s="116" t="s">
        <v>1698</v>
      </c>
      <c r="C292" s="246">
        <v>3</v>
      </c>
      <c r="F292" s="247"/>
      <c r="G292" s="248"/>
    </row>
    <row r="293" spans="1:7" ht="20.100000000000001" customHeight="1">
      <c r="A293" s="245">
        <v>44622</v>
      </c>
      <c r="B293" s="116" t="s">
        <v>1250</v>
      </c>
      <c r="C293" s="246">
        <v>5</v>
      </c>
      <c r="F293" s="247"/>
      <c r="G293" s="248"/>
    </row>
    <row r="294" spans="1:7" ht="20.100000000000001" customHeight="1">
      <c r="A294" s="245">
        <v>44623</v>
      </c>
      <c r="B294" s="116" t="s">
        <v>1696</v>
      </c>
      <c r="C294" s="246">
        <v>9</v>
      </c>
      <c r="F294" s="247"/>
      <c r="G294" s="248"/>
    </row>
    <row r="295" spans="1:7" ht="20.100000000000001" customHeight="1">
      <c r="A295" s="245">
        <v>44624</v>
      </c>
      <c r="B295" s="116" t="s">
        <v>1698</v>
      </c>
      <c r="C295" s="246">
        <v>4</v>
      </c>
      <c r="F295" s="247"/>
      <c r="G295" s="248"/>
    </row>
    <row r="296" spans="1:7" ht="20.100000000000001" customHeight="1">
      <c r="A296" s="245">
        <v>44625</v>
      </c>
      <c r="B296" s="116" t="s">
        <v>1696</v>
      </c>
      <c r="C296" s="246">
        <v>8</v>
      </c>
      <c r="F296" s="247"/>
      <c r="G296" s="248"/>
    </row>
    <row r="297" spans="1:7" ht="20.100000000000001" customHeight="1">
      <c r="A297" s="245">
        <v>44626</v>
      </c>
      <c r="B297" s="116" t="s">
        <v>1699</v>
      </c>
      <c r="C297" s="246">
        <v>1</v>
      </c>
      <c r="F297" s="247"/>
      <c r="G297" s="248"/>
    </row>
    <row r="298" spans="1:7" ht="20.100000000000001" customHeight="1">
      <c r="A298" s="245">
        <v>44627</v>
      </c>
      <c r="B298" s="116" t="s">
        <v>1250</v>
      </c>
      <c r="C298" s="246">
        <v>6</v>
      </c>
      <c r="F298" s="247"/>
      <c r="G298" s="248"/>
    </row>
    <row r="299" spans="1:7" ht="20.100000000000001" customHeight="1">
      <c r="A299" s="245">
        <v>44628</v>
      </c>
      <c r="B299" s="116" t="s">
        <v>1696</v>
      </c>
      <c r="C299" s="246">
        <v>4</v>
      </c>
      <c r="F299" s="247"/>
      <c r="G299" s="248"/>
    </row>
    <row r="300" spans="1:7" ht="20.100000000000001" customHeight="1">
      <c r="A300" s="245">
        <v>44629</v>
      </c>
      <c r="B300" s="116" t="s">
        <v>1250</v>
      </c>
      <c r="C300" s="246">
        <v>8</v>
      </c>
      <c r="F300" s="247"/>
      <c r="G300" s="248"/>
    </row>
    <row r="301" spans="1:7" ht="20.100000000000001" customHeight="1">
      <c r="A301" s="245">
        <v>44630</v>
      </c>
      <c r="B301" s="116" t="s">
        <v>1696</v>
      </c>
      <c r="C301" s="246">
        <v>2</v>
      </c>
      <c r="F301" s="247"/>
      <c r="G301" s="248"/>
    </row>
    <row r="302" spans="1:7" ht="20.100000000000001" customHeight="1">
      <c r="A302" s="245">
        <v>44631</v>
      </c>
      <c r="B302" s="116" t="s">
        <v>1698</v>
      </c>
      <c r="C302" s="246">
        <v>5</v>
      </c>
      <c r="F302" s="247"/>
      <c r="G302" s="248"/>
    </row>
    <row r="303" spans="1:7" ht="20.100000000000001" customHeight="1">
      <c r="A303" s="245">
        <v>44632</v>
      </c>
      <c r="B303" s="116" t="s">
        <v>1696</v>
      </c>
      <c r="C303" s="246">
        <v>6</v>
      </c>
      <c r="F303" s="247"/>
      <c r="G303" s="248"/>
    </row>
    <row r="304" spans="1:7" ht="20.100000000000001" customHeight="1">
      <c r="A304" s="249">
        <v>44633</v>
      </c>
      <c r="B304" s="250" t="s">
        <v>1699</v>
      </c>
      <c r="C304" s="251">
        <v>4</v>
      </c>
      <c r="F304" s="252"/>
      <c r="G304" s="253"/>
    </row>
    <row r="306" spans="1:8" ht="20.100000000000001" customHeight="1">
      <c r="A306" s="1" t="s">
        <v>2472</v>
      </c>
    </row>
    <row r="307" spans="1:8" ht="20.100000000000001" customHeight="1">
      <c r="A307" s="254"/>
      <c r="B307" s="116"/>
    </row>
    <row r="308" spans="1:8" ht="20.100000000000001" customHeight="1">
      <c r="A308" s="255">
        <v>1</v>
      </c>
      <c r="B308" s="256">
        <v>4</v>
      </c>
    </row>
    <row r="309" spans="1:8" ht="20.100000000000001" customHeight="1">
      <c r="A309" s="257">
        <v>2</v>
      </c>
      <c r="B309" s="258">
        <v>2</v>
      </c>
    </row>
    <row r="310" spans="1:8" ht="20.100000000000001" customHeight="1">
      <c r="A310" s="257">
        <v>4</v>
      </c>
      <c r="B310" s="258">
        <v>3</v>
      </c>
    </row>
    <row r="311" spans="1:8" ht="20.100000000000001" customHeight="1">
      <c r="A311" s="259">
        <v>5</v>
      </c>
      <c r="B311" s="260">
        <v>5</v>
      </c>
    </row>
    <row r="313" spans="1:8" ht="20.100000000000001" customHeight="1" thickBot="1">
      <c r="A313" s="1" t="s">
        <v>2672</v>
      </c>
    </row>
    <row r="314" spans="1:8" ht="20.100000000000001" customHeight="1">
      <c r="A314" s="333"/>
      <c r="B314" s="324"/>
      <c r="C314" s="324"/>
      <c r="D314" s="324"/>
      <c r="E314" s="324"/>
      <c r="F314" s="324"/>
      <c r="G314" s="324"/>
      <c r="H314" s="325"/>
    </row>
    <row r="315" spans="1:8" ht="20.100000000000001" customHeight="1">
      <c r="A315" s="472" t="s">
        <v>269</v>
      </c>
      <c r="B315" s="243" t="s">
        <v>2595</v>
      </c>
      <c r="C315" s="244" t="s">
        <v>2673</v>
      </c>
      <c r="D315" s="116"/>
      <c r="E315" s="116" t="s">
        <v>2598</v>
      </c>
      <c r="F315" s="116" t="s">
        <v>2600</v>
      </c>
      <c r="G315" s="116" t="s">
        <v>2674</v>
      </c>
      <c r="H315" s="326"/>
    </row>
    <row r="316" spans="1:8" ht="20.100000000000001" customHeight="1">
      <c r="A316" s="254" t="s">
        <v>2676</v>
      </c>
      <c r="B316" s="116" t="s">
        <v>2601</v>
      </c>
      <c r="C316" s="246">
        <v>1440</v>
      </c>
      <c r="D316" s="116"/>
      <c r="E316" s="116"/>
      <c r="F316" s="116" t="s">
        <v>2595</v>
      </c>
      <c r="G316" s="116" t="s">
        <v>46</v>
      </c>
      <c r="H316" s="326"/>
    </row>
    <row r="317" spans="1:8" ht="20.100000000000001" customHeight="1">
      <c r="A317" s="254" t="s">
        <v>2600</v>
      </c>
      <c r="B317" s="116" t="s">
        <v>2602</v>
      </c>
      <c r="C317" s="246">
        <v>748061.28</v>
      </c>
      <c r="D317" s="116"/>
      <c r="E317" s="116"/>
      <c r="F317" s="1015" t="str">
        <f t="array" ref="F317">IF(ROW(A1)&lt;=COUNTIF($A$316:$A$347,$F$315),INDEX(B:B,RIGHT(LARGE(IF($A$316:$A$347=$F$315,INT($C$316:$C$347),)*1000+ROW($316:$347),ROW(A1)),3)),"")</f>
        <v>房租费</v>
      </c>
      <c r="G317" s="1015">
        <f t="array" ref="G317">IF(ROW(B1)&lt;=COUNTIF($A$316:$A$347,$F$315),INDEX(C:C,RIGHT(LARGE(IF($A$316:$A$347=$F$315,INT($C$316:$C$347),)*1000+ROW($316:$347),ROW(B1)),3)),"")</f>
        <v>748061.28</v>
      </c>
      <c r="H317" s="326"/>
    </row>
    <row r="318" spans="1:8" ht="20.100000000000001" customHeight="1">
      <c r="A318" s="254" t="s">
        <v>2600</v>
      </c>
      <c r="B318" s="116" t="s">
        <v>2603</v>
      </c>
      <c r="C318" s="246">
        <v>200000</v>
      </c>
      <c r="D318" s="116"/>
      <c r="E318" s="116"/>
      <c r="F318" s="1015" t="str">
        <f t="array" ref="F318">IF(ROW(A2)&lt;=COUNTIF($A$316:$A$347,$F$315),INDEX(B:B,RIGHT(LARGE(IF($A$316:$A$347=$F$315,INT($C$316:$C$347),)*1000+ROW($316:$347),ROW(A2)),3)),"")</f>
        <v>差旅费</v>
      </c>
      <c r="G318" s="1015">
        <f t="array" ref="G318">IF(ROW(B2)&lt;=COUNTIF($A$316:$A$347,$F$315),INDEX(C:C,RIGHT(LARGE(IF($A$316:$A$347=$F$315,INT($C$316:$C$347),)*1000+ROW($316:$347),ROW(B2)),3)),"")</f>
        <v>200000</v>
      </c>
      <c r="H318" s="326"/>
    </row>
    <row r="319" spans="1:8" ht="20.100000000000001" customHeight="1">
      <c r="A319" s="254" t="s">
        <v>2600</v>
      </c>
      <c r="B319" s="116" t="s">
        <v>2604</v>
      </c>
      <c r="C319" s="246">
        <v>114111</v>
      </c>
      <c r="D319" s="116"/>
      <c r="E319" s="116"/>
      <c r="F319" s="1015" t="str">
        <f t="array" ref="F319">IF(ROW(A3)&lt;=COUNTIF($A$316:$A$347,$F$315),INDEX(B:B,RIGHT(LARGE(IF($A$316:$A$347=$F$315,INT($C$316:$C$347),)*1000+ROW($316:$347),ROW(A3)),3)),"")</f>
        <v>物业费</v>
      </c>
      <c r="G319" s="1015">
        <f t="array" ref="G319">IF(ROW(B3)&lt;=COUNTIF($A$316:$A$347,$F$315),INDEX(C:C,RIGHT(LARGE(IF($A$316:$A$347=$F$315,INT($C$316:$C$347),)*1000+ROW($316:$347),ROW(B3)),3)),"")</f>
        <v>114111</v>
      </c>
      <c r="H319" s="326"/>
    </row>
    <row r="320" spans="1:8" ht="20.100000000000001" customHeight="1">
      <c r="A320" s="254" t="s">
        <v>2600</v>
      </c>
      <c r="B320" s="116" t="s">
        <v>2605</v>
      </c>
      <c r="C320" s="246">
        <v>42000</v>
      </c>
      <c r="D320" s="116"/>
      <c r="E320" s="116"/>
      <c r="F320" s="1015" t="str">
        <f t="array" ref="F320">IF(ROW(A4)&lt;=COUNTIF($A$316:$A$347,$F$315),INDEX(B:B,RIGHT(LARGE(IF($A$316:$A$347=$F$315,INT($C$316:$C$347),)*1000+ROW($316:$347),ROW(A4)),3)),"")</f>
        <v>保养与维修费</v>
      </c>
      <c r="G320" s="1015">
        <f t="array" ref="G320">IF(ROW(B4)&lt;=COUNTIF($A$316:$A$347,$F$315),INDEX(C:C,RIGHT(LARGE(IF($A$316:$A$347=$F$315,INT($C$316:$C$347),)*1000+ROW($316:$347),ROW(B4)),3)),"")</f>
        <v>42000</v>
      </c>
      <c r="H320" s="326"/>
    </row>
    <row r="321" spans="1:37" ht="20.100000000000001" customHeight="1">
      <c r="A321" s="254" t="s">
        <v>2600</v>
      </c>
      <c r="B321" s="116" t="s">
        <v>2606</v>
      </c>
      <c r="C321" s="246">
        <v>30000</v>
      </c>
      <c r="D321" s="116"/>
      <c r="E321" s="116"/>
      <c r="F321" s="1015" t="str">
        <f t="array" ref="F321">IF(ROW(A5)&lt;=COUNTIF($A$316:$A$347,$F$315),INDEX(B:B,RIGHT(LARGE(IF($A$316:$A$347=$F$315,INT($C$316:$C$347),)*1000+ROW($316:$347),ROW(A5)),3)),"")</f>
        <v>网络费</v>
      </c>
      <c r="G321" s="1015">
        <f t="array" ref="G321">IF(ROW(B5)&lt;=COUNTIF($A$316:$A$347,$F$315),INDEX(C:C,RIGHT(LARGE(IF($A$316:$A$347=$F$315,INT($C$316:$C$347),)*1000+ROW($316:$347),ROW(B5)),3)),"")</f>
        <v>30000</v>
      </c>
      <c r="H321" s="326"/>
    </row>
    <row r="322" spans="1:37" ht="20.100000000000001" customHeight="1">
      <c r="A322" s="254" t="s">
        <v>2600</v>
      </c>
      <c r="B322" s="116" t="s">
        <v>2607</v>
      </c>
      <c r="C322" s="246">
        <v>27000</v>
      </c>
      <c r="D322" s="116"/>
      <c r="E322" s="116"/>
      <c r="F322" s="1015" t="str">
        <f t="array" ref="F322">IF(ROW(A6)&lt;=COUNTIF($A$316:$A$347,$F$315),INDEX(B:B,RIGHT(LARGE(IF($A$316:$A$347=$F$315,INT($C$316:$C$347),)*1000+ROW($316:$347),ROW(A6)),3)),"")</f>
        <v>汽油费</v>
      </c>
      <c r="G322" s="1015">
        <f t="array" ref="G322">IF(ROW(B6)&lt;=COUNTIF($A$316:$A$347,$F$315),INDEX(C:C,RIGHT(LARGE(IF($A$316:$A$347=$F$315,INT($C$316:$C$347),)*1000+ROW($316:$347),ROW(B6)),3)),"")</f>
        <v>27000</v>
      </c>
      <c r="H322" s="326"/>
    </row>
    <row r="323" spans="1:37" ht="20.100000000000001" customHeight="1">
      <c r="A323" s="254" t="s">
        <v>2600</v>
      </c>
      <c r="B323" s="116" t="s">
        <v>2608</v>
      </c>
      <c r="C323" s="246">
        <v>20000</v>
      </c>
      <c r="D323" s="116"/>
      <c r="E323" s="116"/>
      <c r="F323" s="1015" t="str">
        <f t="array" ref="F323">IF(ROW(A7)&lt;=COUNTIF($A$316:$A$347,$F$315),INDEX(B:B,RIGHT(LARGE(IF($A$316:$A$347=$F$315,INT($C$316:$C$347),)*1000+ROW($316:$347),ROW(A7)),3)),"")</f>
        <v>停洗车费</v>
      </c>
      <c r="G323" s="1015">
        <f t="array" ref="G323">IF(ROW(B7)&lt;=COUNTIF($A$316:$A$347,$F$315),INDEX(C:C,RIGHT(LARGE(IF($A$316:$A$347=$F$315,INT($C$316:$C$347),)*1000+ROW($316:$347),ROW(B7)),3)),"")</f>
        <v>20000</v>
      </c>
      <c r="H323" s="326"/>
    </row>
    <row r="324" spans="1:37" ht="20.100000000000001" customHeight="1">
      <c r="A324" s="254" t="s">
        <v>2600</v>
      </c>
      <c r="B324" s="116" t="s">
        <v>2609</v>
      </c>
      <c r="C324" s="246">
        <v>20000</v>
      </c>
      <c r="D324" s="116"/>
      <c r="E324" s="116"/>
      <c r="F324" s="1015" t="str">
        <f t="array" ref="F324">IF(ROW(A8)&lt;=COUNTIF($A$316:$A$347,$F$315),INDEX(B:B,RIGHT(LARGE(IF($A$316:$A$347=$F$315,INT($C$316:$C$347),)*1000+ROW($316:$347),ROW(A8)),3)),"")</f>
        <v>电费</v>
      </c>
      <c r="G324" s="1015">
        <f t="array" ref="G324">IF(ROW(B8)&lt;=COUNTIF($A$316:$A$347,$F$315),INDEX(C:C,RIGHT(LARGE(IF($A$316:$A$347=$F$315,INT($C$316:$C$347),)*1000+ROW($316:$347),ROW(B8)),3)),"")</f>
        <v>20000</v>
      </c>
      <c r="H324" s="326"/>
    </row>
    <row r="325" spans="1:37" ht="20.100000000000001" customHeight="1">
      <c r="A325" s="254" t="s">
        <v>2600</v>
      </c>
      <c r="B325" s="116" t="s">
        <v>2610</v>
      </c>
      <c r="C325" s="246">
        <v>15600</v>
      </c>
      <c r="D325" s="116"/>
      <c r="E325" s="1" t="s">
        <v>2794</v>
      </c>
      <c r="F325" s="116" t="str" cm="1">
        <f t="array" ref="F325">IF(AND(COUNTIF($A$316:$A$347,$F$315)&lt;8,ROW(A9)&lt;=COUNTIF($A$316:$A$347,$F$315)),INDEX(B:B,RIGHT(LARGE(IF($A$316:$A$347=$F$315,INT($C$316:$C$347),)*1000+ROW($316:$347),ROW(A9)),3)),"")</f>
        <v/>
      </c>
      <c r="G325" s="116" t="str" cm="1">
        <f t="array" ref="G325">IF(AND(COUNTIF($A$316:$A$347,$F$315)&lt;8,ROW(B9)&lt;=COUNTIF($A$316:$A$347,$F$315)),INDEX(C:C,RIGHT(LARGE(IF($A$316:$A$347=$F$315,INT($C$316:$C$347),)*1000+ROW($316:$347),ROW(B9)),3)),"")</f>
        <v/>
      </c>
      <c r="H325" s="326"/>
    </row>
    <row r="326" spans="1:37" ht="20.100000000000001" customHeight="1">
      <c r="A326" s="254" t="s">
        <v>2600</v>
      </c>
      <c r="B326" s="116" t="s">
        <v>2611</v>
      </c>
      <c r="C326" s="246">
        <v>14400</v>
      </c>
      <c r="D326" s="116"/>
      <c r="E326" s="116" t="str" cm="1">
        <f t="array" ref="E326:E330">_xlfn.UNIQUE(A316:A347)</f>
        <v>人力部</v>
      </c>
      <c r="F326" s="116" t="str" cm="1">
        <f t="array" ref="F326">IF(AND(COUNTIF($A$316:$A$347,$F$315)&lt;8,ROW(A10)&lt;=COUNTIF($A$316:$A$347,$F$315)),INDEX(B:B,RIGHT(LARGE(IF($A$316:$A$347=$F$315,INT($C$316:$C$347),)*1000+ROW($316:$347),ROW(A10)),3)),"")</f>
        <v/>
      </c>
      <c r="G326" s="116" t="str" cm="1">
        <f t="array" ref="G326">IF(AND(COUNTIF($A$316:$A$347,$F$315)&lt;8,ROW(B10)&lt;=COUNTIF($A$316:$A$347,$F$315)),INDEX(C:C,RIGHT(LARGE(IF($A$316:$A$347=$F$315,INT($C$316:$C$347),)*1000+ROW($316:$347),ROW(B10)),3)),"")</f>
        <v/>
      </c>
      <c r="H326" s="326"/>
    </row>
    <row r="327" spans="1:37" ht="20.100000000000001" customHeight="1">
      <c r="A327" s="254" t="s">
        <v>2600</v>
      </c>
      <c r="B327" s="116" t="s">
        <v>2612</v>
      </c>
      <c r="C327" s="246">
        <v>1000</v>
      </c>
      <c r="D327" s="116"/>
      <c r="E327" s="116" t="str">
        <v>供应链管理部</v>
      </c>
      <c r="F327" s="116" t="str" cm="1">
        <f t="array" ref="F327">IF(ROW(A11)&gt;8,"",INDEX(B:B,RIGHT(LARGE(IF($A$316:$A$347=$F$315,INT($C$316:$C$347),)*1000+ROW(326:357),ROW(A11)),3)))</f>
        <v/>
      </c>
      <c r="G327" s="116" t="str" cm="1">
        <f t="array" ref="G327">IF(ROW(B11)&gt;8,"",INDEX(C:C,RIGHT(LARGE(IF($A$316:$A$347=$F$315,INT($C$316:$C$347),)*1000+ROW(326:357),ROW(B11)),3)))</f>
        <v/>
      </c>
      <c r="H327" s="326"/>
    </row>
    <row r="328" spans="1:37" ht="20.100000000000001" customHeight="1">
      <c r="A328" s="254" t="s">
        <v>2600</v>
      </c>
      <c r="B328" s="116" t="s">
        <v>2613</v>
      </c>
      <c r="C328" s="246">
        <v>500</v>
      </c>
      <c r="D328" s="116"/>
      <c r="E328" s="116" t="str">
        <v>市场部</v>
      </c>
      <c r="F328" s="116"/>
      <c r="G328" s="116"/>
      <c r="H328" s="326"/>
    </row>
    <row r="329" spans="1:37" ht="20.100000000000001" customHeight="1">
      <c r="A329" s="254" t="s">
        <v>2600</v>
      </c>
      <c r="B329" s="116" t="s">
        <v>2614</v>
      </c>
      <c r="C329" s="246">
        <v>480</v>
      </c>
      <c r="D329" s="116"/>
      <c r="E329" s="116" t="str">
        <v>研发部</v>
      </c>
      <c r="F329" s="116"/>
      <c r="G329" s="116"/>
      <c r="H329" s="326"/>
    </row>
    <row r="330" spans="1:37" ht="20.100000000000001" customHeight="1">
      <c r="A330" s="254" t="s">
        <v>2600</v>
      </c>
      <c r="B330" s="116" t="s">
        <v>2615</v>
      </c>
      <c r="C330" s="246">
        <v>420</v>
      </c>
      <c r="D330" s="116"/>
      <c r="E330" s="116" t="str">
        <v>财经部</v>
      </c>
      <c r="F330" s="116"/>
      <c r="G330" s="116"/>
      <c r="H330" s="326"/>
    </row>
    <row r="331" spans="1:37" ht="14.25">
      <c r="A331" s="254" t="s">
        <v>2600</v>
      </c>
      <c r="B331" s="116" t="s">
        <v>2616</v>
      </c>
      <c r="C331" s="246">
        <v>222</v>
      </c>
      <c r="D331" s="116"/>
      <c r="E331" s="962" t="s">
        <v>269</v>
      </c>
      <c r="F331" s="946" t="s">
        <v>2600</v>
      </c>
      <c r="G331" s="116"/>
      <c r="H331" s="326"/>
    </row>
    <row r="332" spans="1:37" ht="20.100000000000001" customHeight="1">
      <c r="A332" s="254" t="s">
        <v>2600</v>
      </c>
      <c r="B332" s="116" t="s">
        <v>2617</v>
      </c>
      <c r="C332" s="246">
        <v>180</v>
      </c>
      <c r="D332" s="116"/>
      <c r="E332" s="116"/>
      <c r="F332" s="116"/>
      <c r="G332" s="116"/>
      <c r="H332" s="326"/>
    </row>
    <row r="333" spans="1:37" ht="14.25">
      <c r="A333" s="254" t="s">
        <v>2618</v>
      </c>
      <c r="B333" s="116" t="s">
        <v>2619</v>
      </c>
      <c r="C333" s="246">
        <v>1</v>
      </c>
      <c r="D333" s="116"/>
      <c r="E333" s="962" t="s">
        <v>369</v>
      </c>
      <c r="F333" s="946" t="s">
        <v>2512</v>
      </c>
      <c r="G333" s="946"/>
      <c r="H333" s="258"/>
      <c r="I333"/>
      <c r="J333"/>
      <c r="K333"/>
      <c r="L333"/>
      <c r="M333"/>
      <c r="N333"/>
      <c r="O333"/>
      <c r="P333"/>
      <c r="Q333"/>
      <c r="R333"/>
      <c r="S333"/>
      <c r="T333"/>
      <c r="U333"/>
      <c r="V333"/>
      <c r="W333"/>
      <c r="X333"/>
      <c r="Y333"/>
      <c r="Z333"/>
      <c r="AA333"/>
      <c r="AB333"/>
      <c r="AC333"/>
      <c r="AD333"/>
      <c r="AE333"/>
      <c r="AF333"/>
      <c r="AG333"/>
      <c r="AH333"/>
      <c r="AI333"/>
      <c r="AJ333"/>
      <c r="AK333"/>
    </row>
    <row r="334" spans="1:37" ht="14.25">
      <c r="A334" s="254" t="s">
        <v>2618</v>
      </c>
      <c r="B334" s="116" t="s">
        <v>2620</v>
      </c>
      <c r="C334" s="246">
        <v>100</v>
      </c>
      <c r="D334" s="116"/>
      <c r="E334" s="963" t="s">
        <v>2602</v>
      </c>
      <c r="F334" s="964">
        <v>748061.28</v>
      </c>
      <c r="G334" s="946"/>
      <c r="H334" s="258"/>
      <c r="I334"/>
      <c r="J334"/>
      <c r="K334"/>
      <c r="L334"/>
      <c r="M334"/>
      <c r="N334"/>
      <c r="O334"/>
      <c r="P334"/>
      <c r="Q334"/>
      <c r="R334"/>
      <c r="S334"/>
      <c r="T334"/>
      <c r="U334"/>
      <c r="V334"/>
      <c r="W334"/>
      <c r="X334"/>
      <c r="Y334"/>
      <c r="Z334"/>
      <c r="AA334"/>
      <c r="AB334"/>
      <c r="AC334"/>
      <c r="AD334"/>
      <c r="AE334"/>
      <c r="AF334"/>
      <c r="AG334"/>
      <c r="AH334"/>
      <c r="AI334"/>
      <c r="AJ334"/>
      <c r="AK334"/>
    </row>
    <row r="335" spans="1:37" ht="14.25">
      <c r="A335" s="254" t="s">
        <v>2621</v>
      </c>
      <c r="B335" s="116" t="s">
        <v>2622</v>
      </c>
      <c r="C335" s="246">
        <v>1200</v>
      </c>
      <c r="D335" s="116"/>
      <c r="E335" s="963" t="s">
        <v>2603</v>
      </c>
      <c r="F335" s="964">
        <v>200000</v>
      </c>
      <c r="G335" s="946"/>
      <c r="H335" s="326"/>
    </row>
    <row r="336" spans="1:37" ht="14.25">
      <c r="A336" s="254" t="s">
        <v>2621</v>
      </c>
      <c r="B336" s="116" t="s">
        <v>2623</v>
      </c>
      <c r="C336" s="246">
        <v>480000</v>
      </c>
      <c r="D336" s="116"/>
      <c r="E336" s="963" t="s">
        <v>2604</v>
      </c>
      <c r="F336" s="964">
        <v>114111</v>
      </c>
      <c r="G336" s="946"/>
      <c r="H336" s="326"/>
    </row>
    <row r="337" spans="1:8" ht="14.25">
      <c r="A337" s="254" t="s">
        <v>2624</v>
      </c>
      <c r="B337" s="116" t="s">
        <v>2625</v>
      </c>
      <c r="C337" s="246">
        <v>135000</v>
      </c>
      <c r="D337" s="116"/>
      <c r="E337" s="963" t="s">
        <v>2605</v>
      </c>
      <c r="F337" s="964">
        <v>42000</v>
      </c>
      <c r="G337" s="946"/>
      <c r="H337" s="326"/>
    </row>
    <row r="338" spans="1:8" ht="14.25">
      <c r="A338" s="254" t="s">
        <v>2675</v>
      </c>
      <c r="B338" s="116" t="s">
        <v>2627</v>
      </c>
      <c r="C338" s="246">
        <v>198310</v>
      </c>
      <c r="D338" s="116"/>
      <c r="E338" s="963" t="s">
        <v>2606</v>
      </c>
      <c r="F338" s="964">
        <v>30000</v>
      </c>
      <c r="G338" s="946"/>
      <c r="H338" s="326"/>
    </row>
    <row r="339" spans="1:8" ht="14.25">
      <c r="A339" s="254" t="s">
        <v>2626</v>
      </c>
      <c r="B339" s="116" t="s">
        <v>2628</v>
      </c>
      <c r="C339" s="246">
        <v>44100</v>
      </c>
      <c r="D339" s="116"/>
      <c r="E339" s="963" t="s">
        <v>2607</v>
      </c>
      <c r="F339" s="964">
        <v>27000</v>
      </c>
      <c r="G339" s="946"/>
      <c r="H339" s="326"/>
    </row>
    <row r="340" spans="1:8" ht="14.25">
      <c r="A340" s="254" t="s">
        <v>2626</v>
      </c>
      <c r="B340" s="116" t="s">
        <v>2629</v>
      </c>
      <c r="C340" s="246">
        <v>29200</v>
      </c>
      <c r="D340" s="116"/>
      <c r="E340" s="963" t="s">
        <v>2608</v>
      </c>
      <c r="F340" s="964">
        <v>20000</v>
      </c>
      <c r="G340" s="946"/>
      <c r="H340" s="326"/>
    </row>
    <row r="341" spans="1:8" ht="14.25">
      <c r="A341" s="254" t="s">
        <v>2626</v>
      </c>
      <c r="B341" s="116" t="s">
        <v>2630</v>
      </c>
      <c r="C341" s="246">
        <v>18000</v>
      </c>
      <c r="D341" s="116"/>
      <c r="E341" s="963" t="s">
        <v>2609</v>
      </c>
      <c r="F341" s="964">
        <v>20000</v>
      </c>
      <c r="G341" s="946"/>
      <c r="H341" s="326"/>
    </row>
    <row r="342" spans="1:8" ht="14.25">
      <c r="A342" s="254" t="s">
        <v>2626</v>
      </c>
      <c r="B342" s="116" t="s">
        <v>2631</v>
      </c>
      <c r="C342" s="246">
        <v>17000</v>
      </c>
      <c r="D342" s="116"/>
      <c r="E342" s="963" t="s">
        <v>371</v>
      </c>
      <c r="F342" s="964">
        <v>1201172.28</v>
      </c>
      <c r="G342" s="946"/>
      <c r="H342" s="326"/>
    </row>
    <row r="343" spans="1:8" ht="14.25">
      <c r="A343" s="254" t="s">
        <v>2626</v>
      </c>
      <c r="B343" s="116" t="s">
        <v>2632</v>
      </c>
      <c r="C343" s="246">
        <v>16800</v>
      </c>
      <c r="D343" s="116"/>
      <c r="E343" s="946"/>
      <c r="F343" s="946"/>
      <c r="G343" s="946"/>
      <c r="H343" s="326"/>
    </row>
    <row r="344" spans="1:8" ht="14.25">
      <c r="A344" s="254" t="s">
        <v>2626</v>
      </c>
      <c r="B344" s="116" t="s">
        <v>2633</v>
      </c>
      <c r="C344" s="246">
        <v>1260</v>
      </c>
      <c r="D344" s="116"/>
      <c r="E344" s="946"/>
      <c r="F344" s="946"/>
      <c r="G344" s="946"/>
      <c r="H344" s="326"/>
    </row>
    <row r="345" spans="1:8" ht="14.25">
      <c r="A345" s="254" t="s">
        <v>2626</v>
      </c>
      <c r="B345" s="116" t="s">
        <v>2634</v>
      </c>
      <c r="C345" s="246">
        <v>6000</v>
      </c>
      <c r="D345" s="116"/>
      <c r="E345" s="946"/>
      <c r="F345" s="946"/>
      <c r="G345" s="946"/>
      <c r="H345" s="326"/>
    </row>
    <row r="346" spans="1:8" ht="14.25">
      <c r="A346" s="254" t="s">
        <v>2626</v>
      </c>
      <c r="B346" s="116" t="s">
        <v>2635</v>
      </c>
      <c r="C346" s="246">
        <v>2400</v>
      </c>
      <c r="D346" s="116"/>
      <c r="E346" s="946"/>
      <c r="F346" s="946"/>
      <c r="G346" s="946"/>
      <c r="H346" s="326"/>
    </row>
    <row r="347" spans="1:8" ht="14.25">
      <c r="A347" s="524" t="s">
        <v>2626</v>
      </c>
      <c r="B347" s="250" t="s">
        <v>2636</v>
      </c>
      <c r="C347" s="251">
        <v>2000</v>
      </c>
      <c r="D347" s="116"/>
      <c r="E347" s="946"/>
      <c r="F347" s="946"/>
      <c r="G347" s="946"/>
      <c r="H347" s="326"/>
    </row>
    <row r="348" spans="1:8" ht="15" thickBot="1">
      <c r="A348" s="304"/>
      <c r="B348" s="305"/>
      <c r="C348" s="305"/>
      <c r="D348" s="305"/>
      <c r="E348" s="965"/>
      <c r="F348" s="965"/>
      <c r="G348" s="965"/>
      <c r="H348" s="327"/>
    </row>
    <row r="349" spans="1:8" ht="14.25">
      <c r="E349"/>
      <c r="F349"/>
      <c r="G349"/>
    </row>
    <row r="350" spans="1:8" ht="14.25">
      <c r="E350"/>
      <c r="F350"/>
      <c r="G350"/>
    </row>
    <row r="351" spans="1:8" ht="14.25">
      <c r="E351"/>
      <c r="F351"/>
    </row>
    <row r="352" spans="1:8" ht="14.25">
      <c r="E352"/>
      <c r="F352"/>
    </row>
    <row r="353" spans="5:6" ht="14.25">
      <c r="E353"/>
      <c r="F353"/>
    </row>
    <row r="354" spans="5:6" ht="14.25">
      <c r="E354"/>
      <c r="F354"/>
    </row>
    <row r="355" spans="5:6" ht="14.25">
      <c r="E355"/>
      <c r="F355"/>
    </row>
    <row r="356" spans="5:6" ht="14.25">
      <c r="E356"/>
      <c r="F356"/>
    </row>
    <row r="357" spans="5:6" ht="14.25">
      <c r="E357"/>
      <c r="F357"/>
    </row>
    <row r="358" spans="5:6" ht="14.25">
      <c r="E358"/>
      <c r="F358"/>
    </row>
    <row r="359" spans="5:6" ht="14.25">
      <c r="E359"/>
      <c r="F359"/>
    </row>
    <row r="360" spans="5:6" ht="14.25">
      <c r="E360"/>
      <c r="F360"/>
    </row>
    <row r="361" spans="5:6" ht="14.25">
      <c r="E361"/>
      <c r="F361"/>
    </row>
    <row r="362" spans="5:6" ht="14.25">
      <c r="E362"/>
      <c r="F362"/>
    </row>
    <row r="363" spans="5:6" ht="14.25">
      <c r="E363"/>
      <c r="F363"/>
    </row>
    <row r="364" spans="5:6" ht="14.25">
      <c r="E364"/>
      <c r="F364"/>
    </row>
    <row r="365" spans="5:6" ht="14.25">
      <c r="E365"/>
      <c r="F365"/>
    </row>
    <row r="366" spans="5:6" ht="14.25">
      <c r="E366"/>
      <c r="F366"/>
    </row>
  </sheetData>
  <protectedRanges>
    <protectedRange sqref="A172:E193" name="区域1"/>
  </protectedRanges>
  <mergeCells count="8">
    <mergeCell ref="A237:N237"/>
    <mergeCell ref="A275:C275"/>
    <mergeCell ref="F290:G290"/>
    <mergeCell ref="A1:F1"/>
    <mergeCell ref="F104:H104"/>
    <mergeCell ref="A155:L155"/>
    <mergeCell ref="A170:E170"/>
    <mergeCell ref="H170:K170"/>
  </mergeCells>
  <phoneticPr fontId="95" type="noConversion"/>
  <dataValidations count="4">
    <dataValidation type="list" allowBlank="1" showInputMessage="1" showErrorMessage="1" sqref="B14" xr:uid="{00000000-0002-0000-0400-000000000000}">
      <formula1>"P1,P2,P3"</formula1>
    </dataValidation>
    <dataValidation type="list" allowBlank="1" showInputMessage="1" showErrorMessage="1" sqref="A26" xr:uid="{00000000-0002-0000-0400-000001000000}">
      <formula1>"A,B,C"</formula1>
    </dataValidation>
    <dataValidation type="custom" allowBlank="1" showInputMessage="1" showErrorMessage="1" sqref="E326" xr:uid="{645B43A6-C202-4BF3-933E-76D587595D01}">
      <formula1>_xlfn.UNIQUE(A316:A347)</formula1>
    </dataValidation>
    <dataValidation type="list" allowBlank="1" showInputMessage="1" showErrorMessage="1" sqref="F315" xr:uid="{319FCE45-D5E8-4300-BFCD-32538295CFA7}">
      <formula1>$E$326:$E$330</formula1>
    </dataValidation>
  </dataValidations>
  <pageMargins left="0.75" right="0.75" top="1" bottom="1" header="0.5" footer="0.5"/>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allowEditUser xmlns="https://web.wps.cn/et/2018/main" xmlns:s="http://schemas.openxmlformats.org/spreadsheetml/2006/main" hasInvisiblePropRange="0">
  <rangeList sheetStid="2" master=""/>
  <rangeList sheetStid="3" master=""/>
  <rangeList sheetStid="5" master=""/>
  <rangeList sheetStid="1" master="">
    <arrUserId title="区域1" rangeCreator="" othersAccessPermission="edit"/>
  </rangeList>
  <rangeList sheetStid="4" master="">
    <arrUserId title="区域1" rangeCreator="" othersAccessPermission="edit"/>
  </rangeList>
</allowEditUser>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档" ma:contentTypeID="0x0101007E80EB796B285F4F98587B7BB0752C39" ma:contentTypeVersion="2" ma:contentTypeDescription="新建文档。" ma:contentTypeScope="" ma:versionID="4a063615df4e17685d38ec7ffead6a0f">
  <xsd:schema xmlns:xsd="http://www.w3.org/2001/XMLSchema" xmlns:xs="http://www.w3.org/2001/XMLSchema" xmlns:p="http://schemas.microsoft.com/office/2006/metadata/properties" xmlns:ns3="57e9349e-9b93-48ae-9ee2-00ea03dde645" targetNamespace="http://schemas.microsoft.com/office/2006/metadata/properties" ma:root="true" ma:fieldsID="de39c9f1aabe91f29de9d4a2028c042e" ns3:_="">
    <xsd:import namespace="57e9349e-9b93-48ae-9ee2-00ea03dde64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e9349e-9b93-48ae-9ee2-00ea03dde6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9DFC96A3-F64E-4618-A783-8ACD04793D02}">
  <ds:schemaRefs/>
</ds:datastoreItem>
</file>

<file path=customXml/itemProps3.xml><?xml version="1.0" encoding="utf-8"?>
<ds:datastoreItem xmlns:ds="http://schemas.openxmlformats.org/officeDocument/2006/customXml" ds:itemID="{5687A59A-6215-4F1F-85BB-CA5FF0C6FEA5}">
  <ds:schemaRefs/>
</ds:datastoreItem>
</file>

<file path=customXml/itemProps4.xml><?xml version="1.0" encoding="utf-8"?>
<ds:datastoreItem xmlns:ds="http://schemas.openxmlformats.org/officeDocument/2006/customXml" ds:itemID="{C54B906B-A804-4CAD-AF1F-5BACD923BF60}">
  <ds:schemaRefs>
    <ds:schemaRef ds:uri="57e9349e-9b93-48ae-9ee2-00ea03dde645"/>
    <ds:schemaRef ds:uri="http://purl.org/dc/terms/"/>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80</vt:i4>
      </vt:variant>
    </vt:vector>
  </HeadingPairs>
  <TitlesOfParts>
    <vt:vector size="86" baseType="lpstr">
      <vt:lpstr>函数讲义</vt:lpstr>
      <vt:lpstr>函数集合</vt:lpstr>
      <vt:lpstr>函数单独用法</vt:lpstr>
      <vt:lpstr>实例</vt:lpstr>
      <vt:lpstr>疑难杂症1</vt:lpstr>
      <vt:lpstr>函数练习</vt:lpstr>
      <vt:lpstr>abs</vt:lpstr>
      <vt:lpstr>AND</vt:lpstr>
      <vt:lpstr>AVERAGE</vt:lpstr>
      <vt:lpstr>CHOOSE</vt:lpstr>
      <vt:lpstr>COLUMN</vt:lpstr>
      <vt:lpstr>COUNT</vt:lpstr>
      <vt:lpstr>COUNTA</vt:lpstr>
      <vt:lpstr>countif</vt:lpstr>
      <vt:lpstr>COUNTIFS</vt:lpstr>
      <vt:lpstr>DATE</vt:lpstr>
      <vt:lpstr>DATEDIF</vt:lpstr>
      <vt:lpstr>DAY</vt:lpstr>
      <vt:lpstr>FALSE_</vt:lpstr>
      <vt:lpstr>FILTER</vt:lpstr>
      <vt:lpstr>FIND</vt:lpstr>
      <vt:lpstr>FREQUENCY</vt:lpstr>
      <vt:lpstr>HOUR</vt:lpstr>
      <vt:lpstr>HYPERLINK</vt:lpstr>
      <vt:lpstr>if</vt:lpstr>
      <vt:lpstr>IFERROR</vt:lpstr>
      <vt:lpstr>IFS</vt:lpstr>
      <vt:lpstr>index</vt:lpstr>
      <vt:lpstr>INDIRECT</vt:lpstr>
      <vt:lpstr>int</vt:lpstr>
      <vt:lpstr>ISERROR</vt:lpstr>
      <vt:lpstr>ISEVEN</vt:lpstr>
      <vt:lpstr>ISODD</vt:lpstr>
      <vt:lpstr>LARGE</vt:lpstr>
      <vt:lpstr>LEFT</vt:lpstr>
      <vt:lpstr>len</vt:lpstr>
      <vt:lpstr>LOOKUP</vt:lpstr>
      <vt:lpstr>match</vt:lpstr>
      <vt:lpstr>MAX</vt:lpstr>
      <vt:lpstr>MID</vt:lpstr>
      <vt:lpstr>MIN</vt:lpstr>
      <vt:lpstr>MINUTE</vt:lpstr>
      <vt:lpstr>MONTH</vt:lpstr>
      <vt:lpstr>N</vt:lpstr>
      <vt:lpstr>NETWORKDAYS</vt:lpstr>
      <vt:lpstr>NOT</vt:lpstr>
      <vt:lpstr>NOW</vt:lpstr>
      <vt:lpstr>OFFSET</vt:lpstr>
      <vt:lpstr>OR</vt:lpstr>
      <vt:lpstr>RANDBETWEEN</vt:lpstr>
      <vt:lpstr>RANK.EQ</vt:lpstr>
      <vt:lpstr>REPLACE</vt:lpstr>
      <vt:lpstr>RIGHT</vt:lpstr>
      <vt:lpstr>round</vt:lpstr>
      <vt:lpstr>ROUNDUP</vt:lpstr>
      <vt:lpstr>ROW</vt:lpstr>
      <vt:lpstr>SEARCH</vt:lpstr>
      <vt:lpstr>SECOND</vt:lpstr>
      <vt:lpstr>SEQUENCE</vt:lpstr>
      <vt:lpstr>SMALL</vt:lpstr>
      <vt:lpstr>SORTBY</vt:lpstr>
      <vt:lpstr>SQRT</vt:lpstr>
      <vt:lpstr>SUBSTITUTE</vt:lpstr>
      <vt:lpstr>SUM</vt:lpstr>
      <vt:lpstr>sumif</vt:lpstr>
      <vt:lpstr>SUMIFS</vt:lpstr>
      <vt:lpstr>SUMPRODUCT</vt:lpstr>
      <vt:lpstr>TEXT</vt:lpstr>
      <vt:lpstr>TEXTJOIN</vt:lpstr>
      <vt:lpstr>TODAY</vt:lpstr>
      <vt:lpstr>TRUE_</vt:lpstr>
      <vt:lpstr>UNIQUE</vt:lpstr>
      <vt:lpstr>VALUE</vt:lpstr>
      <vt:lpstr>VLOOKUP</vt:lpstr>
      <vt:lpstr>XLOOKUP</vt:lpstr>
      <vt:lpstr>YEAR</vt:lpstr>
      <vt:lpstr>广东省</vt:lpstr>
      <vt:lpstr>江苏省</vt:lpstr>
      <vt:lpstr>讲_INDIRECT</vt:lpstr>
      <vt:lpstr>例_CHOOSE</vt:lpstr>
      <vt:lpstr>例_filter</vt:lpstr>
      <vt:lpstr>例_FREQUENCY</vt:lpstr>
      <vt:lpstr>例_SUBSTITUTE</vt:lpstr>
      <vt:lpstr>例_textjoin</vt:lpstr>
      <vt:lpstr>例_UNIQUE</vt:lpstr>
      <vt:lpstr>四川省</vt:lpstr>
    </vt:vector>
  </TitlesOfParts>
  <Manager>丁金枫</Manager>
  <Company>个人</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Excel_训练笔记</dc:title>
  <dc:subject>简洁</dc:subject>
  <dc:creator>丁金枫</dc:creator>
  <cp:keywords>笔记</cp:keywords>
  <dc:description>学习</dc:description>
  <cp:lastModifiedBy>丁金枫</cp:lastModifiedBy>
  <dcterms:created xsi:type="dcterms:W3CDTF">2022-03-02T06:11:00Z</dcterms:created>
  <dcterms:modified xsi:type="dcterms:W3CDTF">2022-12-28T15:02:32Z</dcterms:modified>
  <cp:category>学习</cp:category>
  <cp:contentStatus>更新中</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CDCE78A4FF6D44BA8C0C0676D9F0EB82</vt:lpwstr>
  </property>
  <property fmtid="{D5CDD505-2E9C-101B-9397-08002B2CF9AE}" pid="3" name="KSOProductBuildVer">
    <vt:lpwstr>2052-11.1.0.12598</vt:lpwstr>
  </property>
  <property fmtid="{D5CDD505-2E9C-101B-9397-08002B2CF9AE}" pid="4" name="ContentTypeId">
    <vt:lpwstr>0x0101007E80EB796B285F4F98587B7BB0752C39</vt:lpwstr>
  </property>
</Properties>
</file>