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efaultThemeVersion="124226"/>
  <mc:AlternateContent xmlns:mc="http://schemas.openxmlformats.org/markup-compatibility/2006">
    <mc:Choice Requires="x15">
      <x15ac:absPath xmlns:x15ac="http://schemas.microsoft.com/office/spreadsheetml/2010/11/ac" url="https://slaskie365-my.sharepoint.com/personal/stect_slaskie_pl/Documents/Ocena WND RPO WSL/9.2.5 (03.2020)/Oceny/015D/"/>
    </mc:Choice>
  </mc:AlternateContent>
  <xr:revisionPtr revIDLastSave="353" documentId="13_ncr:1_{EB5D6557-0ECC-4153-8186-2942470C362B}" xr6:coauthVersionLast="45" xr6:coauthVersionMax="45" xr10:uidLastSave="{2127F8AD-06A0-47C5-BB19-C7C003C8706A}"/>
  <bookViews>
    <workbookView xWindow="-67320" yWindow="1785" windowWidth="29040" windowHeight="15840" tabRatio="511" xr2:uid="{00000000-000D-0000-FFFF-FFFF00000000}"/>
  </bookViews>
  <sheets>
    <sheet name="budżet" sheetId="1" r:id="rId1"/>
    <sheet name="wskaźniki" sheetId="6" r:id="rId2"/>
    <sheet name="Arkusz1" sheetId="7" r:id="rId3"/>
  </sheets>
  <definedNames>
    <definedName name="_xlnm._FilterDatabase" localSheetId="1" hidden="1">wskaźniki!$A$21:$E$100</definedName>
    <definedName name="_xlnm.Print_Area" localSheetId="0">budżet!$A$1:$T$26</definedName>
    <definedName name="_xlnm.Print_Area" localSheetId="1">wskaźniki!$A$1:$I$38</definedName>
    <definedName name="wskaźniki" localSheetId="1">wskaźniki!$B$12:$B$20</definedName>
    <definedName name="wskaźniki">#REF!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 i="1" l="1"/>
  <c r="K3" i="1"/>
  <c r="K4" i="1"/>
  <c r="K5" i="1"/>
  <c r="K6" i="1"/>
  <c r="K7" i="1"/>
  <c r="K8" i="1"/>
  <c r="K9" i="1"/>
  <c r="K10" i="1"/>
  <c r="K11" i="1"/>
  <c r="K12" i="1"/>
  <c r="K13" i="1"/>
  <c r="K14" i="1"/>
  <c r="E25" i="6" l="1"/>
  <c r="N2" i="1" l="1"/>
  <c r="N3" i="1"/>
  <c r="N4" i="1"/>
  <c r="N5" i="1"/>
  <c r="N6" i="1"/>
  <c r="N7" i="1"/>
  <c r="N8" i="1"/>
  <c r="N9" i="1"/>
  <c r="N10" i="1"/>
  <c r="N11" i="1"/>
  <c r="N12" i="1"/>
  <c r="N13" i="1"/>
  <c r="N14" i="1"/>
  <c r="Q2" i="1"/>
  <c r="Q3" i="1"/>
  <c r="Q4" i="1"/>
  <c r="Q5" i="1"/>
  <c r="Q6" i="1"/>
  <c r="Q7" i="1"/>
  <c r="Q8" i="1"/>
  <c r="Q9" i="1"/>
  <c r="Q10" i="1"/>
  <c r="Q11" i="1"/>
  <c r="Q12" i="1"/>
  <c r="Q13" i="1"/>
  <c r="Q14" i="1"/>
  <c r="R2" i="1"/>
  <c r="R3" i="1"/>
  <c r="R4" i="1"/>
  <c r="R5" i="1"/>
  <c r="R6" i="1"/>
  <c r="R7" i="1"/>
  <c r="R8" i="1"/>
  <c r="R9" i="1"/>
  <c r="R10" i="1"/>
  <c r="R11" i="1"/>
  <c r="R12" i="1"/>
  <c r="R13" i="1"/>
  <c r="R14" i="1"/>
  <c r="T2" i="1"/>
  <c r="T3" i="1"/>
  <c r="T4" i="1"/>
  <c r="T5" i="1"/>
  <c r="T6" i="1"/>
  <c r="T7" i="1"/>
  <c r="T8" i="1"/>
  <c r="T9" i="1"/>
  <c r="T10" i="1"/>
  <c r="T11" i="1"/>
  <c r="T12" i="1"/>
  <c r="T13" i="1"/>
  <c r="T14" i="1"/>
  <c r="F9" i="7" l="1"/>
  <c r="F3" i="7"/>
  <c r="F4" i="7"/>
  <c r="F5" i="7"/>
  <c r="F6" i="7"/>
  <c r="F7" i="7"/>
  <c r="F8" i="7"/>
  <c r="F2" i="7"/>
  <c r="D27" i="6" l="1"/>
  <c r="E27" i="6"/>
  <c r="D28" i="6"/>
  <c r="E28" i="6"/>
  <c r="D29" i="6"/>
  <c r="E29" i="6"/>
  <c r="D30" i="6"/>
  <c r="E30" i="6"/>
  <c r="D31" i="6"/>
  <c r="E31" i="6"/>
  <c r="D32" i="6"/>
  <c r="E32" i="6"/>
  <c r="D33" i="6"/>
  <c r="E33" i="6"/>
  <c r="D34" i="6"/>
  <c r="E34" i="6"/>
  <c r="E26" i="6"/>
  <c r="D26" i="6"/>
  <c r="D25" i="6"/>
  <c r="D20" i="6"/>
  <c r="D19" i="6"/>
  <c r="D18" i="6"/>
  <c r="R21" i="1" l="1"/>
  <c r="R22" i="1" s="1"/>
  <c r="C8" i="6" l="1"/>
  <c r="D12" i="6"/>
  <c r="D13" i="6"/>
  <c r="D14" i="6"/>
  <c r="D15" i="6"/>
  <c r="D16" i="6"/>
  <c r="D17" i="6"/>
  <c r="D22" i="6"/>
  <c r="E22" i="6"/>
  <c r="D23" i="6"/>
  <c r="E23" i="6"/>
  <c r="D24" i="6"/>
  <c r="E24" i="6"/>
  <c r="D35" i="6"/>
  <c r="E35" i="6"/>
  <c r="D36" i="6"/>
  <c r="E36" i="6"/>
  <c r="D37" i="6"/>
  <c r="E37" i="6"/>
  <c r="D38" i="6"/>
  <c r="E38" i="6"/>
  <c r="D39" i="6"/>
  <c r="E39" i="6"/>
  <c r="D40" i="6"/>
  <c r="E40" i="6"/>
  <c r="D41" i="6"/>
  <c r="E41" i="6"/>
  <c r="D42" i="6"/>
  <c r="E42" i="6"/>
  <c r="D43" i="6"/>
  <c r="E43" i="6"/>
  <c r="D44" i="6"/>
  <c r="E44" i="6"/>
  <c r="D45" i="6"/>
  <c r="E45" i="6"/>
  <c r="D46" i="6"/>
  <c r="E46" i="6"/>
  <c r="D47" i="6"/>
  <c r="E47" i="6"/>
  <c r="D48" i="6"/>
  <c r="E48" i="6"/>
  <c r="D49" i="6"/>
  <c r="E49" i="6"/>
  <c r="D50" i="6"/>
  <c r="E50" i="6"/>
  <c r="D51" i="6"/>
  <c r="E51" i="6"/>
  <c r="D52" i="6"/>
  <c r="E52" i="6"/>
  <c r="D53" i="6"/>
  <c r="E53" i="6"/>
  <c r="D54" i="6"/>
  <c r="E54" i="6"/>
  <c r="D55" i="6"/>
  <c r="E55" i="6"/>
  <c r="D56" i="6"/>
  <c r="E56" i="6"/>
  <c r="D57" i="6"/>
  <c r="E57" i="6"/>
  <c r="D58" i="6"/>
  <c r="E58" i="6"/>
  <c r="D59" i="6"/>
  <c r="E59" i="6"/>
  <c r="D60" i="6"/>
  <c r="E60" i="6"/>
  <c r="D61" i="6"/>
  <c r="E61" i="6"/>
  <c r="D62" i="6"/>
  <c r="E62" i="6"/>
  <c r="D63" i="6"/>
  <c r="E63" i="6"/>
  <c r="D64" i="6"/>
  <c r="E64" i="6"/>
  <c r="D65" i="6"/>
  <c r="E65" i="6"/>
  <c r="D66" i="6"/>
  <c r="E66" i="6"/>
  <c r="D67" i="6"/>
  <c r="E67" i="6"/>
  <c r="D68" i="6"/>
  <c r="E68" i="6"/>
  <c r="D69" i="6"/>
  <c r="E69" i="6"/>
  <c r="D70" i="6"/>
  <c r="E70" i="6"/>
  <c r="D71" i="6"/>
  <c r="E71" i="6"/>
  <c r="D72" i="6"/>
  <c r="E72" i="6"/>
  <c r="D73" i="6"/>
  <c r="E73" i="6"/>
  <c r="D74" i="6"/>
  <c r="E74" i="6"/>
  <c r="D75" i="6"/>
  <c r="E75" i="6"/>
  <c r="D76" i="6"/>
  <c r="E76" i="6"/>
  <c r="D77" i="6"/>
  <c r="E77" i="6"/>
  <c r="D78" i="6"/>
  <c r="E78" i="6"/>
  <c r="D79" i="6"/>
  <c r="E79" i="6"/>
  <c r="D80" i="6"/>
  <c r="E80" i="6"/>
  <c r="D81" i="6"/>
  <c r="E81" i="6"/>
  <c r="D82" i="6"/>
  <c r="E82" i="6"/>
  <c r="D83" i="6"/>
  <c r="E83" i="6"/>
  <c r="D84" i="6"/>
  <c r="E84" i="6"/>
  <c r="D85" i="6"/>
  <c r="E85" i="6"/>
  <c r="D86" i="6"/>
  <c r="E86" i="6"/>
  <c r="D87" i="6"/>
  <c r="E87" i="6"/>
  <c r="D88" i="6"/>
  <c r="E88" i="6"/>
  <c r="D89" i="6"/>
  <c r="E89" i="6"/>
  <c r="D90" i="6"/>
  <c r="E90" i="6"/>
  <c r="D91" i="6"/>
  <c r="E91" i="6"/>
  <c r="D92" i="6"/>
  <c r="E92" i="6"/>
  <c r="D93" i="6"/>
  <c r="E93" i="6"/>
  <c r="D94" i="6"/>
  <c r="E94" i="6"/>
  <c r="D95" i="6"/>
  <c r="E95" i="6"/>
  <c r="D96" i="6"/>
  <c r="E96" i="6"/>
  <c r="D97" i="6"/>
  <c r="E97" i="6"/>
  <c r="D98" i="6"/>
  <c r="E98" i="6"/>
  <c r="D99" i="6"/>
  <c r="E99" i="6"/>
  <c r="D100" i="6"/>
  <c r="E100" i="6"/>
  <c r="G15" i="1" l="1"/>
  <c r="D3" i="6" s="1"/>
  <c r="F15" i="1" l="1"/>
  <c r="D4" i="6" s="1"/>
  <c r="H20" i="6" s="1"/>
  <c r="G20" i="6" s="1"/>
  <c r="H13" i="6" l="1"/>
  <c r="G13" i="6" s="1"/>
  <c r="H15" i="6"/>
  <c r="G15" i="6" s="1"/>
  <c r="H17" i="6"/>
  <c r="G17" i="6" s="1"/>
  <c r="H19" i="6"/>
  <c r="G19" i="6" s="1"/>
  <c r="H12" i="6"/>
  <c r="G12" i="6" s="1"/>
  <c r="H14" i="6"/>
  <c r="G14" i="6" s="1"/>
  <c r="H16" i="6"/>
  <c r="G16" i="6" s="1"/>
  <c r="H18" i="6"/>
  <c r="G18" i="6" s="1"/>
  <c r="L15" i="1" l="1"/>
  <c r="K17" i="1" l="1"/>
  <c r="N17" i="1" l="1"/>
  <c r="B29" i="1" s="1"/>
  <c r="G18" i="1"/>
  <c r="G19" i="1"/>
  <c r="K19" i="1"/>
  <c r="N19" i="1"/>
  <c r="G20" i="1"/>
  <c r="H20" i="1"/>
  <c r="G21" i="1"/>
  <c r="H21" i="1"/>
  <c r="K21" i="1"/>
  <c r="N21" i="1"/>
  <c r="G22" i="1"/>
  <c r="H22" i="1"/>
  <c r="N22" i="1"/>
  <c r="K22" i="1" l="1"/>
  <c r="K23" i="1" s="1"/>
  <c r="N23" i="1"/>
  <c r="G23" i="1"/>
  <c r="C29" i="1"/>
  <c r="F29" i="1" s="1"/>
  <c r="G29" i="1" s="1"/>
  <c r="H19" i="1"/>
  <c r="H18" i="1" l="1"/>
  <c r="H23" i="1" s="1"/>
  <c r="H29" i="1"/>
  <c r="D29" i="1"/>
  <c r="E29" i="1" s="1"/>
  <c r="D17" i="1" l="1"/>
  <c r="J27" i="1" l="1"/>
  <c r="K27" i="1" s="1"/>
  <c r="J28" i="1" s="1"/>
  <c r="E21" i="1" s="1"/>
  <c r="D18" i="1"/>
  <c r="D21" i="1" l="1"/>
  <c r="K20" i="1"/>
  <c r="N18" i="1"/>
  <c r="K24" i="1"/>
  <c r="N20" i="1"/>
  <c r="D22" i="1"/>
  <c r="D20" i="1"/>
  <c r="K18" i="1"/>
  <c r="B27" i="1"/>
  <c r="C27" i="1" s="1"/>
  <c r="D19" i="1" l="1"/>
  <c r="C30" i="1"/>
  <c r="F27" i="1"/>
  <c r="D23" i="1"/>
  <c r="B30" i="1"/>
  <c r="H27" i="1"/>
  <c r="H30" i="1" s="1"/>
  <c r="D27" i="1" l="1"/>
  <c r="D30" i="1" l="1"/>
  <c r="E27" i="1"/>
  <c r="G27" i="1"/>
  <c r="F3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tc={DDDE8270-0C5C-4FA7-86B1-0E0A81465872}</author>
  </authors>
  <commentList>
    <comment ref="B23" authorId="0" shapeId="0" xr:uid="{DDDE8270-0C5C-4FA7-86B1-0E0A81465872}">
      <text>
        <t>[Komentarz podzielony na wątki]
Używana wersja programu Excel umożliwia odczytanie tego komentarza podzielonego na wątki, jednak wszelkie wprowadzone w nim zmiany zostaną usunięte po otwarciu pliku w nowszej wersji programu Excel. Dowiedz się więcej: https://go.microsoft.com/fwlink/?linkid=870924
Komentarz:
    zwolnienie o ile wykazał iż mają taki status przy rozpoczęciu</t>
      </text>
    </comment>
  </commentList>
</comments>
</file>

<file path=xl/sharedStrings.xml><?xml version="1.0" encoding="utf-8"?>
<sst xmlns="http://schemas.openxmlformats.org/spreadsheetml/2006/main" count="174" uniqueCount="136">
  <si>
    <t>od</t>
  </si>
  <si>
    <t>do</t>
  </si>
  <si>
    <t>dofinansowanie</t>
  </si>
  <si>
    <t>nazwa zadania</t>
  </si>
  <si>
    <t>nr Zadania</t>
  </si>
  <si>
    <t>czas godzin</t>
  </si>
  <si>
    <t>koszty pośrednie</t>
  </si>
  <si>
    <t>wartość projektu</t>
  </si>
  <si>
    <t>wkład własny</t>
  </si>
  <si>
    <t>BP</t>
  </si>
  <si>
    <t>KŚP</t>
  </si>
  <si>
    <t>za osobę za dzień</t>
  </si>
  <si>
    <t>za godzinę</t>
  </si>
  <si>
    <t>za godzinę za osobę</t>
  </si>
  <si>
    <t>Środek trwały</t>
  </si>
  <si>
    <t>wartość</t>
  </si>
  <si>
    <t>uwagi</t>
  </si>
  <si>
    <t>kwalifikowalbność/racjonalność/efektywność</t>
  </si>
  <si>
    <t>pozycja lp</t>
  </si>
  <si>
    <t>obligatoryjny</t>
  </si>
  <si>
    <t>rodzaj</t>
  </si>
  <si>
    <t>typ</t>
  </si>
  <si>
    <t>nr zadania</t>
  </si>
  <si>
    <t>LP</t>
  </si>
  <si>
    <t>wartość pod zadaniem</t>
  </si>
  <si>
    <t>wskaźniki dla konkursu</t>
  </si>
  <si>
    <t>suma z zadań</t>
  </si>
  <si>
    <t>różnica</t>
  </si>
  <si>
    <t>grupa docelowa</t>
  </si>
  <si>
    <t>warość oczekiwana</t>
  </si>
  <si>
    <t>ilość</t>
  </si>
  <si>
    <t>razem</t>
  </si>
  <si>
    <t>Poziom wskaźnika konkursowego</t>
  </si>
  <si>
    <t>pomoc de minimis</t>
  </si>
  <si>
    <t>Pomoc de minimis</t>
  </si>
  <si>
    <t>Cross-financing</t>
  </si>
  <si>
    <t>Cross - financing</t>
  </si>
  <si>
    <t>dofinansowanie EFS</t>
  </si>
  <si>
    <t>podsumowanie zadań</t>
  </si>
  <si>
    <t>wydatki kwalifikowalne</t>
  </si>
  <si>
    <t>Dofinansowanie</t>
  </si>
  <si>
    <t>suma</t>
  </si>
  <si>
    <t>czas trwania</t>
  </si>
  <si>
    <t>sztuk/godzin</t>
  </si>
  <si>
    <t>Koszty pośrednie</t>
  </si>
  <si>
    <t>wydatki kwalifikowane</t>
  </si>
  <si>
    <t>Usługa zlecona</t>
  </si>
  <si>
    <t>cross będący trwałym</t>
  </si>
  <si>
    <t>suma cross + trwały</t>
  </si>
  <si>
    <t>limit (20%)</t>
  </si>
  <si>
    <t>Usługi zlecone</t>
  </si>
  <si>
    <t>Wkład własny</t>
  </si>
  <si>
    <t>Występowanie pomocy publicznej</t>
  </si>
  <si>
    <t>B. Pomoc publiczna (razem)</t>
  </si>
  <si>
    <t>C. Pomoc de minimis</t>
  </si>
  <si>
    <t>Łącznie (A+B+C)</t>
  </si>
  <si>
    <t>Wydatki ogółem</t>
  </si>
  <si>
    <t>Wydatki kwalifikowalne</t>
  </si>
  <si>
    <t>Procent dofinansowania</t>
  </si>
  <si>
    <t>Wkład UE</t>
  </si>
  <si>
    <t>Procent dofinansowania UE</t>
  </si>
  <si>
    <t>A. Bez pomocy publicznej</t>
  </si>
  <si>
    <t>D.1 Montaż finansowy i budżet projektu</t>
  </si>
  <si>
    <t>produktu</t>
  </si>
  <si>
    <t>środki trwałe nie bedace crossem</t>
  </si>
  <si>
    <t>Kolumna1</t>
  </si>
  <si>
    <t>Kolumna2</t>
  </si>
  <si>
    <t>Sygnatura</t>
  </si>
  <si>
    <t>Nazwa wydatku</t>
  </si>
  <si>
    <t>O soby wykluczone lub zagrożone ubóstwem lub wykluczeniem społecznym oraz ich otoczenie</t>
  </si>
  <si>
    <t>szt. ]</t>
  </si>
  <si>
    <t>wartość dofinansowania</t>
  </si>
  <si>
    <t>wrtość konkursu</t>
  </si>
  <si>
    <t>współczynnik</t>
  </si>
  <si>
    <t>kontekstowy</t>
  </si>
  <si>
    <t>`</t>
  </si>
  <si>
    <t>Liczba wspartych w programie miejsc świadczenia usług społecznych istniejących po zakończeniu projektu</t>
  </si>
  <si>
    <t>Liczba osób zagrożonych ubóstwem lub wykluczeniem społecznym, które opuściły opiekę instytucjonalną na rzecz usług społecznych świadczonych w społeczności lokalnej w programie</t>
  </si>
  <si>
    <t>Liczba utworzonych w programie miejsc świadczenia usług asystenckich i opiekuńczych istniejących po zakończeniu projektu [szt.]</t>
  </si>
  <si>
    <t>Liczba osób zagrożonych ubóstwem lub wykluczeniem społecznym objętych usługami w postaci mieszkań chronionych i wspomaganych w programie [osoby]</t>
  </si>
  <si>
    <t>Liczba osób zagrożonych ubóstwem lub wykluczeniem społecznym objętych usługami wspierania rodziny i pieczy zastępczej w programie [osoby]</t>
  </si>
  <si>
    <t>Liczba utworzonych w programie miejsc świadczenia usług w mieszkaniach wspomaganych i chronionych istniejących po zakończeniu projektu [szt.]</t>
  </si>
  <si>
    <t>Liczba utworzonych w programie miejsc świadczenia usług wspierania rodziny i pieczy zastępczej istniejących po zakończeniu projektu [szt.]</t>
  </si>
  <si>
    <t>1,2,3,5</t>
  </si>
  <si>
    <t>typ projektu</t>
  </si>
  <si>
    <t>Liczba osób zagrożonych ubóstwem lub wykluczeniem społecznym objętych usługami społecznymi świadczonymi w interesie ogólnym w programie</t>
  </si>
  <si>
    <t>Liczba osób zagrożonych ubóstwem lub wykluczeniem społecznym objętych usługami asystenckimi i opiekuńczymi świadczonymi w społeczności lokalnej w programie [osoby] -planowany do osiągnięcia w ramach konkursu</t>
  </si>
  <si>
    <t>WYD011</t>
  </si>
  <si>
    <t>WYD012</t>
  </si>
  <si>
    <t>WYD006</t>
  </si>
  <si>
    <t>WYD007</t>
  </si>
  <si>
    <t>WYD008</t>
  </si>
  <si>
    <t>WYD013</t>
  </si>
  <si>
    <t>WYD015</t>
  </si>
  <si>
    <t>WYD016</t>
  </si>
  <si>
    <t>WYD017</t>
  </si>
  <si>
    <t>WYD019</t>
  </si>
  <si>
    <t>2 sofy z funkcją spania - 2 x 1500zł = 3000zł</t>
  </si>
  <si>
    <t>3 komplety pościeli - 3 x 60zł = 180zł</t>
  </si>
  <si>
    <t>2 koce - 2 x 40zł = 80zł</t>
  </si>
  <si>
    <t>1 szafy ubraniowe = 560zł</t>
  </si>
  <si>
    <t>1 stoliki = 300zł</t>
  </si>
  <si>
    <t>2 krzesła = 2 x 120zł = 220zł</t>
  </si>
  <si>
    <t>1 lampki stojące = 40zł</t>
  </si>
  <si>
    <t>RAZEM: 4400zł x 2 pokoje</t>
  </si>
  <si>
    <t>Kompleksowe wsparcie rodziców przeżywających trudności w wypełnianiu funkcji opiekuńczo-wychowawczej dla 22K, 9M</t>
  </si>
  <si>
    <t>Koszt psychologa prowadzącego grupę samopomocy (umowa zlecenie)</t>
  </si>
  <si>
    <t>Coaching rodzicielski grupowy - koszt osoby prowadzącej (umowa zlecenie)</t>
  </si>
  <si>
    <t>Coaching indywidualny - koszt osoby prowadzącej (umowa zlecenie)</t>
  </si>
  <si>
    <t xml:space="preserve">Koszt udostępnienia pomieszczeń </t>
  </si>
  <si>
    <t>Praca profilaktyczno-wychowawcza z dzieckiem w środowisku otwartym dla 24 dz, 20 chł.</t>
  </si>
  <si>
    <t>Koszt konsultacji specjalistycznych (umowa zlecenie)</t>
  </si>
  <si>
    <t>Koszt zajęć profilaktycznych (umowa zlecenie)</t>
  </si>
  <si>
    <t>Koszt udostępnienia pomieszczeń</t>
  </si>
  <si>
    <t>WYD118</t>
  </si>
  <si>
    <t>Koszt wyposażenia pomieszczeń Punktu Wspierania Rodziny w meble i pomoce dydaktyczne</t>
  </si>
  <si>
    <t>Koszt przeprowadzenia poradnictwa prawnego, w szczególności rodzinnego (umowa zlecenie)</t>
  </si>
  <si>
    <t>Koszt przeprowadzenia mediacji rodzinnych (umowa zlecenie)</t>
  </si>
  <si>
    <t>WYD018</t>
  </si>
  <si>
    <t xml:space="preserve">Koszt udostępnienia pomieszczeń - wkład własny </t>
  </si>
  <si>
    <t>Koszt przeprowadzenia zajęć z arteterapii (umowa zlecenie)</t>
  </si>
  <si>
    <t>Koszt udostępnienia pomieszczeń - wkład własny</t>
  </si>
  <si>
    <t xml:space="preserve">  </t>
  </si>
  <si>
    <t xml:space="preserve">W ramach działania planowane jest prowadzenie grupy rodziców, celem wsparcia funkcjonowania całej rodziny, podniesienie umiejętności psychospołecznych, podniesienie motywacji, samooceny, a także wzbudzenia w jej uczestnikach motywacji do podejmowania celowej, świadomej aktywności w życiu społecznym. W trakcie spotkań będą podejmowane w szczególności tematy: planowania przyszłości, radzenia sobie w sytuacjach konfliktu między rodzicami, opiekunami a dziećmi, analiza relacji dorosły - dziecko, edukacja w kierunku zaspokajania potrzeb rozwojowych i emocjonalnych członków rodziny, uwalnianie dzieci od grania ról, wzmacnianie poczucia własnej wartości. Zadaniem grupy będzie zainicjowanie postawy współpracy, wsparcia i otwartości wobec siebie samego i wobec drugiego człowieka. Grupa będzie działała od miesiąca stycznia 2021 roku do miesiąca grudnia 2022 roku.
METODOLOGIA WYLICZENIA KOSZTU:
1x mies x 2 h x 3 gr. po ok. 10 os.=144h.
Każdy specjalista zaangażowany w zadanie będzie posiadać wykształcenie kierunkowe w danej dziedzinie lub legitymować się minimum 2 –letnim doświadczeniem zawodowym w danej branży. Koszt zgodny z taryfikatorem będącym załącznikiem do niniejszego konkursu. </t>
  </si>
  <si>
    <t xml:space="preserve">W ramach działania grupa pracuje z trenerem celem wzbogacenia umiejętności w relacjach z bliskimi. Proces ten łączy pogłębianie uczenia się ze stymulowaniem do podejmowania działań. Zmiana zachodzi m.in. poprzez zachęcanie do podejmowania decyzji, zobowiązań, tworzenie planów działania, realizowanie zadań rozbijających schematy. Działanie będzie realizowane od stycznia 2021 do grudnia  2022 roku, raz w miesiącu po 2 godziny dla 3 grup. 
METODOLOGIA WYLICZENIA KOSZTU:
1x mies x 2 h x 3 gr. po ok. 10 os.=144h.
Każdy specjalista zaangażowany w zadanie będzie posiadać wykształcenie kierunkowe w danej dziedzinie lub legitymować się minimum 2 –letnim doświadczeniem zawodowym w danej branży. Koszt zgodny z taryfikatorem będącym załącznikiem do niniejszego konkursu.
</t>
  </si>
  <si>
    <t xml:space="preserve">W ramach działania rodzic pomaga samemu sobie, sam wypracowuje rozwiązania swoich problemów przy pomocy trenera. Coaching ma na celu wspieranie rodzica w osiąganiu
stawianych przez nich celów, wspiera zdobywanie nowych umiejętności, pomaga w odkrywaniu wspierających wartości i przekraczaniu ograniczających przekonań, radzeniu sobie
ze stresem oraz rozwijaniu kreatywności. Prowadzone zajęcia będą przez osiem miesięcy raz w miesiącu po 2h poczynając od miesiąca marca 2021 roku.
METODOLOGIA WYLICZENIA KOSZTU:
8x mies x 2 h x 31 os. =496h.
Każdy specjalista zaangażowany w zadanie będzie posiadać wykształcenie kierunkowe w danej dziedzinie lub legitymować się minimum 2 –letnim doświadczeniem zawodowym w danej branży. Koszt zgodny z taryfikatorem będącym załącznikiem do niniejszego konkursu.
</t>
  </si>
  <si>
    <t xml:space="preserve">Stawka za wynajem skalkulowana w odniesieniu do cen rynkowych oraz wewnętrznych regulacji Wnioskodawcy na poziomie 20,00 zł/ za godz. 784 godzin zajęć x 20,00 zł= 15 680zł. 
Wnioskodawca określił przedmiotową stawkę na podstawie kosztów potencjalnego wynajmu pomieszczenia o danej kubaturze oraz wyposażeniu. Wnioskodawca nie jest jednostką JST i nie posiada regulacji w niniejszym zakresie, nie prowadzi też komercyjnego wynajmu swoich sal zajęciowych. Koszt wynajmu zatem został określony w przeliczeniu kosztów za godzinę wynajmu sali, w której będą realizowane zajęcia dla rodziców i dzieci. </t>
  </si>
  <si>
    <t xml:space="preserve">Opiekę konsultacyjną dla dzieci objętych wsparciem ( śr. 3h konsultacji na dziecko). Pakiet konsultacji będzie zawierał badanie neurologa, neurologopedy, fizjoterapeuty, logopedy, oligofrenopedagoga.
METODOLOGIA WYLICZENIA KOSZTU:
44 dzieci x 3 konsult= 132 konsult.
Każdy specjalista zaangażowany w zadanie będzie posiadać wykształcenie kierunkowe w danej dziedzinie lub legitymować się minimum 2 –letnim doświadczeniem zawodowym w danej branży. Koszt oszacowany na podstawie średnich stawek rynkowych. 
</t>
  </si>
  <si>
    <t xml:space="preserve">Głównym celem zajęć profilaktycznych jest eliminowanie i zmniejszanie czynników ryzyka oraz wzmacnianie czynników chroniących, które oddziaływają na dzieci i młodzież.
Wstępna analiza sytuacji wychowawczej wykazała, że zajęcia profilaktyczne powinny obejmować w szczególności następujące treści:
- Uzależnienie od środków psychoaktywnych,
- Uzależnienie od komputera, Internetu, TV, hazardu
- Anoreksja i bulimia, jako choroby i zaburzenia na tle trudności psychicznych
- Wychowanie dziecka w rodzinie dotkniętej problemem uzależnienia
- Problematyka współuzależnienia.
METODOLOGIA WYLICZENIA KOSZTU:
1x mies x 4 h x 2 gr =192h.
Każdy specjalista zaangażowany w zadanie będzie posiadać wykształcenie kierunkowe w danej dziedzinie lub legitymować się minimum 2 –letnim doświadczeniem zawodowym w danej branży. Koszt zgodny z taryfikatorem będącym załącznikiem do niniejszego konkursu. </t>
  </si>
  <si>
    <t xml:space="preserve">Stawka za wynajem skalkulowana w odniesieniu do cen rynkowych oraz wewnętrznych regulacji Wnioskodawcy na poziomie 20,00 zł/ za godz. 324 godzin zajęć x 20,00 zł= 6480 zł. 
Wnioskodawca określił przedmiotową stawkę na podstawie kosztów potencjalnego wynajmu pomieszczenia o danej kubaturze oraz wyposażeniu. Wnioskodawca nie jest jednostką JST i nie posiada regulacji w niniejszym zakresie, nie prowadzi też komercyjnego wynajmu swoich sal zajęciowych. Koszt wynajmu zatem został określony w przeliczeniu kosztów za godzinę wynajmu sali, w której będą realizowane zajęcia dla rodziców i dzieci. </t>
  </si>
  <si>
    <t>Zakup umeblowania niezbędnego do funkcjonowania klubu- o wartości maksymalnej nie przekraczającej 3500 zł netto za szt. Wydatek zawiera podatek VAT. Zakup szaf, regałów, krzeseł, stolików, materacy, pufy itp.
W ramach wyd018 założono zakup: 
- apteczki - 300 zł, 
-  regałów – 3000zł, 
- krzeseł –1000 zł, 
- stołów –1000 zł, 
- puf – 2500zł,
- materacy – 700zł. 
Zestaw wyposażenia w pomoce dydaktyczne do sali dydaktycznej:
- Komplet światłowodów – 1890,00 
- Sześcian ze zmianą kolorów światła LED – 649,00. 
- Trampolina balansująca – 2390,00
- Deska z huśtawkami – 1590,00
- Lustro – 1090,00
- Swing DING – 2390,00
- Opona do ćwiczenia koordynacji ruchowej – 768,80 
- Zjeżdżalnia rolkowa – 2990,00
- Lustrzane ściany – 890,00 x 3 sztuki = 2670,00
- Maty amortyzujące upadek – 990,00 x 5 = 4950,00
Podane powyżej koszty są kosztami orientacyjnymi, określonymi na podstawie stawek rynkowych.</t>
  </si>
  <si>
    <t xml:space="preserve">W ramach działania planuje się prowadzenie raz w miesiącu po 2 godziny od miesiąca stycznia 2021 roku do miesiąca grudnia 2022 roku poradnictwa prawnego dla rodzin objętych projektem, w szczególności rodzinnego.
METODOLOGIA WYLICZENIA KOSZTU:
1x mies x 2 h x 24mies. =48h
Każdy specjalista zaangażowany w zadanie będzie posiadać wykształcenie kierunkowe w danej dziedzinie lub legitymować się minimum 2 –letnim doświadczeniem zawodowym w danej branży. Koszt zgodny z taryfikatorem będącym załącznikiem do niniejszego konkursu.
</t>
  </si>
  <si>
    <t xml:space="preserve">Mediacja pozwoli jej uczestnikom określić kwestie sporne, zmniejszyć bariery komunikacyjne, opracować propozycje rozwiązań, a także pomóc w osiągnięciu dobrowolnego, obustronnie korzystnego rozwiązania konfliktu. W efekcie mediacji uczestnicy projektu będą mieli szanse do zrozumienia drugiej strony i wypracowania ugody (w niektórych spornych sprawach). Mediacje pozwolą jej uczestnikom określić kwestie sporne, zmniejszyć bariery komunikacyjne, opracować propozycje rozwiązań, a także pomóc w osiągnięciu dobrowolnego, obustronnie korzystnego rozwiązania konfliktu. W efekcie mediacji uczestnicy projektu będą mieli szanse do zrozumienia drugiej strony i wypracowania ugody (w niektórych spornych sprawach).
Mediator pomoże rozważyć wszelkie możliwe rozwiązania, negocjować je w warunkach współpracy i szukać takiego porozumienia, które dla obu stron będzie satysfakcjonujące i możliwe do wcielenia w życie. Zajęcia będą prowadzone w systemie indywidualnym w zależności od potrzeb.
Zakłada się wsparcie dla 50% rodzin objętych wsparciem, średnio po 4h na rodzinę. 
METODOLOGIA WYLICZENIA KOSZTU:
4hx 11. =44h
Każdy specjalista zaangażowany w zadanie będzie posiadać wykształcenie kierunkowe w danej dziedzinie lub legitymować się minimum 2 –letnim doświadczeniem zawodowym w danej branży. Koszt oszacowany na podstawie średnich stawek rynkowych. </t>
  </si>
  <si>
    <t xml:space="preserve">Stawka za wynajem skalkulowana w odniesieniu do cen rynkowych oraz wewnętrznych regulacji Wnioskodawcy na poziomie 20,00 zł/ za godz. 92 godzin zajęć x 20,00 zł= 1840 zł. 
Wnioskodawca określił przedmiotową stawkę na podstawie kosztów potencjalnego wynajmu pomieszczenia o danej kubaturze oraz wyposażeniu. Wnioskodawca nie jest jednostką JST i nie posiada regulacji w niniejszym zakresie, nie prowadzi też komercyjnego wynajmu swoich sal zajęciowych. Koszt wynajmu zatem został określony w przeliczeniu kosztów za godzinę wynajmu sali, w której będą realizowane zajęcia dla rodziców i dzieci. </t>
  </si>
  <si>
    <t>Główne założenia programu to wzbudzanie zainteresowań chdzieci, wszechstronne rozwijanie zdolności, wdrażanie do konstruktywnego spędzania wolnego czasu. Plastyka, teatr odgrywa ważną rolę w nauczaniu i wychowaniu dzieci. Umożliwia im ujawnienie własnych myśli i uczuć oraz obrazu świata widzianego z ich perspektywy. Rozwija ekspresję i umiejętności artystyczne oraz zdolność do działania i osiągania celu. Wyrabia poczucie ładu, porządku i estetyki, rozbudza zaciekawienie i rozwija wrażliwość. Zajęcia  służą rozszerzaniu i pogłębianiu wiedzy ucznia, przyczyniają się do rozwoju jego zainteresowań i zdolności, wspomagają koncentrację uwagi, rozwijają myślenie, pamięć, wdrażają do atrakcyjnego i pożytecznego spędzania wolnego czasu.
METODOLOGIA WYLICZENIA KOSZTU:
4h mies. x 24 mies=96h.
Każdy specjalista zaangażowany w zadanie będzie posiadać wykształcenie kierunkowe w danej dziedzinie lub legitymować się minimum 2 –letnim doświadczeniem zawodowym w danej branży. Koszt zgodny z taryfikatorem będącym załącznikiem do niniejszego konkursu.</t>
  </si>
  <si>
    <t xml:space="preserve">Stawka za wynajem skalkulowana w odniesieniu do cen rynkowych oraz wewnętrznych regulacji Wnioskodawcy na poziomie 20,00 zł/ za godz. 96 godzin zajęć x 20,00 zł= 1920zł. 
Wnioskodawca określił przedmiotową stawkę na podstawie kosztów potencjalnego wynajmu pomieszczenia o danej kubaturze oraz wyposażeniu. Wnioskodawca nie jest jednostką JST i nie posiada regulacji w niniejszym zakresie, nie prowadzi też komercyjnego wynajmu swoich sal zajęciowych. Koszt wynajmu zatem został określony w przeliczeniu kosztów za godzinę wynajmu sali, w której będą realizowane zajęcia dla rodziców i dzieci.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</si>
</sst>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0.00\ &quot;zł&quot;_-;\-* #,##0.00\ &quot;zł&quot;_-;_-* &quot;-&quot;??\ &quot;zł&quot;_-;_-@_-"/>
    <numFmt numFmtId="164" formatCode="#,##0.00000"/>
    <numFmt numFmtId="165" formatCode="yyyy/mm/dd"/>
  </numFmts>
  <fonts count="9" x14ac:knownFonts="1">
    <font>
      <sz val="11"/>
      <color theme="1"/>
      <name val="Calibri"/>
      <family val="2"/>
      <charset val="238"/>
      <scheme val="minor"/>
    </font>
    <font>
      <sz val="11"/>
      <color theme="1"/>
      <name val="Calibri"/>
      <family val="2"/>
      <charset val="238"/>
      <scheme val="minor"/>
    </font>
    <font>
      <sz val="11"/>
      <color rgb="FFFF0000"/>
      <name val="Calibri"/>
      <family val="2"/>
      <charset val="238"/>
      <scheme val="minor"/>
    </font>
    <font>
      <b/>
      <sz val="11"/>
      <color theme="1"/>
      <name val="Calibri"/>
      <family val="2"/>
      <charset val="238"/>
      <scheme val="minor"/>
    </font>
    <font>
      <b/>
      <sz val="11"/>
      <color theme="0"/>
      <name val="Calibri"/>
      <family val="2"/>
      <charset val="238"/>
      <scheme val="minor"/>
    </font>
    <font>
      <sz val="11"/>
      <color theme="0"/>
      <name val="Calibri"/>
      <family val="2"/>
      <charset val="238"/>
      <scheme val="minor"/>
    </font>
    <font>
      <sz val="11"/>
      <name val="Calibri"/>
      <family val="2"/>
      <charset val="238"/>
      <scheme val="minor"/>
    </font>
    <font>
      <sz val="8"/>
      <color rgb="FF000000"/>
      <name val="Tahoma"/>
      <family val="2"/>
      <charset val="238"/>
    </font>
    <font>
      <b/>
      <sz val="10"/>
      <color theme="1"/>
      <name val="Arial"/>
      <family val="2"/>
      <charset val="238"/>
    </font>
  </fonts>
  <fills count="4">
    <fill>
      <patternFill patternType="none"/>
    </fill>
    <fill>
      <patternFill patternType="gray125"/>
    </fill>
    <fill>
      <patternFill patternType="solid">
        <fgColor theme="4"/>
      </patternFill>
    </fill>
    <fill>
      <patternFill patternType="solid">
        <fgColor theme="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auto="1"/>
      </left>
      <right/>
      <top/>
      <bottom/>
      <diagonal/>
    </border>
    <border>
      <left/>
      <right style="thin">
        <color auto="1"/>
      </right>
      <top/>
      <bottom/>
      <diagonal/>
    </border>
    <border>
      <left/>
      <right/>
      <top style="thin">
        <color theme="4" tint="0.39997558519241921"/>
      </top>
      <bottom style="thin">
        <color theme="4" tint="0.39997558519241921"/>
      </bottom>
      <diagonal/>
    </border>
  </borders>
  <cellStyleXfs count="4">
    <xf numFmtId="0" fontId="0" fillId="0" borderId="0"/>
    <xf numFmtId="9" fontId="1" fillId="0" borderId="0" applyFont="0" applyFill="0" applyBorder="0" applyAlignment="0" applyProtection="0"/>
    <xf numFmtId="0" fontId="5" fillId="2" borderId="0" applyNumberFormat="0" applyBorder="0" applyAlignment="0" applyProtection="0"/>
    <xf numFmtId="44" fontId="1" fillId="0" borderId="0" applyFont="0" applyFill="0" applyBorder="0" applyAlignment="0" applyProtection="0"/>
  </cellStyleXfs>
  <cellXfs count="80">
    <xf numFmtId="0" fontId="0" fillId="0" borderId="0" xfId="0"/>
    <xf numFmtId="4" fontId="0" fillId="0" borderId="0" xfId="0" applyNumberFormat="1"/>
    <xf numFmtId="0" fontId="0" fillId="0" borderId="0" xfId="0" applyAlignment="1">
      <alignment horizontal="center" vertical="center" wrapText="1"/>
    </xf>
    <xf numFmtId="4" fontId="0" fillId="0" borderId="0" xfId="0" applyNumberFormat="1" applyAlignment="1">
      <alignment horizontal="center" vertical="center" wrapText="1"/>
    </xf>
    <xf numFmtId="4" fontId="0" fillId="0" borderId="0" xfId="0" applyNumberFormat="1" applyAlignment="1">
      <alignment wrapText="1"/>
    </xf>
    <xf numFmtId="0" fontId="0" fillId="0" borderId="0" xfId="0" applyAlignment="1">
      <alignment horizontal="center"/>
    </xf>
    <xf numFmtId="4" fontId="0" fillId="0" borderId="0" xfId="0" applyNumberFormat="1" applyAlignment="1">
      <alignment horizontal="center" wrapText="1"/>
    </xf>
    <xf numFmtId="0" fontId="3" fillId="0" borderId="0" xfId="0" applyFont="1"/>
    <xf numFmtId="0" fontId="6" fillId="0" borderId="0" xfId="0" applyFont="1"/>
    <xf numFmtId="0" fontId="4" fillId="0" borderId="0" xfId="0" applyFont="1" applyAlignment="1">
      <alignment horizontal="center" vertical="center" wrapText="1"/>
    </xf>
    <xf numFmtId="0" fontId="4" fillId="2" borderId="0" xfId="2" applyFont="1" applyAlignment="1">
      <alignment horizontal="center" vertical="center" wrapText="1"/>
    </xf>
    <xf numFmtId="0" fontId="4" fillId="2" borderId="0" xfId="2" applyFont="1" applyAlignment="1">
      <alignment horizontal="center"/>
    </xf>
    <xf numFmtId="0" fontId="0" fillId="0" borderId="0" xfId="0" applyAlignment="1">
      <alignment horizontal="center" vertical="center"/>
    </xf>
    <xf numFmtId="0" fontId="0" fillId="0" borderId="0" xfId="0" applyAlignment="1"/>
    <xf numFmtId="0" fontId="3" fillId="0" borderId="0" xfId="0" applyFont="1" applyAlignment="1">
      <alignment horizontal="center" vertical="center" wrapText="1"/>
    </xf>
    <xf numFmtId="0" fontId="0" fillId="0" borderId="1" xfId="0" applyBorder="1"/>
    <xf numFmtId="0" fontId="0" fillId="0" borderId="2" xfId="0" applyBorder="1"/>
    <xf numFmtId="9" fontId="0" fillId="0" borderId="3" xfId="0" applyNumberFormat="1" applyBorder="1"/>
    <xf numFmtId="0" fontId="0" fillId="0" borderId="3" xfId="0" applyBorder="1"/>
    <xf numFmtId="44" fontId="0" fillId="0" borderId="1" xfId="3" applyFont="1" applyBorder="1" applyAlignment="1"/>
    <xf numFmtId="44" fontId="0" fillId="0" borderId="1" xfId="3" applyFont="1" applyBorder="1"/>
    <xf numFmtId="0" fontId="3" fillId="0" borderId="1" xfId="0" applyFont="1" applyBorder="1"/>
    <xf numFmtId="0" fontId="5" fillId="0" borderId="0" xfId="0" applyFont="1" applyAlignment="1"/>
    <xf numFmtId="0" fontId="5" fillId="0" borderId="0" xfId="0" applyFont="1"/>
    <xf numFmtId="0" fontId="0" fillId="0" borderId="1" xfId="0" applyBorder="1" applyAlignment="1"/>
    <xf numFmtId="4" fontId="0" fillId="0" borderId="1" xfId="0" applyNumberFormat="1" applyBorder="1"/>
    <xf numFmtId="4" fontId="0" fillId="3" borderId="1" xfId="0" applyNumberFormat="1" applyFill="1" applyBorder="1"/>
    <xf numFmtId="4" fontId="0" fillId="3" borderId="1" xfId="0" applyNumberFormat="1" applyFill="1" applyBorder="1" applyAlignment="1"/>
    <xf numFmtId="0" fontId="0" fillId="0" borderId="0" xfId="0" applyBorder="1"/>
    <xf numFmtId="9" fontId="0" fillId="0" borderId="0" xfId="0" applyNumberFormat="1" applyBorder="1"/>
    <xf numFmtId="4" fontId="0" fillId="0" borderId="0" xfId="0" applyNumberFormat="1" applyBorder="1"/>
    <xf numFmtId="44" fontId="0" fillId="0" borderId="2" xfId="3" applyFont="1" applyBorder="1" applyAlignment="1"/>
    <xf numFmtId="44" fontId="0" fillId="0" borderId="4" xfId="3" applyFont="1" applyBorder="1" applyAlignment="1"/>
    <xf numFmtId="44" fontId="0" fillId="0" borderId="5" xfId="3" applyFont="1" applyBorder="1" applyAlignment="1"/>
    <xf numFmtId="44" fontId="0" fillId="0" borderId="6" xfId="3" applyFont="1" applyBorder="1" applyAlignment="1"/>
    <xf numFmtId="44" fontId="0" fillId="0" borderId="7" xfId="3" applyFont="1" applyBorder="1" applyAlignment="1"/>
    <xf numFmtId="10" fontId="3" fillId="0" borderId="8" xfId="1" applyNumberFormat="1" applyFont="1" applyBorder="1"/>
    <xf numFmtId="44" fontId="3" fillId="0" borderId="4" xfId="3" applyFont="1" applyBorder="1" applyAlignment="1"/>
    <xf numFmtId="0" fontId="3" fillId="0" borderId="5" xfId="0" applyFont="1" applyFill="1" applyBorder="1"/>
    <xf numFmtId="14" fontId="0" fillId="0" borderId="6" xfId="0" applyNumberFormat="1" applyBorder="1"/>
    <xf numFmtId="0" fontId="0" fillId="0" borderId="9" xfId="0" applyBorder="1"/>
    <xf numFmtId="14" fontId="0" fillId="0" borderId="10" xfId="0" applyNumberFormat="1" applyBorder="1"/>
    <xf numFmtId="4" fontId="0" fillId="0" borderId="7" xfId="0" applyNumberFormat="1" applyBorder="1"/>
    <xf numFmtId="0" fontId="0" fillId="0" borderId="0" xfId="0" applyAlignment="1">
      <alignment horizontal="left" vertical="center"/>
    </xf>
    <xf numFmtId="4" fontId="0" fillId="0" borderId="0" xfId="0" applyNumberFormat="1" applyAlignment="1">
      <alignment horizontal="left" vertical="center"/>
    </xf>
    <xf numFmtId="0" fontId="0" fillId="0" borderId="1" xfId="0" applyBorder="1" applyAlignment="1">
      <alignment horizontal="left" vertical="center" wrapText="1"/>
    </xf>
    <xf numFmtId="4" fontId="0" fillId="0" borderId="1" xfId="0" applyNumberFormat="1" applyBorder="1" applyAlignment="1">
      <alignment horizontal="left" vertical="center" wrapText="1"/>
    </xf>
    <xf numFmtId="4" fontId="0" fillId="0" borderId="1" xfId="0" applyNumberFormat="1" applyBorder="1" applyAlignment="1">
      <alignment horizontal="right" vertical="top"/>
    </xf>
    <xf numFmtId="4" fontId="0" fillId="0" borderId="1" xfId="1" applyNumberFormat="1" applyFont="1" applyBorder="1" applyAlignment="1">
      <alignment horizontal="right" vertical="top"/>
    </xf>
    <xf numFmtId="10" fontId="0" fillId="0" borderId="1" xfId="1" applyNumberFormat="1" applyFont="1" applyBorder="1" applyAlignment="1">
      <alignment horizontal="right" vertical="top"/>
    </xf>
    <xf numFmtId="4" fontId="2" fillId="0" borderId="1" xfId="0" applyNumberFormat="1" applyFont="1" applyBorder="1" applyAlignment="1">
      <alignment horizontal="right" vertical="top"/>
    </xf>
    <xf numFmtId="4" fontId="2" fillId="0" borderId="1" xfId="1" applyNumberFormat="1" applyFont="1" applyBorder="1" applyAlignment="1">
      <alignment horizontal="right" vertical="top"/>
    </xf>
    <xf numFmtId="44" fontId="0" fillId="0" borderId="0" xfId="0" applyNumberFormat="1"/>
    <xf numFmtId="3" fontId="0" fillId="0" borderId="8" xfId="0" applyNumberFormat="1" applyBorder="1" applyAlignment="1">
      <alignment horizontal="right"/>
    </xf>
    <xf numFmtId="164" fontId="2" fillId="0" borderId="0" xfId="0" applyNumberFormat="1" applyFont="1"/>
    <xf numFmtId="4" fontId="3" fillId="0" borderId="1" xfId="0" applyNumberFormat="1" applyFont="1" applyBorder="1"/>
    <xf numFmtId="4" fontId="3" fillId="0" borderId="1" xfId="0" applyNumberFormat="1" applyFont="1" applyBorder="1" applyAlignment="1"/>
    <xf numFmtId="4" fontId="0" fillId="0" borderId="1" xfId="3" applyNumberFormat="1" applyFont="1" applyBorder="1" applyAlignment="1"/>
    <xf numFmtId="4" fontId="0" fillId="0" borderId="0" xfId="0" applyNumberFormat="1" applyAlignment="1"/>
    <xf numFmtId="0" fontId="0" fillId="0" borderId="0" xfId="0" applyAlignment="1">
      <alignment horizontal="left" vertical="center" wrapText="1"/>
    </xf>
    <xf numFmtId="0" fontId="0" fillId="0" borderId="0" xfId="0" applyAlignment="1">
      <alignment horizontal="left"/>
    </xf>
    <xf numFmtId="4" fontId="0" fillId="0" borderId="0" xfId="0" applyNumberFormat="1" applyAlignment="1">
      <alignment horizontal="left" vertical="center" wrapText="1"/>
    </xf>
    <xf numFmtId="4" fontId="0" fillId="0" borderId="0" xfId="0" applyNumberFormat="1" applyAlignment="1">
      <alignment horizontal="left"/>
    </xf>
    <xf numFmtId="0" fontId="0" fillId="0" borderId="0" xfId="0" applyAlignment="1">
      <alignment horizontal="left" vertical="top" wrapText="1"/>
    </xf>
    <xf numFmtId="0" fontId="6" fillId="0" borderId="0" xfId="0" applyFont="1" applyFill="1" applyAlignment="1">
      <alignment horizontal="left" vertical="center" wrapText="1"/>
    </xf>
    <xf numFmtId="0" fontId="0" fillId="0" borderId="0" xfId="0" applyFill="1" applyAlignment="1">
      <alignment horizontal="left" vertical="center" wrapText="1"/>
    </xf>
    <xf numFmtId="0" fontId="6" fillId="0" borderId="0" xfId="0" applyFont="1" applyFill="1" applyAlignment="1">
      <alignment horizontal="left" vertical="center"/>
    </xf>
    <xf numFmtId="0" fontId="6" fillId="0" borderId="0" xfId="0" applyFont="1" applyFill="1" applyAlignment="1">
      <alignment horizontal="left"/>
    </xf>
    <xf numFmtId="0" fontId="0" fillId="0" borderId="0" xfId="0" applyFill="1" applyAlignment="1">
      <alignment horizontal="left"/>
    </xf>
    <xf numFmtId="4" fontId="6" fillId="0" borderId="0" xfId="0" applyNumberFormat="1" applyFont="1" applyFill="1" applyAlignment="1">
      <alignment horizontal="center" wrapText="1"/>
    </xf>
    <xf numFmtId="0" fontId="6" fillId="0" borderId="0" xfId="0" applyFont="1" applyFill="1"/>
    <xf numFmtId="0" fontId="0" fillId="0" borderId="0" xfId="0" applyNumberFormat="1" applyAlignment="1">
      <alignment horizontal="left" vertical="center"/>
    </xf>
    <xf numFmtId="0" fontId="0" fillId="0" borderId="0" xfId="0" applyNumberFormat="1" applyFill="1" applyAlignment="1">
      <alignment horizontal="left" vertical="center" wrapText="1"/>
    </xf>
    <xf numFmtId="4" fontId="8" fillId="0" borderId="0" xfId="0" applyNumberFormat="1" applyFont="1"/>
    <xf numFmtId="0" fontId="0" fillId="0" borderId="0" xfId="0" applyAlignment="1">
      <alignment horizontal="left" wrapText="1"/>
    </xf>
    <xf numFmtId="4" fontId="0" fillId="0" borderId="11" xfId="0" applyNumberFormat="1" applyFont="1" applyBorder="1" applyAlignment="1">
      <alignment horizontal="left" wrapText="1"/>
    </xf>
    <xf numFmtId="0" fontId="0" fillId="0" borderId="0" xfId="0" applyAlignment="1">
      <alignment wrapText="1"/>
    </xf>
    <xf numFmtId="165" fontId="0" fillId="0" borderId="0" xfId="0" applyNumberFormat="1" applyAlignment="1">
      <alignment horizontal="left" vertical="center"/>
    </xf>
    <xf numFmtId="44" fontId="3" fillId="0" borderId="5" xfId="3" applyFont="1" applyBorder="1" applyAlignment="1">
      <alignment horizontal="center" wrapText="1"/>
    </xf>
    <xf numFmtId="44" fontId="3" fillId="0" borderId="7" xfId="3" applyFont="1" applyBorder="1" applyAlignment="1">
      <alignment horizontal="center" wrapText="1"/>
    </xf>
  </cellXfs>
  <cellStyles count="4">
    <cellStyle name="Akcent 1" xfId="2" builtinId="29"/>
    <cellStyle name="Normalny" xfId="0" builtinId="0"/>
    <cellStyle name="Procentowy" xfId="1" builtinId="5"/>
    <cellStyle name="Walutowy" xfId="3" builtinId="4"/>
  </cellStyles>
  <dxfs count="34">
    <dxf>
      <numFmt numFmtId="0" formatCode="General"/>
      <alignment horizontal="left" vertical="center" textRotation="0" wrapText="0" indent="0" justifyLastLine="0" shrinkToFit="0" readingOrder="0"/>
    </dxf>
    <dxf>
      <alignment horizontal="left" vertical="bottom" textRotation="0" wrapText="0" indent="0" justifyLastLine="0" shrinkToFit="0" readingOrder="0"/>
    </dxf>
    <dxf>
      <alignment horizontal="left" vertical="bottom" textRotation="0" wrapText="1" indent="0" justifyLastLine="0" shrinkToFit="0" readingOrder="0"/>
    </dxf>
    <dxf>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1"/>
        <color auto="1"/>
        <name val="Calibri"/>
        <family val="2"/>
        <charset val="238"/>
        <scheme val="minor"/>
      </font>
      <fill>
        <patternFill patternType="none">
          <fgColor indexed="64"/>
          <bgColor indexed="65"/>
        </patternFill>
      </fill>
      <alignment horizontal="left" vertical="bottom" textRotation="0" wrapText="0" indent="0" justifyLastLine="0" shrinkToFit="0" readingOrder="0"/>
    </dxf>
    <dxf>
      <numFmt numFmtId="4" formatCode="#,##0.00"/>
    </dxf>
    <dxf>
      <numFmt numFmtId="4" formatCode="#,##0.00"/>
    </dxf>
    <dxf>
      <numFmt numFmtId="4" formatCode="#,##0.00"/>
      <alignment horizontal="left" vertical="bottom" textRotation="0" wrapText="0" indent="0" justifyLastLine="0" shrinkToFit="0" readingOrder="0"/>
    </dxf>
    <dxf>
      <numFmt numFmtId="4" formatCode="#,##0.00"/>
    </dxf>
    <dxf>
      <numFmt numFmtId="4" formatCode="#,##0.00"/>
    </dxf>
    <dxf>
      <alignment horizontal="general" vertical="bottom" textRotation="0" wrapText="0" indent="0" justifyLastLine="0" shrinkToFit="0" readingOrder="0"/>
    </dxf>
    <dxf>
      <numFmt numFmtId="4" formatCode="#,##0.00"/>
      <alignment horizontal="left" vertical="center" textRotation="0" wrapText="0" indent="0" justifyLastLine="0" shrinkToFit="0" readingOrder="0"/>
    </dxf>
    <dxf>
      <numFmt numFmtId="4" formatCode="#,##0.00"/>
      <alignment horizontal="left" vertical="center" textRotation="0" wrapText="1" indent="0" justifyLastLine="0" shrinkToFit="0" readingOrder="0"/>
    </dxf>
    <dxf>
      <numFmt numFmtId="0" formatCode="General"/>
      <fill>
        <patternFill patternType="none">
          <fgColor indexed="64"/>
          <bgColor auto="1"/>
        </patternFill>
      </fill>
      <alignment horizontal="left" vertical="center" textRotation="0" wrapText="1" indent="0" justifyLastLine="0" shrinkToFit="0" readingOrder="0"/>
    </dxf>
    <dxf>
      <font>
        <b val="0"/>
        <strike val="0"/>
        <outline val="0"/>
        <shadow val="0"/>
        <u val="none"/>
        <vertAlign val="baseline"/>
        <sz val="11"/>
        <color auto="1"/>
        <name val="Calibri"/>
        <scheme val="minor"/>
      </font>
      <fill>
        <patternFill patternType="none">
          <fgColor indexed="64"/>
          <bgColor auto="1"/>
        </patternFill>
      </fill>
      <alignment horizontal="left" vertical="center" textRotation="0" wrapText="0" indent="0" justifyLastLine="0" shrinkToFit="0" readingOrder="0"/>
    </dxf>
    <dxf>
      <numFmt numFmtId="4" formatCode="#,##0.00"/>
      <alignment horizontal="left" vertical="center" textRotation="0" wrapText="0" indent="0" justifyLastLine="0" shrinkToFit="0" readingOrder="0"/>
    </dxf>
    <dxf>
      <numFmt numFmtId="4" formatCode="#,##0.00"/>
      <alignment horizontal="left" vertical="center" textRotation="0" wrapText="0" indent="0" justifyLastLine="0" shrinkToFit="0" readingOrder="0"/>
    </dxf>
    <dxf>
      <numFmt numFmtId="4" formatCode="#,##0.00"/>
      <alignment horizontal="left" vertical="center" textRotation="0" wrapText="0" indent="0" justifyLastLine="0" shrinkToFit="0" readingOrder="0"/>
    </dxf>
    <dxf>
      <numFmt numFmtId="165" formatCode="yyyy/mm/dd"/>
      <alignment horizontal="left" vertical="center" textRotation="0" wrapText="0" indent="0" justifyLastLine="0" shrinkToFit="0" readingOrder="0"/>
    </dxf>
    <dxf>
      <numFmt numFmtId="0" formatCode="General"/>
      <alignment horizontal="left" vertical="center" textRotation="0" wrapText="0" indent="0" justifyLastLine="0" shrinkToFit="0" readingOrder="0"/>
    </dxf>
    <dxf>
      <numFmt numFmtId="165" formatCode="yyyy/mm/dd"/>
      <alignment horizontal="left" vertical="center" textRotation="0" wrapText="0" indent="0" justifyLastLine="0" shrinkToFit="0" readingOrder="0"/>
    </dxf>
    <dxf>
      <alignment horizontal="left" vertical="center" textRotation="0" wrapText="0" indent="0" justifyLastLine="0" shrinkToFit="0" readingOrder="0"/>
    </dxf>
    <dxf>
      <numFmt numFmtId="0" formatCode="General"/>
      <alignment horizontal="left" vertical="center" textRotation="0" wrapText="0" indent="0" justifyLastLine="0" shrinkToFit="0" readingOrder="0"/>
    </dxf>
    <dxf>
      <numFmt numFmtId="165" formatCode="yyyy/mm/dd"/>
      <alignment horizontal="left" vertical="center" textRotation="0" wrapText="0" indent="0" justifyLastLine="0" shrinkToFit="0" readingOrder="0"/>
    </dxf>
    <dxf>
      <numFmt numFmtId="165" formatCode="yyyy/mm/dd"/>
      <alignment horizontal="left" vertical="center" textRotation="0" wrapText="0" indent="0" justifyLastLine="0" shrinkToFit="0" readingOrder="0"/>
    </dxf>
    <dxf>
      <numFmt numFmtId="4" formatCode="#,##0.00"/>
      <alignment horizontal="left" vertical="center" textRotation="0" wrapText="0" indent="0" justifyLastLine="0" shrinkToFit="0" readingOrder="0"/>
    </dxf>
    <dxf>
      <numFmt numFmtId="4" formatCode="#,##0.00"/>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009A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3.xml"/><Relationship Id="rId5" Type="http://schemas.openxmlformats.org/officeDocument/2006/relationships/styles" Target="styles.xml"/><Relationship Id="rId10" Type="http://schemas.openxmlformats.org/officeDocument/2006/relationships/customXml" Target="../customXml/item2.xml"/><Relationship Id="rId4" Type="http://schemas.openxmlformats.org/officeDocument/2006/relationships/theme" Target="theme/theme1.xml"/><Relationship Id="rId9" Type="http://schemas.openxmlformats.org/officeDocument/2006/relationships/customXml" Target="../customXml/item1.xml"/></Relationships>
</file>

<file path=xl/ctrlProps/ctrlProp1.xml><?xml version="1.0" encoding="utf-8"?>
<formControlPr xmlns="http://schemas.microsoft.com/office/spreadsheetml/2009/9/main" objectType="CheckBox" fmlaLink="B16"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15</xdr:row>
          <xdr:rowOff>19050</xdr:rowOff>
        </xdr:from>
        <xdr:to>
          <xdr:col>1</xdr:col>
          <xdr:colOff>1895475</xdr:colOff>
          <xdr:row>15</xdr:row>
          <xdr:rowOff>257175</xdr:rowOff>
        </xdr:to>
        <xdr:sp macro="" textlink="">
          <xdr:nvSpPr>
            <xdr:cNvPr id="1031" name="Check Box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pl-PL" sz="800" b="0" i="0" u="none" strike="noStrike" baseline="0">
                  <a:solidFill>
                    <a:srgbClr val="000000"/>
                  </a:solidFill>
                  <a:latin typeface="Tahoma"/>
                  <a:ea typeface="Tahoma"/>
                  <a:cs typeface="Tahoma"/>
                </a:rPr>
                <a:t>Wkład własny w kosztach pośrednich</a:t>
              </a:r>
            </a:p>
          </xdr:txBody>
        </xdr:sp>
        <xdr:clientData/>
      </xdr:twoCellAnchor>
    </mc:Choice>
    <mc:Fallback/>
  </mc:AlternateContent>
</xdr:wsDr>
</file>

<file path=xl/persons/person.xml><?xml version="1.0" encoding="utf-8"?>
<personList xmlns="http://schemas.microsoft.com/office/spreadsheetml/2018/threadedcomments" xmlns:x="http://schemas.openxmlformats.org/spreadsheetml/2006/main">
  <person displayName="Tomasz Steć" id="{D9DF022C-9A24-4980-A277-06BAC17EDAC5}" userId="a0d857e522d85335" providerId="Windows Liv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ela1" displayName="Tabela1" ref="A1:V15" totalsRowCount="1" headerRowDxfId="33" dataDxfId="32">
  <autoFilter ref="A1:V14" xr:uid="{87F47B63-C5CA-4CF3-B887-643E85CF3665}"/>
  <tableColumns count="22">
    <tableColumn id="1" xr3:uid="{00000000-0010-0000-0000-000001000000}" name="nr Zadania" dataDxfId="31"/>
    <tableColumn id="2" xr3:uid="{00000000-0010-0000-0000-000002000000}" name="nazwa zadania" dataDxfId="30" totalsRowDxfId="10"/>
    <tableColumn id="19" xr3:uid="{00000000-0010-0000-0000-000013000000}" name="pozycja lp" dataDxfId="29"/>
    <tableColumn id="14" xr3:uid="{00000000-0010-0000-0000-00000E000000}" name="Sygnatura" dataDxfId="28"/>
    <tableColumn id="16" xr3:uid="{00000000-0010-0000-0000-000010000000}" name="Nazwa wydatku" dataDxfId="27"/>
    <tableColumn id="3" xr3:uid="{00000000-0010-0000-0000-000003000000}" name="wartość" totalsRowFunction="sum" dataDxfId="26" totalsRowDxfId="9"/>
    <tableColumn id="4" xr3:uid="{00000000-0010-0000-0000-000004000000}" name="dofinansowanie" totalsRowFunction="sum" dataDxfId="25" totalsRowDxfId="8"/>
    <tableColumn id="5" xr3:uid="{00000000-0010-0000-0000-000005000000}" name="od" dataDxfId="24"/>
    <tableColumn id="6" xr3:uid="{00000000-0010-0000-0000-000006000000}" name="do" dataDxfId="23"/>
    <tableColumn id="7" xr3:uid="{00000000-0010-0000-0000-000007000000}" name="sztuk/godzin" dataDxfId="22"/>
    <tableColumn id="8" xr3:uid="{00000000-0010-0000-0000-000008000000}" name="czas godzin" dataDxfId="0">
      <calculatedColumnFormula>Tabela1[[#This Row],[dofinansowanie]]/Tabela1[[#This Row],[sztuk/godzin]]</calculatedColumnFormula>
    </tableColumn>
    <tableColumn id="9" xr3:uid="{00000000-0010-0000-0000-000009000000}" name="Cross - financing" totalsRowFunction="sum" dataDxfId="21"/>
    <tableColumn id="15" xr3:uid="{00000000-0010-0000-0000-00000F000000}" name="Środek trwały" dataDxfId="20"/>
    <tableColumn id="20" xr3:uid="{00000000-0010-0000-0000-000014000000}" name="pomoc de minimis" dataDxfId="19">
      <calculatedColumnFormula>CONCATENATE(Tabela1[[#This Row],[Sygnatura]]," - ",Tabela1[[#This Row],[Nazwa wydatku]])</calculatedColumnFormula>
    </tableColumn>
    <tableColumn id="10" xr3:uid="{00000000-0010-0000-0000-00000A000000}" name="Usługa zlecona" dataDxfId="18"/>
    <tableColumn id="11" xr3:uid="{00000000-0010-0000-0000-00000B000000}" name="za osobę za dzień" dataDxfId="17" totalsRowDxfId="7"/>
    <tableColumn id="13" xr3:uid="{00000000-0010-0000-0000-00000D000000}" name="za godzinę" dataDxfId="16" totalsRowDxfId="6">
      <calculatedColumnFormula>Tabela1[[#This Row],[dofinansowanie]]/Tabela1[[#This Row],[sztuk/godzin]]</calculatedColumnFormula>
    </tableColumn>
    <tableColumn id="12" xr3:uid="{00000000-0010-0000-0000-00000C000000}" name="za godzinę za osobę" dataDxfId="15" totalsRowDxfId="5">
      <calculatedColumnFormula>IFERROR(ROUND(G2/J2/K2,2),"-")</calculatedColumnFormula>
    </tableColumn>
    <tableColumn id="17" xr3:uid="{00000000-0010-0000-0000-000011000000}" name="kwalifikowalbność/racjonalność/efektywność" dataDxfId="14" totalsRowDxfId="4"/>
    <tableColumn id="18" xr3:uid="{00000000-0010-0000-0000-000012000000}" name="uwagi" dataDxfId="13" totalsRowDxfId="3">
      <calculatedColumnFormula>CONCATENATE(Tabela1[[#This Row],[Sygnatura]]," - ",Tabela1[[#This Row],[Nazwa wydatku]])</calculatedColumnFormula>
    </tableColumn>
    <tableColumn id="21" xr3:uid="{00000000-0010-0000-0000-000015000000}" name="Kolumna1" dataDxfId="12" totalsRowDxfId="2"/>
    <tableColumn id="22" xr3:uid="{00000000-0010-0000-0000-000016000000}" name="Kolumna2" dataDxfId="11" totalsRowDxfId="1"/>
  </tableColumns>
  <tableStyleInfo name="TableStyleMedium2" showFirstColumn="0" showLastColumn="0" showRowStripes="1" showColumnStripes="0"/>
</table>
</file>

<file path=xl/theme/theme1.xml><?xml version="1.0" encoding="utf-8"?>
<a:theme xmlns:a="http://schemas.openxmlformats.org/drawingml/2006/main" name="Motyw pakietu Office">
  <a:themeElements>
    <a:clrScheme name="Pakiet 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Pakiet 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Pakiet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B23" dT="2020-02-23T10:42:59.70" personId="{D9DF022C-9A24-4980-A277-06BAC17EDAC5}" id="{DDDE8270-0C5C-4FA7-86B1-0E0A81465872}">
    <text>zwolnienie o ile wykazał iż mają taki status przy rozpoczęciu</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6"/>
  <sheetViews>
    <sheetView tabSelected="1" topLeftCell="A10" zoomScaleNormal="100" zoomScaleSheetLayoutView="100" workbookViewId="0">
      <selection activeCell="U11" sqref="U11"/>
    </sheetView>
  </sheetViews>
  <sheetFormatPr defaultRowHeight="15" x14ac:dyDescent="0.25"/>
  <cols>
    <col min="1" max="1" width="9.7109375" customWidth="1"/>
    <col min="2" max="2" width="45.85546875" style="13" customWidth="1"/>
    <col min="3" max="3" width="12.42578125" customWidth="1"/>
    <col min="4" max="4" width="17.140625" customWidth="1"/>
    <col min="5" max="5" width="60" customWidth="1"/>
    <col min="6" max="6" width="15.42578125" style="1" customWidth="1"/>
    <col min="7" max="7" width="12.42578125" style="1" customWidth="1"/>
    <col min="8" max="8" width="16" customWidth="1"/>
    <col min="9" max="9" width="11.85546875" customWidth="1"/>
    <col min="10" max="10" width="10.7109375" customWidth="1"/>
    <col min="11" max="11" width="28.140625" customWidth="1"/>
    <col min="12" max="12" width="12.140625" customWidth="1"/>
    <col min="13" max="13" width="10.42578125" style="4" customWidth="1"/>
    <col min="14" max="14" width="12.85546875" style="4" customWidth="1"/>
    <col min="15" max="15" width="10.5703125" style="4" bestFit="1" customWidth="1"/>
    <col min="16" max="16" width="22.5703125" style="60" customWidth="1"/>
    <col min="17" max="17" width="14.140625" style="1" customWidth="1"/>
    <col min="18" max="18" width="12.5703125" style="1" customWidth="1"/>
    <col min="19" max="19" width="8" style="70" customWidth="1"/>
    <col min="20" max="20" width="47.5703125" style="68" customWidth="1"/>
    <col min="21" max="21" width="146.28515625" style="74" customWidth="1"/>
    <col min="22" max="23" width="9.140625" style="60"/>
  </cols>
  <sheetData>
    <row r="1" spans="1:23" s="2" customFormat="1" ht="94.5" customHeight="1" x14ac:dyDescent="0.25">
      <c r="A1" s="2" t="s">
        <v>4</v>
      </c>
      <c r="B1" s="12" t="s">
        <v>3</v>
      </c>
      <c r="C1" s="2" t="s">
        <v>18</v>
      </c>
      <c r="D1" s="2" t="s">
        <v>67</v>
      </c>
      <c r="E1" s="2" t="s">
        <v>68</v>
      </c>
      <c r="F1" s="3" t="s">
        <v>15</v>
      </c>
      <c r="G1" s="3" t="s">
        <v>2</v>
      </c>
      <c r="H1" s="2" t="s">
        <v>0</v>
      </c>
      <c r="I1" s="2" t="s">
        <v>1</v>
      </c>
      <c r="J1" s="2" t="s">
        <v>43</v>
      </c>
      <c r="K1" s="2" t="s">
        <v>5</v>
      </c>
      <c r="L1" s="2" t="s">
        <v>36</v>
      </c>
      <c r="M1" s="2" t="s">
        <v>14</v>
      </c>
      <c r="N1" s="2" t="s">
        <v>33</v>
      </c>
      <c r="O1" s="2" t="s">
        <v>46</v>
      </c>
      <c r="P1" s="61" t="s">
        <v>11</v>
      </c>
      <c r="Q1" s="3" t="s">
        <v>12</v>
      </c>
      <c r="R1" s="3" t="s">
        <v>13</v>
      </c>
      <c r="S1" s="64" t="s">
        <v>17</v>
      </c>
      <c r="T1" s="65" t="s">
        <v>16</v>
      </c>
      <c r="U1" s="59" t="s">
        <v>65</v>
      </c>
      <c r="V1" s="59" t="s">
        <v>66</v>
      </c>
      <c r="W1" s="59"/>
    </row>
    <row r="2" spans="1:23" s="2" customFormat="1" ht="166.5" customHeight="1" x14ac:dyDescent="0.25">
      <c r="A2" s="43">
        <v>1</v>
      </c>
      <c r="B2" s="43" t="s">
        <v>105</v>
      </c>
      <c r="C2" s="43">
        <v>1</v>
      </c>
      <c r="D2" s="43" t="s">
        <v>89</v>
      </c>
      <c r="E2" s="43" t="s">
        <v>106</v>
      </c>
      <c r="F2" s="44">
        <v>16560</v>
      </c>
      <c r="G2" s="44">
        <v>16560</v>
      </c>
      <c r="H2" s="77"/>
      <c r="I2" s="77"/>
      <c r="J2" s="71">
        <v>144</v>
      </c>
      <c r="K2" s="71">
        <f>Tabela1[[#This Row],[dofinansowanie]]/Tabela1[[#This Row],[sztuk/godzin]]</f>
        <v>115</v>
      </c>
      <c r="L2" s="43"/>
      <c r="M2" s="77"/>
      <c r="N2" s="71" t="str">
        <f>CONCATENATE(Tabela1[[#This Row],[Sygnatura]]," - ",Tabela1[[#This Row],[Nazwa wydatku]])</f>
        <v>WYD006 - Koszt psychologa prowadzącego grupę samopomocy (umowa zlecenie)</v>
      </c>
      <c r="O2" s="77"/>
      <c r="P2" s="44"/>
      <c r="Q2" s="44">
        <f>Tabela1[[#This Row],[dofinansowanie]]/Tabela1[[#This Row],[sztuk/godzin]]</f>
        <v>115</v>
      </c>
      <c r="R2" s="44">
        <f t="shared" ref="R2:R14" si="0">IFERROR(ROUND(G2/J2/K2,2),"-")</f>
        <v>1</v>
      </c>
      <c r="S2" s="66"/>
      <c r="T2" s="72" t="str">
        <f>CONCATENATE(Tabela1[[#This Row],[Sygnatura]]," - ",Tabela1[[#This Row],[Nazwa wydatku]])</f>
        <v>WYD006 - Koszt psychologa prowadzącego grupę samopomocy (umowa zlecenie)</v>
      </c>
      <c r="U2" s="61" t="s">
        <v>123</v>
      </c>
      <c r="V2" s="44"/>
      <c r="W2" s="59"/>
    </row>
    <row r="3" spans="1:23" s="2" customFormat="1" ht="114" customHeight="1" x14ac:dyDescent="0.25">
      <c r="A3" s="43">
        <v>1</v>
      </c>
      <c r="B3" s="43" t="s">
        <v>105</v>
      </c>
      <c r="C3" s="43">
        <v>2</v>
      </c>
      <c r="D3" s="43" t="s">
        <v>90</v>
      </c>
      <c r="E3" s="43" t="s">
        <v>107</v>
      </c>
      <c r="F3" s="44">
        <v>21600</v>
      </c>
      <c r="G3" s="44">
        <v>21600</v>
      </c>
      <c r="H3" s="77"/>
      <c r="I3" s="77"/>
      <c r="J3" s="71">
        <v>144</v>
      </c>
      <c r="K3" s="71">
        <f>Tabela1[[#This Row],[dofinansowanie]]/Tabela1[[#This Row],[sztuk/godzin]]</f>
        <v>150</v>
      </c>
      <c r="L3" s="43"/>
      <c r="M3" s="77"/>
      <c r="N3" s="71" t="str">
        <f>CONCATENATE(Tabela1[[#This Row],[Sygnatura]]," - ",Tabela1[[#This Row],[Nazwa wydatku]])</f>
        <v>WYD007 - Coaching rodzicielski grupowy - koszt osoby prowadzącej (umowa zlecenie)</v>
      </c>
      <c r="O3" s="77"/>
      <c r="P3" s="44"/>
      <c r="Q3" s="44">
        <f>Tabela1[[#This Row],[dofinansowanie]]/Tabela1[[#This Row],[sztuk/godzin]]</f>
        <v>150</v>
      </c>
      <c r="R3" s="44">
        <f t="shared" si="0"/>
        <v>1</v>
      </c>
      <c r="S3" s="66"/>
      <c r="T3" s="72" t="str">
        <f>CONCATENATE(Tabela1[[#This Row],[Sygnatura]]," - ",Tabela1[[#This Row],[Nazwa wydatku]])</f>
        <v>WYD007 - Coaching rodzicielski grupowy - koszt osoby prowadzącej (umowa zlecenie)</v>
      </c>
      <c r="U3" s="61" t="s">
        <v>124</v>
      </c>
      <c r="V3" s="44"/>
      <c r="W3" s="59"/>
    </row>
    <row r="4" spans="1:23" s="2" customFormat="1" ht="150" x14ac:dyDescent="0.25">
      <c r="A4" s="43">
        <v>1</v>
      </c>
      <c r="B4" s="43" t="s">
        <v>105</v>
      </c>
      <c r="C4" s="43">
        <v>3</v>
      </c>
      <c r="D4" s="43" t="s">
        <v>91</v>
      </c>
      <c r="E4" s="43" t="s">
        <v>108</v>
      </c>
      <c r="F4" s="44">
        <v>74400</v>
      </c>
      <c r="G4" s="44">
        <v>74400</v>
      </c>
      <c r="H4" s="77"/>
      <c r="I4" s="77"/>
      <c r="J4" s="71">
        <v>496</v>
      </c>
      <c r="K4" s="71">
        <f>Tabela1[[#This Row],[dofinansowanie]]/Tabela1[[#This Row],[sztuk/godzin]]</f>
        <v>150</v>
      </c>
      <c r="L4" s="43"/>
      <c r="M4" s="77"/>
      <c r="N4" s="71" t="str">
        <f>CONCATENATE(Tabela1[[#This Row],[Sygnatura]]," - ",Tabela1[[#This Row],[Nazwa wydatku]])</f>
        <v>WYD008 - Coaching indywidualny - koszt osoby prowadzącej (umowa zlecenie)</v>
      </c>
      <c r="O4" s="77"/>
      <c r="P4" s="44"/>
      <c r="Q4" s="44">
        <f>Tabela1[[#This Row],[dofinansowanie]]/Tabela1[[#This Row],[sztuk/godzin]]</f>
        <v>150</v>
      </c>
      <c r="R4" s="44">
        <f t="shared" si="0"/>
        <v>1</v>
      </c>
      <c r="S4" s="66"/>
      <c r="T4" s="72" t="str">
        <f>CONCATENATE(Tabela1[[#This Row],[Sygnatura]]," - ",Tabela1[[#This Row],[Nazwa wydatku]])</f>
        <v>WYD008 - Coaching indywidualny - koszt osoby prowadzącej (umowa zlecenie)</v>
      </c>
      <c r="U4" s="61" t="s">
        <v>125</v>
      </c>
      <c r="V4" s="44"/>
      <c r="W4" s="59"/>
    </row>
    <row r="5" spans="1:23" s="2" customFormat="1" ht="75" x14ac:dyDescent="0.25">
      <c r="A5" s="43">
        <v>1</v>
      </c>
      <c r="B5" s="43" t="s">
        <v>105</v>
      </c>
      <c r="C5" s="43">
        <v>4</v>
      </c>
      <c r="D5" s="43" t="s">
        <v>94</v>
      </c>
      <c r="E5" s="43" t="s">
        <v>109</v>
      </c>
      <c r="F5" s="44">
        <v>15680</v>
      </c>
      <c r="G5" s="44">
        <v>6316.69</v>
      </c>
      <c r="H5" s="77"/>
      <c r="I5" s="77"/>
      <c r="J5" s="71">
        <v>784</v>
      </c>
      <c r="K5" s="71">
        <f>Tabela1[[#This Row],[dofinansowanie]]/Tabela1[[#This Row],[sztuk/godzin]]</f>
        <v>8.0570025510204069</v>
      </c>
      <c r="L5" s="43"/>
      <c r="M5" s="77"/>
      <c r="N5" s="71" t="str">
        <f>CONCATENATE(Tabela1[[#This Row],[Sygnatura]]," - ",Tabela1[[#This Row],[Nazwa wydatku]])</f>
        <v xml:space="preserve">WYD016 - Koszt udostępnienia pomieszczeń </v>
      </c>
      <c r="O5" s="77"/>
      <c r="P5" s="44"/>
      <c r="Q5" s="44">
        <f>Tabela1[[#This Row],[dofinansowanie]]/Tabela1[[#This Row],[sztuk/godzin]]</f>
        <v>8.0570025510204069</v>
      </c>
      <c r="R5" s="44">
        <f t="shared" si="0"/>
        <v>1</v>
      </c>
      <c r="S5" s="66"/>
      <c r="T5" s="72" t="str">
        <f>CONCATENATE(Tabela1[[#This Row],[Sygnatura]]," - ",Tabela1[[#This Row],[Nazwa wydatku]])</f>
        <v xml:space="preserve">WYD016 - Koszt udostępnienia pomieszczeń </v>
      </c>
      <c r="U5" s="61" t="s">
        <v>126</v>
      </c>
      <c r="V5" s="44"/>
      <c r="W5" s="59"/>
    </row>
    <row r="6" spans="1:23" s="2" customFormat="1" ht="120.75" customHeight="1" x14ac:dyDescent="0.25">
      <c r="A6" s="43">
        <v>2</v>
      </c>
      <c r="B6" s="43" t="s">
        <v>110</v>
      </c>
      <c r="C6" s="43">
        <v>1</v>
      </c>
      <c r="D6" s="43" t="s">
        <v>88</v>
      </c>
      <c r="E6" s="43" t="s">
        <v>111</v>
      </c>
      <c r="F6" s="44">
        <v>14520</v>
      </c>
      <c r="G6" s="44">
        <v>14520</v>
      </c>
      <c r="H6" s="77"/>
      <c r="I6" s="77"/>
      <c r="J6" s="71">
        <v>132</v>
      </c>
      <c r="K6" s="71">
        <f>Tabela1[[#This Row],[dofinansowanie]]/Tabela1[[#This Row],[sztuk/godzin]]</f>
        <v>110</v>
      </c>
      <c r="L6" s="43"/>
      <c r="M6" s="77"/>
      <c r="N6" s="71" t="str">
        <f>CONCATENATE(Tabela1[[#This Row],[Sygnatura]]," - ",Tabela1[[#This Row],[Nazwa wydatku]])</f>
        <v>WYD012 - Koszt konsultacji specjalistycznych (umowa zlecenie)</v>
      </c>
      <c r="O6" s="77"/>
      <c r="P6" s="44"/>
      <c r="Q6" s="44">
        <f>Tabela1[[#This Row],[dofinansowanie]]/Tabela1[[#This Row],[sztuk/godzin]]</f>
        <v>110</v>
      </c>
      <c r="R6" s="44">
        <f t="shared" si="0"/>
        <v>1</v>
      </c>
      <c r="S6" s="66"/>
      <c r="T6" s="72" t="str">
        <f>CONCATENATE(Tabela1[[#This Row],[Sygnatura]]," - ",Tabela1[[#This Row],[Nazwa wydatku]])</f>
        <v>WYD012 - Koszt konsultacji specjalistycznych (umowa zlecenie)</v>
      </c>
      <c r="U6" s="61" t="s">
        <v>127</v>
      </c>
      <c r="V6" s="44"/>
      <c r="W6" s="59"/>
    </row>
    <row r="7" spans="1:23" s="2" customFormat="1" ht="180" x14ac:dyDescent="0.25">
      <c r="A7" s="43">
        <v>2</v>
      </c>
      <c r="B7" s="43" t="s">
        <v>110</v>
      </c>
      <c r="C7" s="43">
        <v>2</v>
      </c>
      <c r="D7" s="43" t="s">
        <v>92</v>
      </c>
      <c r="E7" s="43" t="s">
        <v>112</v>
      </c>
      <c r="F7" s="44">
        <v>22080</v>
      </c>
      <c r="G7" s="44">
        <v>22080</v>
      </c>
      <c r="H7" s="77"/>
      <c r="I7" s="77"/>
      <c r="J7" s="71">
        <v>192</v>
      </c>
      <c r="K7" s="71">
        <f>Tabela1[[#This Row],[dofinansowanie]]/Tabela1[[#This Row],[sztuk/godzin]]</f>
        <v>115</v>
      </c>
      <c r="L7" s="43"/>
      <c r="M7" s="77"/>
      <c r="N7" s="71" t="str">
        <f>CONCATENATE(Tabela1[[#This Row],[Sygnatura]]," - ",Tabela1[[#This Row],[Nazwa wydatku]])</f>
        <v>WYD013 - Koszt zajęć profilaktycznych (umowa zlecenie)</v>
      </c>
      <c r="O7" s="77"/>
      <c r="P7" s="44"/>
      <c r="Q7" s="44">
        <f>Tabela1[[#This Row],[dofinansowanie]]/Tabela1[[#This Row],[sztuk/godzin]]</f>
        <v>115</v>
      </c>
      <c r="R7" s="44">
        <f t="shared" si="0"/>
        <v>1</v>
      </c>
      <c r="S7" s="66"/>
      <c r="T7" s="72" t="str">
        <f>CONCATENATE(Tabela1[[#This Row],[Sygnatura]]," - ",Tabela1[[#This Row],[Nazwa wydatku]])</f>
        <v>WYD013 - Koszt zajęć profilaktycznych (umowa zlecenie)</v>
      </c>
      <c r="U7" s="61" t="s">
        <v>128</v>
      </c>
      <c r="V7" s="44"/>
      <c r="W7" s="59"/>
    </row>
    <row r="8" spans="1:23" s="2" customFormat="1" ht="75" x14ac:dyDescent="0.25">
      <c r="A8" s="43">
        <v>2</v>
      </c>
      <c r="B8" s="43" t="s">
        <v>110</v>
      </c>
      <c r="C8" s="43">
        <v>3</v>
      </c>
      <c r="D8" s="43" t="s">
        <v>95</v>
      </c>
      <c r="E8" s="43" t="s">
        <v>113</v>
      </c>
      <c r="F8" s="44">
        <v>6480</v>
      </c>
      <c r="G8" s="44">
        <v>0</v>
      </c>
      <c r="H8" s="77"/>
      <c r="I8" s="77"/>
      <c r="J8" s="71">
        <v>324</v>
      </c>
      <c r="K8" s="71">
        <f>Tabela1[[#This Row],[dofinansowanie]]/Tabela1[[#This Row],[sztuk/godzin]]</f>
        <v>0</v>
      </c>
      <c r="L8" s="43"/>
      <c r="M8" s="77"/>
      <c r="N8" s="71" t="str">
        <f>CONCATENATE(Tabela1[[#This Row],[Sygnatura]]," - ",Tabela1[[#This Row],[Nazwa wydatku]])</f>
        <v>WYD017 - Koszt udostępnienia pomieszczeń</v>
      </c>
      <c r="O8" s="77"/>
      <c r="P8" s="44"/>
      <c r="Q8" s="44">
        <f>Tabela1[[#This Row],[dofinansowanie]]/Tabela1[[#This Row],[sztuk/godzin]]</f>
        <v>0</v>
      </c>
      <c r="R8" s="44" t="str">
        <f t="shared" si="0"/>
        <v>-</v>
      </c>
      <c r="S8" s="66"/>
      <c r="T8" s="72" t="str">
        <f>CONCATENATE(Tabela1[[#This Row],[Sygnatura]]," - ",Tabela1[[#This Row],[Nazwa wydatku]])</f>
        <v>WYD017 - Koszt udostępnienia pomieszczeń</v>
      </c>
      <c r="U8" s="61" t="s">
        <v>129</v>
      </c>
      <c r="V8" s="44"/>
      <c r="W8" s="59"/>
    </row>
    <row r="9" spans="1:23" s="2" customFormat="1" ht="134.25" customHeight="1" x14ac:dyDescent="0.25">
      <c r="A9" s="43">
        <v>2</v>
      </c>
      <c r="B9" s="43" t="s">
        <v>110</v>
      </c>
      <c r="C9" s="43">
        <v>4</v>
      </c>
      <c r="D9" s="43" t="s">
        <v>114</v>
      </c>
      <c r="E9" s="43" t="s">
        <v>115</v>
      </c>
      <c r="F9" s="44">
        <v>29877.8</v>
      </c>
      <c r="G9" s="44">
        <v>29877.8</v>
      </c>
      <c r="H9" s="77"/>
      <c r="I9" s="77"/>
      <c r="J9" s="71">
        <v>1</v>
      </c>
      <c r="K9" s="71">
        <f>Tabela1[[#This Row],[dofinansowanie]]/Tabela1[[#This Row],[sztuk/godzin]]</f>
        <v>29877.8</v>
      </c>
      <c r="L9" s="43"/>
      <c r="M9" s="77"/>
      <c r="N9" s="71" t="str">
        <f>CONCATENATE(Tabela1[[#This Row],[Sygnatura]]," - ",Tabela1[[#This Row],[Nazwa wydatku]])</f>
        <v>WYD118 - Koszt wyposażenia pomieszczeń Punktu Wspierania Rodziny w meble i pomoce dydaktyczne</v>
      </c>
      <c r="O9" s="77"/>
      <c r="P9" s="44"/>
      <c r="Q9" s="44">
        <f>Tabela1[[#This Row],[dofinansowanie]]/Tabela1[[#This Row],[sztuk/godzin]]</f>
        <v>29877.8</v>
      </c>
      <c r="R9" s="44">
        <f t="shared" si="0"/>
        <v>1</v>
      </c>
      <c r="S9" s="66"/>
      <c r="T9" s="72" t="str">
        <f>CONCATENATE(Tabela1[[#This Row],[Sygnatura]]," - ",Tabela1[[#This Row],[Nazwa wydatku]])</f>
        <v>WYD118 - Koszt wyposażenia pomieszczeń Punktu Wspierania Rodziny w meble i pomoce dydaktyczne</v>
      </c>
      <c r="U9" s="61" t="s">
        <v>130</v>
      </c>
      <c r="V9" s="44"/>
      <c r="W9" s="59"/>
    </row>
    <row r="10" spans="1:23" s="2" customFormat="1" ht="96.75" customHeight="1" x14ac:dyDescent="0.25">
      <c r="A10" s="43">
        <v>1</v>
      </c>
      <c r="B10" s="43" t="s">
        <v>105</v>
      </c>
      <c r="C10" s="43">
        <v>1</v>
      </c>
      <c r="D10" s="43" t="s">
        <v>122</v>
      </c>
      <c r="E10" s="43" t="s">
        <v>116</v>
      </c>
      <c r="F10" s="44">
        <v>5760</v>
      </c>
      <c r="G10" s="44">
        <v>5760</v>
      </c>
      <c r="H10" s="77"/>
      <c r="I10" s="77"/>
      <c r="J10" s="71">
        <v>48</v>
      </c>
      <c r="K10" s="71">
        <f>Tabela1[[#This Row],[dofinansowanie]]/Tabela1[[#This Row],[sztuk/godzin]]</f>
        <v>120</v>
      </c>
      <c r="L10" s="43"/>
      <c r="M10" s="77"/>
      <c r="N10" s="71" t="str">
        <f>CONCATENATE(Tabela1[[#This Row],[Sygnatura]]," - ",Tabela1[[#This Row],[Nazwa wydatku]])</f>
        <v xml:space="preserve">   - Koszt przeprowadzenia poradnictwa prawnego, w szczególności rodzinnego (umowa zlecenie)</v>
      </c>
      <c r="O10" s="77"/>
      <c r="P10" s="44"/>
      <c r="Q10" s="44">
        <f>Tabela1[[#This Row],[dofinansowanie]]/Tabela1[[#This Row],[sztuk/godzin]]</f>
        <v>120</v>
      </c>
      <c r="R10" s="44">
        <f t="shared" si="0"/>
        <v>1</v>
      </c>
      <c r="S10" s="66"/>
      <c r="T10" s="72" t="str">
        <f>CONCATENATE(Tabela1[[#This Row],[Sygnatura]]," - ",Tabela1[[#This Row],[Nazwa wydatku]])</f>
        <v xml:space="preserve">   - Koszt przeprowadzenia poradnictwa prawnego, w szczególności rodzinnego (umowa zlecenie)</v>
      </c>
      <c r="U10" s="61" t="s">
        <v>131</v>
      </c>
      <c r="V10" s="44"/>
      <c r="W10" s="59"/>
    </row>
    <row r="11" spans="1:23" s="2" customFormat="1" ht="179.25" customHeight="1" x14ac:dyDescent="0.25">
      <c r="A11" s="43">
        <v>1</v>
      </c>
      <c r="B11" s="43" t="s">
        <v>105</v>
      </c>
      <c r="C11" s="43">
        <v>2</v>
      </c>
      <c r="D11" s="43" t="s">
        <v>87</v>
      </c>
      <c r="E11" s="43" t="s">
        <v>117</v>
      </c>
      <c r="F11" s="44">
        <v>6600</v>
      </c>
      <c r="G11" s="44">
        <v>6600</v>
      </c>
      <c r="H11" s="77"/>
      <c r="I11" s="77"/>
      <c r="J11" s="71">
        <v>44</v>
      </c>
      <c r="K11" s="71">
        <f>Tabela1[[#This Row],[dofinansowanie]]/Tabela1[[#This Row],[sztuk/godzin]]</f>
        <v>150</v>
      </c>
      <c r="L11" s="43"/>
      <c r="M11" s="77"/>
      <c r="N11" s="71" t="str">
        <f>CONCATENATE(Tabela1[[#This Row],[Sygnatura]]," - ",Tabela1[[#This Row],[Nazwa wydatku]])</f>
        <v>WYD011 - Koszt przeprowadzenia mediacji rodzinnych (umowa zlecenie)</v>
      </c>
      <c r="O11" s="77"/>
      <c r="P11" s="44"/>
      <c r="Q11" s="44">
        <f>Tabela1[[#This Row],[dofinansowanie]]/Tabela1[[#This Row],[sztuk/godzin]]</f>
        <v>150</v>
      </c>
      <c r="R11" s="44">
        <f t="shared" si="0"/>
        <v>1</v>
      </c>
      <c r="S11" s="66"/>
      <c r="T11" s="72" t="str">
        <f>CONCATENATE(Tabela1[[#This Row],[Sygnatura]]," - ",Tabela1[[#This Row],[Nazwa wydatku]])</f>
        <v>WYD011 - Koszt przeprowadzenia mediacji rodzinnych (umowa zlecenie)</v>
      </c>
      <c r="U11" s="61" t="s">
        <v>132</v>
      </c>
      <c r="V11" s="44"/>
      <c r="W11" s="59"/>
    </row>
    <row r="12" spans="1:23" s="2" customFormat="1" ht="22.5" customHeight="1" x14ac:dyDescent="0.25">
      <c r="A12" s="43">
        <v>1</v>
      </c>
      <c r="B12" s="43" t="s">
        <v>105</v>
      </c>
      <c r="C12" s="43">
        <v>3</v>
      </c>
      <c r="D12" s="43" t="s">
        <v>118</v>
      </c>
      <c r="E12" s="43" t="s">
        <v>119</v>
      </c>
      <c r="F12" s="44">
        <v>1840</v>
      </c>
      <c r="G12" s="44">
        <v>0</v>
      </c>
      <c r="H12" s="77"/>
      <c r="I12" s="77"/>
      <c r="J12" s="71">
        <v>92</v>
      </c>
      <c r="K12" s="71">
        <f>Tabela1[[#This Row],[dofinansowanie]]/Tabela1[[#This Row],[sztuk/godzin]]</f>
        <v>0</v>
      </c>
      <c r="L12" s="43"/>
      <c r="M12" s="77"/>
      <c r="N12" s="71" t="str">
        <f>CONCATENATE(Tabela1[[#This Row],[Sygnatura]]," - ",Tabela1[[#This Row],[Nazwa wydatku]])</f>
        <v xml:space="preserve">WYD018 - Koszt udostępnienia pomieszczeń - wkład własny </v>
      </c>
      <c r="O12" s="77"/>
      <c r="P12" s="44"/>
      <c r="Q12" s="44">
        <f>Tabela1[[#This Row],[dofinansowanie]]/Tabela1[[#This Row],[sztuk/godzin]]</f>
        <v>0</v>
      </c>
      <c r="R12" s="44" t="str">
        <f t="shared" si="0"/>
        <v>-</v>
      </c>
      <c r="S12" s="66"/>
      <c r="T12" s="72" t="str">
        <f>CONCATENATE(Tabela1[[#This Row],[Sygnatura]]," - ",Tabela1[[#This Row],[Nazwa wydatku]])</f>
        <v xml:space="preserve">WYD018 - Koszt udostępnienia pomieszczeń - wkład własny </v>
      </c>
      <c r="U12" s="61" t="s">
        <v>133</v>
      </c>
      <c r="V12" s="44"/>
      <c r="W12" s="59"/>
    </row>
    <row r="13" spans="1:23" s="2" customFormat="1" ht="105" customHeight="1" x14ac:dyDescent="0.25">
      <c r="A13" s="43">
        <v>2</v>
      </c>
      <c r="B13" s="43" t="s">
        <v>110</v>
      </c>
      <c r="C13" s="43">
        <v>1</v>
      </c>
      <c r="D13" s="43" t="s">
        <v>93</v>
      </c>
      <c r="E13" s="43" t="s">
        <v>120</v>
      </c>
      <c r="F13" s="44">
        <v>6720</v>
      </c>
      <c r="G13" s="44">
        <v>6720</v>
      </c>
      <c r="H13" s="77"/>
      <c r="I13" s="77"/>
      <c r="J13" s="71">
        <v>96</v>
      </c>
      <c r="K13" s="71">
        <f>Tabela1[[#This Row],[dofinansowanie]]/Tabela1[[#This Row],[sztuk/godzin]]</f>
        <v>70</v>
      </c>
      <c r="L13" s="43"/>
      <c r="M13" s="77"/>
      <c r="N13" s="71" t="str">
        <f>CONCATENATE(Tabela1[[#This Row],[Sygnatura]]," - ",Tabela1[[#This Row],[Nazwa wydatku]])</f>
        <v>WYD015 - Koszt przeprowadzenia zajęć z arteterapii (umowa zlecenie)</v>
      </c>
      <c r="O13" s="77"/>
      <c r="P13" s="44"/>
      <c r="Q13" s="44">
        <f>Tabela1[[#This Row],[dofinansowanie]]/Tabela1[[#This Row],[sztuk/godzin]]</f>
        <v>70</v>
      </c>
      <c r="R13" s="44">
        <f t="shared" si="0"/>
        <v>1</v>
      </c>
      <c r="S13" s="66"/>
      <c r="T13" s="72" t="str">
        <f>CONCATENATE(Tabela1[[#This Row],[Sygnatura]]," - ",Tabela1[[#This Row],[Nazwa wydatku]])</f>
        <v>WYD015 - Koszt przeprowadzenia zajęć z arteterapii (umowa zlecenie)</v>
      </c>
      <c r="U13" s="61" t="s">
        <v>134</v>
      </c>
      <c r="V13" s="44"/>
      <c r="W13" s="59"/>
    </row>
    <row r="14" spans="1:23" s="2" customFormat="1" ht="22.5" customHeight="1" x14ac:dyDescent="0.25">
      <c r="A14" s="43">
        <v>2</v>
      </c>
      <c r="B14" s="43" t="s">
        <v>110</v>
      </c>
      <c r="C14" s="43">
        <v>2</v>
      </c>
      <c r="D14" s="43" t="s">
        <v>96</v>
      </c>
      <c r="E14" s="43" t="s">
        <v>121</v>
      </c>
      <c r="F14" s="44">
        <v>1920</v>
      </c>
      <c r="G14" s="44">
        <v>0</v>
      </c>
      <c r="H14" s="77"/>
      <c r="I14" s="77"/>
      <c r="J14" s="71">
        <v>96</v>
      </c>
      <c r="K14" s="71">
        <f>Tabela1[[#This Row],[dofinansowanie]]/Tabela1[[#This Row],[sztuk/godzin]]</f>
        <v>0</v>
      </c>
      <c r="L14" s="43"/>
      <c r="M14" s="77"/>
      <c r="N14" s="71" t="str">
        <f>CONCATENATE(Tabela1[[#This Row],[Sygnatura]]," - ",Tabela1[[#This Row],[Nazwa wydatku]])</f>
        <v>WYD019 - Koszt udostępnienia pomieszczeń - wkład własny</v>
      </c>
      <c r="O14" s="77"/>
      <c r="P14" s="44"/>
      <c r="Q14" s="44">
        <f>Tabela1[[#This Row],[dofinansowanie]]/Tabela1[[#This Row],[sztuk/godzin]]</f>
        <v>0</v>
      </c>
      <c r="R14" s="44" t="str">
        <f t="shared" si="0"/>
        <v>-</v>
      </c>
      <c r="S14" s="66"/>
      <c r="T14" s="72" t="str">
        <f>CONCATENATE(Tabela1[[#This Row],[Sygnatura]]," - ",Tabela1[[#This Row],[Nazwa wydatku]])</f>
        <v>WYD019 - Koszt udostępnienia pomieszczeń - wkład własny</v>
      </c>
      <c r="U14" s="61" t="s">
        <v>135</v>
      </c>
      <c r="V14" s="44"/>
      <c r="W14" s="59"/>
    </row>
    <row r="15" spans="1:23" x14ac:dyDescent="0.25">
      <c r="F15" s="1">
        <f>SUBTOTAL(109,Tabela1[wartość])</f>
        <v>224037.8</v>
      </c>
      <c r="G15" s="1">
        <f>SUBTOTAL(109,Tabela1[dofinansowanie])</f>
        <v>204434.49</v>
      </c>
      <c r="L15">
        <f>SUBTOTAL(109,Tabela1[Cross - financing])</f>
        <v>0</v>
      </c>
      <c r="M15"/>
      <c r="N15"/>
      <c r="O15"/>
      <c r="P15" s="62"/>
      <c r="S15" s="67"/>
    </row>
    <row r="16" spans="1:23" ht="27.75" customHeight="1" x14ac:dyDescent="0.25">
      <c r="B16" s="22" t="b">
        <v>0</v>
      </c>
      <c r="C16" s="23"/>
      <c r="M16" s="5"/>
      <c r="Q16"/>
      <c r="R16" s="6"/>
      <c r="S16" s="69"/>
      <c r="U16" s="75"/>
    </row>
    <row r="17" spans="1:21" ht="13.5" customHeight="1" x14ac:dyDescent="0.25">
      <c r="B17" s="16" t="s">
        <v>6</v>
      </c>
      <c r="C17" s="17">
        <v>0.2</v>
      </c>
      <c r="D17" s="19">
        <f>ROUND(Tabela1[[#Totals],[wartość]]*C17,2)</f>
        <v>44807.56</v>
      </c>
      <c r="F17" s="55" t="s">
        <v>38</v>
      </c>
      <c r="G17" s="56" t="s">
        <v>39</v>
      </c>
      <c r="H17" s="21" t="s">
        <v>40</v>
      </c>
      <c r="J17" s="33" t="s">
        <v>64</v>
      </c>
      <c r="K17" s="34">
        <f>SUMIF(Tabela1[Środek trwały],"Tak",Tabela1[wartość])-SUMIF(Tabela1[Cross - financing],"Tak",Tabela1[wartość])</f>
        <v>0</v>
      </c>
      <c r="L17" s="4"/>
      <c r="M17" s="78" t="s">
        <v>34</v>
      </c>
      <c r="N17" s="34">
        <f>SUMIF(Tabela1[pomoc de minimis],"Tak",Tabela1[wartość])</f>
        <v>0</v>
      </c>
      <c r="R17" s="4"/>
      <c r="U17" s="76"/>
    </row>
    <row r="18" spans="1:21" x14ac:dyDescent="0.25">
      <c r="B18" s="16" t="s">
        <v>7</v>
      </c>
      <c r="C18" s="18"/>
      <c r="D18" s="19">
        <f>Tabela1[[#Totals],[wartość]]+D17</f>
        <v>268845.36</v>
      </c>
      <c r="F18" s="25">
        <v>1</v>
      </c>
      <c r="G18" s="57">
        <f>SUMIF(Tabela1[nr Zadania],F18,Tabela1[wartość])</f>
        <v>142440</v>
      </c>
      <c r="H18" s="20">
        <f>SUMIF(Tabela1[nr Zadania],F18,Tabela1[dofinansowanie])</f>
        <v>131236.69</v>
      </c>
      <c r="J18" s="35"/>
      <c r="K18" s="36">
        <f>K17/$D$18</f>
        <v>0</v>
      </c>
      <c r="M18" s="79"/>
      <c r="N18" s="36">
        <f>N17/$D$18</f>
        <v>0</v>
      </c>
      <c r="R18" s="4"/>
      <c r="U18" s="76"/>
    </row>
    <row r="19" spans="1:21" x14ac:dyDescent="0.25">
      <c r="B19" s="16" t="s">
        <v>2</v>
      </c>
      <c r="C19" s="18"/>
      <c r="D19" s="19">
        <f>D20+D22</f>
        <v>250026.19</v>
      </c>
      <c r="F19" s="25">
        <v>2</v>
      </c>
      <c r="G19" s="57">
        <f>SUMIF(Tabela1[nr Zadania],F19,Tabela1[wartość])</f>
        <v>81597.8</v>
      </c>
      <c r="H19" s="20">
        <f>SUMIF(Tabela1[nr Zadania],F19,Tabela1[dofinansowanie])</f>
        <v>73197.8</v>
      </c>
      <c r="J19" s="33" t="s">
        <v>35</v>
      </c>
      <c r="K19" s="34">
        <f>SUMIF(Tabela1[Cross - financing],"Tak",Tabela1[wartość])</f>
        <v>0</v>
      </c>
      <c r="M19" s="78" t="s">
        <v>50</v>
      </c>
      <c r="N19" s="34">
        <f>SUMIF(Tabela1[Usługa zlecona],"Tak",Tabela1[wartość])</f>
        <v>0</v>
      </c>
      <c r="R19" s="4"/>
      <c r="U19" s="76"/>
    </row>
    <row r="20" spans="1:21" x14ac:dyDescent="0.25">
      <c r="B20" s="16" t="s">
        <v>37</v>
      </c>
      <c r="C20" s="18">
        <v>85</v>
      </c>
      <c r="D20" s="19">
        <f>ROUND(D18*0.85,2)</f>
        <v>228518.56</v>
      </c>
      <c r="F20" s="25">
        <v>3</v>
      </c>
      <c r="G20" s="57">
        <f>SUMIF(Tabela1[nr Zadania],F20,Tabela1[wartość])</f>
        <v>0</v>
      </c>
      <c r="H20" s="20">
        <f>SUMIF(Tabela1[nr Zadania],F20,Tabela1[dofinansowanie])</f>
        <v>0</v>
      </c>
      <c r="J20" s="35"/>
      <c r="K20" s="36">
        <f>K19/$D$18/85*100</f>
        <v>0</v>
      </c>
      <c r="M20" s="79"/>
      <c r="N20" s="36">
        <f>N19/$D$18</f>
        <v>0</v>
      </c>
      <c r="R20" s="4"/>
      <c r="U20" s="4"/>
    </row>
    <row r="21" spans="1:21" x14ac:dyDescent="0.25">
      <c r="B21" s="16" t="s">
        <v>8</v>
      </c>
      <c r="C21" s="17">
        <v>7.0000000000000007E-2</v>
      </c>
      <c r="D21" s="19">
        <f>IF(B16=FALSE,ROUND($D$18*C21,2),K27-L27)</f>
        <v>18819.18</v>
      </c>
      <c r="E21" s="1">
        <f>Tabela1[[#Totals],[wartość]]-Tabela1[[#Totals],[dofinansowanie]]+J28</f>
        <v>25927.869999999995</v>
      </c>
      <c r="F21" s="25">
        <v>4</v>
      </c>
      <c r="G21" s="57">
        <f>SUMIF(Tabela1[nr Zadania],F21,Tabela1[wartość])</f>
        <v>0</v>
      </c>
      <c r="H21" s="20">
        <f>SUMIF(Tabela1[nr Zadania],F21,Tabela1[dofinansowanie])</f>
        <v>0</v>
      </c>
      <c r="J21" s="31" t="s">
        <v>47</v>
      </c>
      <c r="K21" s="32">
        <f>SUMIFS(Tabela1[wartość],Tabela1[Cross - financing],"tak",Tabela1[Środek trwały],"tak")</f>
        <v>0</v>
      </c>
      <c r="M21" s="38" t="s">
        <v>42</v>
      </c>
      <c r="N21" s="39">
        <f>MIN(Tabela1[[#Headers],[#Data],[od]])</f>
        <v>0</v>
      </c>
      <c r="R21" s="4" t="e">
        <f>#REF!*90</f>
        <v>#REF!</v>
      </c>
      <c r="U21" s="4"/>
    </row>
    <row r="22" spans="1:21" x14ac:dyDescent="0.25">
      <c r="B22" s="16" t="s">
        <v>9</v>
      </c>
      <c r="C22" s="17">
        <v>0.08</v>
      </c>
      <c r="D22" s="19">
        <f>ROUND($D$18*C22,2)</f>
        <v>21507.63</v>
      </c>
      <c r="E22">
        <v>1111</v>
      </c>
      <c r="F22" s="25">
        <v>5</v>
      </c>
      <c r="G22" s="57">
        <f>SUMIF(Tabela1[nr Zadania],F22,Tabela1[wartość])</f>
        <v>0</v>
      </c>
      <c r="H22" s="20">
        <f>SUMIF(Tabela1[nr Zadania],F22,Tabela1[dofinansowanie])</f>
        <v>0</v>
      </c>
      <c r="J22" s="31" t="s">
        <v>48</v>
      </c>
      <c r="K22" s="32">
        <f>K17+K19</f>
        <v>0</v>
      </c>
      <c r="L22" s="4"/>
      <c r="M22" s="40"/>
      <c r="N22" s="41">
        <f>MAX(Tabela1[do])</f>
        <v>0</v>
      </c>
      <c r="R22" s="1" t="e">
        <f>#REF!-R21</f>
        <v>#REF!</v>
      </c>
      <c r="U22" s="4"/>
    </row>
    <row r="23" spans="1:21" x14ac:dyDescent="0.25">
      <c r="B23" s="16" t="s">
        <v>10</v>
      </c>
      <c r="C23" s="17">
        <v>0</v>
      </c>
      <c r="D23" s="19">
        <f>SUM(D21:D22)</f>
        <v>40326.81</v>
      </c>
      <c r="F23" s="25" t="s">
        <v>41</v>
      </c>
      <c r="G23" s="57">
        <f>SUM(G18:G22)</f>
        <v>224037.8</v>
      </c>
      <c r="H23" s="19">
        <f>SUM(H18:H22)</f>
        <v>204434.49</v>
      </c>
      <c r="J23" s="31" t="s">
        <v>27</v>
      </c>
      <c r="K23" s="32">
        <f>K22-K21</f>
        <v>0</v>
      </c>
      <c r="L23" s="4"/>
      <c r="M23" s="42"/>
      <c r="N23" s="53">
        <f>(YEAR(N22)*12+MONTH(N22))-(YEAR(N21)*12+MONTH(N21))</f>
        <v>0</v>
      </c>
      <c r="U23" s="4"/>
    </row>
    <row r="24" spans="1:21" x14ac:dyDescent="0.25">
      <c r="B24" s="28"/>
      <c r="C24" s="29"/>
      <c r="D24" s="30"/>
      <c r="G24" s="58"/>
      <c r="J24" s="31" t="s">
        <v>49</v>
      </c>
      <c r="K24" s="37">
        <f>ROUND(0.2*D18,2)</f>
        <v>53769.07</v>
      </c>
      <c r="L24" s="4"/>
      <c r="U24" s="4"/>
    </row>
    <row r="25" spans="1:21" x14ac:dyDescent="0.25">
      <c r="A25" s="7" t="s">
        <v>62</v>
      </c>
      <c r="U25" s="4"/>
    </row>
    <row r="26" spans="1:21" ht="75" x14ac:dyDescent="0.25">
      <c r="A26" s="45" t="s">
        <v>52</v>
      </c>
      <c r="B26" s="45" t="s">
        <v>56</v>
      </c>
      <c r="C26" s="45" t="s">
        <v>57</v>
      </c>
      <c r="D26" s="45" t="s">
        <v>40</v>
      </c>
      <c r="E26" s="45" t="s">
        <v>58</v>
      </c>
      <c r="F26" s="46" t="s">
        <v>59</v>
      </c>
      <c r="G26" s="46" t="s">
        <v>60</v>
      </c>
      <c r="H26" s="45" t="s">
        <v>51</v>
      </c>
      <c r="J26" s="15" t="s">
        <v>44</v>
      </c>
      <c r="K26" s="24" t="s">
        <v>45</v>
      </c>
      <c r="L26" s="15" t="s">
        <v>2</v>
      </c>
      <c r="U26" s="4" t="s">
        <v>75</v>
      </c>
    </row>
    <row r="27" spans="1:21" ht="60" x14ac:dyDescent="0.25">
      <c r="A27" s="45" t="s">
        <v>61</v>
      </c>
      <c r="B27" s="47">
        <f>D18-N17</f>
        <v>268845.36</v>
      </c>
      <c r="C27" s="47">
        <f>B27</f>
        <v>268845.36</v>
      </c>
      <c r="D27" s="47">
        <f>D19-N17</f>
        <v>250026.19</v>
      </c>
      <c r="E27" s="49">
        <f>ROUND(D27/B27,4)</f>
        <v>0.93</v>
      </c>
      <c r="F27" s="50">
        <f>ROUND((C27*0.85),2)</f>
        <v>228518.56</v>
      </c>
      <c r="G27" s="51">
        <f>ROUND($F$27/$B$27,4)</f>
        <v>0.85</v>
      </c>
      <c r="H27" s="47">
        <f>D21</f>
        <v>18819.18</v>
      </c>
      <c r="J27" s="26">
        <f>D17</f>
        <v>44807.56</v>
      </c>
      <c r="K27" s="27">
        <f>J27</f>
        <v>44807.56</v>
      </c>
      <c r="L27" s="25">
        <v>38483</v>
      </c>
      <c r="U27" s="4"/>
    </row>
    <row r="28" spans="1:21" ht="45" x14ac:dyDescent="0.25">
      <c r="A28" s="45" t="s">
        <v>53</v>
      </c>
      <c r="B28" s="47">
        <v>0</v>
      </c>
      <c r="C28" s="47">
        <v>0</v>
      </c>
      <c r="D28" s="47">
        <v>0</v>
      </c>
      <c r="E28" s="47">
        <v>0</v>
      </c>
      <c r="F28" s="50">
        <v>0</v>
      </c>
      <c r="G28" s="50">
        <v>0</v>
      </c>
      <c r="H28" s="47">
        <v>0</v>
      </c>
      <c r="J28" s="1">
        <f>K27-L27</f>
        <v>6324.5599999999977</v>
      </c>
    </row>
    <row r="29" spans="1:21" ht="45" x14ac:dyDescent="0.25">
      <c r="A29" s="45" t="s">
        <v>54</v>
      </c>
      <c r="B29" s="47">
        <f>N17</f>
        <v>0</v>
      </c>
      <c r="C29" s="47">
        <f>B29</f>
        <v>0</v>
      </c>
      <c r="D29" s="47">
        <f>SUMIF(Tabela1[pomoc de minimis],"TAK",Tabela1[dofinansowanie])</f>
        <v>0</v>
      </c>
      <c r="E29" s="49" t="e">
        <f>ROUND(D29/B29,4)</f>
        <v>#DIV/0!</v>
      </c>
      <c r="F29" s="50">
        <f>ROUND((C29*0.85),2)</f>
        <v>0</v>
      </c>
      <c r="G29" s="51">
        <f>IFERROR(ROUND($F$29/$B$29,4),0)</f>
        <v>0</v>
      </c>
      <c r="H29" s="47">
        <f>SUMIF(Tabela1[pomoc de minimis],"tak",Tabela1[wartość])-SUMIF(Tabela1[pomoc de minimis],"tak",Tabela1[dofinansowanie])</f>
        <v>0</v>
      </c>
      <c r="I29" s="43"/>
      <c r="J29" s="43"/>
    </row>
    <row r="30" spans="1:21" ht="30" x14ac:dyDescent="0.25">
      <c r="A30" s="45" t="s">
        <v>55</v>
      </c>
      <c r="B30" s="47">
        <f>SUM(B27:B29)</f>
        <v>268845.36</v>
      </c>
      <c r="C30" s="47">
        <f>SUM(C27:C29)</f>
        <v>268845.36</v>
      </c>
      <c r="D30" s="47">
        <f>SUM(D27:D29)</f>
        <v>250026.19</v>
      </c>
      <c r="E30" s="48"/>
      <c r="F30" s="50">
        <f>SUM(F27:F29)</f>
        <v>228518.56</v>
      </c>
      <c r="G30" s="51"/>
      <c r="H30" s="47">
        <f>SUM(H27:H29)</f>
        <v>18819.18</v>
      </c>
      <c r="I30" s="43"/>
      <c r="J30" s="43"/>
    </row>
    <row r="31" spans="1:21" x14ac:dyDescent="0.25">
      <c r="I31" s="43"/>
      <c r="J31" s="43"/>
    </row>
    <row r="32" spans="1:21" x14ac:dyDescent="0.25">
      <c r="C32" s="52"/>
      <c r="I32" s="43"/>
      <c r="J32" s="43"/>
    </row>
    <row r="33" spans="1:21" x14ac:dyDescent="0.25">
      <c r="I33" s="43"/>
      <c r="J33" s="43"/>
    </row>
    <row r="34" spans="1:21" x14ac:dyDescent="0.25">
      <c r="A34" s="43"/>
      <c r="C34" s="43"/>
      <c r="D34" s="43"/>
      <c r="E34" s="43"/>
      <c r="F34" s="44"/>
      <c r="G34" s="44"/>
      <c r="H34" s="43"/>
      <c r="I34" s="43"/>
      <c r="J34" s="43"/>
    </row>
    <row r="36" spans="1:21" x14ac:dyDescent="0.25">
      <c r="U36" s="63"/>
    </row>
  </sheetData>
  <mergeCells count="2">
    <mergeCell ref="M17:M18"/>
    <mergeCell ref="M19:M20"/>
  </mergeCells>
  <dataValidations count="1">
    <dataValidation type="list" allowBlank="1" showInputMessage="1" showErrorMessage="1" sqref="L2:O14" xr:uid="{00000000-0002-0000-0000-000000000000}">
      <formula1>"TAK"</formula1>
    </dataValidation>
  </dataValidations>
  <pageMargins left="0.25" right="0.25" top="0.75" bottom="0.75" header="0.3" footer="0.3"/>
  <pageSetup paperSize="9" scale="56"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1031" r:id="rId4" name="Check Box 7">
              <controlPr defaultSize="0" autoFill="0" autoLine="0" autoPict="0">
                <anchor moveWithCells="1">
                  <from>
                    <xdr:col>1</xdr:col>
                    <xdr:colOff>0</xdr:colOff>
                    <xdr:row>15</xdr:row>
                    <xdr:rowOff>19050</xdr:rowOff>
                  </from>
                  <to>
                    <xdr:col>1</xdr:col>
                    <xdr:colOff>1895475</xdr:colOff>
                    <xdr:row>15</xdr:row>
                    <xdr:rowOff>257175</xdr:rowOff>
                  </to>
                </anchor>
              </controlPr>
            </control>
          </mc:Choice>
        </mc:AlternateContent>
      </controls>
    </mc:Choice>
  </mc:AlternateContent>
  <tableParts count="1">
    <tablePart r:id="rId5"/>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708C0-2905-4264-9DF0-BC8AA74DACD3}">
  <sheetPr>
    <pageSetUpPr fitToPage="1"/>
  </sheetPr>
  <dimension ref="A1:I100"/>
  <sheetViews>
    <sheetView zoomScale="115" zoomScaleNormal="115" zoomScaleSheetLayoutView="100" workbookViewId="0">
      <selection activeCell="C17" sqref="C17"/>
    </sheetView>
  </sheetViews>
  <sheetFormatPr defaultRowHeight="15" x14ac:dyDescent="0.25"/>
  <cols>
    <col min="1" max="1" width="8" customWidth="1"/>
    <col min="2" max="2" width="121.140625" customWidth="1"/>
    <col min="3" max="3" width="41.140625" customWidth="1"/>
    <col min="4" max="4" width="24.28515625" customWidth="1"/>
    <col min="5" max="5" width="21.5703125" customWidth="1"/>
    <col min="6" max="6" width="18" customWidth="1"/>
    <col min="7" max="7" width="9.5703125" customWidth="1"/>
    <col min="8" max="8" width="12.7109375" customWidth="1"/>
    <col min="9" max="9" width="20.5703125" customWidth="1"/>
  </cols>
  <sheetData>
    <row r="1" spans="1:9" x14ac:dyDescent="0.25">
      <c r="B1" s="11" t="s">
        <v>28</v>
      </c>
      <c r="C1" s="11" t="s">
        <v>30</v>
      </c>
    </row>
    <row r="2" spans="1:9" x14ac:dyDescent="0.25">
      <c r="B2" t="s">
        <v>69</v>
      </c>
      <c r="C2">
        <v>128</v>
      </c>
      <c r="D2" s="73">
        <v>43523369.799999997</v>
      </c>
      <c r="E2" t="s">
        <v>72</v>
      </c>
    </row>
    <row r="3" spans="1:9" x14ac:dyDescent="0.25">
      <c r="D3" s="1">
        <f>Tabela1[[#Totals],[dofinansowanie]]</f>
        <v>204434.49</v>
      </c>
      <c r="E3" t="s">
        <v>71</v>
      </c>
    </row>
    <row r="4" spans="1:9" x14ac:dyDescent="0.25">
      <c r="D4" s="54">
        <f>ROUND(D3/D2,5)</f>
        <v>4.7000000000000002E-3</v>
      </c>
      <c r="E4" t="s">
        <v>73</v>
      </c>
    </row>
    <row r="6" spans="1:9" x14ac:dyDescent="0.25">
      <c r="E6" s="1"/>
    </row>
    <row r="8" spans="1:9" x14ac:dyDescent="0.25">
      <c r="B8" s="7" t="s">
        <v>31</v>
      </c>
      <c r="C8" s="7">
        <f xml:space="preserve"> SUM(C2:C7)</f>
        <v>128</v>
      </c>
    </row>
    <row r="9" spans="1:9" x14ac:dyDescent="0.25">
      <c r="B9" s="7"/>
      <c r="C9" s="7"/>
    </row>
    <row r="11" spans="1:9" s="14" customFormat="1" ht="60.75" customHeight="1" x14ac:dyDescent="0.25">
      <c r="A11" s="10" t="s">
        <v>23</v>
      </c>
      <c r="B11" s="10" t="s">
        <v>25</v>
      </c>
      <c r="C11" s="10" t="s">
        <v>84</v>
      </c>
      <c r="D11" s="10" t="s">
        <v>26</v>
      </c>
      <c r="E11" s="10" t="s">
        <v>20</v>
      </c>
      <c r="F11" s="10" t="s">
        <v>21</v>
      </c>
      <c r="G11" s="10" t="s">
        <v>27</v>
      </c>
      <c r="H11" s="10" t="s">
        <v>29</v>
      </c>
      <c r="I11" s="10" t="s">
        <v>32</v>
      </c>
    </row>
    <row r="12" spans="1:9" x14ac:dyDescent="0.25">
      <c r="B12" s="8" t="s">
        <v>76</v>
      </c>
      <c r="C12" s="7" t="s">
        <v>83</v>
      </c>
      <c r="D12" s="7">
        <f>SUMIF($B$22:$B$36,B12,C22:$C$36)</f>
        <v>0</v>
      </c>
      <c r="E12" t="s">
        <v>19</v>
      </c>
      <c r="F12" t="s">
        <v>63</v>
      </c>
      <c r="G12">
        <f>H12-D12</f>
        <v>1</v>
      </c>
      <c r="H12">
        <f t="shared" ref="H12:H19" si="0">ROUNDUP($D$4*I12,0)</f>
        <v>1</v>
      </c>
      <c r="I12">
        <v>33</v>
      </c>
    </row>
    <row r="13" spans="1:9" x14ac:dyDescent="0.25">
      <c r="B13" s="8" t="s">
        <v>77</v>
      </c>
      <c r="C13" s="7" t="s">
        <v>83</v>
      </c>
      <c r="D13" s="7">
        <f>SUMIF($B$22:$B$36,B13,C22:$C$36)</f>
        <v>0</v>
      </c>
      <c r="E13" t="s">
        <v>74</v>
      </c>
      <c r="F13" t="s">
        <v>63</v>
      </c>
      <c r="G13">
        <f>H13-D13</f>
        <v>0</v>
      </c>
      <c r="H13">
        <f t="shared" si="0"/>
        <v>0</v>
      </c>
    </row>
    <row r="14" spans="1:9" x14ac:dyDescent="0.25">
      <c r="B14" s="8" t="s">
        <v>78</v>
      </c>
      <c r="C14" s="7">
        <v>3</v>
      </c>
      <c r="D14" s="7">
        <f>SUMIF($B$22:$B$36,B14,C22:$C$36)</f>
        <v>0</v>
      </c>
      <c r="E14" t="s">
        <v>74</v>
      </c>
      <c r="F14" t="s">
        <v>63</v>
      </c>
      <c r="G14">
        <f t="shared" ref="G14:G20" si="1">H14-D14</f>
        <v>0</v>
      </c>
      <c r="H14">
        <f t="shared" si="0"/>
        <v>0</v>
      </c>
    </row>
    <row r="15" spans="1:9" x14ac:dyDescent="0.25">
      <c r="B15" s="8" t="s">
        <v>81</v>
      </c>
      <c r="C15" s="7">
        <v>2</v>
      </c>
      <c r="D15" s="7">
        <f>SUMIF($B$22:$B$36,B15,C22:$C$36)</f>
        <v>0</v>
      </c>
      <c r="E15" t="s">
        <v>74</v>
      </c>
      <c r="F15" t="s">
        <v>63</v>
      </c>
      <c r="G15">
        <f t="shared" si="1"/>
        <v>0</v>
      </c>
      <c r="H15">
        <f t="shared" si="0"/>
        <v>0</v>
      </c>
    </row>
    <row r="16" spans="1:9" x14ac:dyDescent="0.25">
      <c r="B16" s="8" t="s">
        <v>82</v>
      </c>
      <c r="C16" s="7">
        <v>1</v>
      </c>
      <c r="D16" s="7">
        <f>SUMIF($B$22:$B$36,B16,C22:$C$36)</f>
        <v>0</v>
      </c>
      <c r="E16" t="s">
        <v>74</v>
      </c>
      <c r="F16" t="s">
        <v>63</v>
      </c>
      <c r="G16">
        <f t="shared" si="1"/>
        <v>0</v>
      </c>
      <c r="H16">
        <f t="shared" si="0"/>
        <v>0</v>
      </c>
    </row>
    <row r="17" spans="1:9" x14ac:dyDescent="0.25">
      <c r="B17" s="8" t="s">
        <v>85</v>
      </c>
      <c r="C17" s="7" t="s">
        <v>83</v>
      </c>
      <c r="D17" s="7">
        <f>SUMIF($B$22:$B$36,B17,C22:$C$36)</f>
        <v>0</v>
      </c>
      <c r="E17" t="s">
        <v>74</v>
      </c>
      <c r="F17" t="s">
        <v>63</v>
      </c>
      <c r="G17">
        <f t="shared" si="1"/>
        <v>6</v>
      </c>
      <c r="H17">
        <f t="shared" si="0"/>
        <v>6</v>
      </c>
      <c r="I17">
        <v>1078</v>
      </c>
    </row>
    <row r="18" spans="1:9" x14ac:dyDescent="0.25">
      <c r="B18" s="8" t="s">
        <v>86</v>
      </c>
      <c r="C18" s="7">
        <v>3</v>
      </c>
      <c r="D18" s="7">
        <f>SUMIF($B$22:$B$36,B18,C22:$C$36)</f>
        <v>0</v>
      </c>
      <c r="E18" t="s">
        <v>74</v>
      </c>
      <c r="F18" t="s">
        <v>63</v>
      </c>
      <c r="G18">
        <f t="shared" si="1"/>
        <v>0</v>
      </c>
      <c r="H18">
        <f t="shared" si="0"/>
        <v>0</v>
      </c>
    </row>
    <row r="19" spans="1:9" x14ac:dyDescent="0.25">
      <c r="B19" s="8" t="s">
        <v>79</v>
      </c>
      <c r="C19" s="7">
        <v>2</v>
      </c>
      <c r="D19" s="7">
        <f>SUMIF($B$22:$B$36,B19,C22:$C$36)</f>
        <v>0</v>
      </c>
      <c r="E19" t="s">
        <v>74</v>
      </c>
      <c r="F19" t="s">
        <v>63</v>
      </c>
      <c r="G19">
        <f>H19-D19</f>
        <v>0</v>
      </c>
      <c r="H19">
        <f t="shared" si="0"/>
        <v>0</v>
      </c>
    </row>
    <row r="20" spans="1:9" x14ac:dyDescent="0.25">
      <c r="B20" s="8" t="s">
        <v>80</v>
      </c>
      <c r="C20" s="7">
        <v>1</v>
      </c>
      <c r="D20" s="7">
        <f>SUMIF($B$22:$B$36,B20,C22:$C$36)</f>
        <v>0</v>
      </c>
      <c r="E20" t="s">
        <v>74</v>
      </c>
      <c r="G20">
        <f t="shared" si="1"/>
        <v>0</v>
      </c>
      <c r="H20">
        <f t="shared" ref="H20" si="2">ROUNDUP($D$4*I20,0)</f>
        <v>0</v>
      </c>
    </row>
    <row r="21" spans="1:9" s="9" customFormat="1" ht="55.5" customHeight="1" x14ac:dyDescent="0.25">
      <c r="A21" s="10" t="s">
        <v>22</v>
      </c>
      <c r="B21" s="10" t="s">
        <v>70</v>
      </c>
      <c r="C21" s="10" t="s">
        <v>24</v>
      </c>
      <c r="D21" s="10" t="s">
        <v>20</v>
      </c>
      <c r="E21" s="10" t="s">
        <v>21</v>
      </c>
    </row>
    <row r="22" spans="1:9" x14ac:dyDescent="0.25">
      <c r="B22" s="8" t="s">
        <v>76</v>
      </c>
      <c r="C22" s="7"/>
      <c r="D22" t="str">
        <f>IFERROR(VLOOKUP(B22,$B$12:$F$16,4,FALSE),"")</f>
        <v>obligatoryjny</v>
      </c>
      <c r="E22" t="str">
        <f>IFERROR(VLOOKUP(B22,$B$12:$F$16,5,FALSE),"")</f>
        <v>produktu</v>
      </c>
      <c r="G22" s="8"/>
    </row>
    <row r="23" spans="1:9" x14ac:dyDescent="0.25">
      <c r="B23" s="8" t="s">
        <v>77</v>
      </c>
      <c r="C23" s="7"/>
      <c r="D23" t="str">
        <f>IFERROR(VLOOKUP(B23,$B$12:$F$16,4,FALSE),"")</f>
        <v>kontekstowy</v>
      </c>
      <c r="E23" t="str">
        <f>IFERROR(VLOOKUP(B23,$B$12:$F$16,5,FALSE),"")</f>
        <v>produktu</v>
      </c>
      <c r="G23" s="8"/>
    </row>
    <row r="24" spans="1:9" x14ac:dyDescent="0.25">
      <c r="B24" s="8" t="s">
        <v>78</v>
      </c>
      <c r="C24" s="7"/>
      <c r="D24" t="str">
        <f>IFERROR(VLOOKUP(B24,$B$12:$F$16,4,FALSE),"")</f>
        <v>kontekstowy</v>
      </c>
      <c r="E24" t="str">
        <f>IFERROR(VLOOKUP(B24,$B$12:$F$16,5,FALSE),"")</f>
        <v>produktu</v>
      </c>
      <c r="G24" s="8"/>
    </row>
    <row r="25" spans="1:9" x14ac:dyDescent="0.25">
      <c r="B25" s="8" t="s">
        <v>85</v>
      </c>
      <c r="C25" s="7"/>
      <c r="D25" t="str">
        <f>IFERROR(VLOOKUP(B25,$B$12:$F$20,4,FALSE),"")</f>
        <v>kontekstowy</v>
      </c>
      <c r="E25" t="str">
        <f>IFERROR(VLOOKUP(B25,$B$12:$F$20,5,FALSE),"")</f>
        <v>produktu</v>
      </c>
      <c r="G25" s="8"/>
    </row>
    <row r="26" spans="1:9" x14ac:dyDescent="0.25">
      <c r="B26" s="8" t="s">
        <v>86</v>
      </c>
      <c r="C26" s="7"/>
      <c r="D26" t="str">
        <f>IFERROR(VLOOKUP(B26,$B$12:$F$20,4,FALSE),"")</f>
        <v>kontekstowy</v>
      </c>
      <c r="E26" t="str">
        <f>IFERROR(VLOOKUP(B26,$B$12:$F$20,5,FALSE),"")</f>
        <v>produktu</v>
      </c>
      <c r="G26" s="8"/>
    </row>
    <row r="27" spans="1:9" x14ac:dyDescent="0.25">
      <c r="B27" s="8"/>
      <c r="C27" s="7"/>
      <c r="D27" t="str">
        <f t="shared" ref="D27:D34" si="3">IFERROR(VLOOKUP(B27,$B$12:$F$20,4,FALSE),"")</f>
        <v/>
      </c>
      <c r="E27" t="str">
        <f t="shared" ref="E27:E34" si="4">IFERROR(VLOOKUP(B27,$B$12:$F$20,5,FALSE),"")</f>
        <v/>
      </c>
      <c r="G27" s="8"/>
    </row>
    <row r="28" spans="1:9" x14ac:dyDescent="0.25">
      <c r="B28" s="8"/>
      <c r="C28" s="7"/>
      <c r="D28" t="str">
        <f t="shared" si="3"/>
        <v/>
      </c>
      <c r="E28" t="str">
        <f t="shared" si="4"/>
        <v/>
      </c>
      <c r="G28" s="8"/>
    </row>
    <row r="29" spans="1:9" x14ac:dyDescent="0.25">
      <c r="B29" s="8"/>
      <c r="C29" s="7"/>
      <c r="D29" t="str">
        <f t="shared" si="3"/>
        <v/>
      </c>
      <c r="E29" t="str">
        <f t="shared" si="4"/>
        <v/>
      </c>
      <c r="I29" s="8"/>
    </row>
    <row r="30" spans="1:9" x14ac:dyDescent="0.25">
      <c r="C30" s="7"/>
      <c r="D30" t="str">
        <f t="shared" si="3"/>
        <v/>
      </c>
      <c r="E30" t="str">
        <f t="shared" si="4"/>
        <v/>
      </c>
    </row>
    <row r="31" spans="1:9" x14ac:dyDescent="0.25">
      <c r="C31" s="7"/>
      <c r="D31" t="str">
        <f t="shared" si="3"/>
        <v/>
      </c>
      <c r="E31" t="str">
        <f t="shared" si="4"/>
        <v/>
      </c>
    </row>
    <row r="32" spans="1:9" x14ac:dyDescent="0.25">
      <c r="C32" s="7"/>
      <c r="D32" t="str">
        <f t="shared" si="3"/>
        <v/>
      </c>
      <c r="E32" t="str">
        <f t="shared" si="4"/>
        <v/>
      </c>
    </row>
    <row r="33" spans="3:5" x14ac:dyDescent="0.25">
      <c r="C33" s="7"/>
      <c r="D33" t="str">
        <f t="shared" si="3"/>
        <v/>
      </c>
      <c r="E33" t="str">
        <f t="shared" si="4"/>
        <v/>
      </c>
    </row>
    <row r="34" spans="3:5" x14ac:dyDescent="0.25">
      <c r="C34" s="7"/>
      <c r="D34" t="str">
        <f t="shared" si="3"/>
        <v/>
      </c>
      <c r="E34" t="str">
        <f t="shared" si="4"/>
        <v/>
      </c>
    </row>
    <row r="35" spans="3:5" x14ac:dyDescent="0.25">
      <c r="C35" s="7"/>
      <c r="D35" t="str">
        <f t="shared" ref="D35:D59" si="5">IFERROR(VLOOKUP(B35,$B$12:$F$16,4,FALSE),"")</f>
        <v/>
      </c>
      <c r="E35" t="str">
        <f t="shared" ref="E35:E61" si="6">IFERROR(VLOOKUP(B35,$B$12:$F$16,5,FALSE),"")</f>
        <v/>
      </c>
    </row>
    <row r="36" spans="3:5" x14ac:dyDescent="0.25">
      <c r="C36" s="7"/>
      <c r="D36" t="str">
        <f t="shared" si="5"/>
        <v/>
      </c>
      <c r="E36" t="str">
        <f t="shared" si="6"/>
        <v/>
      </c>
    </row>
    <row r="37" spans="3:5" x14ac:dyDescent="0.25">
      <c r="C37" s="7"/>
      <c r="D37" t="str">
        <f t="shared" si="5"/>
        <v/>
      </c>
      <c r="E37" t="str">
        <f t="shared" si="6"/>
        <v/>
      </c>
    </row>
    <row r="38" spans="3:5" x14ac:dyDescent="0.25">
      <c r="C38" s="7"/>
      <c r="D38" t="str">
        <f t="shared" si="5"/>
        <v/>
      </c>
      <c r="E38" t="str">
        <f t="shared" si="6"/>
        <v/>
      </c>
    </row>
    <row r="39" spans="3:5" x14ac:dyDescent="0.25">
      <c r="D39" t="str">
        <f t="shared" si="5"/>
        <v/>
      </c>
      <c r="E39" t="str">
        <f t="shared" si="6"/>
        <v/>
      </c>
    </row>
    <row r="40" spans="3:5" x14ac:dyDescent="0.25">
      <c r="D40" t="str">
        <f t="shared" si="5"/>
        <v/>
      </c>
      <c r="E40" t="str">
        <f t="shared" si="6"/>
        <v/>
      </c>
    </row>
    <row r="41" spans="3:5" x14ac:dyDescent="0.25">
      <c r="D41" t="str">
        <f t="shared" si="5"/>
        <v/>
      </c>
      <c r="E41" t="str">
        <f t="shared" si="6"/>
        <v/>
      </c>
    </row>
    <row r="42" spans="3:5" x14ac:dyDescent="0.25">
      <c r="D42" t="str">
        <f t="shared" si="5"/>
        <v/>
      </c>
      <c r="E42" t="str">
        <f t="shared" si="6"/>
        <v/>
      </c>
    </row>
    <row r="43" spans="3:5" x14ac:dyDescent="0.25">
      <c r="D43" t="str">
        <f t="shared" si="5"/>
        <v/>
      </c>
      <c r="E43" t="str">
        <f t="shared" si="6"/>
        <v/>
      </c>
    </row>
    <row r="44" spans="3:5" x14ac:dyDescent="0.25">
      <c r="D44" t="str">
        <f t="shared" si="5"/>
        <v/>
      </c>
      <c r="E44" t="str">
        <f t="shared" si="6"/>
        <v/>
      </c>
    </row>
    <row r="45" spans="3:5" x14ac:dyDescent="0.25">
      <c r="D45" t="str">
        <f t="shared" si="5"/>
        <v/>
      </c>
      <c r="E45" t="str">
        <f t="shared" si="6"/>
        <v/>
      </c>
    </row>
    <row r="46" spans="3:5" x14ac:dyDescent="0.25">
      <c r="D46" t="str">
        <f t="shared" si="5"/>
        <v/>
      </c>
      <c r="E46" t="str">
        <f t="shared" si="6"/>
        <v/>
      </c>
    </row>
    <row r="47" spans="3:5" x14ac:dyDescent="0.25">
      <c r="D47" t="str">
        <f t="shared" si="5"/>
        <v/>
      </c>
      <c r="E47" t="str">
        <f t="shared" si="6"/>
        <v/>
      </c>
    </row>
    <row r="48" spans="3:5" x14ac:dyDescent="0.25">
      <c r="D48" t="str">
        <f t="shared" si="5"/>
        <v/>
      </c>
      <c r="E48" t="str">
        <f t="shared" si="6"/>
        <v/>
      </c>
    </row>
    <row r="49" spans="4:5" x14ac:dyDescent="0.25">
      <c r="D49" t="str">
        <f t="shared" si="5"/>
        <v/>
      </c>
      <c r="E49" t="str">
        <f t="shared" si="6"/>
        <v/>
      </c>
    </row>
    <row r="50" spans="4:5" x14ac:dyDescent="0.25">
      <c r="D50" t="str">
        <f t="shared" si="5"/>
        <v/>
      </c>
      <c r="E50" t="str">
        <f t="shared" si="6"/>
        <v/>
      </c>
    </row>
    <row r="51" spans="4:5" x14ac:dyDescent="0.25">
      <c r="D51" t="str">
        <f t="shared" si="5"/>
        <v/>
      </c>
      <c r="E51" t="str">
        <f t="shared" si="6"/>
        <v/>
      </c>
    </row>
    <row r="52" spans="4:5" x14ac:dyDescent="0.25">
      <c r="D52" t="str">
        <f t="shared" si="5"/>
        <v/>
      </c>
      <c r="E52" t="str">
        <f t="shared" si="6"/>
        <v/>
      </c>
    </row>
    <row r="53" spans="4:5" x14ac:dyDescent="0.25">
      <c r="D53" t="str">
        <f t="shared" si="5"/>
        <v/>
      </c>
      <c r="E53" t="str">
        <f t="shared" si="6"/>
        <v/>
      </c>
    </row>
    <row r="54" spans="4:5" x14ac:dyDescent="0.25">
      <c r="D54" t="str">
        <f t="shared" si="5"/>
        <v/>
      </c>
      <c r="E54" t="str">
        <f t="shared" si="6"/>
        <v/>
      </c>
    </row>
    <row r="55" spans="4:5" x14ac:dyDescent="0.25">
      <c r="D55" t="str">
        <f t="shared" si="5"/>
        <v/>
      </c>
      <c r="E55" t="str">
        <f t="shared" si="6"/>
        <v/>
      </c>
    </row>
    <row r="56" spans="4:5" x14ac:dyDescent="0.25">
      <c r="D56" t="str">
        <f t="shared" si="5"/>
        <v/>
      </c>
      <c r="E56" t="str">
        <f t="shared" si="6"/>
        <v/>
      </c>
    </row>
    <row r="57" spans="4:5" x14ac:dyDescent="0.25">
      <c r="D57" t="str">
        <f t="shared" si="5"/>
        <v/>
      </c>
      <c r="E57" t="str">
        <f t="shared" si="6"/>
        <v/>
      </c>
    </row>
    <row r="58" spans="4:5" x14ac:dyDescent="0.25">
      <c r="D58" t="str">
        <f t="shared" si="5"/>
        <v/>
      </c>
      <c r="E58" t="str">
        <f t="shared" si="6"/>
        <v/>
      </c>
    </row>
    <row r="59" spans="4:5" x14ac:dyDescent="0.25">
      <c r="D59" t="str">
        <f t="shared" si="5"/>
        <v/>
      </c>
      <c r="E59" t="str">
        <f t="shared" si="6"/>
        <v/>
      </c>
    </row>
    <row r="60" spans="4:5" x14ac:dyDescent="0.25">
      <c r="D60" t="str">
        <f t="shared" ref="D60:D91" si="7">IFERROR(VLOOKUP(B60,$B$12:$F$16,4,FALSE),"")</f>
        <v/>
      </c>
      <c r="E60" t="str">
        <f t="shared" si="6"/>
        <v/>
      </c>
    </row>
    <row r="61" spans="4:5" x14ac:dyDescent="0.25">
      <c r="D61" t="str">
        <f t="shared" si="7"/>
        <v/>
      </c>
      <c r="E61" t="str">
        <f t="shared" si="6"/>
        <v/>
      </c>
    </row>
    <row r="62" spans="4:5" x14ac:dyDescent="0.25">
      <c r="D62" t="str">
        <f t="shared" si="7"/>
        <v/>
      </c>
      <c r="E62" t="str">
        <f t="shared" ref="E62:E93" si="8">IFERROR(VLOOKUP(B62,$B$12:$F$16,5,FALSE),"")</f>
        <v/>
      </c>
    </row>
    <row r="63" spans="4:5" x14ac:dyDescent="0.25">
      <c r="D63" t="str">
        <f t="shared" si="7"/>
        <v/>
      </c>
      <c r="E63" t="str">
        <f t="shared" si="8"/>
        <v/>
      </c>
    </row>
    <row r="64" spans="4:5" x14ac:dyDescent="0.25">
      <c r="D64" t="str">
        <f t="shared" si="7"/>
        <v/>
      </c>
      <c r="E64" t="str">
        <f t="shared" si="8"/>
        <v/>
      </c>
    </row>
    <row r="65" spans="4:5" x14ac:dyDescent="0.25">
      <c r="D65" t="str">
        <f t="shared" si="7"/>
        <v/>
      </c>
      <c r="E65" t="str">
        <f t="shared" si="8"/>
        <v/>
      </c>
    </row>
    <row r="66" spans="4:5" x14ac:dyDescent="0.25">
      <c r="D66" t="str">
        <f t="shared" si="7"/>
        <v/>
      </c>
      <c r="E66" t="str">
        <f t="shared" si="8"/>
        <v/>
      </c>
    </row>
    <row r="67" spans="4:5" x14ac:dyDescent="0.25">
      <c r="D67" t="str">
        <f t="shared" si="7"/>
        <v/>
      </c>
      <c r="E67" t="str">
        <f t="shared" si="8"/>
        <v/>
      </c>
    </row>
    <row r="68" spans="4:5" x14ac:dyDescent="0.25">
      <c r="D68" t="str">
        <f t="shared" si="7"/>
        <v/>
      </c>
      <c r="E68" t="str">
        <f t="shared" si="8"/>
        <v/>
      </c>
    </row>
    <row r="69" spans="4:5" x14ac:dyDescent="0.25">
      <c r="D69" t="str">
        <f t="shared" si="7"/>
        <v/>
      </c>
      <c r="E69" t="str">
        <f t="shared" si="8"/>
        <v/>
      </c>
    </row>
    <row r="70" spans="4:5" x14ac:dyDescent="0.25">
      <c r="D70" t="str">
        <f t="shared" si="7"/>
        <v/>
      </c>
      <c r="E70" t="str">
        <f t="shared" si="8"/>
        <v/>
      </c>
    </row>
    <row r="71" spans="4:5" x14ac:dyDescent="0.25">
      <c r="D71" t="str">
        <f t="shared" si="7"/>
        <v/>
      </c>
      <c r="E71" t="str">
        <f t="shared" si="8"/>
        <v/>
      </c>
    </row>
    <row r="72" spans="4:5" x14ac:dyDescent="0.25">
      <c r="D72" t="str">
        <f t="shared" si="7"/>
        <v/>
      </c>
      <c r="E72" t="str">
        <f t="shared" si="8"/>
        <v/>
      </c>
    </row>
    <row r="73" spans="4:5" x14ac:dyDescent="0.25">
      <c r="D73" t="str">
        <f t="shared" si="7"/>
        <v/>
      </c>
      <c r="E73" t="str">
        <f t="shared" si="8"/>
        <v/>
      </c>
    </row>
    <row r="74" spans="4:5" x14ac:dyDescent="0.25">
      <c r="D74" t="str">
        <f t="shared" si="7"/>
        <v/>
      </c>
      <c r="E74" t="str">
        <f t="shared" si="8"/>
        <v/>
      </c>
    </row>
    <row r="75" spans="4:5" x14ac:dyDescent="0.25">
      <c r="D75" t="str">
        <f t="shared" si="7"/>
        <v/>
      </c>
      <c r="E75" t="str">
        <f t="shared" si="8"/>
        <v/>
      </c>
    </row>
    <row r="76" spans="4:5" x14ac:dyDescent="0.25">
      <c r="D76" t="str">
        <f t="shared" si="7"/>
        <v/>
      </c>
      <c r="E76" t="str">
        <f t="shared" si="8"/>
        <v/>
      </c>
    </row>
    <row r="77" spans="4:5" x14ac:dyDescent="0.25">
      <c r="D77" t="str">
        <f t="shared" si="7"/>
        <v/>
      </c>
      <c r="E77" t="str">
        <f t="shared" si="8"/>
        <v/>
      </c>
    </row>
    <row r="78" spans="4:5" x14ac:dyDescent="0.25">
      <c r="D78" t="str">
        <f t="shared" si="7"/>
        <v/>
      </c>
      <c r="E78" t="str">
        <f t="shared" si="8"/>
        <v/>
      </c>
    </row>
    <row r="79" spans="4:5" x14ac:dyDescent="0.25">
      <c r="D79" t="str">
        <f t="shared" si="7"/>
        <v/>
      </c>
      <c r="E79" t="str">
        <f t="shared" si="8"/>
        <v/>
      </c>
    </row>
    <row r="80" spans="4:5" x14ac:dyDescent="0.25">
      <c r="D80" t="str">
        <f t="shared" si="7"/>
        <v/>
      </c>
      <c r="E80" t="str">
        <f t="shared" si="8"/>
        <v/>
      </c>
    </row>
    <row r="81" spans="4:5" x14ac:dyDescent="0.25">
      <c r="D81" t="str">
        <f t="shared" si="7"/>
        <v/>
      </c>
      <c r="E81" t="str">
        <f t="shared" si="8"/>
        <v/>
      </c>
    </row>
    <row r="82" spans="4:5" x14ac:dyDescent="0.25">
      <c r="D82" t="str">
        <f t="shared" si="7"/>
        <v/>
      </c>
      <c r="E82" t="str">
        <f t="shared" si="8"/>
        <v/>
      </c>
    </row>
    <row r="83" spans="4:5" x14ac:dyDescent="0.25">
      <c r="D83" t="str">
        <f t="shared" si="7"/>
        <v/>
      </c>
      <c r="E83" t="str">
        <f t="shared" si="8"/>
        <v/>
      </c>
    </row>
    <row r="84" spans="4:5" x14ac:dyDescent="0.25">
      <c r="D84" t="str">
        <f t="shared" si="7"/>
        <v/>
      </c>
      <c r="E84" t="str">
        <f t="shared" si="8"/>
        <v/>
      </c>
    </row>
    <row r="85" spans="4:5" x14ac:dyDescent="0.25">
      <c r="D85" t="str">
        <f t="shared" si="7"/>
        <v/>
      </c>
      <c r="E85" t="str">
        <f t="shared" si="8"/>
        <v/>
      </c>
    </row>
    <row r="86" spans="4:5" x14ac:dyDescent="0.25">
      <c r="D86" t="str">
        <f t="shared" si="7"/>
        <v/>
      </c>
      <c r="E86" t="str">
        <f t="shared" si="8"/>
        <v/>
      </c>
    </row>
    <row r="87" spans="4:5" x14ac:dyDescent="0.25">
      <c r="D87" t="str">
        <f t="shared" si="7"/>
        <v/>
      </c>
      <c r="E87" t="str">
        <f t="shared" si="8"/>
        <v/>
      </c>
    </row>
    <row r="88" spans="4:5" x14ac:dyDescent="0.25">
      <c r="D88" t="str">
        <f t="shared" si="7"/>
        <v/>
      </c>
      <c r="E88" t="str">
        <f t="shared" si="8"/>
        <v/>
      </c>
    </row>
    <row r="89" spans="4:5" x14ac:dyDescent="0.25">
      <c r="D89" t="str">
        <f t="shared" si="7"/>
        <v/>
      </c>
      <c r="E89" t="str">
        <f t="shared" si="8"/>
        <v/>
      </c>
    </row>
    <row r="90" spans="4:5" x14ac:dyDescent="0.25">
      <c r="D90" t="str">
        <f t="shared" si="7"/>
        <v/>
      </c>
      <c r="E90" t="str">
        <f t="shared" si="8"/>
        <v/>
      </c>
    </row>
    <row r="91" spans="4:5" x14ac:dyDescent="0.25">
      <c r="D91" t="str">
        <f t="shared" si="7"/>
        <v/>
      </c>
      <c r="E91" t="str">
        <f t="shared" si="8"/>
        <v/>
      </c>
    </row>
    <row r="92" spans="4:5" x14ac:dyDescent="0.25">
      <c r="D92" t="str">
        <f t="shared" ref="D92:D100" si="9">IFERROR(VLOOKUP(B92,$B$12:$F$16,4,FALSE),"")</f>
        <v/>
      </c>
      <c r="E92" t="str">
        <f t="shared" si="8"/>
        <v/>
      </c>
    </row>
    <row r="93" spans="4:5" x14ac:dyDescent="0.25">
      <c r="D93" t="str">
        <f t="shared" si="9"/>
        <v/>
      </c>
      <c r="E93" t="str">
        <f t="shared" si="8"/>
        <v/>
      </c>
    </row>
    <row r="94" spans="4:5" x14ac:dyDescent="0.25">
      <c r="D94" t="str">
        <f t="shared" si="9"/>
        <v/>
      </c>
      <c r="E94" t="str">
        <f t="shared" ref="E94:E100" si="10">IFERROR(VLOOKUP(B94,$B$12:$F$16,5,FALSE),"")</f>
        <v/>
      </c>
    </row>
    <row r="95" spans="4:5" x14ac:dyDescent="0.25">
      <c r="D95" t="str">
        <f t="shared" si="9"/>
        <v/>
      </c>
      <c r="E95" t="str">
        <f t="shared" si="10"/>
        <v/>
      </c>
    </row>
    <row r="96" spans="4:5" x14ac:dyDescent="0.25">
      <c r="D96" t="str">
        <f t="shared" si="9"/>
        <v/>
      </c>
      <c r="E96" t="str">
        <f t="shared" si="10"/>
        <v/>
      </c>
    </row>
    <row r="97" spans="4:5" x14ac:dyDescent="0.25">
      <c r="D97" t="str">
        <f t="shared" si="9"/>
        <v/>
      </c>
      <c r="E97" t="str">
        <f t="shared" si="10"/>
        <v/>
      </c>
    </row>
    <row r="98" spans="4:5" x14ac:dyDescent="0.25">
      <c r="D98" t="str">
        <f t="shared" si="9"/>
        <v/>
      </c>
      <c r="E98" t="str">
        <f t="shared" si="10"/>
        <v/>
      </c>
    </row>
    <row r="99" spans="4:5" x14ac:dyDescent="0.25">
      <c r="D99" t="str">
        <f t="shared" si="9"/>
        <v/>
      </c>
      <c r="E99" t="str">
        <f t="shared" si="10"/>
        <v/>
      </c>
    </row>
    <row r="100" spans="4:5" x14ac:dyDescent="0.25">
      <c r="D100" t="str">
        <f t="shared" si="9"/>
        <v/>
      </c>
      <c r="E100" t="str">
        <f t="shared" si="10"/>
        <v/>
      </c>
    </row>
  </sheetData>
  <sheetProtection selectLockedCells="1" selectUnlockedCells="1"/>
  <protectedRanges>
    <protectedRange password="DD91" sqref="G21:G28 I29" name="Rozstęp1"/>
  </protectedRanges>
  <autoFilter ref="A21:E100" xr:uid="{00000000-0009-0000-0000-000001000000}"/>
  <dataValidations count="1">
    <dataValidation type="list" allowBlank="1" showInputMessage="1" showErrorMessage="1" sqref="B22:B43 B12:B13" xr:uid="{C100D04E-CA4E-460A-830F-4980FFE9A541}">
      <formula1>wskaźniki</formula1>
    </dataValidation>
  </dataValidations>
  <pageMargins left="0.7" right="0.7" top="0.75" bottom="0.75" header="0.3" footer="0.3"/>
  <pageSetup paperSize="9" scale="42" orientation="landscape"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D999F-B889-468C-8789-9283A48C5C6C}">
  <dimension ref="B2:F9"/>
  <sheetViews>
    <sheetView workbookViewId="0">
      <selection activeCell="G26" sqref="G26"/>
    </sheetView>
  </sheetViews>
  <sheetFormatPr defaultRowHeight="15" x14ac:dyDescent="0.25"/>
  <cols>
    <col min="2" max="2" width="38.5703125" bestFit="1" customWidth="1"/>
  </cols>
  <sheetData>
    <row r="2" spans="2:6" x14ac:dyDescent="0.25">
      <c r="B2" t="s">
        <v>97</v>
      </c>
      <c r="D2">
        <v>2</v>
      </c>
      <c r="E2">
        <v>1500</v>
      </c>
      <c r="F2">
        <f>D2*E2</f>
        <v>3000</v>
      </c>
    </row>
    <row r="3" spans="2:6" x14ac:dyDescent="0.25">
      <c r="B3" t="s">
        <v>98</v>
      </c>
      <c r="D3">
        <v>3</v>
      </c>
      <c r="E3">
        <v>60</v>
      </c>
      <c r="F3">
        <f t="shared" ref="F3:F8" si="0">D3*E3</f>
        <v>180</v>
      </c>
    </row>
    <row r="4" spans="2:6" x14ac:dyDescent="0.25">
      <c r="B4" t="s">
        <v>99</v>
      </c>
      <c r="D4">
        <v>2</v>
      </c>
      <c r="E4">
        <v>40</v>
      </c>
      <c r="F4">
        <f t="shared" si="0"/>
        <v>80</v>
      </c>
    </row>
    <row r="5" spans="2:6" x14ac:dyDescent="0.25">
      <c r="B5" t="s">
        <v>100</v>
      </c>
      <c r="D5">
        <v>1</v>
      </c>
      <c r="E5">
        <v>560</v>
      </c>
      <c r="F5">
        <f t="shared" si="0"/>
        <v>560</v>
      </c>
    </row>
    <row r="6" spans="2:6" x14ac:dyDescent="0.25">
      <c r="B6" t="s">
        <v>101</v>
      </c>
      <c r="D6">
        <v>1</v>
      </c>
      <c r="E6">
        <v>300</v>
      </c>
      <c r="F6">
        <f t="shared" si="0"/>
        <v>300</v>
      </c>
    </row>
    <row r="7" spans="2:6" x14ac:dyDescent="0.25">
      <c r="B7" t="s">
        <v>102</v>
      </c>
      <c r="D7">
        <v>2</v>
      </c>
      <c r="E7">
        <v>120</v>
      </c>
      <c r="F7">
        <f t="shared" si="0"/>
        <v>240</v>
      </c>
    </row>
    <row r="8" spans="2:6" x14ac:dyDescent="0.25">
      <c r="B8" t="s">
        <v>103</v>
      </c>
      <c r="D8">
        <v>1</v>
      </c>
      <c r="E8">
        <v>40</v>
      </c>
      <c r="F8">
        <f t="shared" si="0"/>
        <v>40</v>
      </c>
    </row>
    <row r="9" spans="2:6" x14ac:dyDescent="0.25">
      <c r="B9" t="s">
        <v>104</v>
      </c>
      <c r="F9">
        <f>SUM(F2:F8)</f>
        <v>4400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2FA1F3B16C8C704DA37A63ACA9CA61DD" ma:contentTypeVersion="11" ma:contentTypeDescription="Utwórz nowy dokument." ma:contentTypeScope="" ma:versionID="a387e14f76fadee2a9c53b0f07165662">
  <xsd:schema xmlns:xsd="http://www.w3.org/2001/XMLSchema" xmlns:xs="http://www.w3.org/2001/XMLSchema" xmlns:p="http://schemas.microsoft.com/office/2006/metadata/properties" xmlns:ns3="d4f64a22-a125-4b7a-afce-4a30c86a8f7c" xmlns:ns4="d47a4560-aee9-43e8-973f-2abd655c26a0" targetNamespace="http://schemas.microsoft.com/office/2006/metadata/properties" ma:root="true" ma:fieldsID="ed4189b329e95abfd83a6d2810e99156" ns3:_="" ns4:_="">
    <xsd:import namespace="d4f64a22-a125-4b7a-afce-4a30c86a8f7c"/>
    <xsd:import namespace="d47a4560-aee9-43e8-973f-2abd655c26a0"/>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Location"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4f64a22-a125-4b7a-afce-4a30c86a8f7c"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Location" ma:index="16" nillable="true" ma:displayName="MediaServic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47a4560-aee9-43e8-973f-2abd655c26a0" elementFormDefault="qualified">
    <xsd:import namespace="http://schemas.microsoft.com/office/2006/documentManagement/types"/>
    <xsd:import namespace="http://schemas.microsoft.com/office/infopath/2007/PartnerControls"/>
    <xsd:element name="SharedWithUsers" ma:index="12" nillable="true" ma:displayName="Udostępniani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Udostępnione dla — szczegóły" ma:internalName="SharedWithDetails" ma:readOnly="true">
      <xsd:simpleType>
        <xsd:restriction base="dms:Note">
          <xsd:maxLength value="255"/>
        </xsd:restriction>
      </xsd:simpleType>
    </xsd:element>
    <xsd:element name="SharingHintHash" ma:index="14" nillable="true" ma:displayName="Skrót wskazówki dotyczącej udostępniania"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 zawartości"/>
        <xsd:element ref="dc:title" minOccurs="0" maxOccurs="1" ma:index="4" ma:displayName="Tytuł"/>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4.xml>��< ? x m l   v e r s i o n = " 1 . 0 "   e n c o d i n g = " u t f - 1 6 " ? > < D a t a M a s h u p   x m l n s = " h t t p : / / s c h e m a s . m i c r o s o f t . c o m / D a t a M a s h u p " > A A A A A B g D A A B Q S w M E F A A C A A g A 0 5 5 W U A D y j r W o A A A A + A A A A B I A H A B D b 2 5 m a W c v U G F j a 2 F n Z S 5 4 b W w g o h g A K K A U A A A A A A A A A A A A A A A A A A A A A A A A A A A A h Y 9 N C o M w G E S v I t m b R I s / y G d c d K s g F E q 3 E l M N 1 S g m N t 6 t i x 6 p V 6 j Q 2 n b X 5 Q x v 4 M 3 j d o d s 6 T v n K i Y t B 5 U i D 1 P k C M W H W q o m R b M 5 u z H K G J Q V v 1 S N c F Z Y 6 W T R M k W t M W N C i L U W 2 x 0 e p o b 4 l H r k V O Q H 3 o q + c q X S p l J c o M + q / r 9 C D I 4 v G e b j K M R B G M U 4 i D 0 g W w 2 F V F / E X 4 0 x B f J T w n 7 u z D w J N n Z u m Q P Z I p D 3 C / Y E U E s D B B Q A A g A I A N O e V l 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T n l Z Q K I p H u A 4 A A A A R A A A A E w A c A E Z v c m 1 1 b G F z L 1 N l Y 3 R p b 2 4 x L m 0 g o h g A K K A U A A A A A A A A A A A A A A A A A A A A A A A A A A A A K 0 5 N L s n M z 1 M I h t C G 1 g B Q S w E C L Q A U A A I A C A D T n l Z Q A P K O t a g A A A D 4 A A A A E g A A A A A A A A A A A A A A A A A A A A A A Q 2 9 u Z m l n L 1 B h Y 2 t h Z 2 U u e G 1 s U E s B A i 0 A F A A C A A g A 0 5 5 W U A / K 6 a u k A A A A 6 Q A A A B M A A A A A A A A A A A A A A A A A 9 A A A A F t D b 2 5 0 Z W 5 0 X 1 R 5 c G V z X S 5 4 b W x Q S w E C L Q A U A A I A C A D T n l Z Q 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2 W 0 M x U V e y k u z r 5 K N s E g E D A A A A A A C A A A A A A A Q Z g A A A A E A A C A A A A D m N B a x X M j e 8 t v f W 3 1 b W q f 7 1 / 4 X D l H a y f U F y j X A 8 p f h d g A A A A A O g A A A A A I A A C A A A A D 3 E J 9 L S l o T c p u c C z g 8 b V f L 7 x N B b N R j H Z T l 4 L / 2 j Q s 2 U V A A A A D N 7 a N j K p t m H 0 B h X U I g C u W F A 3 B Y 5 G 5 i W Y S 4 V G p 6 S / O C Z C r Y U c U D G j n Y e w O M 4 f s 7 + q 2 m e n 6 Q q s K x 4 o R s + 2 u 2 l + j H Y i 6 x U p V G W h v B G U I 1 K d f F 7 k A A A A A x F 4 j a 0 e s U C G o m m h n G 2 / U Y m H c B q A F 4 + C Q 8 p N W l j u t z l j R i 7 Q m V v V C q Y Q l p x J G 6 0 4 R 4 F v v J m k d c n 3 1 O w 6 P y p S W Y < / D a t a M a s h u p > 
</file>

<file path=customXml/itemProps1.xml><?xml version="1.0" encoding="utf-8"?>
<ds:datastoreItem xmlns:ds="http://schemas.openxmlformats.org/officeDocument/2006/customXml" ds:itemID="{FFC95970-EA8D-4FE6-98E0-44AA2C40C01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4f64a22-a125-4b7a-afce-4a30c86a8f7c"/>
    <ds:schemaRef ds:uri="d47a4560-aee9-43e8-973f-2abd655c26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2D322F4-67EF-455F-8054-B5C4BC83C5CD}">
  <ds:schemaRefs>
    <ds:schemaRef ds:uri="http://schemas.microsoft.com/sharepoint/v3/contenttype/forms"/>
  </ds:schemaRefs>
</ds:datastoreItem>
</file>

<file path=customXml/itemProps3.xml><?xml version="1.0" encoding="utf-8"?>
<ds:datastoreItem xmlns:ds="http://schemas.openxmlformats.org/officeDocument/2006/customXml" ds:itemID="{113B3B98-D946-4B1F-9527-F8AFAB189728}">
  <ds:schemaRefs>
    <ds:schemaRef ds:uri="http://schemas.microsoft.com/office/2006/metadata/properties"/>
    <ds:schemaRef ds:uri="http://purl.org/dc/elements/1.1/"/>
    <ds:schemaRef ds:uri="http://purl.org/dc/terms/"/>
    <ds:schemaRef ds:uri="http://www.w3.org/XML/1998/namespace"/>
    <ds:schemaRef ds:uri="http://schemas.microsoft.com/office/2006/documentManagement/types"/>
    <ds:schemaRef ds:uri="d47a4560-aee9-43e8-973f-2abd655c26a0"/>
    <ds:schemaRef ds:uri="http://schemas.openxmlformats.org/package/2006/metadata/core-properties"/>
    <ds:schemaRef ds:uri="http://schemas.microsoft.com/office/infopath/2007/PartnerControls"/>
    <ds:schemaRef ds:uri="d4f64a22-a125-4b7a-afce-4a30c86a8f7c"/>
    <ds:schemaRef ds:uri="http://purl.org/dc/dcmitype/"/>
  </ds:schemaRefs>
</ds:datastoreItem>
</file>

<file path=customXml/itemProps4.xml><?xml version="1.0" encoding="utf-8"?>
<ds:datastoreItem xmlns:ds="http://schemas.openxmlformats.org/officeDocument/2006/customXml" ds:itemID="{9FD291F5-EA3B-4AE9-9A55-7A7E444C663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Arkusze</vt:lpstr>
      </vt:variant>
      <vt:variant>
        <vt:i4>3</vt:i4>
      </vt:variant>
      <vt:variant>
        <vt:lpstr>Nazwane zakresy</vt:lpstr>
      </vt:variant>
      <vt:variant>
        <vt:i4>3</vt:i4>
      </vt:variant>
    </vt:vector>
  </HeadingPairs>
  <TitlesOfParts>
    <vt:vector size="6" baseType="lpstr">
      <vt:lpstr>budżet</vt:lpstr>
      <vt:lpstr>wskaźniki</vt:lpstr>
      <vt:lpstr>Arkusz1</vt:lpstr>
      <vt:lpstr>budżet!Obszar_wydruku</vt:lpstr>
      <vt:lpstr>wskaźniki!Obszar_wydruku</vt:lpstr>
      <vt:lpstr>wskaźniki!wskaźniki</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Steć Tomasz</dc:creator>
  <cp:lastModifiedBy>Tomasz Steć</cp:lastModifiedBy>
  <cp:lastPrinted>2017-09-21T08:12:21Z</cp:lastPrinted>
  <dcterms:created xsi:type="dcterms:W3CDTF">2015-09-09T08:43:26Z</dcterms:created>
  <dcterms:modified xsi:type="dcterms:W3CDTF">2020-03-25T09:45:09Z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0x0101002FA1F3B16C8C704DA37A63ACA9CA61DD</vt:lpwstr>
  </property>
</Properties>
</file>