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B714394B-5C87-466B-919D-3FFF5A31C95C}" xr6:coauthVersionLast="38" xr6:coauthVersionMax="38" xr10:uidLastSave="{00000000-0000-0000-0000-000000000000}"/>
  <bookViews>
    <workbookView xWindow="0" yWindow="0" windowWidth="20496" windowHeight="8112" firstSheet="8" activeTab="1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  <sheet name="Bridge charts --&gt;" sheetId="208" r:id="rId40"/>
    <sheet name="Revenue bridge" sheetId="209" r:id="rId41"/>
    <sheet name="Cash flow bridge" sheetId="210" r:id="rId42"/>
    <sheet name="Expenses bridge" sheetId="221" r:id="rId43"/>
    <sheet name="Net Income bridge" sheetId="222" r:id="rId44"/>
    <sheet name="Other charts --&gt;" sheetId="213" r:id="rId45"/>
    <sheet name="Revenue by type of car" sheetId="217" r:id="rId46"/>
    <sheet name="Types of vehicles" sheetId="214" r:id="rId47"/>
    <sheet name="Profitability" sheetId="216" r:id="rId48"/>
    <sheet name="Price - Volume - Mix --&gt;" sheetId="218" r:id="rId49"/>
    <sheet name="Price-Volume-Mix" sheetId="219" r:id="rId50"/>
  </sheets>
  <definedNames>
    <definedName name="_xlchart.v1.0" hidden="1">'Revenue bridge'!$B$27:$B$34</definedName>
    <definedName name="_xlchart.v1.1" hidden="1">'Revenue bridge'!$C$27:$C$34</definedName>
    <definedName name="_xlchart.v1.10" hidden="1">'Net Income bridge'!$B$3:$B$16</definedName>
    <definedName name="_xlchart.v1.11" hidden="1">'Net Income bridge'!$C$3:$C$16</definedName>
    <definedName name="_xlchart.v1.12" hidden="1">'Price-Volume-Mix'!$B$11:$B$15</definedName>
    <definedName name="_xlchart.v1.13" hidden="1">'Price-Volume-Mix'!$C$11:$C$15</definedName>
    <definedName name="_xlchart.v1.14" hidden="1">'Price-Volume-Mix'!$B$21:$B$25</definedName>
    <definedName name="_xlchart.v1.15" hidden="1">'Price-Volume-Mix'!$C$21:$C$25</definedName>
    <definedName name="_xlchart.v1.2" hidden="1">'Revenue bridge'!$B$8:$B$15</definedName>
    <definedName name="_xlchart.v1.3" hidden="1">'Revenue bridge'!$C$8:$C$15</definedName>
    <definedName name="_xlchart.v1.4" hidden="1">'Cash flow bridge'!$B$8:$B$14</definedName>
    <definedName name="_xlchart.v1.5" hidden="1">'Cash flow bridge'!$C$8:$C$14</definedName>
    <definedName name="_xlchart.v1.6" hidden="1">'Cash flow bridge'!$B$26:$B$32</definedName>
    <definedName name="_xlchart.v1.7" hidden="1">'Cash flow bridge'!$C$26:$C$32</definedName>
    <definedName name="_xlchart.v1.8" hidden="1">'Expenses bridge'!$B$8:$B$14</definedName>
    <definedName name="_xlchart.v1.9" hidden="1">'Expenses bridge'!$C$8:$C$14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80" l="1"/>
  <c r="C5" i="175"/>
  <c r="I22" i="175" l="1"/>
  <c r="I20" i="172" l="1"/>
  <c r="I19" i="172"/>
  <c r="G41" i="154" l="1"/>
  <c r="G40" i="154"/>
  <c r="G39" i="154"/>
  <c r="F39" i="154"/>
  <c r="H14" i="168" l="1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C3" i="179" l="1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O8" i="214" s="1"/>
  <c r="R8" i="180"/>
  <c r="S8" i="180" s="1"/>
  <c r="S8" i="182" s="1"/>
  <c r="Q8" i="182"/>
  <c r="Q8" i="217" s="1"/>
  <c r="P8" i="214"/>
  <c r="P8" i="217"/>
  <c r="C10" i="175"/>
  <c r="Q8" i="214" l="1"/>
  <c r="O8" i="217"/>
  <c r="S8" i="214"/>
  <c r="S8" i="217"/>
  <c r="R8" i="182"/>
  <c r="P22" i="175"/>
  <c r="Q22" i="175"/>
  <c r="S22" i="175"/>
  <c r="O22" i="175"/>
  <c r="R22" i="175"/>
  <c r="R8" i="217" l="1"/>
  <c r="R8" i="214"/>
  <c r="G28" i="177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9" i="222"/>
  <c r="L13" i="204"/>
  <c r="M13" i="204" s="1"/>
  <c r="C11" i="219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D6" i="176"/>
  <c r="D9" i="20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F5" i="216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I9" i="191" l="1"/>
  <c r="J7" i="191"/>
  <c r="P5" i="180"/>
  <c r="O5" i="182"/>
  <c r="P8" i="193"/>
  <c r="H9" i="217"/>
  <c r="H9" i="214"/>
  <c r="H15" i="214" s="1"/>
  <c r="C10" i="214"/>
  <c r="C10" i="217"/>
  <c r="H8" i="217"/>
  <c r="H8" i="214"/>
  <c r="D10" i="217"/>
  <c r="D10" i="214"/>
  <c r="D11" i="214" s="1"/>
  <c r="G7" i="217"/>
  <c r="G7" i="214"/>
  <c r="E10" i="217"/>
  <c r="E10" i="214"/>
  <c r="H8" i="193"/>
  <c r="R8" i="193"/>
  <c r="C7" i="217"/>
  <c r="C7" i="214"/>
  <c r="F12" i="192"/>
  <c r="M18" i="192" s="1"/>
  <c r="F5" i="167"/>
  <c r="F6" i="167" s="1"/>
  <c r="D7" i="217"/>
  <c r="D7" i="214"/>
  <c r="G8" i="214"/>
  <c r="G8" i="217"/>
  <c r="L5" i="182"/>
  <c r="L5" i="214" s="1"/>
  <c r="Q8" i="193"/>
  <c r="C9" i="214"/>
  <c r="C9" i="217"/>
  <c r="C7" i="219"/>
  <c r="C3" i="219"/>
  <c r="H7" i="217"/>
  <c r="H7" i="214"/>
  <c r="D9" i="217"/>
  <c r="D9" i="214"/>
  <c r="F10" i="217"/>
  <c r="F10" i="214"/>
  <c r="F6" i="176"/>
  <c r="F9" i="206"/>
  <c r="H7" i="193"/>
  <c r="G9" i="217"/>
  <c r="G9" i="214"/>
  <c r="K8" i="193"/>
  <c r="O8" i="193"/>
  <c r="E9" i="217"/>
  <c r="E9" i="214"/>
  <c r="G10" i="217"/>
  <c r="G10" i="214"/>
  <c r="G7" i="186"/>
  <c r="G9" i="186"/>
  <c r="J10" i="193"/>
  <c r="E8" i="217"/>
  <c r="E8" i="214"/>
  <c r="F8" i="217"/>
  <c r="F8" i="214"/>
  <c r="G8" i="186"/>
  <c r="E7" i="214"/>
  <c r="E7" i="217"/>
  <c r="E11" i="217" s="1"/>
  <c r="S8" i="193"/>
  <c r="H10" i="193"/>
  <c r="F7" i="217"/>
  <c r="F7" i="214"/>
  <c r="H9" i="193"/>
  <c r="C8" i="217"/>
  <c r="C8" i="214"/>
  <c r="I6" i="182"/>
  <c r="H6" i="182"/>
  <c r="D8" i="217"/>
  <c r="D8" i="214"/>
  <c r="F9" i="217"/>
  <c r="F9" i="214"/>
  <c r="H10" i="217"/>
  <c r="H10" i="214"/>
  <c r="H16" i="214" s="1"/>
  <c r="J8" i="193"/>
  <c r="G10" i="186"/>
  <c r="J8" i="214"/>
  <c r="J8" i="217"/>
  <c r="K8" i="214"/>
  <c r="K8" i="217"/>
  <c r="I6" i="217"/>
  <c r="I6" i="214"/>
  <c r="J10" i="214"/>
  <c r="J16" i="214" s="1"/>
  <c r="J10" i="217"/>
  <c r="J5" i="217"/>
  <c r="J5" i="214"/>
  <c r="J9" i="214"/>
  <c r="J15" i="214" s="1"/>
  <c r="J9" i="217"/>
  <c r="I9" i="214"/>
  <c r="I15" i="214" s="1"/>
  <c r="I9" i="217"/>
  <c r="I10" i="182"/>
  <c r="C31" i="209"/>
  <c r="J5" i="193"/>
  <c r="J9" i="193"/>
  <c r="C13" i="209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93" l="1"/>
  <c r="L5" i="217"/>
  <c r="G10" i="193"/>
  <c r="I10" i="193"/>
  <c r="G7" i="193"/>
  <c r="I7" i="193"/>
  <c r="G8" i="193"/>
  <c r="I8" i="193"/>
  <c r="M22" i="192"/>
  <c r="M15" i="192"/>
  <c r="M12" i="192"/>
  <c r="G9" i="193"/>
  <c r="I9" i="193"/>
  <c r="H5" i="217"/>
  <c r="H5" i="214"/>
  <c r="L18" i="192"/>
  <c r="L22" i="192" s="1"/>
  <c r="C11" i="214"/>
  <c r="K18" i="192"/>
  <c r="K22" i="192" s="1"/>
  <c r="D11" i="217"/>
  <c r="Q5" i="180"/>
  <c r="P5" i="182"/>
  <c r="C11" i="217"/>
  <c r="O5" i="217"/>
  <c r="O5" i="214"/>
  <c r="O5" i="193"/>
  <c r="O18" i="192"/>
  <c r="J9" i="191"/>
  <c r="K7" i="191"/>
  <c r="E11" i="214"/>
  <c r="H6" i="193"/>
  <c r="H6" i="217"/>
  <c r="H6" i="214"/>
  <c r="S18" i="192"/>
  <c r="R18" i="192"/>
  <c r="P18" i="192"/>
  <c r="J18" i="192"/>
  <c r="I18" i="192"/>
  <c r="I22" i="192" s="1"/>
  <c r="Q18" i="192"/>
  <c r="N5" i="193"/>
  <c r="N5" i="214"/>
  <c r="N5" i="217"/>
  <c r="I7" i="217"/>
  <c r="I7" i="214"/>
  <c r="J7" i="214"/>
  <c r="J7" i="217"/>
  <c r="M5" i="193"/>
  <c r="M5" i="214"/>
  <c r="M5" i="217"/>
  <c r="C12" i="209"/>
  <c r="I8" i="214"/>
  <c r="I8" i="217"/>
  <c r="K5" i="217"/>
  <c r="K5" i="214"/>
  <c r="C14" i="209"/>
  <c r="I10" i="214"/>
  <c r="I16" i="214" s="1"/>
  <c r="I10" i="217"/>
  <c r="J7" i="193"/>
  <c r="C11" i="209"/>
  <c r="K5" i="193"/>
  <c r="C28" i="209"/>
  <c r="D5" i="167"/>
  <c r="D6" i="167" s="1"/>
  <c r="D5" i="176"/>
  <c r="D5" i="216" s="1"/>
  <c r="E5" i="167"/>
  <c r="E6" i="167" s="1"/>
  <c r="E5" i="176"/>
  <c r="E5" i="216" s="1"/>
  <c r="N15" i="192"/>
  <c r="N12" i="192"/>
  <c r="I15" i="192"/>
  <c r="I12" i="192"/>
  <c r="I9" i="192" s="1"/>
  <c r="I9" i="206" s="1"/>
  <c r="H9" i="206" s="1"/>
  <c r="G6" i="176"/>
  <c r="C11" i="182"/>
  <c r="H11" i="182"/>
  <c r="H5" i="193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H11" i="217"/>
  <c r="C5" i="167"/>
  <c r="C6" i="167" s="1"/>
  <c r="C4" i="212"/>
  <c r="C6" i="212" s="1"/>
  <c r="K12" i="192"/>
  <c r="K9" i="192" s="1"/>
  <c r="K9" i="206" s="1"/>
  <c r="R5" i="180"/>
  <c r="Q5" i="182"/>
  <c r="K15" i="192"/>
  <c r="H11" i="214"/>
  <c r="H14" i="214"/>
  <c r="H17" i="214" s="1"/>
  <c r="P5" i="214"/>
  <c r="P5" i="217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H5" i="216" s="1"/>
  <c r="G5" i="176"/>
  <c r="G5" i="216" s="1"/>
  <c r="C5" i="176"/>
  <c r="C5" i="216" s="1"/>
  <c r="I5" i="212"/>
  <c r="H6" i="176" l="1"/>
  <c r="I6" i="176" s="1"/>
  <c r="C5" i="222" s="1"/>
  <c r="Q5" i="217"/>
  <c r="Q5" i="214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C4" i="222" s="1"/>
  <c r="H17" i="167"/>
  <c r="G6" i="167"/>
  <c r="J10" i="167"/>
  <c r="J6" i="167" s="1"/>
  <c r="M9" i="191" l="1"/>
  <c r="M9" i="192" s="1"/>
  <c r="M9" i="206" s="1"/>
  <c r="N7" i="191"/>
  <c r="R5" i="217"/>
  <c r="R5" i="214"/>
  <c r="Q5" i="193"/>
  <c r="S5" i="182"/>
  <c r="I5" i="216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214"/>
  <c r="S5" i="217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C6" i="222" s="1"/>
  <c r="I15" i="180"/>
  <c r="I5" i="182"/>
  <c r="I11" i="180"/>
  <c r="C8" i="219" s="1"/>
  <c r="C12" i="219" s="1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5" i="217"/>
  <c r="I11" i="217" s="1"/>
  <c r="I5" i="214"/>
  <c r="I11" i="182"/>
  <c r="C9" i="209"/>
  <c r="L17" i="180"/>
  <c r="L19" i="180"/>
  <c r="K17" i="180"/>
  <c r="K19" i="180"/>
  <c r="G35" i="155"/>
  <c r="G36" i="155"/>
  <c r="O9" i="192" l="1"/>
  <c r="O9" i="206" s="1"/>
  <c r="Q7" i="191"/>
  <c r="P9" i="191"/>
  <c r="C21" i="219"/>
  <c r="C4" i="219"/>
  <c r="C15" i="219"/>
  <c r="I4" i="212"/>
  <c r="I6" i="212" s="1"/>
  <c r="I11" i="214"/>
  <c r="I14" i="214"/>
  <c r="I17" i="214" s="1"/>
  <c r="I11" i="193"/>
  <c r="C8" i="209"/>
  <c r="I13" i="172"/>
  <c r="P9" i="192" l="1"/>
  <c r="P9" i="206" s="1"/>
  <c r="R7" i="191"/>
  <c r="Q9" i="191"/>
  <c r="C13" i="219"/>
  <c r="C14" i="219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R25" i="177"/>
  <c r="O25" i="177"/>
  <c r="Q25" i="177"/>
  <c r="S25" i="177"/>
  <c r="P25" i="177"/>
  <c r="S16" i="177"/>
  <c r="O16" i="177"/>
  <c r="P16" i="177"/>
  <c r="R16" i="177"/>
  <c r="Q16" i="177"/>
  <c r="E21" i="177"/>
  <c r="P21" i="177" s="1"/>
  <c r="E18" i="178"/>
  <c r="E23" i="178"/>
  <c r="E15" i="175"/>
  <c r="E16" i="175"/>
  <c r="E12" i="178"/>
  <c r="P23" i="177"/>
  <c r="R23" i="177"/>
  <c r="O23" i="177"/>
  <c r="Q23" i="177"/>
  <c r="S23" i="177"/>
  <c r="O27" i="177"/>
  <c r="S27" i="177"/>
  <c r="Q27" i="177"/>
  <c r="R27" i="177"/>
  <c r="P27" i="177"/>
  <c r="D30" i="178"/>
  <c r="C34" i="178"/>
  <c r="C18" i="175"/>
  <c r="D18" i="175"/>
  <c r="C19" i="175"/>
  <c r="N27" i="177"/>
  <c r="K27" i="177"/>
  <c r="M27" i="177"/>
  <c r="L27" i="177"/>
  <c r="J27" i="177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H9" i="179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K21" i="177"/>
  <c r="O10" i="177"/>
  <c r="S10" i="177"/>
  <c r="Q10" i="177"/>
  <c r="P10" i="177"/>
  <c r="L21" i="177"/>
  <c r="E18" i="175"/>
  <c r="E24" i="175" s="1"/>
  <c r="O21" i="177"/>
  <c r="N21" i="177"/>
  <c r="C24" i="175"/>
  <c r="M21" i="177"/>
  <c r="E14" i="178"/>
  <c r="J21" i="177"/>
  <c r="Q21" i="177"/>
  <c r="I21" i="177"/>
  <c r="I20" i="177" s="1"/>
  <c r="R21" i="177"/>
  <c r="S21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Q30" i="177"/>
  <c r="P30" i="177"/>
  <c r="O30" i="177"/>
  <c r="S30" i="177"/>
  <c r="R30" i="177"/>
  <c r="F19" i="175"/>
  <c r="F18" i="175"/>
  <c r="I30" i="177"/>
  <c r="I29" i="177" s="1"/>
  <c r="N30" i="177"/>
  <c r="K30" i="177"/>
  <c r="L30" i="177"/>
  <c r="M30" i="177"/>
  <c r="J30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F9" i="216" s="1"/>
  <c r="F7" i="216" s="1"/>
  <c r="F8" i="216"/>
  <c r="F6" i="216" s="1"/>
  <c r="H8" i="168"/>
  <c r="H16" i="178" s="1"/>
  <c r="I16" i="17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E24" i="178" s="1"/>
  <c r="E8" i="216"/>
  <c r="E6" i="216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N25" i="177"/>
  <c r="J25" i="177"/>
  <c r="M25" i="177"/>
  <c r="I25" i="177"/>
  <c r="I24" i="177" s="1"/>
  <c r="L25" i="177"/>
  <c r="K25" i="177"/>
  <c r="L14" i="169" l="1"/>
  <c r="J14" i="169"/>
  <c r="K14" i="169"/>
  <c r="M14" i="169"/>
  <c r="N14" i="169"/>
  <c r="Q14" i="169"/>
  <c r="F24" i="178"/>
  <c r="C3" i="222"/>
  <c r="R14" i="169"/>
  <c r="S14" i="169"/>
  <c r="P14" i="169"/>
  <c r="O14" i="169"/>
  <c r="E9" i="216"/>
  <c r="E7" i="216" s="1"/>
  <c r="E5" i="178"/>
  <c r="E7" i="178" s="1"/>
  <c r="E9" i="178" s="1"/>
  <c r="E20" i="178" s="1"/>
  <c r="D9" i="176"/>
  <c r="D8" i="216"/>
  <c r="D6" i="216" s="1"/>
  <c r="F18" i="176"/>
  <c r="H26" i="168"/>
  <c r="H9" i="168" s="1"/>
  <c r="I14" i="169"/>
  <c r="E18" i="176"/>
  <c r="G11" i="178"/>
  <c r="G12" i="178"/>
  <c r="I12" i="178" s="1"/>
  <c r="G7" i="176"/>
  <c r="G8" i="216" s="1"/>
  <c r="G6" i="216" s="1"/>
  <c r="D11" i="176" l="1"/>
  <c r="D14" i="176" s="1"/>
  <c r="D9" i="216"/>
  <c r="D7" i="21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9" i="216"/>
  <c r="G7" i="216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H8" i="216"/>
  <c r="H6" i="216" s="1"/>
  <c r="I14" i="178"/>
  <c r="G14" i="176"/>
  <c r="G18" i="176" s="1"/>
  <c r="I7" i="176"/>
  <c r="I9" i="176" l="1"/>
  <c r="I9" i="216" s="1"/>
  <c r="I7" i="216" s="1"/>
  <c r="I8" i="216"/>
  <c r="I6" i="216" s="1"/>
  <c r="H5" i="178"/>
  <c r="H6" i="178" s="1"/>
  <c r="H9" i="216"/>
  <c r="H7" i="216" s="1"/>
  <c r="G25" i="178"/>
  <c r="I5" i="178" l="1"/>
  <c r="C7" i="176"/>
  <c r="N23" i="177"/>
  <c r="C9" i="176" l="1"/>
  <c r="C11" i="176" s="1"/>
  <c r="C8" i="216"/>
  <c r="C6" i="216" s="1"/>
  <c r="J10" i="177"/>
  <c r="I10" i="177"/>
  <c r="I9" i="177" s="1"/>
  <c r="H17" i="178" s="1"/>
  <c r="N10" i="177"/>
  <c r="M10" i="177"/>
  <c r="L10" i="177"/>
  <c r="K10" i="177"/>
  <c r="G17" i="178"/>
  <c r="M23" i="177"/>
  <c r="I27" i="177"/>
  <c r="I26" i="177" s="1"/>
  <c r="K23" i="177"/>
  <c r="L23" i="177"/>
  <c r="J23" i="177"/>
  <c r="I23" i="177"/>
  <c r="I22" i="177" s="1"/>
  <c r="C14" i="176" l="1"/>
  <c r="C18" i="176" s="1"/>
  <c r="C9" i="216"/>
  <c r="C7" i="21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C9" i="219" s="1"/>
  <c r="C22" i="219" s="1"/>
  <c r="O9" i="217" l="1"/>
  <c r="O9" i="214"/>
  <c r="O15" i="214" s="1"/>
  <c r="O9" i="193"/>
  <c r="Q9" i="180"/>
  <c r="P9" i="182"/>
  <c r="O10" i="214"/>
  <c r="O16" i="214" s="1"/>
  <c r="O10" i="217"/>
  <c r="O10" i="193"/>
  <c r="P7" i="180"/>
  <c r="O7" i="182"/>
  <c r="Q10" i="180"/>
  <c r="P10" i="182"/>
  <c r="C10" i="209"/>
  <c r="J6" i="214"/>
  <c r="J6" i="217"/>
  <c r="J11" i="217" s="1"/>
  <c r="K10" i="214"/>
  <c r="K16" i="214" s="1"/>
  <c r="K10" i="217"/>
  <c r="K6" i="214"/>
  <c r="K6" i="217"/>
  <c r="K9" i="214"/>
  <c r="K15" i="214" s="1"/>
  <c r="K9" i="217"/>
  <c r="K7" i="214"/>
  <c r="K7" i="217"/>
  <c r="L8" i="193"/>
  <c r="L8" i="214"/>
  <c r="L8" i="217"/>
  <c r="C29" i="209"/>
  <c r="K7" i="193"/>
  <c r="C30" i="209"/>
  <c r="K9" i="193"/>
  <c r="C32" i="209"/>
  <c r="K10" i="193"/>
  <c r="C33" i="209"/>
  <c r="K11" i="180"/>
  <c r="L6" i="180"/>
  <c r="L11" i="180" s="1"/>
  <c r="L10" i="182"/>
  <c r="L9" i="182"/>
  <c r="L7" i="182"/>
  <c r="J6" i="193"/>
  <c r="J11" i="182"/>
  <c r="J5" i="176" s="1"/>
  <c r="K6" i="193"/>
  <c r="K11" i="182"/>
  <c r="K5" i="176" s="1"/>
  <c r="N8" i="182"/>
  <c r="M8" i="182"/>
  <c r="K5" i="169" l="1"/>
  <c r="J5" i="169"/>
  <c r="P9" i="214"/>
  <c r="P15" i="214" s="1"/>
  <c r="P9" i="217"/>
  <c r="P9" i="193"/>
  <c r="P10" i="214"/>
  <c r="P16" i="214" s="1"/>
  <c r="P10" i="217"/>
  <c r="P10" i="193"/>
  <c r="R9" i="180"/>
  <c r="Q9" i="182"/>
  <c r="L6" i="182"/>
  <c r="M6" i="180"/>
  <c r="K11" i="217"/>
  <c r="R10" i="180"/>
  <c r="Q10" i="182"/>
  <c r="O7" i="214"/>
  <c r="O7" i="217"/>
  <c r="O7" i="193"/>
  <c r="Q7" i="180"/>
  <c r="P7" i="182"/>
  <c r="N8" i="193"/>
  <c r="N8" i="217"/>
  <c r="N8" i="214"/>
  <c r="K11" i="214"/>
  <c r="K14" i="214"/>
  <c r="K17" i="214" s="1"/>
  <c r="L10" i="193"/>
  <c r="L10" i="217"/>
  <c r="L10" i="214"/>
  <c r="C34" i="209"/>
  <c r="K4" i="212"/>
  <c r="C5" i="219"/>
  <c r="C25" i="219"/>
  <c r="J4" i="212"/>
  <c r="M8" i="193"/>
  <c r="M8" i="214"/>
  <c r="M8" i="217"/>
  <c r="J11" i="214"/>
  <c r="J14" i="214"/>
  <c r="J17" i="214" s="1"/>
  <c r="L7" i="193"/>
  <c r="L7" i="214"/>
  <c r="L7" i="217"/>
  <c r="L9" i="193"/>
  <c r="L9" i="214"/>
  <c r="L15" i="214" s="1"/>
  <c r="L9" i="217"/>
  <c r="C27" i="209"/>
  <c r="C15" i="209"/>
  <c r="K5" i="167"/>
  <c r="C11" i="222"/>
  <c r="J5" i="167"/>
  <c r="K5" i="212"/>
  <c r="K11" i="193"/>
  <c r="K6" i="176" s="1"/>
  <c r="K7" i="176" s="1"/>
  <c r="J5" i="212"/>
  <c r="J11" i="193"/>
  <c r="J6" i="176" s="1"/>
  <c r="J7" i="176" s="1"/>
  <c r="N7" i="182"/>
  <c r="M7" i="182"/>
  <c r="N9" i="182"/>
  <c r="M9" i="182"/>
  <c r="N10" i="182"/>
  <c r="M10" i="182"/>
  <c r="M11" i="180"/>
  <c r="L6" i="193" l="1"/>
  <c r="L11" i="193" s="1"/>
  <c r="L6" i="176" s="1"/>
  <c r="L11" i="182"/>
  <c r="L6" i="214"/>
  <c r="L11" i="214" s="1"/>
  <c r="J6" i="212"/>
  <c r="L14" i="214"/>
  <c r="K6" i="212"/>
  <c r="L6" i="217"/>
  <c r="L11" i="217" s="1"/>
  <c r="Q10" i="217"/>
  <c r="Q10" i="214"/>
  <c r="Q16" i="214" s="1"/>
  <c r="Q10" i="193"/>
  <c r="S10" i="180"/>
  <c r="S10" i="182" s="1"/>
  <c r="R10" i="182"/>
  <c r="Q9" i="214"/>
  <c r="Q15" i="214" s="1"/>
  <c r="Q9" i="217"/>
  <c r="Q9" i="193"/>
  <c r="S9" i="180"/>
  <c r="S9" i="182" s="1"/>
  <c r="R9" i="182"/>
  <c r="P7" i="217"/>
  <c r="P7" i="214"/>
  <c r="P7" i="193"/>
  <c r="N6" i="180"/>
  <c r="O6" i="180" s="1"/>
  <c r="M6" i="182"/>
  <c r="R7" i="180"/>
  <c r="Q7" i="182"/>
  <c r="L16" i="214"/>
  <c r="N10" i="193"/>
  <c r="N10" i="217"/>
  <c r="N10" i="214"/>
  <c r="N16" i="214" s="1"/>
  <c r="M10" i="193"/>
  <c r="M10" i="217"/>
  <c r="M10" i="214"/>
  <c r="M16" i="214" s="1"/>
  <c r="M9" i="193"/>
  <c r="M9" i="217"/>
  <c r="M9" i="214"/>
  <c r="C24" i="219"/>
  <c r="C23" i="219"/>
  <c r="N9" i="193"/>
  <c r="N9" i="217"/>
  <c r="N9" i="214"/>
  <c r="N15" i="214" s="1"/>
  <c r="N7" i="193"/>
  <c r="N7" i="214"/>
  <c r="N7" i="217"/>
  <c r="M7" i="193"/>
  <c r="M7" i="214"/>
  <c r="M7" i="217"/>
  <c r="L5" i="212"/>
  <c r="J7" i="177"/>
  <c r="J11" i="178" s="1"/>
  <c r="J5" i="216"/>
  <c r="K7" i="177"/>
  <c r="K5" i="216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N6" i="193"/>
  <c r="L17" i="214"/>
  <c r="P6" i="180"/>
  <c r="O6" i="182"/>
  <c r="O11" i="180"/>
  <c r="R10" i="214"/>
  <c r="R16" i="214" s="1"/>
  <c r="R10" i="217"/>
  <c r="R10" i="193"/>
  <c r="N11" i="180"/>
  <c r="S10" i="217"/>
  <c r="S10" i="214"/>
  <c r="S16" i="214" s="1"/>
  <c r="S10" i="193"/>
  <c r="Q7" i="214"/>
  <c r="Q7" i="217"/>
  <c r="Q7" i="193"/>
  <c r="R9" i="214"/>
  <c r="R15" i="214" s="1"/>
  <c r="R9" i="217"/>
  <c r="R9" i="193"/>
  <c r="S7" i="180"/>
  <c r="S7" i="182" s="1"/>
  <c r="R7" i="182"/>
  <c r="S9" i="214"/>
  <c r="S15" i="214" s="1"/>
  <c r="S9" i="217"/>
  <c r="S9" i="193"/>
  <c r="M6" i="217"/>
  <c r="M11" i="217" s="1"/>
  <c r="M6" i="214"/>
  <c r="M14" i="214" s="1"/>
  <c r="K11" i="178"/>
  <c r="J8" i="216"/>
  <c r="J6" i="216" s="1"/>
  <c r="C12" i="222"/>
  <c r="N6" i="214"/>
  <c r="N6" i="217"/>
  <c r="N11" i="217" s="1"/>
  <c r="M15" i="214"/>
  <c r="L5" i="216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C13" i="222"/>
  <c r="M11" i="214"/>
  <c r="M5" i="212"/>
  <c r="S7" i="214"/>
  <c r="S7" i="217"/>
  <c r="S7" i="193"/>
  <c r="M17" i="214"/>
  <c r="Q6" i="180"/>
  <c r="P6" i="182"/>
  <c r="P11" i="180"/>
  <c r="R7" i="217"/>
  <c r="R7" i="214"/>
  <c r="R7" i="193"/>
  <c r="O6" i="214"/>
  <c r="O6" i="217"/>
  <c r="O11" i="217" s="1"/>
  <c r="O11" i="182"/>
  <c r="O5" i="176" s="1"/>
  <c r="J5" i="178"/>
  <c r="N14" i="214"/>
  <c r="N17" i="214" s="1"/>
  <c r="N11" i="214"/>
  <c r="M5" i="216"/>
  <c r="K8" i="169"/>
  <c r="K9" i="216"/>
  <c r="K7" i="216" s="1"/>
  <c r="K8" i="216"/>
  <c r="K6" i="216" s="1"/>
  <c r="J14" i="178"/>
  <c r="K12" i="178"/>
  <c r="K13" i="178"/>
  <c r="L12" i="178"/>
  <c r="L13" i="178"/>
  <c r="J8" i="169"/>
  <c r="L17" i="178"/>
  <c r="L18" i="178"/>
  <c r="M15" i="177"/>
  <c r="M29" i="177"/>
  <c r="M20" i="177"/>
  <c r="M22" i="177"/>
  <c r="M24" i="177"/>
  <c r="M9" i="177"/>
  <c r="N5" i="167"/>
  <c r="H10" i="168"/>
  <c r="I10" i="168"/>
  <c r="M7" i="167"/>
  <c r="M8" i="176" s="1"/>
  <c r="N5" i="212"/>
  <c r="N6" i="212" s="1"/>
  <c r="N11" i="193"/>
  <c r="N6" i="176" s="1"/>
  <c r="L8" i="169" l="1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M14" i="178" s="1"/>
  <c r="L9" i="176"/>
  <c r="L9" i="216" s="1"/>
  <c r="L7" i="216" s="1"/>
  <c r="L8" i="216"/>
  <c r="L6" i="216" s="1"/>
  <c r="N7" i="176"/>
  <c r="N5" i="169"/>
  <c r="N7" i="177" s="1"/>
  <c r="O5" i="169"/>
  <c r="J6" i="178"/>
  <c r="J7" i="178" s="1"/>
  <c r="J9" i="216"/>
  <c r="J7" i="216" s="1"/>
  <c r="P6" i="217"/>
  <c r="P11" i="217" s="1"/>
  <c r="P6" i="214"/>
  <c r="P11" i="182"/>
  <c r="P5" i="176" s="1"/>
  <c r="O14" i="214"/>
  <c r="O17" i="214" s="1"/>
  <c r="O11" i="214"/>
  <c r="R6" i="180"/>
  <c r="Q6" i="182"/>
  <c r="Q11" i="180"/>
  <c r="O6" i="193"/>
  <c r="O11" i="193" s="1"/>
  <c r="O6" i="176" s="1"/>
  <c r="O7" i="176" s="1"/>
  <c r="O9" i="176" s="1"/>
  <c r="O5" i="212"/>
  <c r="O4" i="212"/>
  <c r="O5" i="167"/>
  <c r="O7" i="167" s="1"/>
  <c r="O8" i="176" s="1"/>
  <c r="K5" i="178"/>
  <c r="K6" i="178" s="1"/>
  <c r="N5" i="216"/>
  <c r="C11" i="210"/>
  <c r="C11" i="221"/>
  <c r="L5" i="178"/>
  <c r="L6" i="178" s="1"/>
  <c r="L7" i="178" s="1"/>
  <c r="K14" i="178"/>
  <c r="L14" i="178"/>
  <c r="I13" i="177"/>
  <c r="M18" i="178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N11" i="178" l="1"/>
  <c r="M8" i="169"/>
  <c r="N9" i="176"/>
  <c r="P5" i="169"/>
  <c r="M9" i="176"/>
  <c r="M5" i="178" s="1"/>
  <c r="M6" i="178" s="1"/>
  <c r="M7" i="178" s="1"/>
  <c r="M8" i="216"/>
  <c r="M6" i="216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5" i="212"/>
  <c r="O6" i="169"/>
  <c r="O8" i="177" s="1"/>
  <c r="O7" i="169"/>
  <c r="O19" i="177" s="1"/>
  <c r="P11" i="214"/>
  <c r="P14" i="214"/>
  <c r="P17" i="214" s="1"/>
  <c r="Q6" i="214"/>
  <c r="Q6" i="217"/>
  <c r="Q11" i="217" s="1"/>
  <c r="Q11" i="182"/>
  <c r="Q5" i="176" s="1"/>
  <c r="O5" i="216"/>
  <c r="O24" i="177"/>
  <c r="O26" i="177"/>
  <c r="O15" i="177"/>
  <c r="O22" i="177"/>
  <c r="O9" i="177"/>
  <c r="O20" i="177"/>
  <c r="O29" i="177"/>
  <c r="C12" i="210"/>
  <c r="C12" i="22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M9" i="216" l="1"/>
  <c r="M7" i="216" s="1"/>
  <c r="Q5" i="169"/>
  <c r="O18" i="178"/>
  <c r="P6" i="212"/>
  <c r="O13" i="178"/>
  <c r="O17" i="178"/>
  <c r="Q11" i="214"/>
  <c r="Q14" i="214"/>
  <c r="Q17" i="214" s="1"/>
  <c r="P5" i="216"/>
  <c r="P20" i="177"/>
  <c r="P22" i="177"/>
  <c r="P24" i="177"/>
  <c r="P15" i="177"/>
  <c r="P26" i="177"/>
  <c r="P9" i="177"/>
  <c r="P29" i="177"/>
  <c r="O7" i="177"/>
  <c r="O11" i="178" s="1"/>
  <c r="O8" i="169"/>
  <c r="O8" i="216"/>
  <c r="O6" i="216" s="1"/>
  <c r="Q4" i="212"/>
  <c r="Q5" i="167"/>
  <c r="Q7" i="167" s="1"/>
  <c r="Q8" i="176" s="1"/>
  <c r="R6" i="214"/>
  <c r="R6" i="217"/>
  <c r="R11" i="217" s="1"/>
  <c r="R11" i="182"/>
  <c r="R5" i="176" s="1"/>
  <c r="Q6" i="193"/>
  <c r="Q11" i="193" s="1"/>
  <c r="Q6" i="176" s="1"/>
  <c r="Q7" i="176" s="1"/>
  <c r="Q9" i="176" s="1"/>
  <c r="Q5" i="212"/>
  <c r="P6" i="169"/>
  <c r="P8" i="177" s="1"/>
  <c r="P12" i="178" s="1"/>
  <c r="P7" i="169"/>
  <c r="P19" i="177" s="1"/>
  <c r="P13" i="178" s="1"/>
  <c r="S6" i="182"/>
  <c r="S11" i="180"/>
  <c r="N8" i="216"/>
  <c r="N6" i="216" s="1"/>
  <c r="N13" i="178"/>
  <c r="N8" i="169"/>
  <c r="O12" i="178"/>
  <c r="N12" i="178"/>
  <c r="J26" i="168"/>
  <c r="J9" i="168" s="1"/>
  <c r="Q6" i="212" l="1"/>
  <c r="R5" i="169"/>
  <c r="P17" i="178"/>
  <c r="O14" i="178"/>
  <c r="Q5" i="216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5" i="212"/>
  <c r="R6" i="212" s="1"/>
  <c r="O5" i="178"/>
  <c r="O6" i="178" s="1"/>
  <c r="O7" i="178" s="1"/>
  <c r="O9" i="216"/>
  <c r="O7" i="216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214"/>
  <c r="S6" i="217"/>
  <c r="S11" i="217" s="1"/>
  <c r="S11" i="182"/>
  <c r="S5" i="176" s="1"/>
  <c r="R11" i="214"/>
  <c r="R14" i="214"/>
  <c r="R17" i="214" s="1"/>
  <c r="P7" i="177"/>
  <c r="P11" i="178" s="1"/>
  <c r="P14" i="178" s="1"/>
  <c r="P8" i="169"/>
  <c r="P8" i="216"/>
  <c r="P6" i="216" s="1"/>
  <c r="N5" i="178"/>
  <c r="N6" i="178" s="1"/>
  <c r="N7" i="178" s="1"/>
  <c r="N9" i="216"/>
  <c r="N7" i="216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5" i="212"/>
  <c r="S6" i="212" s="1"/>
  <c r="Q18" i="178"/>
  <c r="P9" i="216"/>
  <c r="P7" i="216" s="1"/>
  <c r="P5" i="178"/>
  <c r="P6" i="178" s="1"/>
  <c r="P7" i="178" s="1"/>
  <c r="S14" i="214"/>
  <c r="S17" i="214" s="1"/>
  <c r="S11" i="214"/>
  <c r="R5" i="216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Q8" i="216"/>
  <c r="Q6" i="216" s="1"/>
  <c r="C10" i="221"/>
  <c r="J9" i="178"/>
  <c r="J20" i="178" s="1"/>
  <c r="J18" i="172" s="1"/>
  <c r="C10" i="210"/>
  <c r="J13" i="177"/>
  <c r="K7" i="168"/>
  <c r="K8" i="168" s="1"/>
  <c r="J20" i="172" l="1"/>
  <c r="J19" i="172"/>
  <c r="R17" i="178"/>
  <c r="R7" i="177"/>
  <c r="R11" i="178" s="1"/>
  <c r="R14" i="178" s="1"/>
  <c r="R8" i="169"/>
  <c r="R8" i="216"/>
  <c r="R6" i="216" s="1"/>
  <c r="R18" i="178"/>
  <c r="S5" i="216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9" i="216"/>
  <c r="Q7" i="216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9" i="216" l="1"/>
  <c r="R7" i="216" s="1"/>
  <c r="R5" i="178"/>
  <c r="R6" i="178" s="1"/>
  <c r="R7" i="178" s="1"/>
  <c r="S7" i="177"/>
  <c r="S11" i="178" s="1"/>
  <c r="S14" i="178" s="1"/>
  <c r="C29" i="210" s="1"/>
  <c r="S8" i="169"/>
  <c r="S8" i="216"/>
  <c r="S6" i="216" s="1"/>
  <c r="S18" i="178"/>
  <c r="K9" i="168"/>
  <c r="S9" i="216" l="1"/>
  <c r="S7" i="216" s="1"/>
  <c r="S5" i="178"/>
  <c r="S6" i="178" s="1"/>
  <c r="S7" i="178" s="1"/>
  <c r="C27" i="210" s="1"/>
  <c r="K29" i="168"/>
  <c r="K8" i="178"/>
  <c r="K9" i="178" s="1"/>
  <c r="K20" i="178" s="1"/>
  <c r="K18" i="172" s="1"/>
  <c r="J6" i="179"/>
  <c r="K10" i="168"/>
  <c r="K19" i="172" l="1"/>
  <c r="K20" i="172"/>
  <c r="K6" i="179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6" i="179"/>
  <c r="L13" i="177"/>
  <c r="M8" i="168"/>
  <c r="O19" i="168" l="1"/>
  <c r="P19" i="168"/>
  <c r="S19" i="168"/>
  <c r="R19" i="168"/>
  <c r="Q19" i="168"/>
  <c r="M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M6" i="179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6" i="179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O6" i="179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P29" i="168"/>
  <c r="P8" i="178"/>
  <c r="P9" i="178" s="1"/>
  <c r="P20" i="178" s="1"/>
  <c r="P10" i="168"/>
  <c r="I9" i="178"/>
  <c r="I20" i="178" s="1"/>
  <c r="C9" i="221"/>
  <c r="C9" i="210"/>
  <c r="H6" i="179"/>
  <c r="H10" i="179" s="1"/>
  <c r="I28" i="177"/>
  <c r="Q7" i="168" l="1"/>
  <c r="P13" i="177"/>
  <c r="P18" i="172"/>
  <c r="P6" i="179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C7" i="222"/>
  <c r="Q13" i="177"/>
  <c r="R7" i="168"/>
  <c r="Q29" i="168"/>
  <c r="Q8" i="178"/>
  <c r="Q9" i="178" s="1"/>
  <c r="Q20" i="178" s="1"/>
  <c r="M28" i="177"/>
  <c r="L23" i="178" s="1"/>
  <c r="L31" i="177"/>
  <c r="L15" i="175"/>
  <c r="L11" i="172"/>
  <c r="L12" i="172" s="1"/>
  <c r="H22" i="178"/>
  <c r="H11" i="176"/>
  <c r="I14" i="176" l="1"/>
  <c r="C10" i="222" s="1"/>
  <c r="C8" i="222"/>
  <c r="Q18" i="172"/>
  <c r="Q6" i="179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R6" i="179"/>
  <c r="I19" i="175"/>
  <c r="I18" i="175"/>
  <c r="I24" i="175" s="1"/>
  <c r="I28" i="178"/>
  <c r="H28" i="178"/>
  <c r="Q28" i="177"/>
  <c r="P23" i="178" s="1"/>
  <c r="P31" i="177"/>
  <c r="P15" i="175"/>
  <c r="P11" i="172"/>
  <c r="P12" i="172" s="1"/>
  <c r="R20" i="172" l="1"/>
  <c r="R19" i="172"/>
  <c r="R28" i="177"/>
  <c r="Q23" i="178" s="1"/>
  <c r="S8" i="168"/>
  <c r="C8" i="221"/>
  <c r="I31" i="178"/>
  <c r="I32" i="178" s="1"/>
  <c r="J30" i="178" s="1"/>
  <c r="C8" i="210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C30" i="210" s="1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C14" i="222" l="1"/>
  <c r="J22" i="178"/>
  <c r="S12" i="172"/>
  <c r="S10" i="176" s="1"/>
  <c r="S9" i="178"/>
  <c r="S20" i="178" s="1"/>
  <c r="C28" i="210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S6" i="179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0" i="172"/>
  <c r="M14" i="176"/>
  <c r="J25" i="178"/>
  <c r="C15" i="222"/>
  <c r="S28" i="177"/>
  <c r="O14" i="176"/>
  <c r="N14" i="176"/>
  <c r="Q14" i="176"/>
  <c r="R14" i="176"/>
  <c r="J14" i="176"/>
  <c r="L14" i="176"/>
  <c r="K14" i="176"/>
  <c r="S14" i="176"/>
  <c r="R23" i="178" l="1"/>
  <c r="S23" i="178"/>
  <c r="J32" i="177"/>
  <c r="J24" i="178" s="1"/>
  <c r="C16" i="222"/>
  <c r="S31" i="177"/>
  <c r="F19" i="179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C13" i="210"/>
  <c r="C13" i="221"/>
  <c r="J28" i="178"/>
  <c r="C14" i="210" s="1"/>
  <c r="J18" i="175" l="1"/>
  <c r="J24" i="175" s="1"/>
  <c r="J9" i="179" s="1"/>
  <c r="J10" i="179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C14" i="221"/>
  <c r="J31" i="178"/>
  <c r="J32" i="178" s="1"/>
  <c r="K30" i="178" s="1"/>
  <c r="M34" i="177"/>
  <c r="M24" i="178"/>
  <c r="M28" i="178" s="1"/>
  <c r="M31" i="178" s="1"/>
  <c r="M16" i="175"/>
  <c r="K19" i="175" l="1"/>
  <c r="K24" i="175" s="1"/>
  <c r="K9" i="179" s="1"/>
  <c r="K10" i="179" s="1"/>
  <c r="L18" i="175"/>
  <c r="L24" i="175" s="1"/>
  <c r="L9" i="179" s="1"/>
  <c r="L10" i="179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F14" i="179" l="1"/>
  <c r="K34" i="178"/>
  <c r="K17" i="177"/>
  <c r="K36" i="177" s="1"/>
  <c r="N5" i="177"/>
  <c r="M24" i="175"/>
  <c r="M9" i="179" s="1"/>
  <c r="M10" i="179" s="1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N9" i="179" s="1"/>
  <c r="N10" i="179" s="1"/>
  <c r="P34" i="177"/>
  <c r="P16" i="175"/>
  <c r="P24" i="178"/>
  <c r="P28" i="178" s="1"/>
  <c r="P31" i="178" s="1"/>
  <c r="O19" i="175"/>
  <c r="O18" i="175"/>
  <c r="O24" i="175" l="1"/>
  <c r="O9" i="179" s="1"/>
  <c r="O10" i="179" s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P9" i="179" s="1"/>
  <c r="P10" i="179" s="1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C26" i="210"/>
  <c r="P34" i="178"/>
  <c r="P17" i="177"/>
  <c r="P36" i="177" s="1"/>
  <c r="S34" i="177"/>
  <c r="S24" i="178"/>
  <c r="S16" i="175"/>
  <c r="R18" i="175"/>
  <c r="R19" i="175"/>
  <c r="Q24" i="175"/>
  <c r="Q9" i="179" s="1"/>
  <c r="Q10" i="179" s="1"/>
  <c r="C31" i="210" l="1"/>
  <c r="S28" i="178"/>
  <c r="S5" i="177" s="1"/>
  <c r="Q34" i="178"/>
  <c r="Q17" i="177"/>
  <c r="Q36" i="177" s="1"/>
  <c r="R24" i="175"/>
  <c r="R9" i="179" s="1"/>
  <c r="R10" i="179" s="1"/>
  <c r="S19" i="175"/>
  <c r="S18" i="175"/>
  <c r="S24" i="175" l="1"/>
  <c r="S9" i="179" s="1"/>
  <c r="S7" i="179" s="1"/>
  <c r="R34" i="178"/>
  <c r="R17" i="177"/>
  <c r="R36" i="177" s="1"/>
  <c r="S31" i="178"/>
  <c r="S32" i="178" s="1"/>
  <c r="C32" i="210"/>
  <c r="S10" i="179" l="1"/>
  <c r="F18" i="179"/>
  <c r="S17" i="177"/>
  <c r="S36" i="177" s="1"/>
  <c r="S34" i="178"/>
  <c r="F15" i="179"/>
  <c r="S11" i="179"/>
  <c r="F16" i="179" s="1"/>
  <c r="F17" i="179" l="1"/>
  <c r="F20" i="179" l="1"/>
  <c r="G14" i="179"/>
  <c r="G16" i="179"/>
  <c r="F22" i="17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<sst xmlns="http://schemas.openxmlformats.org/spreadsheetml/2006/main" count="1294" uniqueCount="364">
  <si>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</si>
  <si>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</si>
  <si>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</si>
  <si>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</si>
  <si>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</si>
  <si>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</si>
  <si>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</si>
  <si>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</si>
  <si>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</si>
  <si>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</si>
  <si>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</si>
  <si>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</si>
  <si>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</si>
  <si>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</si>
  <si>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</si>
  <si>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</si>
  <si>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</si>
  <si>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</si>
  <si>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</si>
  <si>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</si>
  <si>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</si>
  <si>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</si>
  <si>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</si>
  <si>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</si>
  <si>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</si>
  <si>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</si>
  <si>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</si>
  <si>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</si>
  <si>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</si>
  <si>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</si>
  <si>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</si>
  <si>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</si>
  <si>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</si>
  <si>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</si>
  <si>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</si>
  <si>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</si>
  <si>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</si>
  <si>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</si>
  <si>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</si>
  <si>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</si>
  <si>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</si>
  <si>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</si>
  <si>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</si>
  <si>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</si>
  <si>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</si>
  <si>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</si>
  <si>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</si>
  <si>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</si>
  <si>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</si>
  <si>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</si>
  <si>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</si>
  <si>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</si>
  <si>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</si>
  <si>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</si>
  <si>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</si>
  <si>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</si>
  <si>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</si>
  <si>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</si>
  <si>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</si>
  <si>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</si>
  <si>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</si>
  <si>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</si>
  <si>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</si>
  <si>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</si>
  <si>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</si>
  <si>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</si>
  <si>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</si>
  <si>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</si>
  <si>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</si>
  <si>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</si>
  <si>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</si>
  <si>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</si>
  <si>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</si>
  <si>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</si>
  <si>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</si>
  <si>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</si>
  <si>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</si>
  <si>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</si>
  <si>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</si>
  <si>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</si>
  <si>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</si>
  <si>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</si>
  <si>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</si>
  <si>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</si>
  <si>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</si>
  <si>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</si>
  <si>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</si>
  <si>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</si>
  <si>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</si>
  <si>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</si>
  <si>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</si>
  <si>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</si>
  <si>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</si>
  <si>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</si>
  <si>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</si>
  <si>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</si>
  <si>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</si>
  <si>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</si>
  <si>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</si>
  <si>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</si>
  <si>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</si>
  <si>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</si>
  <si>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</si>
  <si>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</si>
  <si>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</si>
  <si>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</si>
  <si>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</si>
  <si>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</si>
  <si>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</si>
  <si>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</si>
  <si>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</si>
  <si>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</si>
  <si>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</si>
  <si>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</si>
  <si>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</si>
  <si>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</si>
  <si>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</si>
  <si>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</si>
  <si>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</si>
  <si>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</si>
  <si>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</si>
  <si>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</si>
  <si>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</si>
  <si>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</si>
  <si>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</si>
  <si>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</si>
  <si>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</si>
  <si>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</si>
  <si>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</si>
  <si>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</si>
  <si>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</si>
  <si>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</si>
  <si>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</si>
  <si>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</si>
  <si>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</si>
  <si>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</si>
  <si>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</si>
  <si>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</si>
  <si>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</si>
  <si>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</si>
  <si>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</si>
  <si>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</si>
  <si>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</si>
  <si>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</si>
  <si>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</si>
  <si>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</si>
  <si>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</si>
  <si>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</si>
  <si>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</si>
  <si>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</si>
  <si>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of Enterprise Value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</si>
  <si>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</si>
  <si>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</si>
  <si>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</si>
  <si>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</si>
  <si>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</si>
  <si>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</si>
  <si>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</si>
  <si>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</si>
  <si>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</si>
  <si>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</si>
  <si>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</si>
  <si>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</si>
  <si>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</si>
  <si>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</si>
  <si>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</si>
  <si>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</si>
  <si>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</si>
  <si>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</si>
  <si>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</si>
  <si>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</si>
  <si>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</si>
  <si>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</si>
  <si>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</si>
  <si>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</si>
  <si>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</si>
  <si>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</si>
  <si>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</si>
  <si>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</si>
  <si>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</si>
  <si>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</si>
  <si>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</si>
  <si>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</si>
  <si>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</si>
  <si>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</si>
  <si>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</si>
  <si>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</si>
  <si>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</si>
  <si>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</si>
  <si>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</si>
  <si>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</si>
  <si>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</si>
  <si>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</si>
  <si>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</si>
  <si>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</si>
  <si>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</si>
  <si>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</si>
  <si>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</si>
  <si>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</si>
  <si>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</si>
  <si>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</si>
  <si>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</si>
  <si>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</si>
  <si>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</si>
  <si>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</si>
  <si>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</si>
  <si>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</si>
  <si>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</si>
  <si>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</si>
  <si>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</si>
  <si>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</si>
  <si>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</si>
  <si>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</si>
  <si>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</si>
  <si>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</si>
  <si>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</si>
  <si>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</si>
  <si>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</si>
  <si>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</si>
  <si>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</si>
  <si>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</si>
  <si>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</si>
  <si>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</si>
  <si>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</si>
  <si>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</si>
  <si>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</si>
  <si>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</si>
  <si>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</si>
  <si>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</si>
  <si>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</si>
  <si>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</si>
  <si>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</si>
  <si>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</si>
  <si>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</si>
  <si>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</si>
  <si>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</si>
  <si>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</si>
  <si>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</si>
  <si>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</si>
  <si>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</si>
  <si>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</si>
  <si>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</si>
  <si>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</si>
  <si>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</si>
  <si>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</si>
  <si>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</si>
  <si>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</si>
  <si>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</si>
  <si>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</si>
  <si>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</si>
  <si>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</si>
  <si>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</si>
  <si>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</si>
  <si>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</si>
  <si>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</si>
  <si>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</si>
  <si>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</si>
  <si>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</si>
  <si>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</si>
  <si>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</si>
  <si>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</si>
  <si>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</si>
  <si>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</si>
  <si>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</si>
  <si>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</si>
  <si>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</si>
  <si>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</si>
  <si>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</si>
  <si>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</si>
  <si>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</si>
  <si>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</si>
  <si>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</si>
  <si>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</si>
  <si>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</si>
  <si>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</si>
  <si>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</si>
  <si>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</si>
  <si>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</si>
  <si>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</si>
  <si>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</si>
  <si>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</si>
  <si>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</si>
  <si>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Bridge Charts --&gt;</t>
  </si>
  <si>
    <t>Revenue 2018</t>
  </si>
  <si>
    <t>Revenue 2019</t>
  </si>
  <si>
    <t>Revenue bridge</t>
  </si>
  <si>
    <t>Revenue 2020</t>
  </si>
  <si>
    <t>Cash Flow 2018</t>
  </si>
  <si>
    <t>Cash Flow 2019</t>
  </si>
  <si>
    <t>Working Capital</t>
  </si>
  <si>
    <t>Other</t>
  </si>
  <si>
    <t>Cash flow bridge</t>
  </si>
  <si>
    <t>Cash Flow 2027</t>
  </si>
  <si>
    <t>Cash Flow 2028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</si>
  <si>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</si>
  <si>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</si>
  <si>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</si>
  <si>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</si>
  <si>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</si>
  <si>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</si>
  <si>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</si>
  <si>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</si>
  <si>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</si>
  <si>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</si>
  <si>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</si>
  <si>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</si>
  <si>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</si>
  <si>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</si>
  <si>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</si>
  <si>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</si>
  <si>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Other Charts --&gt;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</si>
  <si>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</si>
  <si>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</si>
  <si>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</si>
  <si>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</si>
  <si>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</si>
  <si>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</si>
  <si>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</si>
  <si>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</si>
  <si>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</si>
  <si>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2017 autom.</t>
  </si>
  <si>
    <t>Revenue 2018 autom.</t>
  </si>
  <si>
    <t>Average price 2017 ($ 000's)</t>
  </si>
  <si>
    <t>Average price 2018 ($ 000's)</t>
  </si>
  <si>
    <t>Average price 2019 ($ 000's)</t>
  </si>
  <si>
    <t>Deliveries 2017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</si>
  <si>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</si>
  <si>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</si>
  <si>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</si>
  <si>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</si>
  <si>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</si>
  <si>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</si>
  <si>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</si>
  <si>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</si>
  <si>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</si>
  <si>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</si>
  <si>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</si>
  <si>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</si>
  <si>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</si>
  <si>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</si>
  <si>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FY17</t>
  </si>
  <si>
    <t>Net Inc. FY18</t>
  </si>
  <si>
    <t>Net Inc. FY19</t>
  </si>
  <si>
    <t>Net Income Bridge FY17-FY19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</si>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</sst>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</xf>
  </cellStyleXfs>
  <cellXfs count="226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5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5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7" fontId="14" fillId="2" borderId="0" xfId="0" applyNumberFormat="1" applyFont="1" applyFill="1" applyAlignment="1"/>
    <xf numFmtId="0" fontId="14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6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1" fillId="2" borderId="0" xfId="0" applyNumberFormat="1" applyFont="1" applyFill="1" applyAlignment="1"/>
    <xf numFmtId="172" fontId="10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1" fillId="2" borderId="0" xfId="0" applyNumberFormat="1" applyFont="1" applyFill="1" applyAlignment="1">
      <alignment horizontal="right"/>
    </xf>
    <xf numFmtId="167" fontId="11" fillId="2" borderId="0" xfId="0" applyNumberFormat="1" applyFont="1" applyFill="1" applyAlignment="1"/>
    <xf numFmtId="9" fontId="11" fillId="2" borderId="0" xfId="0" applyNumberFormat="1" applyFont="1" applyFill="1" applyAlignment="1"/>
    <xf numFmtId="165" fontId="14" fillId="2" borderId="0" xfId="1" applyNumberFormat="1" applyFont="1" applyFill="1" applyBorder="1" applyAlignment="1"/>
    <xf numFmtId="173" fontId="18" fillId="2" borderId="0" xfId="0" applyNumberFormat="1" applyFont="1" applyFill="1" applyAlignment="1"/>
    <xf numFmtId="173" fontId="6" fillId="2" borderId="0" xfId="0" applyNumberFormat="1" applyFont="1" applyFill="1" applyAlignment="1"/>
    <xf numFmtId="173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9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9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9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4" fontId="11" fillId="2" borderId="0" xfId="0" applyNumberFormat="1" applyFont="1" applyFill="1" applyAlignment="1"/>
    <xf numFmtId="167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10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10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10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10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10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7" fontId="15" fillId="3" borderId="0" xfId="2" applyNumberFormat="1" applyFont="1" applyFill="1">
      <alignment vertical="top"/>
    </xf>
    <xf numFmtId="167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6" fontId="9" fillId="2" borderId="0" xfId="1" applyNumberFormat="1" applyFont="1" applyFill="1" applyAlignment="1"/>
    <xf numFmtId="166" fontId="11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9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5" fillId="3" borderId="0" xfId="1" applyNumberFormat="1" applyFont="1" applyFill="1">
      <alignment vertical="top"/>
    </xf>
    <xf numFmtId="168" fontId="4" fillId="10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10" borderId="0" xfId="1" applyFont="1" applyFill="1">
      <alignment vertical="top"/>
    </xf>
    <xf numFmtId="164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5" fontId="11" fillId="10" borderId="0" xfId="1" applyNumberFormat="1" applyFont="1" applyFill="1" applyBorder="1" applyAlignment="1"/>
    <xf numFmtId="165" fontId="11" fillId="10" borderId="0" xfId="0" applyNumberFormat="1" applyFont="1" applyFill="1" applyAlignment="1"/>
    <xf numFmtId="167" fontId="11" fillId="10" borderId="0" xfId="0" applyNumberFormat="1" applyFont="1" applyFill="1" applyAlignment="1">
      <alignment horizontal="right"/>
    </xf>
    <xf numFmtId="167" fontId="11" fillId="10" borderId="0" xfId="0" applyNumberFormat="1" applyFont="1" applyFill="1" applyAlignment="1"/>
    <xf numFmtId="0" fontId="11" fillId="10" borderId="0" xfId="0" applyFont="1" applyFill="1" applyAlignment="1"/>
    <xf numFmtId="164" fontId="11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7" fontId="6" fillId="10" borderId="0" xfId="1" applyNumberFormat="1" applyFont="1" applyFill="1" applyAlignment="1"/>
    <xf numFmtId="174" fontId="23" fillId="10" borderId="1" xfId="0" applyNumberFormat="1" applyFont="1" applyFill="1" applyBorder="1" applyAlignment="1"/>
    <xf numFmtId="165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7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1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4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4" fillId="2" borderId="1" xfId="0" applyNumberFormat="1" applyFont="1" applyFill="1" applyBorder="1" applyAlignment="1"/>
    <xf numFmtId="166" fontId="11" fillId="10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6" fontId="15" fillId="6" borderId="0" xfId="0" applyNumberFormat="1" applyFont="1" applyFill="1" applyAlignment="1"/>
    <xf numFmtId="174" fontId="15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1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7" fontId="35" fillId="2" borderId="0" xfId="2" applyNumberFormat="1" applyFont="1" applyFill="1">
      <alignment vertical="top"/>
    </xf>
    <xf numFmtId="167" fontId="35" fillId="4" borderId="0" xfId="1" applyNumberFormat="1" applyFont="1" applyFill="1">
      <alignment vertical="top"/>
    </xf>
    <xf numFmtId="167" fontId="35" fillId="10" borderId="0" xfId="1" applyNumberFormat="1" applyFont="1" applyFill="1">
      <alignment vertical="top"/>
    </xf>
    <xf numFmtId="165" fontId="14" fillId="10" borderId="0" xfId="1" applyNumberFormat="1" applyFont="1" applyFill="1" applyBorder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5" fontId="11" fillId="10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10" borderId="0" xfId="1" applyNumberFormat="1" applyFont="1" applyFill="1">
      <alignment vertical="top"/>
    </xf>
    <xf numFmtId="43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36" fillId="2" borderId="0" xfId="4" applyFill="1">
      <alignment vertical="top"/>
    </xf>
    <xf numFmtId="172" fontId="24" fillId="6" borderId="0" xfId="0" applyNumberFormat="1" applyFont="1" applyFill="1" applyAlignment="1"/>
    <xf numFmtId="9" fontId="35" fillId="2" borderId="0" xfId="2" applyFont="1" applyFill="1">
      <alignment vertical="top"/>
    </xf>
    <xf numFmtId="166" fontId="4" fillId="10" borderId="0" xfId="0" applyNumberFormat="1" applyFont="1" applyFill="1">
      <alignment vertical="top"/>
    </xf>
    <xf numFmtId="167" fontId="35" fillId="2" borderId="0" xfId="0" applyNumberFormat="1" applyFont="1" applyFill="1">
      <alignment vertical="top"/>
    </xf>
    <xf numFmtId="167" fontId="35" fillId="10" borderId="0" xfId="0" applyNumberFormat="1" applyFont="1" applyFill="1">
      <alignment vertical="top"/>
    </xf>
    <xf numFmtId="0" fontId="14" fillId="2" borderId="0" xfId="0" applyFont="1" applyFill="1" applyBorder="1" applyAlignment="1"/>
    <xf numFmtId="0" fontId="11" fillId="2" borderId="0" xfId="0" applyFont="1" applyFill="1" applyBorder="1" applyAlignment="1">
      <alignment wrapText="1"/>
    </xf>
    <xf numFmtId="0" fontId="37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5577.4684771979119</c:v>
                </c:pt>
                <c:pt idx="1">
                  <c:v>7702.3510281387144</c:v>
                </c:pt>
                <c:pt idx="2">
                  <c:v>13972.440072751146</c:v>
                </c:pt>
                <c:pt idx="3">
                  <c:v>18595.372431958538</c:v>
                </c:pt>
                <c:pt idx="4">
                  <c:v>24055.421963513752</c:v>
                </c:pt>
                <c:pt idx="5">
                  <c:v>25797.10782438454</c:v>
                </c:pt>
                <c:pt idx="6">
                  <c:v>27687.057674163392</c:v>
                </c:pt>
                <c:pt idx="7">
                  <c:v>28745.283002863529</c:v>
                </c:pt>
                <c:pt idx="8">
                  <c:v>29850.409337838239</c:v>
                </c:pt>
                <c:pt idx="9">
                  <c:v>30504.97853458234</c:v>
                </c:pt>
                <c:pt idx="10">
                  <c:v>31176.092775860569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4791.7735234653437</c:v>
                </c:pt>
                <c:pt idx="1">
                  <c:v>6617.325024060644</c:v>
                </c:pt>
                <c:pt idx="2">
                  <c:v>12004.150031960702</c:v>
                </c:pt>
                <c:pt idx="3">
                  <c:v>15975.852421706921</c:v>
                </c:pt>
                <c:pt idx="4">
                  <c:v>20666.747742599873</c:v>
                </c:pt>
                <c:pt idx="5">
                  <c:v>22163.083262636279</c:v>
                </c:pt>
                <c:pt idx="6">
                  <c:v>23786.79690402604</c:v>
                </c:pt>
                <c:pt idx="7">
                  <c:v>24695.950605684109</c:v>
                </c:pt>
                <c:pt idx="8">
                  <c:v>25645.398394347645</c:v>
                </c:pt>
                <c:pt idx="9">
                  <c:v>26207.75878402216</c:v>
                </c:pt>
                <c:pt idx="10">
                  <c:v>26784.333526797433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2018 - 2028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car'!$I$5:$S$5</c:f>
              <c:numCache>
                <c:formatCode>_(* #\ ##0_);_(* \(#\ ##0\);_(* "-"?_);@_)</c:formatCode>
                <c:ptCount val="11"/>
                <c:pt idx="0">
                  <c:v>5486.04</c:v>
                </c:pt>
                <c:pt idx="1">
                  <c:v>10920</c:v>
                </c:pt>
                <c:pt idx="2">
                  <c:v>17472</c:v>
                </c:pt>
                <c:pt idx="3">
                  <c:v>19219.200000000004</c:v>
                </c:pt>
                <c:pt idx="4">
                  <c:v>21141.120000000003</c:v>
                </c:pt>
                <c:pt idx="5">
                  <c:v>22198.176000000003</c:v>
                </c:pt>
                <c:pt idx="6">
                  <c:v>23308.084800000008</c:v>
                </c:pt>
                <c:pt idx="7">
                  <c:v>23774.246496000003</c:v>
                </c:pt>
                <c:pt idx="8">
                  <c:v>24249.731425920007</c:v>
                </c:pt>
                <c:pt idx="9">
                  <c:v>24734.726054438408</c:v>
                </c:pt>
                <c:pt idx="10">
                  <c:v>25229.420575527176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car'!$I$6:$S$6</c:f>
              <c:numCache>
                <c:formatCode>_(* #\ ##0_);_(* \(#\ ##0\);_(* "-"?_);@_)</c:formatCode>
                <c:ptCount val="11"/>
                <c:pt idx="0">
                  <c:v>8750</c:v>
                </c:pt>
                <c:pt idx="1">
                  <c:v>8925</c:v>
                </c:pt>
                <c:pt idx="2">
                  <c:v>9103.5</c:v>
                </c:pt>
                <c:pt idx="3">
                  <c:v>9285.57</c:v>
                </c:pt>
                <c:pt idx="4">
                  <c:v>9471.2813999999998</c:v>
                </c:pt>
                <c:pt idx="5">
                  <c:v>9660.7070280000007</c:v>
                </c:pt>
                <c:pt idx="6">
                  <c:v>9853.9211685600021</c:v>
                </c:pt>
                <c:pt idx="7">
                  <c:v>10050.9995919312</c:v>
                </c:pt>
                <c:pt idx="8">
                  <c:v>10252.019583769825</c:v>
                </c:pt>
                <c:pt idx="9">
                  <c:v>10457.059975445223</c:v>
                </c:pt>
                <c:pt idx="10">
                  <c:v>10666.201174954127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car'!$I$7:$S$7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88.2</c:v>
                </c:pt>
                <c:pt idx="2">
                  <c:v>6531</c:v>
                </c:pt>
                <c:pt idx="3">
                  <c:v>13000</c:v>
                </c:pt>
                <c:pt idx="4">
                  <c:v>20800</c:v>
                </c:pt>
                <c:pt idx="5">
                  <c:v>22880.000000000004</c:v>
                </c:pt>
                <c:pt idx="6">
                  <c:v>25168.000000000007</c:v>
                </c:pt>
                <c:pt idx="7">
                  <c:v>26426.400000000009</c:v>
                </c:pt>
                <c:pt idx="8">
                  <c:v>27747.720000000008</c:v>
                </c:pt>
                <c:pt idx="9">
                  <c:v>28302.674400000007</c:v>
                </c:pt>
                <c:pt idx="10">
                  <c:v>28868.727888000005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car'!$I$8:$S$8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115</c:v>
                </c:pt>
                <c:pt idx="3">
                  <c:v>230</c:v>
                </c:pt>
                <c:pt idx="4">
                  <c:v>345</c:v>
                </c:pt>
                <c:pt idx="5">
                  <c:v>379.50000000000006</c:v>
                </c:pt>
                <c:pt idx="6">
                  <c:v>417.4500000000001</c:v>
                </c:pt>
                <c:pt idx="7">
                  <c:v>438.3225000000001</c:v>
                </c:pt>
                <c:pt idx="8">
                  <c:v>460.23862500000013</c:v>
                </c:pt>
                <c:pt idx="9">
                  <c:v>469.44339750000017</c:v>
                </c:pt>
                <c:pt idx="10">
                  <c:v>478.83226545000019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car'!$I$9:$S$9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15.75</c:v>
                </c:pt>
                <c:pt idx="2">
                  <c:v>1166.25</c:v>
                </c:pt>
                <c:pt idx="3">
                  <c:v>2321.4285714285716</c:v>
                </c:pt>
                <c:pt idx="4">
                  <c:v>3714.2857142857151</c:v>
                </c:pt>
                <c:pt idx="5">
                  <c:v>4085.7142857142867</c:v>
                </c:pt>
                <c:pt idx="6">
                  <c:v>4494.2857142857165</c:v>
                </c:pt>
                <c:pt idx="7">
                  <c:v>4719.0000000000018</c:v>
                </c:pt>
                <c:pt idx="8">
                  <c:v>4954.9500000000025</c:v>
                </c:pt>
                <c:pt idx="9">
                  <c:v>5054.0490000000027</c:v>
                </c:pt>
                <c:pt idx="10">
                  <c:v>5155.1299800000024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car'!$I$10:$S$10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3702.3809523809527</c:v>
                </c:pt>
                <c:pt idx="3">
                  <c:v>7369.6145124716568</c:v>
                </c:pt>
                <c:pt idx="4">
                  <c:v>11791.38321995465</c:v>
                </c:pt>
                <c:pt idx="5">
                  <c:v>12970.521541950116</c:v>
                </c:pt>
                <c:pt idx="6">
                  <c:v>14267.573696145129</c:v>
                </c:pt>
                <c:pt idx="7">
                  <c:v>14980.952380952387</c:v>
                </c:pt>
                <c:pt idx="8">
                  <c:v>15730.000000000009</c:v>
                </c:pt>
                <c:pt idx="9">
                  <c:v>16044.600000000009</c:v>
                </c:pt>
                <c:pt idx="10">
                  <c:v>16365.492000000009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2018 - 2028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vehicles'!$I$14:$S$14</c:f>
              <c:numCache>
                <c:formatCode>_(* #\ ##0_);_(* \(#\ ##0\);_(* "-"?_);@_)</c:formatCode>
                <c:ptCount val="11"/>
                <c:pt idx="0">
                  <c:v>14236.04</c:v>
                </c:pt>
                <c:pt idx="1">
                  <c:v>19933.2</c:v>
                </c:pt>
                <c:pt idx="2">
                  <c:v>33221.5</c:v>
                </c:pt>
                <c:pt idx="3">
                  <c:v>41734.770000000004</c:v>
                </c:pt>
                <c:pt idx="4">
                  <c:v>51757.401400000002</c:v>
                </c:pt>
                <c:pt idx="5">
                  <c:v>55118.383028000011</c:v>
                </c:pt>
                <c:pt idx="6">
                  <c:v>58747.455968560018</c:v>
                </c:pt>
                <c:pt idx="7">
                  <c:v>60689.968587931216</c:v>
                </c:pt>
                <c:pt idx="8">
                  <c:v>62709.70963468984</c:v>
                </c:pt>
                <c:pt idx="9">
                  <c:v>63963.903827383634</c:v>
                </c:pt>
                <c:pt idx="10">
                  <c:v>65243.181903931305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vehicles'!$I$15:$S$15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15.75</c:v>
                </c:pt>
                <c:pt idx="2">
                  <c:v>1166.25</c:v>
                </c:pt>
                <c:pt idx="3">
                  <c:v>2321.4285714285716</c:v>
                </c:pt>
                <c:pt idx="4">
                  <c:v>3714.2857142857151</c:v>
                </c:pt>
                <c:pt idx="5">
                  <c:v>4085.7142857142867</c:v>
                </c:pt>
                <c:pt idx="6">
                  <c:v>4494.2857142857165</c:v>
                </c:pt>
                <c:pt idx="7">
                  <c:v>4719.0000000000018</c:v>
                </c:pt>
                <c:pt idx="8">
                  <c:v>4954.9500000000025</c:v>
                </c:pt>
                <c:pt idx="9">
                  <c:v>5054.0490000000027</c:v>
                </c:pt>
                <c:pt idx="10">
                  <c:v>5155.1299800000024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vehicles'!$I$16:$S$16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3702.3809523809527</c:v>
                </c:pt>
                <c:pt idx="3">
                  <c:v>7369.6145124716568</c:v>
                </c:pt>
                <c:pt idx="4">
                  <c:v>11791.38321995465</c:v>
                </c:pt>
                <c:pt idx="5">
                  <c:v>12970.521541950116</c:v>
                </c:pt>
                <c:pt idx="6">
                  <c:v>14267.573696145129</c:v>
                </c:pt>
                <c:pt idx="7">
                  <c:v>14980.952380952387</c:v>
                </c:pt>
                <c:pt idx="8">
                  <c:v>15730.000000000009</c:v>
                </c:pt>
                <c:pt idx="9">
                  <c:v>16044.600000000009</c:v>
                </c:pt>
                <c:pt idx="10">
                  <c:v>16365.492000000009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2018-2028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Profitability!$C$4:$S$4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Profitability!$C$5:$S$5</c:f>
              <c:numCache>
                <c:formatCode>_(* #\ ##0_);_(* \(#\ ##0\);_(* "-"??_);_(@_)</c:formatCode>
                <c:ptCount val="15"/>
                <c:pt idx="0">
                  <c:v>3198.3560000000002</c:v>
                </c:pt>
                <c:pt idx="1">
                  <c:v>4046.0250000000001</c:v>
                </c:pt>
                <c:pt idx="2">
                  <c:v>7000.1319999999996</c:v>
                </c:pt>
                <c:pt idx="3">
                  <c:v>11758.751</c:v>
                </c:pt>
                <c:pt idx="4">
                  <c:v>17988.216</c:v>
                </c:pt>
                <c:pt idx="5">
                  <c:v>23056.672880000002</c:v>
                </c:pt>
                <c:pt idx="6">
                  <c:v>41514.780577980957</c:v>
                </c:pt>
                <c:pt idx="7">
                  <c:v>55124.434679548234</c:v>
                </c:pt>
                <c:pt idx="8">
                  <c:v>71183.609225627253</c:v>
                </c:pt>
                <c:pt idx="9">
                  <c:v>76330.390080534518</c:v>
                </c:pt>
                <c:pt idx="10">
                  <c:v>81914.432877353174</c:v>
                </c:pt>
                <c:pt idx="11">
                  <c:v>85059.345517147638</c:v>
                </c:pt>
                <c:pt idx="12">
                  <c:v>88344.249655849737</c:v>
                </c:pt>
                <c:pt idx="13">
                  <c:v>90309.118249813109</c:v>
                </c:pt>
                <c:pt idx="14">
                  <c:v>92325.163231706567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Profitability!$C$6:$S$6</c:f>
              <c:numCache>
                <c:formatCode>0.0%</c:formatCode>
                <c:ptCount val="15"/>
                <c:pt idx="0">
                  <c:v>0.27566380978227573</c:v>
                </c:pt>
                <c:pt idx="1">
                  <c:v>0.22824945471172328</c:v>
                </c:pt>
                <c:pt idx="2">
                  <c:v>0.22846097759299391</c:v>
                </c:pt>
                <c:pt idx="3">
                  <c:v>0.18900706376042839</c:v>
                </c:pt>
                <c:pt idx="4">
                  <c:v>8.9887918142358678E-2</c:v>
                </c:pt>
                <c:pt idx="5">
                  <c:v>1.9443735687361553E-2</c:v>
                </c:pt>
                <c:pt idx="6">
                  <c:v>1.2094603144115739E-2</c:v>
                </c:pt>
                <c:pt idx="7">
                  <c:v>9.8372560646570774E-3</c:v>
                </c:pt>
                <c:pt idx="8">
                  <c:v>8.0750270515500423E-3</c:v>
                </c:pt>
                <c:pt idx="9">
                  <c:v>7.9823795435669895E-3</c:v>
                </c:pt>
                <c:pt idx="10">
                  <c:v>7.8845205942918543E-3</c:v>
                </c:pt>
                <c:pt idx="11">
                  <c:v>8.0485852648922319E-3</c:v>
                </c:pt>
                <c:pt idx="12">
                  <c:v>8.2142736114221206E-3</c:v>
                </c:pt>
                <c:pt idx="13">
                  <c:v>8.5176877362620161E-3</c:v>
                </c:pt>
                <c:pt idx="14">
                  <c:v>8.8315940377172997E-3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Profitability!$C$7:$S$7</c:f>
              <c:numCache>
                <c:formatCode>0.0%</c:formatCode>
                <c:ptCount val="15"/>
                <c:pt idx="0">
                  <c:v>-5.8370300241749079E-2</c:v>
                </c:pt>
                <c:pt idx="1">
                  <c:v>-0.17711927138364195</c:v>
                </c:pt>
                <c:pt idx="2">
                  <c:v>-9.5332488015940367E-2</c:v>
                </c:pt>
                <c:pt idx="3">
                  <c:v>-0.13879756446921945</c:v>
                </c:pt>
                <c:pt idx="4">
                  <c:v>-0.19335012619479283</c:v>
                </c:pt>
                <c:pt idx="5">
                  <c:v>-0.10547416057658937</c:v>
                </c:pt>
                <c:pt idx="6">
                  <c:v>-0.11282329311983519</c:v>
                </c:pt>
                <c:pt idx="7">
                  <c:v>-0.11508064019929384</c:v>
                </c:pt>
                <c:pt idx="8">
                  <c:v>-0.11684286921240089</c:v>
                </c:pt>
                <c:pt idx="9">
                  <c:v>-0.11693551672038394</c:v>
                </c:pt>
                <c:pt idx="10">
                  <c:v>-0.11703337566965906</c:v>
                </c:pt>
                <c:pt idx="11">
                  <c:v>-0.11686931099905869</c:v>
                </c:pt>
                <c:pt idx="12">
                  <c:v>-0.1167036226525288</c:v>
                </c:pt>
                <c:pt idx="13">
                  <c:v>-0.1164002085276889</c:v>
                </c:pt>
                <c:pt idx="14">
                  <c:v>-0.1160863022262336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2027-2028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2027-2028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Tesla Inc. - Net Income bridge FY17-FY19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 Inc. - Net Income bridge FY17-FY19</a:t>
          </a:r>
        </a:p>
      </cx:txPr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2017-2018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2017-2018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20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13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19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190500"/>
              <a:ext cx="8248650" cy="2105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2466975"/>
              <a:ext cx="824865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20015"/>
              <a:ext cx="1003935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901315"/>
              <a:ext cx="1003935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20015"/>
              <a:ext cx="1003935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758440"/>
              <a:ext cx="1003935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20015"/>
              <a:ext cx="1003935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514350"/>
              <a:ext cx="9972675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196</v>
      </c>
      <c r="C9" s="101"/>
    </row>
    <row r="10" spans="2:3" ht="50.4" x14ac:dyDescent="0.25">
      <c r="B10" s="11" t="s">
        <v>197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274</v>
      </c>
    </row>
    <row r="2" spans="1:6" ht="15.6" x14ac:dyDescent="0.25">
      <c r="A2" s="1"/>
      <c r="B2" s="2"/>
    </row>
    <row r="3" spans="1:6" x14ac:dyDescent="0.25">
      <c r="B3" s="221" t="s">
        <v>200</v>
      </c>
    </row>
    <row r="5" spans="1:6" x14ac:dyDescent="0.25">
      <c r="F5" s="8" t="s">
        <v>202</v>
      </c>
    </row>
    <row r="6" spans="1:6" ht="12" x14ac:dyDescent="0.25">
      <c r="B6" s="36" t="s">
        <v>172</v>
      </c>
      <c r="C6" s="62" t="s">
        <v>199</v>
      </c>
      <c r="D6" s="62" t="s">
        <v>235</v>
      </c>
    </row>
    <row r="7" spans="1:6" x14ac:dyDescent="0.25">
      <c r="B7" s="8" t="s">
        <v>224</v>
      </c>
      <c r="C7" s="14">
        <v>9600340</v>
      </c>
      <c r="D7" s="14">
        <v>9600340</v>
      </c>
    </row>
    <row r="8" spans="1:6" x14ac:dyDescent="0.25">
      <c r="B8" s="8" t="s">
        <v>225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226</v>
      </c>
      <c r="C9" s="14">
        <v>4740000</v>
      </c>
      <c r="D9" s="14">
        <v>4740000</v>
      </c>
    </row>
    <row r="10" spans="1:6" x14ac:dyDescent="0.25">
      <c r="B10" s="8" t="s">
        <v>227</v>
      </c>
      <c r="C10" s="14">
        <v>2460000</v>
      </c>
      <c r="D10" s="14">
        <v>2460000</v>
      </c>
    </row>
    <row r="11" spans="1:6" x14ac:dyDescent="0.25">
      <c r="B11" s="8" t="s">
        <v>228</v>
      </c>
      <c r="C11" s="14">
        <v>10700000</v>
      </c>
      <c r="D11" s="14">
        <v>10700000</v>
      </c>
    </row>
    <row r="12" spans="1:6" x14ac:dyDescent="0.25">
      <c r="B12" s="129" t="s">
        <v>229</v>
      </c>
      <c r="C12" s="210" t="s">
        <v>65</v>
      </c>
      <c r="D12" s="210" t="s">
        <v>65</v>
      </c>
    </row>
    <row r="13" spans="1:6" x14ac:dyDescent="0.25">
      <c r="B13" s="129" t="s">
        <v>230</v>
      </c>
      <c r="C13" s="210" t="s">
        <v>65</v>
      </c>
      <c r="D13" s="210" t="s">
        <v>65</v>
      </c>
    </row>
    <row r="14" spans="1:6" x14ac:dyDescent="0.25">
      <c r="B14" s="129" t="s">
        <v>231</v>
      </c>
      <c r="C14" s="210" t="s">
        <v>65</v>
      </c>
      <c r="D14" s="210" t="s">
        <v>65</v>
      </c>
    </row>
    <row r="15" spans="1:6" x14ac:dyDescent="0.25">
      <c r="B15" s="129" t="s">
        <v>232</v>
      </c>
      <c r="C15" s="210" t="s">
        <v>65</v>
      </c>
      <c r="D15" s="210" t="s">
        <v>65</v>
      </c>
    </row>
    <row r="16" spans="1:6" x14ac:dyDescent="0.25">
      <c r="B16" s="129" t="s">
        <v>233</v>
      </c>
      <c r="C16" s="210" t="s">
        <v>65</v>
      </c>
      <c r="D16" s="210" t="s">
        <v>65</v>
      </c>
    </row>
    <row r="17" spans="2:4" x14ac:dyDescent="0.25">
      <c r="B17" s="129" t="s">
        <v>234</v>
      </c>
      <c r="C17" s="210" t="s">
        <v>65</v>
      </c>
      <c r="D17" s="210" t="s">
        <v>65</v>
      </c>
    </row>
    <row r="18" spans="2:4" ht="12" x14ac:dyDescent="0.25">
      <c r="B18" s="9" t="s">
        <v>199</v>
      </c>
      <c r="C18" s="212" t="s">
        <v>65</v>
      </c>
      <c r="D18" s="173">
        <f>AVERAGE(D7:D17)</f>
        <v>6821468</v>
      </c>
    </row>
    <row r="19" spans="2:4" x14ac:dyDescent="0.25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213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24" t="s">
        <v>217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0" ht="24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  <c r="T4" s="62" t="s">
        <v>179</v>
      </c>
    </row>
    <row r="5" spans="1:20" ht="13.2" customHeight="1" x14ac:dyDescent="0.25">
      <c r="B5" s="8" t="s">
        <v>175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5">
      <c r="B6" s="8" t="s">
        <v>181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5">
      <c r="B7" s="8" t="s">
        <v>176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5">
      <c r="B8" s="8" t="s">
        <v>178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5">
      <c r="B9" s="8" t="s">
        <v>177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5">
      <c r="B10" s="8" t="s">
        <v>174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6" thickBot="1" x14ac:dyDescent="0.3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5"/>
    <row r="13" spans="1:20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5">
      <c r="B14" s="92" t="s">
        <v>175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5">
      <c r="B15" s="92" t="s">
        <v>181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5">
      <c r="B16" s="92" t="s">
        <v>176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5">
      <c r="B17" s="92" t="s">
        <v>178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5">
      <c r="B18" s="92" t="s">
        <v>177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5">
      <c r="B19" s="92" t="s">
        <v>174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5">
      <c r="B22" s="92" t="s">
        <v>175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5">
      <c r="B23" s="92" t="s">
        <v>181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5">
      <c r="B24" s="92" t="s">
        <v>176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5">
      <c r="B25" s="92" t="s">
        <v>178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5">
      <c r="B26" s="92" t="s">
        <v>177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5">
      <c r="B27" s="92" t="s">
        <v>174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5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5">
      <c r="B30" s="92" t="s">
        <v>175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5">
      <c r="B31" s="92" t="s">
        <v>181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5">
      <c r="B32" s="92" t="s">
        <v>176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5">
      <c r="B33" s="92" t="s">
        <v>178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5">
      <c r="B34" s="92" t="s">
        <v>177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5">
      <c r="B35" s="92" t="s">
        <v>174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5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5">
      <c r="B38" s="92" t="s">
        <v>175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5">
      <c r="B39" s="92" t="s">
        <v>181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5">
      <c r="B40" s="92" t="s">
        <v>176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5">
      <c r="B41" s="92" t="s">
        <v>178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5">
      <c r="B42" s="92" t="s">
        <v>177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5">
      <c r="B43" s="92" t="s">
        <v>174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206</v>
      </c>
    </row>
    <row r="2" spans="1:8" ht="15.6" x14ac:dyDescent="0.25">
      <c r="A2" s="1"/>
      <c r="B2" s="2"/>
    </row>
    <row r="3" spans="1:8" ht="13.2" x14ac:dyDescent="0.25">
      <c r="A3" s="1"/>
      <c r="B3" s="102" t="s">
        <v>200</v>
      </c>
    </row>
    <row r="5" spans="1:8" ht="24" x14ac:dyDescent="0.25">
      <c r="B5" s="36" t="s">
        <v>172</v>
      </c>
      <c r="C5" s="36" t="s">
        <v>198</v>
      </c>
      <c r="D5" s="62" t="s">
        <v>203</v>
      </c>
      <c r="E5" s="62" t="s">
        <v>204</v>
      </c>
      <c r="F5" s="62" t="s">
        <v>205</v>
      </c>
      <c r="G5" s="99"/>
      <c r="H5" s="62" t="s">
        <v>199</v>
      </c>
    </row>
    <row r="6" spans="1:8" x14ac:dyDescent="0.25">
      <c r="B6" s="8" t="s">
        <v>175</v>
      </c>
      <c r="C6" s="8" t="s">
        <v>207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5">
      <c r="B7" s="8" t="s">
        <v>181</v>
      </c>
      <c r="C7" s="8" t="s">
        <v>208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5">
      <c r="B8" s="8" t="s">
        <v>176</v>
      </c>
      <c r="C8" s="8" t="s">
        <v>208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5">
      <c r="B9" s="8" t="s">
        <v>178</v>
      </c>
      <c r="C9" s="8" t="s">
        <v>209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5">
      <c r="B10" s="8" t="s">
        <v>177</v>
      </c>
      <c r="C10" s="8" t="s">
        <v>207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5">
      <c r="B11" s="8" t="s">
        <v>174</v>
      </c>
      <c r="C11" s="8" t="s">
        <v>210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5">
      <c r="B13" s="8" t="s">
        <v>201</v>
      </c>
    </row>
    <row r="14" spans="1:8" x14ac:dyDescent="0.25">
      <c r="F14" s="8" t="s">
        <v>202</v>
      </c>
    </row>
    <row r="15" spans="1:8" ht="12" x14ac:dyDescent="0.25">
      <c r="B15" s="36" t="s">
        <v>172</v>
      </c>
      <c r="C15" s="36" t="s">
        <v>199</v>
      </c>
    </row>
    <row r="16" spans="1:8" x14ac:dyDescent="0.25">
      <c r="B16" s="8" t="s">
        <v>175</v>
      </c>
      <c r="C16" s="8" t="s">
        <v>65</v>
      </c>
    </row>
    <row r="17" spans="2:3" x14ac:dyDescent="0.25">
      <c r="B17" s="8" t="s">
        <v>181</v>
      </c>
      <c r="C17" s="103">
        <f>AVERAGE('P&amp;L Input'!C29:F29)</f>
        <v>0.25321088044477918</v>
      </c>
    </row>
    <row r="18" spans="2:3" x14ac:dyDescent="0.25">
      <c r="B18" s="8" t="s">
        <v>176</v>
      </c>
      <c r="C18" s="8" t="s">
        <v>65</v>
      </c>
    </row>
    <row r="19" spans="2:3" x14ac:dyDescent="0.25">
      <c r="B19" s="8" t="s">
        <v>178</v>
      </c>
      <c r="C19" s="8" t="s">
        <v>65</v>
      </c>
    </row>
    <row r="20" spans="2:3" x14ac:dyDescent="0.25">
      <c r="B20" s="8" t="s">
        <v>177</v>
      </c>
      <c r="C20" s="8" t="s">
        <v>65</v>
      </c>
    </row>
    <row r="21" spans="2:3" x14ac:dyDescent="0.25">
      <c r="B21" s="8" t="s">
        <v>174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tabSelected="1" workbookViewId="0">
      <selection activeCell="B1" sqref="B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24" t="s">
        <v>212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175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/>
      <c r="I5" s="74"/>
      <c r="J5" s="90"/>
      <c r="K5" s="90"/>
      <c r="L5" s="90"/>
      <c r="M5" s="90"/>
      <c r="N5" s="90"/>
      <c r="O5" s="90"/>
      <c r="P5" s="90"/>
      <c r="Q5" s="90"/>
      <c r="R5" s="90"/>
      <c r="S5" s="90"/>
    </row>
    <row r="6" spans="1:19" x14ac:dyDescent="0.25">
      <c r="B6" s="8" t="s">
        <v>181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/>
      <c r="I6" s="74"/>
      <c r="J6" s="90"/>
      <c r="K6" s="90"/>
      <c r="L6" s="90"/>
      <c r="M6" s="90"/>
      <c r="N6" s="90"/>
      <c r="O6" s="90"/>
      <c r="P6" s="90"/>
      <c r="Q6" s="90"/>
      <c r="R6" s="90"/>
      <c r="S6" s="90"/>
    </row>
    <row r="7" spans="1:19" x14ac:dyDescent="0.25">
      <c r="B7" s="8" t="s">
        <v>176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</row>
    <row r="8" spans="1:19" x14ac:dyDescent="0.25">
      <c r="B8" s="8" t="s">
        <v>178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</row>
    <row r="9" spans="1:19" x14ac:dyDescent="0.25">
      <c r="B9" s="8" t="s">
        <v>177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</row>
    <row r="10" spans="1:19" x14ac:dyDescent="0.25">
      <c r="B10" s="8" t="s">
        <v>174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</row>
    <row r="11" spans="1:19" ht="12.6" thickBot="1" x14ac:dyDescent="0.3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</row>
    <row r="12" spans="1:19" ht="3" customHeight="1" x14ac:dyDescent="0.25"/>
    <row r="13" spans="1:19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5">
      <c r="B14" s="92" t="s">
        <v>175</v>
      </c>
      <c r="C14" s="95"/>
      <c r="D14" s="95"/>
      <c r="E14" s="95"/>
      <c r="F14" s="95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</row>
    <row r="15" spans="1:19" x14ac:dyDescent="0.25">
      <c r="B15" s="92" t="s">
        <v>181</v>
      </c>
      <c r="C15" s="95"/>
      <c r="D15" s="79"/>
      <c r="E15" s="79"/>
      <c r="F15" s="79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</row>
    <row r="16" spans="1:19" x14ac:dyDescent="0.25">
      <c r="B16" s="92" t="s">
        <v>176</v>
      </c>
      <c r="C16" s="95"/>
      <c r="D16" s="95"/>
      <c r="E16" s="95"/>
      <c r="F16" s="95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</row>
    <row r="17" spans="2:19" x14ac:dyDescent="0.25">
      <c r="B17" s="92" t="s">
        <v>178</v>
      </c>
      <c r="C17" s="95"/>
      <c r="D17" s="95"/>
      <c r="E17" s="95"/>
      <c r="F17" s="95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</row>
    <row r="18" spans="2:19" x14ac:dyDescent="0.25">
      <c r="B18" s="92" t="s">
        <v>177</v>
      </c>
      <c r="C18" s="95"/>
      <c r="D18" s="95"/>
      <c r="E18" s="95"/>
      <c r="F18" s="95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</row>
    <row r="19" spans="2:19" x14ac:dyDescent="0.25">
      <c r="B19" s="92" t="s">
        <v>174</v>
      </c>
      <c r="C19" s="95"/>
      <c r="D19" s="95"/>
      <c r="E19" s="95"/>
      <c r="F19" s="95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175</v>
      </c>
      <c r="C22" s="95"/>
      <c r="D22" s="95"/>
      <c r="E22" s="95"/>
      <c r="F22" s="95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</row>
    <row r="23" spans="2:19" x14ac:dyDescent="0.25">
      <c r="B23" s="92" t="s">
        <v>181</v>
      </c>
      <c r="C23" s="95"/>
      <c r="D23" s="79"/>
      <c r="E23" s="79"/>
      <c r="F23" s="79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</row>
    <row r="24" spans="2:19" x14ac:dyDescent="0.25">
      <c r="B24" s="92" t="s">
        <v>176</v>
      </c>
      <c r="C24" s="95"/>
      <c r="D24" s="95"/>
      <c r="E24" s="95"/>
      <c r="F24" s="95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</row>
    <row r="25" spans="2:19" x14ac:dyDescent="0.25">
      <c r="B25" s="92" t="s">
        <v>178</v>
      </c>
      <c r="C25" s="95"/>
      <c r="D25" s="95"/>
      <c r="E25" s="95"/>
      <c r="F25" s="95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</row>
    <row r="26" spans="2:19" x14ac:dyDescent="0.25">
      <c r="B26" s="92" t="s">
        <v>177</v>
      </c>
      <c r="C26" s="95"/>
      <c r="D26" s="95"/>
      <c r="E26" s="95"/>
      <c r="F26" s="95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</row>
    <row r="27" spans="2:19" x14ac:dyDescent="0.25">
      <c r="B27" s="92" t="s">
        <v>174</v>
      </c>
      <c r="C27" s="95"/>
      <c r="D27" s="95"/>
      <c r="E27" s="95"/>
      <c r="F27" s="95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</row>
    <row r="28" spans="2:19" x14ac:dyDescent="0.25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5">
      <c r="B30" s="92" t="s">
        <v>175</v>
      </c>
      <c r="C30" s="95"/>
      <c r="D30" s="95"/>
      <c r="E30" s="95"/>
      <c r="F30" s="95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</row>
    <row r="31" spans="2:19" x14ac:dyDescent="0.25">
      <c r="B31" s="92" t="s">
        <v>181</v>
      </c>
      <c r="C31" s="95"/>
      <c r="D31" s="79"/>
      <c r="E31" s="79"/>
      <c r="F31" s="79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</row>
    <row r="32" spans="2:19" x14ac:dyDescent="0.25">
      <c r="B32" s="92" t="s">
        <v>176</v>
      </c>
      <c r="C32" s="95"/>
      <c r="D32" s="95"/>
      <c r="E32" s="95"/>
      <c r="F32" s="95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</row>
    <row r="33" spans="2:19" x14ac:dyDescent="0.25">
      <c r="B33" s="92" t="s">
        <v>178</v>
      </c>
      <c r="C33" s="95"/>
      <c r="D33" s="95"/>
      <c r="E33" s="95"/>
      <c r="F33" s="95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</row>
    <row r="34" spans="2:19" x14ac:dyDescent="0.25">
      <c r="B34" s="92" t="s">
        <v>177</v>
      </c>
      <c r="C34" s="95"/>
      <c r="D34" s="95"/>
      <c r="E34" s="95"/>
      <c r="F34" s="95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2:19" x14ac:dyDescent="0.25">
      <c r="B35" s="92" t="s">
        <v>174</v>
      </c>
      <c r="C35" s="95"/>
      <c r="D35" s="95"/>
      <c r="E35" s="95"/>
      <c r="F35" s="95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</row>
    <row r="36" spans="2:19" x14ac:dyDescent="0.25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5">
      <c r="B38" s="92" t="s">
        <v>175</v>
      </c>
      <c r="C38" s="95"/>
      <c r="D38" s="95"/>
      <c r="E38" s="95"/>
      <c r="F38" s="95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</row>
    <row r="39" spans="2:19" x14ac:dyDescent="0.25">
      <c r="B39" s="92" t="s">
        <v>181</v>
      </c>
      <c r="C39" s="95"/>
      <c r="D39" s="79"/>
      <c r="E39" s="79"/>
      <c r="F39" s="79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</row>
    <row r="40" spans="2:19" x14ac:dyDescent="0.25">
      <c r="B40" s="92" t="s">
        <v>176</v>
      </c>
      <c r="C40" s="95"/>
      <c r="D40" s="95"/>
      <c r="E40" s="95"/>
      <c r="F40" s="95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</row>
    <row r="41" spans="2:19" x14ac:dyDescent="0.25">
      <c r="B41" s="92" t="s">
        <v>178</v>
      </c>
      <c r="C41" s="95"/>
      <c r="D41" s="95"/>
      <c r="E41" s="95"/>
      <c r="F41" s="95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</row>
    <row r="42" spans="2:19" x14ac:dyDescent="0.25">
      <c r="B42" s="92" t="s">
        <v>177</v>
      </c>
      <c r="C42" s="95"/>
      <c r="D42" s="95"/>
      <c r="E42" s="95"/>
      <c r="F42" s="95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</row>
    <row r="43" spans="2:19" x14ac:dyDescent="0.25">
      <c r="B43" s="92" t="s">
        <v>174</v>
      </c>
      <c r="C43" s="95"/>
      <c r="D43" s="95"/>
      <c r="E43" s="95"/>
      <c r="F43" s="95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</row>
    <row r="44" spans="2:19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N6" sqref="N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222</v>
      </c>
    </row>
    <row r="2" spans="1:19" ht="15.6" x14ac:dyDescent="0.25">
      <c r="A2" s="1"/>
      <c r="B2" s="2"/>
    </row>
    <row r="3" spans="1:19" ht="12" x14ac:dyDescent="0.25">
      <c r="C3" s="224" t="s">
        <v>212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175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-4368</v>
      </c>
      <c r="I5" s="74" t="s">
        <v>65</v>
      </c>
      <c r="J5" s="90">
        <f>-('Revenue automotive'!J5-'GP automotive'!J5)</f>
        <v>-10920</v>
      </c>
      <c r="K5" s="90">
        <f>-('Revenue automotive'!K5-'GP automotive'!K5)</f>
        <v>-17472</v>
      </c>
      <c r="L5" s="90">
        <f>-('Revenue automotive'!L5-'GP automotive'!L5)</f>
        <v>-19219.200000000004</v>
      </c>
      <c r="M5" s="90">
        <f>-('Revenue automotive'!M5-'GP automotive'!M5)</f>
        <v>-21141.120000000003</v>
      </c>
      <c r="N5" s="90">
        <f>-('Revenue automotive'!N5-'GP automotive'!N5)</f>
        <v>-22198.176000000003</v>
      </c>
      <c r="O5" s="90">
        <f>-('Revenue automotive'!O5-'GP automotive'!O5)</f>
        <v>-23308.084800000008</v>
      </c>
      <c r="P5" s="90">
        <f>-('Revenue automotive'!P5-'GP automotive'!P5)</f>
        <v>-23774.246496000003</v>
      </c>
      <c r="Q5" s="90">
        <f>-('Revenue automotive'!Q5-'GP automotive'!Q5)</f>
        <v>-24249.731425920007</v>
      </c>
      <c r="R5" s="90">
        <f>-('Revenue automotive'!R5-'GP automotive'!R5)</f>
        <v>-24734.726054438408</v>
      </c>
      <c r="S5" s="90">
        <f>-('Revenue automotive'!S5-'GP automotive'!S5)</f>
        <v>-25229.420575527176</v>
      </c>
    </row>
    <row r="6" spans="1:19" x14ac:dyDescent="0.25">
      <c r="B6" s="8" t="s">
        <v>181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-4891.25</v>
      </c>
      <c r="I6" s="74" t="s">
        <v>65</v>
      </c>
      <c r="J6" s="90">
        <f>-('Revenue automotive'!J6-'GP automotive'!J6)</f>
        <v>-8925</v>
      </c>
      <c r="K6" s="90">
        <f>-('Revenue automotive'!K6-'GP automotive'!K6)</f>
        <v>-9103.5</v>
      </c>
      <c r="L6" s="90">
        <f>-('Revenue automotive'!L6-'GP automotive'!L6)</f>
        <v>-9285.57</v>
      </c>
      <c r="M6" s="90">
        <f>-('Revenue automotive'!M6-'GP automotive'!M6)</f>
        <v>-9471.2813999999998</v>
      </c>
      <c r="N6" s="90">
        <f>-('Revenue automotive'!N6-'GP automotive'!N6)</f>
        <v>-9660.7070280000007</v>
      </c>
      <c r="O6" s="90">
        <f>-('Revenue automotive'!O6-'GP automotive'!O6)</f>
        <v>-9853.9211685600021</v>
      </c>
      <c r="P6" s="90">
        <f>-('Revenue automotive'!P6-'GP automotive'!P6)</f>
        <v>-10050.9995919312</v>
      </c>
      <c r="Q6" s="90">
        <f>-('Revenue automotive'!Q6-'GP automotive'!Q6)</f>
        <v>-10252.019583769825</v>
      </c>
      <c r="R6" s="90">
        <f>-('Revenue automotive'!R6-'GP automotive'!R6)</f>
        <v>-10457.059975445223</v>
      </c>
      <c r="S6" s="90">
        <f>-('Revenue automotive'!S6-'GP automotive'!S6)</f>
        <v>-10666.201174954127</v>
      </c>
    </row>
    <row r="7" spans="1:19" x14ac:dyDescent="0.25">
      <c r="B7" s="8" t="s">
        <v>176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-88.2</v>
      </c>
      <c r="K7" s="90">
        <f>-('Revenue automotive'!K7-'GP automotive'!K7)</f>
        <v>-6531</v>
      </c>
      <c r="L7" s="90">
        <f>-('Revenue automotive'!L7-'GP automotive'!L7)</f>
        <v>-13000</v>
      </c>
      <c r="M7" s="90">
        <f>-('Revenue automotive'!M7-'GP automotive'!M7)</f>
        <v>-20800</v>
      </c>
      <c r="N7" s="90">
        <f>-('Revenue automotive'!N7-'GP automotive'!N7)</f>
        <v>-22880.000000000004</v>
      </c>
      <c r="O7" s="90">
        <f>-('Revenue automotive'!O7-'GP automotive'!O7)</f>
        <v>-25168.000000000007</v>
      </c>
      <c r="P7" s="90">
        <f>-('Revenue automotive'!P7-'GP automotive'!P7)</f>
        <v>-26426.400000000009</v>
      </c>
      <c r="Q7" s="90">
        <f>-('Revenue automotive'!Q7-'GP automotive'!Q7)</f>
        <v>-27747.720000000008</v>
      </c>
      <c r="R7" s="90">
        <f>-('Revenue automotive'!R7-'GP automotive'!R7)</f>
        <v>-28302.674400000007</v>
      </c>
      <c r="S7" s="90">
        <f>-('Revenue automotive'!S7-'GP automotive'!S7)</f>
        <v>-28868.727888000005</v>
      </c>
    </row>
    <row r="8" spans="1:19" x14ac:dyDescent="0.25">
      <c r="B8" s="8" t="s">
        <v>178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-115</v>
      </c>
      <c r="L8" s="90">
        <f>-('Revenue automotive'!L8-'GP automotive'!L8)</f>
        <v>-230</v>
      </c>
      <c r="M8" s="90">
        <f>-('Revenue automotive'!M8-'GP automotive'!M8)</f>
        <v>-345</v>
      </c>
      <c r="N8" s="90">
        <f>-('Revenue automotive'!N8-'GP automotive'!N8)</f>
        <v>-379.50000000000006</v>
      </c>
      <c r="O8" s="90">
        <f>-('Revenue automotive'!O8-'GP automotive'!O8)</f>
        <v>-417.4500000000001</v>
      </c>
      <c r="P8" s="90">
        <f>-('Revenue automotive'!P8-'GP automotive'!P8)</f>
        <v>-438.3225000000001</v>
      </c>
      <c r="Q8" s="90">
        <f>-('Revenue automotive'!Q8-'GP automotive'!Q8)</f>
        <v>-460.23862500000013</v>
      </c>
      <c r="R8" s="90">
        <f>-('Revenue automotive'!R8-'GP automotive'!R8)</f>
        <v>-469.44339750000017</v>
      </c>
      <c r="S8" s="90">
        <f>-('Revenue automotive'!S8-'GP automotive'!S8)</f>
        <v>-478.83226545000019</v>
      </c>
    </row>
    <row r="9" spans="1:19" x14ac:dyDescent="0.25">
      <c r="B9" s="8" t="s">
        <v>177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-15.75</v>
      </c>
      <c r="K9" s="90">
        <f>-('Revenue automotive'!K9-'GP automotive'!K9)</f>
        <v>-1166.25</v>
      </c>
      <c r="L9" s="90">
        <f>-('Revenue automotive'!L9-'GP automotive'!L9)</f>
        <v>-2321.4285714285716</v>
      </c>
      <c r="M9" s="90">
        <f>-('Revenue automotive'!M9-'GP automotive'!M9)</f>
        <v>-3714.2857142857151</v>
      </c>
      <c r="N9" s="90">
        <f>-('Revenue automotive'!N9-'GP automotive'!N9)</f>
        <v>-4085.7142857142867</v>
      </c>
      <c r="O9" s="90">
        <f>-('Revenue automotive'!O9-'GP automotive'!O9)</f>
        <v>-4494.2857142857165</v>
      </c>
      <c r="P9" s="90">
        <f>-('Revenue automotive'!P9-'GP automotive'!P9)</f>
        <v>-4719.0000000000018</v>
      </c>
      <c r="Q9" s="90">
        <f>-('Revenue automotive'!Q9-'GP automotive'!Q9)</f>
        <v>-4954.9500000000025</v>
      </c>
      <c r="R9" s="90">
        <f>-('Revenue automotive'!R9-'GP automotive'!R9)</f>
        <v>-5054.0490000000027</v>
      </c>
      <c r="S9" s="90">
        <f>-('Revenue automotive'!S9-'GP automotive'!S9)</f>
        <v>-5155.1299800000024</v>
      </c>
    </row>
    <row r="10" spans="1:19" x14ac:dyDescent="0.25">
      <c r="B10" s="8" t="s">
        <v>174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-50</v>
      </c>
      <c r="K10" s="90">
        <f>-('Revenue automotive'!K10-'GP automotive'!K10)</f>
        <v>-3702.3809523809527</v>
      </c>
      <c r="L10" s="90">
        <f>-('Revenue automotive'!L10-'GP automotive'!L10)</f>
        <v>-7369.6145124716568</v>
      </c>
      <c r="M10" s="90">
        <f>-('Revenue automotive'!M10-'GP automotive'!M10)</f>
        <v>-11791.38321995465</v>
      </c>
      <c r="N10" s="90">
        <f>-('Revenue automotive'!N10-'GP automotive'!N10)</f>
        <v>-12970.521541950116</v>
      </c>
      <c r="O10" s="90">
        <f>-('Revenue automotive'!O10-'GP automotive'!O10)</f>
        <v>-14267.573696145129</v>
      </c>
      <c r="P10" s="90">
        <f>-('Revenue automotive'!P10-'GP automotive'!P10)</f>
        <v>-14980.952380952387</v>
      </c>
      <c r="Q10" s="90">
        <f>-('Revenue automotive'!Q10-'GP automotive'!Q10)</f>
        <v>-15730.000000000009</v>
      </c>
      <c r="R10" s="90">
        <f>-('Revenue automotive'!R10-'GP automotive'!R10)</f>
        <v>-16044.600000000009</v>
      </c>
      <c r="S10" s="90">
        <f>-('Revenue automotive'!S10-'GP automotive'!S10)</f>
        <v>-16365.492000000009</v>
      </c>
    </row>
    <row r="11" spans="1:19" ht="12.6" thickBot="1" x14ac:dyDescent="0.3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-9259.25</v>
      </c>
      <c r="I11" s="127">
        <f>-('Revenue automotive'!I11-'GP automotive'!I11)</f>
        <v>-14236.04</v>
      </c>
      <c r="J11" s="127">
        <f t="shared" si="0"/>
        <v>-19998.95</v>
      </c>
      <c r="K11" s="127">
        <f t="shared" si="0"/>
        <v>-38090.130952380954</v>
      </c>
      <c r="L11" s="127">
        <f t="shared" si="0"/>
        <v>-51425.813083900233</v>
      </c>
      <c r="M11" s="127">
        <f t="shared" si="0"/>
        <v>-67263.070334240372</v>
      </c>
      <c r="N11" s="127">
        <f t="shared" si="0"/>
        <v>-72174.618855664419</v>
      </c>
      <c r="O11" s="127">
        <f t="shared" ref="O11:S11" si="1">SUM(O5:O10)</f>
        <v>-77509.315378990868</v>
      </c>
      <c r="P11" s="127">
        <f t="shared" si="1"/>
        <v>-80389.920968883598</v>
      </c>
      <c r="Q11" s="127">
        <f t="shared" si="1"/>
        <v>-83394.659634689859</v>
      </c>
      <c r="R11" s="127">
        <f t="shared" si="1"/>
        <v>-85062.552827383639</v>
      </c>
      <c r="S11" s="127">
        <f t="shared" si="1"/>
        <v>-86763.803883931323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306</v>
      </c>
    </row>
    <row r="2" spans="1:19" ht="15.6" x14ac:dyDescent="0.25">
      <c r="A2" s="1"/>
      <c r="B2" s="2"/>
    </row>
    <row r="3" spans="1:19" ht="24" x14ac:dyDescent="0.25">
      <c r="A3" s="1"/>
      <c r="B3" s="36" t="s">
        <v>172</v>
      </c>
      <c r="C3" s="6" t="s">
        <v>45</v>
      </c>
      <c r="D3" s="6" t="s">
        <v>46</v>
      </c>
      <c r="E3" s="6" t="s">
        <v>47</v>
      </c>
      <c r="F3" s="6" t="s">
        <v>165</v>
      </c>
      <c r="G3" s="6"/>
      <c r="H3" s="98"/>
      <c r="I3" s="98" t="s">
        <v>183</v>
      </c>
      <c r="J3" s="98" t="s">
        <v>185</v>
      </c>
      <c r="K3" s="98" t="s">
        <v>186</v>
      </c>
      <c r="L3" s="98" t="s">
        <v>187</v>
      </c>
      <c r="M3" s="98" t="s">
        <v>188</v>
      </c>
      <c r="N3" s="98" t="s">
        <v>189</v>
      </c>
      <c r="O3" s="98" t="s">
        <v>269</v>
      </c>
      <c r="P3" s="98" t="s">
        <v>270</v>
      </c>
      <c r="Q3" s="98" t="s">
        <v>271</v>
      </c>
      <c r="R3" s="98" t="s">
        <v>272</v>
      </c>
      <c r="S3" s="98" t="s">
        <v>273</v>
      </c>
    </row>
    <row r="4" spans="1:19" x14ac:dyDescent="0.25">
      <c r="B4" s="8" t="s">
        <v>307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5">
      <c r="B5" s="8" t="s">
        <v>308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0</v>
      </c>
      <c r="J5" s="90">
        <f>'GP automotive'!J11</f>
        <v>0</v>
      </c>
      <c r="K5" s="90">
        <f>'GP automotive'!K11</f>
        <v>0</v>
      </c>
      <c r="L5" s="90">
        <f>'GP automotive'!L11</f>
        <v>0</v>
      </c>
      <c r="M5" s="90">
        <f>'GP automotive'!M11</f>
        <v>0</v>
      </c>
      <c r="N5" s="90">
        <f>'GP automotive'!N11</f>
        <v>0</v>
      </c>
      <c r="O5" s="90">
        <f>'GP automotive'!O11</f>
        <v>0</v>
      </c>
      <c r="P5" s="90">
        <f>'GP automotive'!P11</f>
        <v>0</v>
      </c>
      <c r="Q5" s="90">
        <f>'GP automotive'!Q11</f>
        <v>0</v>
      </c>
      <c r="R5" s="90">
        <f>'GP automotive'!R11</f>
        <v>0</v>
      </c>
      <c r="S5" s="90">
        <f>'GP automotive'!S11</f>
        <v>0</v>
      </c>
    </row>
    <row r="6" spans="1:19" x14ac:dyDescent="0.25">
      <c r="B6" s="8" t="s">
        <v>218</v>
      </c>
      <c r="C6" s="215">
        <f>C5/C4</f>
        <v>0.28641821183287597</v>
      </c>
      <c r="D6" s="215">
        <f>D5/D4</f>
        <v>0.24530275946926108</v>
      </c>
      <c r="E6" s="215">
        <f>E5/E4</f>
        <v>0.25204597366679865</v>
      </c>
      <c r="F6" s="215">
        <f>F5/F4</f>
        <v>0.2290765768101812</v>
      </c>
      <c r="G6" s="215"/>
      <c r="H6" s="215"/>
      <c r="I6" s="222">
        <f>I5/I4</f>
        <v>0</v>
      </c>
      <c r="J6" s="222">
        <f t="shared" ref="J6:S6" si="0">J5/J4</f>
        <v>0</v>
      </c>
      <c r="K6" s="222">
        <f t="shared" si="0"/>
        <v>0</v>
      </c>
      <c r="L6" s="222">
        <f t="shared" si="0"/>
        <v>0</v>
      </c>
      <c r="M6" s="222">
        <f t="shared" si="0"/>
        <v>0</v>
      </c>
      <c r="N6" s="222">
        <f t="shared" si="0"/>
        <v>0</v>
      </c>
      <c r="O6" s="222">
        <f t="shared" si="0"/>
        <v>0</v>
      </c>
      <c r="P6" s="222">
        <f t="shared" si="0"/>
        <v>0</v>
      </c>
      <c r="Q6" s="222">
        <f t="shared" si="0"/>
        <v>0</v>
      </c>
      <c r="R6" s="222">
        <f t="shared" si="0"/>
        <v>0</v>
      </c>
      <c r="S6" s="222">
        <f t="shared" si="0"/>
        <v>0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252</v>
      </c>
    </row>
    <row r="2" spans="1:19" ht="15.6" x14ac:dyDescent="0.25">
      <c r="A2" s="1"/>
      <c r="B2" s="2"/>
    </row>
    <row r="3" spans="1:19" ht="12" x14ac:dyDescent="0.25">
      <c r="C3" s="224" t="s">
        <v>344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214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5">
      <c r="B8" s="8" t="s">
        <v>220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221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214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215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5">
      <c r="B16" s="92" t="s">
        <v>214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5">
      <c r="B19" s="92" t="s">
        <v>214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214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216</v>
      </c>
      <c r="O1" s="98" t="s">
        <v>270</v>
      </c>
    </row>
    <row r="2" spans="1:19" ht="15.6" x14ac:dyDescent="0.25">
      <c r="A2" s="1"/>
      <c r="B2" s="2"/>
    </row>
    <row r="3" spans="1:19" ht="12" x14ac:dyDescent="0.25">
      <c r="C3" s="224" t="s">
        <v>219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214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220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221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214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218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5">
      <c r="B16" s="92" t="s">
        <v>214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5">
      <c r="B19" s="92" t="s">
        <v>214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214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356</v>
      </c>
      <c r="C4" s="113" t="s">
        <v>196</v>
      </c>
      <c r="E4" s="4"/>
      <c r="F4" s="4"/>
    </row>
    <row r="5" spans="1:6" x14ac:dyDescent="0.25">
      <c r="B5" s="8" t="s">
        <v>191</v>
      </c>
      <c r="C5" s="99" t="s">
        <v>192</v>
      </c>
    </row>
    <row r="6" spans="1:6" x14ac:dyDescent="0.25">
      <c r="B6" s="8" t="s">
        <v>193</v>
      </c>
      <c r="C6" s="99" t="s">
        <v>194</v>
      </c>
    </row>
    <row r="7" spans="1:6" x14ac:dyDescent="0.25">
      <c r="B7" s="8" t="s">
        <v>357</v>
      </c>
      <c r="C7" s="100">
        <v>3.0700000000000002E-2</v>
      </c>
    </row>
    <row r="8" spans="1:6" x14ac:dyDescent="0.25">
      <c r="B8" s="8" t="s">
        <v>195</v>
      </c>
      <c r="C8" s="34">
        <v>0.05</v>
      </c>
    </row>
    <row r="9" spans="1:6" x14ac:dyDescent="0.25">
      <c r="B9" s="8" t="s">
        <v>358</v>
      </c>
      <c r="C9" s="8">
        <v>0.78</v>
      </c>
    </row>
    <row r="10" spans="1:6" x14ac:dyDescent="0.25">
      <c r="B10" s="8" t="s">
        <v>359</v>
      </c>
      <c r="C10" s="8">
        <v>307.8</v>
      </c>
    </row>
    <row r="11" spans="1:6" x14ac:dyDescent="0.2">
      <c r="B11" s="20" t="s">
        <v>360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162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251</v>
      </c>
    </row>
    <row r="2" spans="1:19" ht="15.6" x14ac:dyDescent="0.25">
      <c r="A2" s="1"/>
      <c r="B2" s="2"/>
    </row>
    <row r="3" spans="1:19" ht="12" x14ac:dyDescent="0.25">
      <c r="C3" s="224" t="s">
        <v>345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214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220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221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I39" sqref="I39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247</v>
      </c>
    </row>
    <row r="2" spans="1:6" ht="15.6" x14ac:dyDescent="0.25">
      <c r="A2" s="1"/>
      <c r="B2" s="2"/>
    </row>
    <row r="3" spans="1:6" ht="13.2" x14ac:dyDescent="0.25">
      <c r="A3" s="1"/>
      <c r="B3" s="102" t="s">
        <v>275</v>
      </c>
    </row>
    <row r="5" spans="1:6" x14ac:dyDescent="0.25">
      <c r="F5" s="8" t="s">
        <v>202</v>
      </c>
    </row>
    <row r="6" spans="1:6" ht="12" x14ac:dyDescent="0.25">
      <c r="B6" s="36" t="s">
        <v>172</v>
      </c>
      <c r="C6" s="62" t="s">
        <v>199</v>
      </c>
      <c r="D6" s="62" t="s">
        <v>235</v>
      </c>
    </row>
    <row r="7" spans="1:6" x14ac:dyDescent="0.25">
      <c r="B7" s="8" t="s">
        <v>224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5">
      <c r="B8" s="8" t="s">
        <v>225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5">
      <c r="B9" s="8" t="s">
        <v>226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5">
      <c r="B10" s="8" t="s">
        <v>227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5">
      <c r="B11" s="8" t="s">
        <v>228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5">
      <c r="B12" s="129" t="s">
        <v>229</v>
      </c>
      <c r="C12" s="114">
        <f>(-379+5376+2490)/24339</f>
        <v>0.30761329553391675</v>
      </c>
      <c r="D12" s="114"/>
    </row>
    <row r="13" spans="1:6" x14ac:dyDescent="0.25">
      <c r="B13" s="8" t="s">
        <v>230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5">
      <c r="B14" s="129" t="s">
        <v>231</v>
      </c>
      <c r="C14" s="114">
        <f>(329065+657119)/3416890</f>
        <v>0.28862035359639904</v>
      </c>
      <c r="D14" s="114"/>
    </row>
    <row r="15" spans="1:6" x14ac:dyDescent="0.25">
      <c r="B15" s="8" t="s">
        <v>232</v>
      </c>
      <c r="C15" s="113">
        <f>(6587+9934+1794)/119713</f>
        <v>0.15299090324359091</v>
      </c>
      <c r="D15" s="113">
        <f>C15</f>
        <v>0.15299090324359091</v>
      </c>
    </row>
    <row r="16" spans="1:6" x14ac:dyDescent="0.25">
      <c r="B16" s="8" t="s">
        <v>233</v>
      </c>
      <c r="C16" s="113">
        <f>(364+770+1626-655)/14342</f>
        <v>0.14677171942546369</v>
      </c>
      <c r="D16" s="113">
        <f>C16</f>
        <v>0.14677171942546369</v>
      </c>
    </row>
    <row r="17" spans="2:4" x14ac:dyDescent="0.25">
      <c r="B17" s="129" t="s">
        <v>234</v>
      </c>
      <c r="C17" s="114">
        <f>(264.7+449.5)/18187.5</f>
        <v>3.9268728522336774E-2</v>
      </c>
      <c r="D17" s="114"/>
    </row>
    <row r="18" spans="2:4" ht="12" x14ac:dyDescent="0.25">
      <c r="B18" s="9" t="s">
        <v>199</v>
      </c>
      <c r="C18" s="115">
        <f>AVERAGE(C7:C17)</f>
        <v>0.14862232252402363</v>
      </c>
      <c r="D18" s="11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24" t="s">
        <v>237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ht="12" x14ac:dyDescent="0.25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>
        <f>J5*J6</f>
        <v>-2880.1910710156908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5">
      <c r="B10" s="92" t="s">
        <v>236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94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5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5">
      <c r="B12" s="108" t="s">
        <v>223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5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92" t="s">
        <v>236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5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5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5">
      <c r="B17" s="92" t="s">
        <v>236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94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5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5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5">
      <c r="B20" s="92" t="s">
        <v>236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workbookViewId="0">
      <selection activeCell="K10" sqref="K10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163</v>
      </c>
    </row>
    <row r="3" spans="1:19" x14ac:dyDescent="0.25">
      <c r="B3" s="121" t="str">
        <f>"Selected case:"&amp;CHOOSE(C3," as a % of PPE"," as a % of revenue")</f>
        <v>Selected case: as a % of PPE</v>
      </c>
      <c r="C3" s="120">
        <v>1</v>
      </c>
    </row>
    <row r="4" spans="1:19" ht="5.4" customHeight="1" x14ac:dyDescent="0.25">
      <c r="B4" s="121"/>
      <c r="C4" s="122"/>
    </row>
    <row r="5" spans="1:19" x14ac:dyDescent="0.25">
      <c r="C5" s="224" t="s">
        <v>238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</row>
    <row r="6" spans="1:19" ht="26.4" customHeight="1" x14ac:dyDescent="0.25">
      <c r="A6" s="19" t="s">
        <v>76</v>
      </c>
      <c r="B6" s="5" t="s">
        <v>260</v>
      </c>
      <c r="C6" s="6" t="s">
        <v>239</v>
      </c>
      <c r="D6" s="6" t="s">
        <v>240</v>
      </c>
      <c r="E6" s="6" t="s">
        <v>241</v>
      </c>
      <c r="F6" s="6" t="s">
        <v>244</v>
      </c>
      <c r="G6" s="6" t="s">
        <v>242</v>
      </c>
      <c r="H6" s="98" t="s">
        <v>184</v>
      </c>
      <c r="I6" s="98" t="s">
        <v>295</v>
      </c>
      <c r="J6" s="98" t="s">
        <v>296</v>
      </c>
      <c r="K6" s="98" t="s">
        <v>297</v>
      </c>
      <c r="L6" s="98" t="s">
        <v>298</v>
      </c>
      <c r="M6" s="98" t="s">
        <v>299</v>
      </c>
      <c r="N6" s="98" t="s">
        <v>300</v>
      </c>
      <c r="O6" s="98" t="s">
        <v>301</v>
      </c>
      <c r="P6" s="98" t="s">
        <v>302</v>
      </c>
      <c r="Q6" s="98" t="s">
        <v>303</v>
      </c>
      <c r="R6" s="98" t="s">
        <v>304</v>
      </c>
      <c r="S6" s="98" t="s">
        <v>305</v>
      </c>
    </row>
    <row r="7" spans="1:19" x14ac:dyDescent="0.25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14498.688986666668</v>
      </c>
      <c r="K7" s="125">
        <f t="shared" ref="K7:O7" si="0">J10</f>
        <v>18944.953609244447</v>
      </c>
      <c r="L7" s="125">
        <f t="shared" si="0"/>
        <v>22896.329647744005</v>
      </c>
      <c r="M7" s="125">
        <f t="shared" si="0"/>
        <v>25438.201137715776</v>
      </c>
      <c r="N7" s="125">
        <f t="shared" si="0"/>
        <v>26962.154857418955</v>
      </c>
      <c r="O7" s="125">
        <f t="shared" si="0"/>
        <v>28445.080086503422</v>
      </c>
      <c r="P7" s="125">
        <f t="shared" ref="P7" si="1">O10</f>
        <v>29865.993299085523</v>
      </c>
      <c r="Q7" s="125">
        <f t="shared" ref="Q7" si="2">P10</f>
        <v>31201.383560564085</v>
      </c>
      <c r="R7" s="125">
        <f t="shared" ref="R7" si="3">Q10</f>
        <v>32425.068525658789</v>
      </c>
      <c r="S7" s="125">
        <f t="shared" ref="S7" si="4">R10</f>
        <v>33508.05555026111</v>
      </c>
    </row>
    <row r="8" spans="1:19" x14ac:dyDescent="0.25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5799.4755946666673</v>
      </c>
      <c r="K8" s="125">
        <f>CHOOSE($C$3,K30*K7,K31*'P&amp;L'!K5)</f>
        <v>5683.4860827733337</v>
      </c>
      <c r="L8" s="125">
        <f>CHOOSE($C$3,L30*L7,L31*'P&amp;L'!L5)</f>
        <v>4579.2659295488011</v>
      </c>
      <c r="M8" s="125">
        <f>CHOOSE($C$3,M30*M7,M31*'P&amp;L'!M5)</f>
        <v>3815.7301706573662</v>
      </c>
      <c r="N8" s="125">
        <f>CHOOSE($C$3,N30*N7,N31*'P&amp;L'!N5)</f>
        <v>4044.3232286128432</v>
      </c>
      <c r="O8" s="125">
        <f>CHOOSE($C$3,O30*O7,O31*'P&amp;L'!O5)</f>
        <v>4266.7620129755132</v>
      </c>
      <c r="P8" s="125">
        <f>CHOOSE($C$3,P30*P7,P31*'P&amp;L'!P5)</f>
        <v>4479.8989948628287</v>
      </c>
      <c r="Q8" s="125">
        <f>CHOOSE($C$3,Q30*Q7,Q31*'P&amp;L'!Q5)</f>
        <v>4680.2075340846122</v>
      </c>
      <c r="R8" s="125">
        <f>CHOOSE($C$3,R30*R7,R31*'P&amp;L'!R5)</f>
        <v>4863.7602788488184</v>
      </c>
      <c r="S8" s="125">
        <f>CHOOSE($C$3,S30*S7,S31*'P&amp;L'!S5)</f>
        <v>5026.2083325391659</v>
      </c>
    </row>
    <row r="9" spans="1:19" x14ac:dyDescent="0.25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-643.85821333333342</v>
      </c>
      <c r="I9" s="125">
        <f>G9+H9</f>
        <v>-1545.3462133333335</v>
      </c>
      <c r="J9" s="125">
        <f t="shared" ref="J9:S9" si="5">J26</f>
        <v>-1353.2109720888891</v>
      </c>
      <c r="K9" s="125">
        <f t="shared" si="5"/>
        <v>-1732.1100442737779</v>
      </c>
      <c r="L9" s="125">
        <f t="shared" si="5"/>
        <v>-2037.3944395770313</v>
      </c>
      <c r="M9" s="125">
        <f t="shared" si="5"/>
        <v>-2291.7764509541889</v>
      </c>
      <c r="N9" s="125">
        <f t="shared" si="5"/>
        <v>-2561.3979995283785</v>
      </c>
      <c r="O9" s="125">
        <f t="shared" si="5"/>
        <v>-2845.8488003934126</v>
      </c>
      <c r="P9" s="125">
        <f t="shared" si="5"/>
        <v>-3144.508733384268</v>
      </c>
      <c r="Q9" s="125">
        <f t="shared" si="5"/>
        <v>-3456.5225689899089</v>
      </c>
      <c r="R9" s="125">
        <f t="shared" si="5"/>
        <v>-3780.7732542464969</v>
      </c>
      <c r="S9" s="125">
        <f t="shared" si="5"/>
        <v>-4115.8538097491082</v>
      </c>
    </row>
    <row r="10" spans="1:19" s="22" customFormat="1" ht="14.4" thickBot="1" x14ac:dyDescent="0.3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14498.688986666668</v>
      </c>
      <c r="I10" s="127">
        <f>SUM(I7:I9)</f>
        <v>14498.688986666668</v>
      </c>
      <c r="J10" s="127">
        <f t="shared" ref="J10:S10" si="6">SUM(J7:J9)</f>
        <v>18944.953609244447</v>
      </c>
      <c r="K10" s="127">
        <f t="shared" si="6"/>
        <v>22896.329647744005</v>
      </c>
      <c r="L10" s="127">
        <f t="shared" si="6"/>
        <v>25438.201137715776</v>
      </c>
      <c r="M10" s="127">
        <f t="shared" si="6"/>
        <v>26962.154857418955</v>
      </c>
      <c r="N10" s="127">
        <f t="shared" si="6"/>
        <v>28445.080086503422</v>
      </c>
      <c r="O10" s="127">
        <f t="shared" si="6"/>
        <v>29865.993299085523</v>
      </c>
      <c r="P10" s="127">
        <f t="shared" si="6"/>
        <v>31201.383560564085</v>
      </c>
      <c r="Q10" s="127">
        <f t="shared" si="6"/>
        <v>32425.068525658789</v>
      </c>
      <c r="R10" s="127">
        <f t="shared" si="6"/>
        <v>33508.05555026111</v>
      </c>
      <c r="S10" s="127">
        <f t="shared" si="6"/>
        <v>34418.410073051164</v>
      </c>
    </row>
    <row r="11" spans="1:19" ht="4.95" customHeight="1" x14ac:dyDescent="0.25"/>
    <row r="12" spans="1:19" x14ac:dyDescent="0.25">
      <c r="B12" s="20"/>
      <c r="C12" s="224" t="s">
        <v>243</v>
      </c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</row>
    <row r="13" spans="1:19" ht="24" x14ac:dyDescent="0.25">
      <c r="B13" s="5" t="s">
        <v>260</v>
      </c>
      <c r="C13" s="6" t="s">
        <v>45</v>
      </c>
      <c r="D13" s="6" t="s">
        <v>46</v>
      </c>
      <c r="E13" s="6" t="s">
        <v>47</v>
      </c>
      <c r="F13" s="6" t="s">
        <v>165</v>
      </c>
      <c r="G13" s="6" t="s">
        <v>173</v>
      </c>
      <c r="H13" s="98" t="s">
        <v>184</v>
      </c>
      <c r="I13" s="98" t="s">
        <v>183</v>
      </c>
      <c r="J13" s="98" t="s">
        <v>185</v>
      </c>
      <c r="K13" s="98" t="s">
        <v>186</v>
      </c>
      <c r="L13" s="98" t="s">
        <v>187</v>
      </c>
      <c r="M13" s="98" t="s">
        <v>188</v>
      </c>
      <c r="N13" s="98" t="s">
        <v>189</v>
      </c>
      <c r="O13" s="98" t="s">
        <v>269</v>
      </c>
      <c r="P13" s="98" t="s">
        <v>270</v>
      </c>
      <c r="Q13" s="98" t="s">
        <v>271</v>
      </c>
      <c r="R13" s="98" t="s">
        <v>272</v>
      </c>
      <c r="S13" s="98" t="s">
        <v>273</v>
      </c>
    </row>
    <row r="14" spans="1:19" x14ac:dyDescent="0.25">
      <c r="B14" s="23" t="s">
        <v>184</v>
      </c>
      <c r="C14" s="23"/>
      <c r="D14" s="23"/>
      <c r="E14" s="23"/>
      <c r="F14" s="23"/>
      <c r="G14" s="171"/>
      <c r="H14" s="74">
        <f>-$G$10/$C$34/2-$H$8/$C$33</f>
        <v>-643.85821333333342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5">
      <c r="B15" s="23" t="s">
        <v>183</v>
      </c>
      <c r="C15" s="23"/>
      <c r="D15" s="23"/>
      <c r="E15" s="23"/>
      <c r="F15" s="23"/>
      <c r="G15" s="171"/>
      <c r="H15" s="74"/>
      <c r="I15" s="74">
        <f>I9</f>
        <v>-1545.3462133333335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5">
      <c r="B16" s="23" t="s">
        <v>185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-1353.2109720888891</v>
      </c>
      <c r="K16" s="74">
        <f t="shared" si="7"/>
        <v>-1353.2109720888891</v>
      </c>
      <c r="L16" s="74">
        <f t="shared" si="7"/>
        <v>-1353.2109720888891</v>
      </c>
      <c r="M16" s="74">
        <f t="shared" si="7"/>
        <v>-1353.2109720888891</v>
      </c>
      <c r="N16" s="74">
        <f t="shared" si="7"/>
        <v>-1353.2109720888891</v>
      </c>
      <c r="O16" s="74">
        <f t="shared" si="7"/>
        <v>-1353.2109720888891</v>
      </c>
      <c r="P16" s="74">
        <f t="shared" si="7"/>
        <v>-1353.2109720888891</v>
      </c>
      <c r="Q16" s="74">
        <f t="shared" si="7"/>
        <v>-1353.2109720888891</v>
      </c>
      <c r="R16" s="74">
        <f t="shared" si="7"/>
        <v>-1353.2109720888891</v>
      </c>
      <c r="S16" s="74">
        <f t="shared" si="7"/>
        <v>-1353.2109720888891</v>
      </c>
    </row>
    <row r="17" spans="2:19" x14ac:dyDescent="0.25">
      <c r="B17" s="23" t="s">
        <v>186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-378.89907218488889</v>
      </c>
      <c r="L17" s="74">
        <f t="shared" si="8"/>
        <v>-378.89907218488889</v>
      </c>
      <c r="M17" s="74">
        <f t="shared" si="8"/>
        <v>-378.89907218488889</v>
      </c>
      <c r="N17" s="74">
        <f t="shared" si="8"/>
        <v>-378.89907218488889</v>
      </c>
      <c r="O17" s="74">
        <f t="shared" si="8"/>
        <v>-378.89907218488889</v>
      </c>
      <c r="P17" s="74">
        <f t="shared" si="8"/>
        <v>-378.89907218488889</v>
      </c>
      <c r="Q17" s="74">
        <f t="shared" si="8"/>
        <v>-378.89907218488889</v>
      </c>
      <c r="R17" s="74">
        <f t="shared" si="8"/>
        <v>-378.89907218488889</v>
      </c>
      <c r="S17" s="74">
        <f t="shared" si="8"/>
        <v>-378.89907218488889</v>
      </c>
    </row>
    <row r="18" spans="2:19" x14ac:dyDescent="0.25">
      <c r="B18" s="23" t="s">
        <v>187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-305.2843953032534</v>
      </c>
      <c r="M18" s="74">
        <f t="shared" si="9"/>
        <v>-305.2843953032534</v>
      </c>
      <c r="N18" s="74">
        <f t="shared" si="9"/>
        <v>-305.2843953032534</v>
      </c>
      <c r="O18" s="74">
        <f t="shared" si="9"/>
        <v>-305.2843953032534</v>
      </c>
      <c r="P18" s="74">
        <f t="shared" si="9"/>
        <v>-305.2843953032534</v>
      </c>
      <c r="Q18" s="74">
        <f t="shared" si="9"/>
        <v>-305.2843953032534</v>
      </c>
      <c r="R18" s="74">
        <f t="shared" si="9"/>
        <v>-305.2843953032534</v>
      </c>
      <c r="S18" s="74">
        <f t="shared" si="9"/>
        <v>-305.2843953032534</v>
      </c>
    </row>
    <row r="19" spans="2:19" x14ac:dyDescent="0.25">
      <c r="B19" s="23" t="s">
        <v>188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 t="shared" ref="M19:S19" si="10">-$M$8/$C$33</f>
        <v>-254.38201137715774</v>
      </c>
      <c r="N19" s="74">
        <f t="shared" si="10"/>
        <v>-254.38201137715774</v>
      </c>
      <c r="O19" s="74">
        <f t="shared" si="10"/>
        <v>-254.38201137715774</v>
      </c>
      <c r="P19" s="74">
        <f t="shared" si="10"/>
        <v>-254.38201137715774</v>
      </c>
      <c r="Q19" s="74">
        <f t="shared" si="10"/>
        <v>-254.38201137715774</v>
      </c>
      <c r="R19" s="74">
        <f t="shared" si="10"/>
        <v>-254.38201137715774</v>
      </c>
      <c r="S19" s="74">
        <f t="shared" si="10"/>
        <v>-254.38201137715774</v>
      </c>
    </row>
    <row r="20" spans="2:19" x14ac:dyDescent="0.25">
      <c r="B20" s="23" t="s">
        <v>189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-269.62154857418955</v>
      </c>
      <c r="O20" s="74">
        <f t="shared" si="11"/>
        <v>-269.62154857418955</v>
      </c>
      <c r="P20" s="74">
        <f t="shared" si="11"/>
        <v>-269.62154857418955</v>
      </c>
      <c r="Q20" s="74">
        <f t="shared" si="11"/>
        <v>-269.62154857418955</v>
      </c>
      <c r="R20" s="74">
        <f t="shared" si="11"/>
        <v>-269.62154857418955</v>
      </c>
      <c r="S20" s="74">
        <f t="shared" si="11"/>
        <v>-269.62154857418955</v>
      </c>
    </row>
    <row r="21" spans="2:19" x14ac:dyDescent="0.25">
      <c r="B21" s="23" t="s">
        <v>276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-284.45080086503424</v>
      </c>
      <c r="P21" s="74">
        <f>-$O$8/$C$33</f>
        <v>-284.45080086503424</v>
      </c>
      <c r="Q21" s="74">
        <f>-$O$8/$C$33</f>
        <v>-284.45080086503424</v>
      </c>
      <c r="R21" s="74">
        <f>-$O$8/$C$33</f>
        <v>-284.45080086503424</v>
      </c>
      <c r="S21" s="74">
        <f>-$O$8/$C$33</f>
        <v>-284.45080086503424</v>
      </c>
    </row>
    <row r="22" spans="2:19" x14ac:dyDescent="0.25">
      <c r="B22" s="23" t="s">
        <v>277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-298.65993299085522</v>
      </c>
      <c r="Q22" s="74">
        <f t="shared" ref="Q22:S22" si="12">-$P$8/$C$33</f>
        <v>-298.65993299085522</v>
      </c>
      <c r="R22" s="74">
        <f t="shared" si="12"/>
        <v>-298.65993299085522</v>
      </c>
      <c r="S22" s="74">
        <f t="shared" si="12"/>
        <v>-298.65993299085522</v>
      </c>
    </row>
    <row r="23" spans="2:19" x14ac:dyDescent="0.25">
      <c r="B23" s="23" t="s">
        <v>278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-312.01383560564079</v>
      </c>
      <c r="R23" s="74">
        <f t="shared" ref="R23:S23" si="13">-$Q$8/$C$33</f>
        <v>-312.01383560564079</v>
      </c>
      <c r="S23" s="74">
        <f t="shared" si="13"/>
        <v>-312.01383560564079</v>
      </c>
    </row>
    <row r="24" spans="2:19" x14ac:dyDescent="0.25">
      <c r="B24" s="23" t="s">
        <v>279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-324.25068525658787</v>
      </c>
      <c r="S24" s="74">
        <f>-$R$8/$C$33</f>
        <v>-324.25068525658787</v>
      </c>
    </row>
    <row r="25" spans="2:19" x14ac:dyDescent="0.25">
      <c r="B25" s="23" t="s">
        <v>280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-335.08055550261105</v>
      </c>
    </row>
    <row r="26" spans="2:19" ht="13.8" thickBot="1" x14ac:dyDescent="0.3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-643.85821333333342</v>
      </c>
      <c r="I26" s="127">
        <f t="shared" ref="I26:S26" si="14">SUM(I14:I25)</f>
        <v>-1545.3462133333335</v>
      </c>
      <c r="J26" s="127">
        <f t="shared" si="14"/>
        <v>-1353.2109720888891</v>
      </c>
      <c r="K26" s="127">
        <f t="shared" si="14"/>
        <v>-1732.1100442737779</v>
      </c>
      <c r="L26" s="127">
        <f t="shared" si="14"/>
        <v>-2037.3944395770313</v>
      </c>
      <c r="M26" s="127">
        <f t="shared" si="14"/>
        <v>-2291.7764509541889</v>
      </c>
      <c r="N26" s="127">
        <f t="shared" si="14"/>
        <v>-2561.3979995283785</v>
      </c>
      <c r="O26" s="127">
        <f t="shared" si="14"/>
        <v>-2845.8488003934126</v>
      </c>
      <c r="P26" s="127">
        <f t="shared" si="14"/>
        <v>-3144.508733384268</v>
      </c>
      <c r="Q26" s="127">
        <f t="shared" si="14"/>
        <v>-3456.5225689899089</v>
      </c>
      <c r="R26" s="127">
        <f t="shared" si="14"/>
        <v>-3780.7732542464969</v>
      </c>
      <c r="S26" s="127">
        <f t="shared" si="14"/>
        <v>-4115.8538097491082</v>
      </c>
    </row>
    <row r="27" spans="2:19" ht="4.95" customHeight="1" x14ac:dyDescent="0.25"/>
    <row r="28" spans="2:19" x14ac:dyDescent="0.25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5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-6.0872078024683335E-2</v>
      </c>
      <c r="I29" s="119">
        <f>I9/'P&amp;L'!I5</f>
        <v>-8.5908809041059631E-2</v>
      </c>
      <c r="J29" s="119">
        <f>J9/'P&amp;L'!J5</f>
        <v>-5.8690643664494273E-2</v>
      </c>
      <c r="K29" s="119">
        <f>K9/'P&amp;L'!K5</f>
        <v>-4.1722731522576627E-2</v>
      </c>
      <c r="L29" s="119">
        <f>L9/'P&amp;L'!L5</f>
        <v>-3.6959915351892525E-2</v>
      </c>
      <c r="M29" s="119">
        <f>M9/'P&amp;L'!M5</f>
        <v>-3.2195283097967903E-2</v>
      </c>
      <c r="N29" s="119">
        <f>N9/'P&amp;L'!N5</f>
        <v>-3.3556726185021507E-2</v>
      </c>
      <c r="O29" s="119">
        <f>O9/'P&amp;L'!O5</f>
        <v>-3.47417262188017E-2</v>
      </c>
      <c r="P29" s="119">
        <f>P9/'P&amp;L'!P5</f>
        <v>-3.6968409694033526E-2</v>
      </c>
      <c r="Q29" s="119">
        <f>Q9/'P&amp;L'!Q5</f>
        <v>-3.9125608994982665E-2</v>
      </c>
      <c r="R29" s="119">
        <f>R9/'P&amp;L'!R5</f>
        <v>-4.1864800891844842E-2</v>
      </c>
      <c r="S29" s="119">
        <f>S9/'P&amp;L'!S5</f>
        <v>-4.457997869356195E-2</v>
      </c>
    </row>
    <row r="30" spans="2:19" x14ac:dyDescent="0.25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0.15</v>
      </c>
      <c r="N30" s="119">
        <v>0.15</v>
      </c>
      <c r="O30" s="119">
        <v>0.15</v>
      </c>
      <c r="P30" s="119">
        <v>0.15</v>
      </c>
      <c r="Q30" s="119">
        <v>0.15</v>
      </c>
      <c r="R30" s="119">
        <v>0.15</v>
      </c>
      <c r="S30" s="119">
        <v>0.15</v>
      </c>
    </row>
    <row r="31" spans="2:19" x14ac:dyDescent="0.25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disablePrompts="1"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/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248</v>
      </c>
    </row>
    <row r="2" spans="1:7" ht="15.6" x14ac:dyDescent="0.25">
      <c r="A2" s="1"/>
      <c r="B2" s="2"/>
    </row>
    <row r="3" spans="1:7" ht="13.2" x14ac:dyDescent="0.25">
      <c r="A3" s="1"/>
      <c r="B3" s="102" t="s">
        <v>275</v>
      </c>
    </row>
    <row r="5" spans="1:7" ht="12" x14ac:dyDescent="0.25">
      <c r="C5" s="224" t="s">
        <v>87</v>
      </c>
      <c r="D5" s="224"/>
      <c r="F5" s="224" t="s">
        <v>88</v>
      </c>
      <c r="G5" s="224"/>
    </row>
    <row r="6" spans="1:7" ht="12" x14ac:dyDescent="0.25">
      <c r="B6" s="36" t="s">
        <v>172</v>
      </c>
      <c r="C6" s="62" t="s">
        <v>199</v>
      </c>
      <c r="D6" s="62" t="s">
        <v>235</v>
      </c>
      <c r="F6" s="62" t="s">
        <v>199</v>
      </c>
      <c r="G6" s="62" t="s">
        <v>235</v>
      </c>
    </row>
    <row r="7" spans="1:7" x14ac:dyDescent="0.25">
      <c r="B7" s="8" t="s">
        <v>224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225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226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5">
      <c r="B10" s="8" t="s">
        <v>227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228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229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230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231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232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5">
      <c r="B16" s="8" t="s">
        <v>233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5">
      <c r="B17" s="129" t="s">
        <v>234</v>
      </c>
      <c r="C17" s="114"/>
      <c r="D17" s="114"/>
      <c r="E17" s="129"/>
      <c r="F17" s="114"/>
      <c r="G17" s="114"/>
    </row>
    <row r="18" spans="2:7" ht="12" x14ac:dyDescent="0.25">
      <c r="B18" s="9" t="s">
        <v>199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309</v>
      </c>
    </row>
    <row r="2" spans="1:13" ht="15.6" x14ac:dyDescent="0.25">
      <c r="A2" s="1"/>
      <c r="B2" s="2"/>
    </row>
    <row r="3" spans="1:13" ht="13.2" x14ac:dyDescent="0.25">
      <c r="A3" s="1"/>
      <c r="B3" s="102" t="s">
        <v>275</v>
      </c>
    </row>
    <row r="5" spans="1:13" ht="12" x14ac:dyDescent="0.25">
      <c r="C5" s="224" t="s">
        <v>51</v>
      </c>
      <c r="D5" s="224"/>
      <c r="F5" s="224" t="s">
        <v>52</v>
      </c>
      <c r="G5" s="224"/>
      <c r="I5" s="224" t="s">
        <v>53</v>
      </c>
      <c r="J5" s="224"/>
      <c r="L5" s="224" t="s">
        <v>249</v>
      </c>
      <c r="M5" s="224"/>
    </row>
    <row r="6" spans="1:13" ht="24" x14ac:dyDescent="0.25">
      <c r="B6" s="36" t="s">
        <v>172</v>
      </c>
      <c r="C6" s="62" t="s">
        <v>199</v>
      </c>
      <c r="D6" s="62" t="s">
        <v>235</v>
      </c>
      <c r="F6" s="62" t="s">
        <v>199</v>
      </c>
      <c r="G6" s="62" t="s">
        <v>235</v>
      </c>
      <c r="I6" s="62" t="s">
        <v>199</v>
      </c>
      <c r="J6" s="62" t="s">
        <v>235</v>
      </c>
      <c r="L6" s="65" t="s">
        <v>199</v>
      </c>
      <c r="M6" s="65" t="s">
        <v>235</v>
      </c>
    </row>
    <row r="7" spans="1:13" x14ac:dyDescent="0.25">
      <c r="B7" s="8" t="s">
        <v>224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5">
      <c r="B8" s="8" t="s">
        <v>225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5">
      <c r="B9" s="8" t="s">
        <v>226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5">
      <c r="B10" s="8" t="s">
        <v>227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5">
      <c r="B11" s="8" t="s">
        <v>228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5">
      <c r="B12" s="129" t="s">
        <v>229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5">
      <c r="B13" s="8" t="s">
        <v>230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5">
      <c r="B14" s="8" t="s">
        <v>231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5">
      <c r="B15" s="8" t="s">
        <v>232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5">
      <c r="B16" s="129" t="s">
        <v>233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5">
      <c r="B17" s="8" t="s">
        <v>234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ht="12" x14ac:dyDescent="0.25">
      <c r="B18" s="9" t="s">
        <v>199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24" t="s">
        <v>250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ht="28.8" customHeight="1" x14ac:dyDescent="0.25">
      <c r="B4" s="5" t="s">
        <v>260</v>
      </c>
      <c r="C4" s="6" t="s">
        <v>239</v>
      </c>
      <c r="D4" s="6" t="s">
        <v>240</v>
      </c>
      <c r="E4" s="6" t="s">
        <v>241</v>
      </c>
      <c r="F4" s="6" t="s">
        <v>244</v>
      </c>
      <c r="G4" s="6" t="s">
        <v>242</v>
      </c>
      <c r="H4" s="98"/>
      <c r="I4" s="98" t="s">
        <v>295</v>
      </c>
      <c r="J4" s="98" t="s">
        <v>296</v>
      </c>
      <c r="K4" s="98" t="s">
        <v>297</v>
      </c>
      <c r="L4" s="98" t="s">
        <v>298</v>
      </c>
      <c r="M4" s="98" t="s">
        <v>299</v>
      </c>
      <c r="N4" s="98" t="s">
        <v>300</v>
      </c>
      <c r="O4" s="98" t="s">
        <v>301</v>
      </c>
      <c r="P4" s="98" t="s">
        <v>302</v>
      </c>
      <c r="Q4" s="98" t="s">
        <v>303</v>
      </c>
      <c r="R4" s="98" t="s">
        <v>304</v>
      </c>
      <c r="S4" s="98" t="s">
        <v>305</v>
      </c>
    </row>
    <row r="5" spans="2:19" x14ac:dyDescent="0.25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>
        <f>I11*('P&amp;L'!I5)/360</f>
        <v>957.66763893271502</v>
      </c>
      <c r="J5" s="133">
        <f>J11*('P&amp;L'!J5)/360</f>
        <v>1227.5052444685768</v>
      </c>
      <c r="K5" s="133">
        <f>K11*('P&amp;L'!K5)/360</f>
        <v>2210.1892648456496</v>
      </c>
      <c r="L5" s="133">
        <f>L11*('P&amp;L'!L5)/360</f>
        <v>2934.7483489782221</v>
      </c>
      <c r="M5" s="133">
        <f>M11*('P&amp;L'!M5)/360</f>
        <v>3789.7164998360863</v>
      </c>
      <c r="N5" s="133">
        <f>N11*('P&amp;L'!N5)/360</f>
        <v>4063.723965024582</v>
      </c>
      <c r="O5" s="133">
        <f>O11*('P&amp;L'!O5)/360</f>
        <v>4361.0106487584526</v>
      </c>
      <c r="P5" s="133">
        <f>P11*('P&amp;L'!P5)/360</f>
        <v>4528.441430243488</v>
      </c>
      <c r="Q5" s="133">
        <f>Q11*('P&amp;L'!Q5)/360</f>
        <v>4703.3251647189436</v>
      </c>
      <c r="R5" s="133">
        <f>R11*('P&amp;L'!R5)/360</f>
        <v>4807.9320399751641</v>
      </c>
      <c r="S5" s="133">
        <f>S11*('P&amp;L'!S5)/360</f>
        <v>4915.2634750542211</v>
      </c>
    </row>
    <row r="6" spans="2:19" x14ac:dyDescent="0.25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>
        <f>-I12*('P&amp;L'!I$6)/360</f>
        <v>5577.4684771979119</v>
      </c>
      <c r="J6" s="133">
        <f>-J12*('P&amp;L'!J$6)/360</f>
        <v>7702.3510281387144</v>
      </c>
      <c r="K6" s="133">
        <f>-K12*('P&amp;L'!K$6)/360</f>
        <v>13972.440072751146</v>
      </c>
      <c r="L6" s="133">
        <f>-L12*('P&amp;L'!L$6)/360</f>
        <v>18595.372431958538</v>
      </c>
      <c r="M6" s="133">
        <f>-M12*('P&amp;L'!M$6)/360</f>
        <v>24055.421963513752</v>
      </c>
      <c r="N6" s="133">
        <f>-N12*('P&amp;L'!N$6)/360</f>
        <v>25797.10782438454</v>
      </c>
      <c r="O6" s="133">
        <f>-O12*('P&amp;L'!O$6)/360</f>
        <v>27687.057674163392</v>
      </c>
      <c r="P6" s="133">
        <f>-P12*('P&amp;L'!P$6)/360</f>
        <v>28745.283002863529</v>
      </c>
      <c r="Q6" s="133">
        <f>-Q12*('P&amp;L'!Q$6)/360</f>
        <v>29850.409337838239</v>
      </c>
      <c r="R6" s="133">
        <f>-R12*('P&amp;L'!R$6)/360</f>
        <v>30504.97853458234</v>
      </c>
      <c r="S6" s="133">
        <f>-S12*('P&amp;L'!S$6)/360</f>
        <v>31176.092775860569</v>
      </c>
    </row>
    <row r="7" spans="2:19" x14ac:dyDescent="0.25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>
        <f>-I13*('P&amp;L'!I$6)/360</f>
        <v>4791.7735234653437</v>
      </c>
      <c r="J7" s="133">
        <f>-J13*('P&amp;L'!J$6)/360</f>
        <v>6617.325024060644</v>
      </c>
      <c r="K7" s="133">
        <f>-K13*('P&amp;L'!K$6)/360</f>
        <v>12004.150031960702</v>
      </c>
      <c r="L7" s="133">
        <f>-L13*('P&amp;L'!L$6)/360</f>
        <v>15975.852421706921</v>
      </c>
      <c r="M7" s="133">
        <f>-M13*('P&amp;L'!M$6)/360</f>
        <v>20666.747742599873</v>
      </c>
      <c r="N7" s="133">
        <f>-N13*('P&amp;L'!N$6)/360</f>
        <v>22163.083262636279</v>
      </c>
      <c r="O7" s="133">
        <f>-O13*('P&amp;L'!O$6)/360</f>
        <v>23786.79690402604</v>
      </c>
      <c r="P7" s="133">
        <f>-P13*('P&amp;L'!P$6)/360</f>
        <v>24695.950605684109</v>
      </c>
      <c r="Q7" s="133">
        <f>-Q13*('P&amp;L'!Q$6)/360</f>
        <v>25645.398394347645</v>
      </c>
      <c r="R7" s="133">
        <f>-R13*('P&amp;L'!R$6)/360</f>
        <v>26207.75878402216</v>
      </c>
      <c r="S7" s="133">
        <f>-S13*('P&amp;L'!S$6)/360</f>
        <v>26784.333526797433</v>
      </c>
    </row>
    <row r="8" spans="2:19" ht="13.8" thickBot="1" x14ac:dyDescent="0.3">
      <c r="B8" s="116" t="s">
        <v>249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1743.362592665283</v>
      </c>
      <c r="J8" s="127">
        <f t="shared" si="0"/>
        <v>2312.5312485466466</v>
      </c>
      <c r="K8" s="127">
        <f t="shared" si="0"/>
        <v>4178.4793056360922</v>
      </c>
      <c r="L8" s="127">
        <f t="shared" si="0"/>
        <v>5554.2683592298381</v>
      </c>
      <c r="M8" s="127">
        <f t="shared" si="0"/>
        <v>7178.3907207499651</v>
      </c>
      <c r="N8" s="127">
        <f t="shared" si="0"/>
        <v>7697.7485267728443</v>
      </c>
      <c r="O8" s="127">
        <f t="shared" ref="O8:S8" si="1">O5+O6-O7</f>
        <v>8261.2714188958053</v>
      </c>
      <c r="P8" s="127">
        <f t="shared" si="1"/>
        <v>8577.7738274229087</v>
      </c>
      <c r="Q8" s="127">
        <f t="shared" si="1"/>
        <v>8908.3361082095398</v>
      </c>
      <c r="R8" s="127">
        <f t="shared" si="1"/>
        <v>9105.1517905353467</v>
      </c>
      <c r="S8" s="127">
        <f t="shared" si="1"/>
        <v>9307.0227241173561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5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/>
      <c r="I11" s="130">
        <f>AVERAGE($C11:$G11)</f>
        <v>19.165900054556683</v>
      </c>
      <c r="J11" s="130">
        <f t="shared" ref="J11:S13" si="2">AVERAGE($C11:$G11)</f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5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/>
      <c r="I12" s="130">
        <f>AVERAGE($C12:$G12)</f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5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/>
      <c r="I13" s="130">
        <f t="shared" ref="I13" si="3">AVERAGE($C13:$G13)</f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5">
      <c r="B14" s="140" t="s">
        <v>249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/>
      <c r="I14" s="130">
        <f>I11+I12-I13</f>
        <v>36.443105239759305</v>
      </c>
      <c r="J14" s="130">
        <f>J11+J12-J13</f>
        <v>36.443105239759305</v>
      </c>
      <c r="K14" s="130">
        <f>K11+K12-K13</f>
        <v>36.443105239759305</v>
      </c>
      <c r="L14" s="130">
        <f t="shared" ref="L14:S14" si="4">L11+L12-L13</f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42">
        <v>0.5</v>
      </c>
    </row>
    <row r="5" spans="1:19" ht="12" x14ac:dyDescent="0.25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361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24" t="s">
        <v>254</v>
      </c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</row>
    <row r="10" spans="1:19" ht="27" customHeight="1" x14ac:dyDescent="0.25">
      <c r="B10" s="5" t="s">
        <v>260</v>
      </c>
      <c r="C10" s="6" t="s">
        <v>239</v>
      </c>
      <c r="D10" s="6" t="s">
        <v>240</v>
      </c>
      <c r="E10" s="6" t="s">
        <v>241</v>
      </c>
      <c r="F10" s="6" t="s">
        <v>244</v>
      </c>
      <c r="G10" s="6" t="s">
        <v>242</v>
      </c>
      <c r="H10" s="98"/>
      <c r="I10" s="98" t="s">
        <v>295</v>
      </c>
      <c r="J10" s="98" t="s">
        <v>296</v>
      </c>
      <c r="K10" s="98" t="s">
        <v>297</v>
      </c>
      <c r="L10" s="98" t="s">
        <v>298</v>
      </c>
      <c r="M10" s="98" t="s">
        <v>299</v>
      </c>
      <c r="N10" s="98" t="s">
        <v>300</v>
      </c>
      <c r="O10" s="98" t="s">
        <v>301</v>
      </c>
      <c r="P10" s="98" t="s">
        <v>302</v>
      </c>
      <c r="Q10" s="98" t="s">
        <v>303</v>
      </c>
      <c r="R10" s="98" t="s">
        <v>304</v>
      </c>
      <c r="S10" s="98" t="s">
        <v>305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9569.4463397808595</v>
      </c>
      <c r="J11" s="198">
        <f>I11+I19</f>
        <v>9569.4463397808595</v>
      </c>
      <c r="K11" s="198">
        <f t="shared" ref="K11:N11" si="0">J11+J19</f>
        <v>11479.109826949458</v>
      </c>
      <c r="L11" s="198">
        <f t="shared" si="0"/>
        <v>11479.109826949458</v>
      </c>
      <c r="M11" s="198">
        <f t="shared" si="0"/>
        <v>11738.938506585149</v>
      </c>
      <c r="N11" s="198">
        <f t="shared" si="0"/>
        <v>11738.938506585149</v>
      </c>
      <c r="O11" s="198">
        <f t="shared" ref="O11" si="1">N11+N19</f>
        <v>15360.92000741905</v>
      </c>
      <c r="P11" s="198">
        <f t="shared" ref="P11" si="2">O11+O19</f>
        <v>19147.977002994125</v>
      </c>
      <c r="Q11" s="198">
        <f t="shared" ref="Q11" si="3">P11+P19</f>
        <v>23818.776352417739</v>
      </c>
      <c r="R11" s="198">
        <f t="shared" ref="R11" si="4">Q11+Q19</f>
        <v>28575.283632206385</v>
      </c>
      <c r="S11" s="198">
        <f t="shared" ref="S11" si="5">R11+R19</f>
        <v>33767.960923114471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-404.5804754835645</v>
      </c>
      <c r="I12" s="199">
        <f>-I11*I13</f>
        <v>-717.70847548356448</v>
      </c>
      <c r="J12" s="199">
        <f t="shared" ref="J12:S12" si="6">-J11*J13</f>
        <v>-717.70847548356448</v>
      </c>
      <c r="K12" s="199">
        <f t="shared" si="6"/>
        <v>-860.93323702120927</v>
      </c>
      <c r="L12" s="199">
        <f t="shared" si="6"/>
        <v>-860.93323702120927</v>
      </c>
      <c r="M12" s="199">
        <f t="shared" si="6"/>
        <v>-880.42038799388615</v>
      </c>
      <c r="N12" s="199">
        <f t="shared" si="6"/>
        <v>-880.42038799388615</v>
      </c>
      <c r="O12" s="199">
        <f t="shared" si="6"/>
        <v>-1152.0690005564288</v>
      </c>
      <c r="P12" s="199">
        <f t="shared" si="6"/>
        <v>-1436.0982752245593</v>
      </c>
      <c r="Q12" s="199">
        <f t="shared" si="6"/>
        <v>-1786.4082264313304</v>
      </c>
      <c r="R12" s="199">
        <f t="shared" si="6"/>
        <v>-2143.146272415479</v>
      </c>
      <c r="S12" s="199">
        <f t="shared" si="6"/>
        <v>-2532.5970692335854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24" t="s">
        <v>257</v>
      </c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165</v>
      </c>
      <c r="G17" s="6" t="s">
        <v>173</v>
      </c>
      <c r="H17" s="98" t="s">
        <v>184</v>
      </c>
      <c r="I17" s="98" t="s">
        <v>183</v>
      </c>
      <c r="J17" s="98" t="s">
        <v>185</v>
      </c>
      <c r="K17" s="98" t="s">
        <v>186</v>
      </c>
      <c r="L17" s="98" t="s">
        <v>187</v>
      </c>
      <c r="M17" s="98" t="s">
        <v>188</v>
      </c>
      <c r="N17" s="98" t="s">
        <v>189</v>
      </c>
      <c r="O17" s="98" t="s">
        <v>269</v>
      </c>
      <c r="P17" s="98" t="s">
        <v>270</v>
      </c>
      <c r="Q17" s="98" t="s">
        <v>271</v>
      </c>
      <c r="R17" s="98" t="s">
        <v>272</v>
      </c>
      <c r="S17" s="98" t="s">
        <v>273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97">
        <f>'Cash Flow'!H20</f>
        <v>-112.11267956171969</v>
      </c>
      <c r="I18" s="197"/>
      <c r="J18" s="197">
        <f>'Cash Flow'!J20</f>
        <v>-3819.3269743371948</v>
      </c>
      <c r="K18" s="197">
        <f>'Cash Flow'!K20</f>
        <v>2711.1117528289669</v>
      </c>
      <c r="L18" s="197">
        <f>'Cash Flow'!L20</f>
        <v>-519.65735927138485</v>
      </c>
      <c r="M18" s="197">
        <f>'Cash Flow'!M20</f>
        <v>29.746170641999015</v>
      </c>
      <c r="N18" s="197">
        <f>'Cash Flow'!N20</f>
        <v>-7243.9630016678029</v>
      </c>
      <c r="O18" s="197">
        <f>'Cash Flow'!O20</f>
        <v>-7574.1139911501496</v>
      </c>
      <c r="P18" s="197">
        <f>'Cash Flow'!P20</f>
        <v>-9341.5986988472287</v>
      </c>
      <c r="Q18" s="197">
        <f>'Cash Flow'!Q20</f>
        <v>-9513.0145595772919</v>
      </c>
      <c r="R18" s="197">
        <f>'Cash Flow'!R20</f>
        <v>-10385.354581816167</v>
      </c>
      <c r="S18" s="197">
        <f>'Cash Flow'!S20</f>
        <v>-10386.831998836758</v>
      </c>
    </row>
    <row r="19" spans="2:19" x14ac:dyDescent="0.2">
      <c r="B19" s="20" t="s">
        <v>140</v>
      </c>
      <c r="G19" s="24"/>
      <c r="H19" s="198">
        <f t="shared" ref="H19:J20" si="8">IF(H$18&lt;0,-H$18*$C4,0)</f>
        <v>56.056339780859844</v>
      </c>
      <c r="I19" s="198">
        <f t="shared" si="8"/>
        <v>0</v>
      </c>
      <c r="J19" s="198">
        <f t="shared" si="8"/>
        <v>1909.6634871685974</v>
      </c>
      <c r="K19" s="198">
        <f t="shared" ref="K19:S19" si="9">IF(K$18&lt;0,-K$18*$C4,0)</f>
        <v>0</v>
      </c>
      <c r="L19" s="198">
        <f t="shared" si="9"/>
        <v>259.82867963569242</v>
      </c>
      <c r="M19" s="198">
        <f t="shared" si="9"/>
        <v>0</v>
      </c>
      <c r="N19" s="198">
        <f t="shared" si="9"/>
        <v>3621.9815008339015</v>
      </c>
      <c r="O19" s="198">
        <f t="shared" si="9"/>
        <v>3787.0569955750748</v>
      </c>
      <c r="P19" s="198">
        <f t="shared" si="9"/>
        <v>4670.7993494236143</v>
      </c>
      <c r="Q19" s="198">
        <f t="shared" si="9"/>
        <v>4756.507279788646</v>
      </c>
      <c r="R19" s="198">
        <f t="shared" si="9"/>
        <v>5192.6772909080837</v>
      </c>
      <c r="S19" s="198">
        <f t="shared" si="9"/>
        <v>5193.4159994183792</v>
      </c>
    </row>
    <row r="20" spans="2:19" x14ac:dyDescent="0.2">
      <c r="B20" s="20" t="s">
        <v>116</v>
      </c>
      <c r="G20" s="24"/>
      <c r="H20" s="198">
        <f t="shared" si="8"/>
        <v>56.056339780859844</v>
      </c>
      <c r="I20" s="198">
        <f t="shared" si="8"/>
        <v>0</v>
      </c>
      <c r="J20" s="198">
        <f t="shared" si="8"/>
        <v>1909.6634871685974</v>
      </c>
      <c r="K20" s="198">
        <f t="shared" ref="K20:S20" si="10">IF(K$18&lt;0,-K$18*$C5,0)</f>
        <v>0</v>
      </c>
      <c r="L20" s="198">
        <f t="shared" si="10"/>
        <v>259.82867963569242</v>
      </c>
      <c r="M20" s="198">
        <f t="shared" si="10"/>
        <v>0</v>
      </c>
      <c r="N20" s="198">
        <f t="shared" si="10"/>
        <v>3621.9815008339015</v>
      </c>
      <c r="O20" s="198">
        <f t="shared" si="10"/>
        <v>3787.0569955750748</v>
      </c>
      <c r="P20" s="198">
        <f t="shared" si="10"/>
        <v>4670.7993494236143</v>
      </c>
      <c r="Q20" s="198">
        <f t="shared" si="10"/>
        <v>4756.507279788646</v>
      </c>
      <c r="R20" s="198">
        <f t="shared" si="10"/>
        <v>5192.6772909080837</v>
      </c>
      <c r="S20" s="198">
        <f t="shared" si="10"/>
        <v>5193.4159994183792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362</v>
      </c>
      <c r="C6" s="20">
        <f>Drivers!C9</f>
        <v>0.78</v>
      </c>
    </row>
    <row r="7" spans="2:19" x14ac:dyDescent="0.2">
      <c r="B7" s="20" t="s">
        <v>265</v>
      </c>
      <c r="C7" s="46">
        <f>Drivers!C12</f>
        <v>0.3</v>
      </c>
    </row>
    <row r="9" spans="2:19" ht="12" x14ac:dyDescent="0.25">
      <c r="B9" s="30" t="s">
        <v>157</v>
      </c>
      <c r="C9" s="31">
        <f>C4+C5*C6</f>
        <v>6.9700000000000012E-2</v>
      </c>
    </row>
    <row r="10" spans="2:19" ht="12" x14ac:dyDescent="0.25">
      <c r="B10" s="30" t="s">
        <v>363</v>
      </c>
      <c r="C10" s="31">
        <f>Drivers!C11</f>
        <v>7.4999999999999997E-2</v>
      </c>
    </row>
    <row r="13" spans="2:19" ht="12" x14ac:dyDescent="0.2">
      <c r="C13" s="224" t="s">
        <v>255</v>
      </c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</row>
    <row r="14" spans="2:19" ht="28.2" customHeight="1" x14ac:dyDescent="0.25">
      <c r="B14" s="5" t="s">
        <v>260</v>
      </c>
      <c r="C14" s="6" t="s">
        <v>239</v>
      </c>
      <c r="D14" s="6" t="s">
        <v>240</v>
      </c>
      <c r="E14" s="6" t="s">
        <v>241</v>
      </c>
      <c r="F14" s="6" t="s">
        <v>244</v>
      </c>
      <c r="G14" s="6" t="s">
        <v>242</v>
      </c>
      <c r="H14" s="98"/>
      <c r="I14" s="98" t="s">
        <v>295</v>
      </c>
      <c r="J14" s="98" t="s">
        <v>296</v>
      </c>
      <c r="K14" s="98" t="s">
        <v>297</v>
      </c>
      <c r="L14" s="98" t="s">
        <v>298</v>
      </c>
      <c r="M14" s="98" t="s">
        <v>299</v>
      </c>
      <c r="N14" s="98" t="s">
        <v>300</v>
      </c>
      <c r="O14" s="98" t="s">
        <v>301</v>
      </c>
      <c r="P14" s="98" t="s">
        <v>302</v>
      </c>
      <c r="Q14" s="98" t="s">
        <v>303</v>
      </c>
      <c r="R14" s="98" t="s">
        <v>304</v>
      </c>
      <c r="S14" s="98" t="s">
        <v>305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11672.631339780861</v>
      </c>
      <c r="J15" s="165">
        <f>'Balance Sheet'!J28</f>
        <v>13582.294826949459</v>
      </c>
      <c r="K15" s="165">
        <f>'Balance Sheet'!K28</f>
        <v>13582.294826949459</v>
      </c>
      <c r="L15" s="165">
        <f>'Balance Sheet'!L28</f>
        <v>13842.123506585151</v>
      </c>
      <c r="M15" s="165">
        <f>'Balance Sheet'!M28</f>
        <v>13842.123506585151</v>
      </c>
      <c r="N15" s="165">
        <f>'Balance Sheet'!N28</f>
        <v>17464.105007419053</v>
      </c>
      <c r="O15" s="165">
        <f>'Balance Sheet'!O28</f>
        <v>21251.16200299413</v>
      </c>
      <c r="P15" s="165">
        <f>'Balance Sheet'!P28</f>
        <v>25921.961352417744</v>
      </c>
      <c r="Q15" s="165">
        <f>'Balance Sheet'!Q28</f>
        <v>30678.46863220639</v>
      </c>
      <c r="R15" s="165">
        <f>'Balance Sheet'!R28</f>
        <v>35871.145923114476</v>
      </c>
      <c r="S15" s="165">
        <f>'Balance Sheet'!S28</f>
        <v>41064.561922532856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2658.9310306781044</v>
      </c>
      <c r="J16" s="165">
        <f>'Balance Sheet'!J32</f>
        <v>1419.0028246561237</v>
      </c>
      <c r="K16" s="165">
        <f>'Balance Sheet'!K32</f>
        <v>-4125.7646703202718</v>
      </c>
      <c r="L16" s="165">
        <f>'Balance Sheet'!L32</f>
        <v>-11070.624461252355</v>
      </c>
      <c r="M16" s="165">
        <f>'Balance Sheet'!M32</f>
        <v>-20268.341992062858</v>
      </c>
      <c r="N16" s="165">
        <f>'Balance Sheet'!N32</f>
        <v>-26452.514484758616</v>
      </c>
      <c r="O16" s="165">
        <f>'Balance Sheet'!O32</f>
        <v>-33404.249085442316</v>
      </c>
      <c r="P16" s="165">
        <f>'Balance Sheet'!P32</f>
        <v>-40110.375115863179</v>
      </c>
      <c r="Q16" s="165">
        <f>'Balance Sheet'!Q32</f>
        <v>-47450.370037862951</v>
      </c>
      <c r="R16" s="165">
        <f>'Balance Sheet'!R32</f>
        <v>-54912.83921560031</v>
      </c>
      <c r="S16" s="165">
        <f>'Balance Sheet'!S32</f>
        <v>-62969.707087417752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158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0.81447026067731143</v>
      </c>
      <c r="J18" s="208">
        <f t="shared" si="1"/>
        <v>0.90540799485408197</v>
      </c>
      <c r="K18" s="208">
        <f t="shared" si="1"/>
        <v>1.4362873698898999</v>
      </c>
      <c r="L18" s="208">
        <f t="shared" si="1"/>
        <v>4.9944536441011183</v>
      </c>
      <c r="M18" s="208">
        <f t="shared" si="1"/>
        <v>-2.1540076077192643</v>
      </c>
      <c r="N18" s="208">
        <f t="shared" si="1"/>
        <v>-1.9429583233215331</v>
      </c>
      <c r="O18" s="208">
        <f t="shared" ref="O18:S18" si="2">O15/(O$15+O$16)</f>
        <v>-1.7486225400034883</v>
      </c>
      <c r="P18" s="208">
        <f t="shared" si="2"/>
        <v>-1.8269809285659711</v>
      </c>
      <c r="Q18" s="208">
        <f t="shared" si="2"/>
        <v>-1.8291586559088431</v>
      </c>
      <c r="R18" s="208">
        <f t="shared" si="2"/>
        <v>-1.8838212217854502</v>
      </c>
      <c r="S18" s="208">
        <f t="shared" si="2"/>
        <v>-1.8746537223757602</v>
      </c>
    </row>
    <row r="19" spans="2:19" x14ac:dyDescent="0.2">
      <c r="B19" s="20" t="s">
        <v>159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0.18552973932268857</v>
      </c>
      <c r="J19" s="208">
        <f t="shared" si="1"/>
        <v>9.4592005145918062E-2</v>
      </c>
      <c r="K19" s="208">
        <f t="shared" si="1"/>
        <v>-0.43628736988989997</v>
      </c>
      <c r="L19" s="208">
        <f t="shared" si="1"/>
        <v>-3.9944536441011183</v>
      </c>
      <c r="M19" s="208">
        <f t="shared" si="1"/>
        <v>3.1540076077192643</v>
      </c>
      <c r="N19" s="208">
        <f t="shared" si="1"/>
        <v>2.9429583233215331</v>
      </c>
      <c r="O19" s="208">
        <f t="shared" ref="O19:S19" si="3">O16/(O$15+O$16)</f>
        <v>2.7486225400034883</v>
      </c>
      <c r="P19" s="208">
        <f t="shared" si="3"/>
        <v>2.8269809285659711</v>
      </c>
      <c r="Q19" s="208">
        <f t="shared" si="3"/>
        <v>2.8291586559088429</v>
      </c>
      <c r="R19" s="208">
        <f t="shared" si="3"/>
        <v>2.8838212217854502</v>
      </c>
      <c r="S19" s="208">
        <f t="shared" si="3"/>
        <v>2.87465372237576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157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256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6" thickBot="1" x14ac:dyDescent="0.3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5.5691111516350242E-2</v>
      </c>
      <c r="J24" s="209">
        <f t="shared" ref="J24:N24" si="7">J18*J22*(1-$C$7)+J19*J21</f>
        <v>5.4126982488509792E-2</v>
      </c>
      <c r="K24" s="209">
        <f t="shared" si="7"/>
        <v>4.4995857237893705E-2</v>
      </c>
      <c r="L24" s="209">
        <f t="shared" si="7"/>
        <v>-1.6204602678539293E-2</v>
      </c>
      <c r="M24" s="209">
        <f t="shared" si="7"/>
        <v>0.1067489308527714</v>
      </c>
      <c r="N24" s="209">
        <f t="shared" si="7"/>
        <v>0.10311888316113041</v>
      </c>
      <c r="O24" s="209">
        <f t="shared" ref="O24:S24" si="8">O18*O22*(1-$C$7)+O19*O21</f>
        <v>9.9776307688060034E-2</v>
      </c>
      <c r="P24" s="209">
        <f t="shared" si="8"/>
        <v>0.10112407197133474</v>
      </c>
      <c r="Q24" s="209">
        <f t="shared" si="8"/>
        <v>0.10116152888163213</v>
      </c>
      <c r="R24" s="209">
        <f t="shared" si="8"/>
        <v>0.10210172501470981</v>
      </c>
      <c r="S24" s="209">
        <f t="shared" si="8"/>
        <v>0.10194404402486312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topLeftCell="C1" workbookViewId="0">
      <selection activeCell="W12" sqref="W12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24" t="s">
        <v>258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2:19" x14ac:dyDescent="0.25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5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-10035.766712664934</v>
      </c>
      <c r="I6" s="161">
        <f>G6+H6</f>
        <v>-16371.292712664934</v>
      </c>
      <c r="J6" s="169">
        <f>'Cost of sales Energy &amp; Other'!J9+'Cost of sales automotive'!J11</f>
        <v>-22608.365026691325</v>
      </c>
      <c r="K6" s="169">
        <f>'Cost of sales Energy &amp; Other'!K9+'Cost of sales automotive'!K11</f>
        <v>-41012.675782275233</v>
      </c>
      <c r="L6" s="169">
        <f>'Cost of sales Energy &amp; Other'!L9+'Cost of sales automotive'!L11</f>
        <v>-54582.161500186055</v>
      </c>
      <c r="M6" s="169">
        <f>'Cost of sales Energy &amp; Other'!M9+'Cost of sales automotive'!M11</f>
        <v>-70608.799655503346</v>
      </c>
      <c r="N6" s="169">
        <f>'Cost of sales Energy &amp; Other'!N9+'Cost of sales automotive'!N11</f>
        <v>-75721.091936203171</v>
      </c>
      <c r="O6" s="169">
        <f>'Cost of sales Energy &amp; Other'!O9+'Cost of sales automotive'!O11</f>
        <v>-81268.576844361945</v>
      </c>
      <c r="P6" s="169">
        <f>'Cost of sales Energy &amp; Other'!P9+'Cost of sales automotive'!P11</f>
        <v>-84374.738122176946</v>
      </c>
      <c r="Q6" s="169">
        <f>'Cost of sales Energy &amp; Other'!Q9+'Cost of sales automotive'!Q11</f>
        <v>-87618.565817180803</v>
      </c>
      <c r="R6" s="169">
        <f>'Cost of sales Energy &amp; Other'!R9+'Cost of sales automotive'!R11</f>
        <v>-89539.89338082404</v>
      </c>
      <c r="S6" s="169">
        <f>'Cost of sales Energy &amp; Other'!S9+'Cost of sales automotive'!S11</f>
        <v>-91509.784870578151</v>
      </c>
    </row>
    <row r="7" spans="2:19" x14ac:dyDescent="0.25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541.46728733506643</v>
      </c>
      <c r="I7" s="163">
        <f t="shared" si="0"/>
        <v>1616.9232873350666</v>
      </c>
      <c r="J7" s="163">
        <f t="shared" ref="J7:S7" si="1">SUM(J5:J6)</f>
        <v>448.30785330867729</v>
      </c>
      <c r="K7" s="163">
        <f t="shared" si="1"/>
        <v>502.10479570572352</v>
      </c>
      <c r="L7" s="163">
        <f t="shared" si="1"/>
        <v>542.27317936217878</v>
      </c>
      <c r="M7" s="163">
        <f t="shared" si="1"/>
        <v>574.80957012390718</v>
      </c>
      <c r="N7" s="163">
        <f t="shared" si="1"/>
        <v>609.29814433134743</v>
      </c>
      <c r="O7" s="163">
        <f t="shared" si="1"/>
        <v>645.85603299122886</v>
      </c>
      <c r="P7" s="163">
        <f t="shared" si="1"/>
        <v>684.60739497069153</v>
      </c>
      <c r="Q7" s="163">
        <f t="shared" si="1"/>
        <v>725.68383866893419</v>
      </c>
      <c r="R7" s="163">
        <f t="shared" si="1"/>
        <v>769.22486898906936</v>
      </c>
      <c r="S7" s="163">
        <f t="shared" si="1"/>
        <v>815.37836112841615</v>
      </c>
    </row>
    <row r="8" spans="2:19" x14ac:dyDescent="0.25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>
        <f>Opex!J7</f>
        <v>-2880.1910710156908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5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-2259.6578336191915</v>
      </c>
      <c r="I9" s="163">
        <f t="shared" si="0"/>
        <v>-3478.0238336191915</v>
      </c>
      <c r="J9" s="163">
        <f t="shared" ref="J9:S9" si="3">SUM(J7:J8)</f>
        <v>-2431.8832177070135</v>
      </c>
      <c r="K9" s="163">
        <f t="shared" si="3"/>
        <v>-4683.8342579551863</v>
      </c>
      <c r="L9" s="163">
        <f t="shared" si="3"/>
        <v>-6343.7552335465662</v>
      </c>
      <c r="M9" s="163">
        <f t="shared" si="3"/>
        <v>-8317.2971428166184</v>
      </c>
      <c r="N9" s="163">
        <f t="shared" si="3"/>
        <v>-8925.7336055357719</v>
      </c>
      <c r="O9" s="163">
        <f t="shared" si="3"/>
        <v>-9586.7225957023456</v>
      </c>
      <c r="P9" s="163">
        <f t="shared" si="3"/>
        <v>-9940.8271046199152</v>
      </c>
      <c r="Q9" s="163">
        <f t="shared" si="3"/>
        <v>-10310.093975357086</v>
      </c>
      <c r="R9" s="163">
        <f t="shared" si="3"/>
        <v>-10512.000196229961</v>
      </c>
      <c r="S9" s="163">
        <f t="shared" si="3"/>
        <v>-10717.686802002239</v>
      </c>
    </row>
    <row r="10" spans="2:19" x14ac:dyDescent="0.25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-404.5804754835645</v>
      </c>
      <c r="I10" s="161">
        <f>Financing!I12</f>
        <v>-717.70847548356448</v>
      </c>
      <c r="J10" s="161">
        <f>Financing!J12</f>
        <v>-717.70847548356448</v>
      </c>
      <c r="K10" s="161">
        <f>Financing!K12</f>
        <v>-860.93323702120927</v>
      </c>
      <c r="L10" s="161">
        <f>Financing!L12</f>
        <v>-860.93323702120927</v>
      </c>
      <c r="M10" s="161">
        <f>Financing!M12</f>
        <v>-880.42038799388615</v>
      </c>
      <c r="N10" s="161">
        <f>Financing!N12</f>
        <v>-880.42038799388615</v>
      </c>
      <c r="O10" s="161">
        <f>Financing!O12</f>
        <v>-1152.0690005564288</v>
      </c>
      <c r="P10" s="161">
        <f>Financing!P12</f>
        <v>-1436.0982752245593</v>
      </c>
      <c r="Q10" s="161">
        <f>Financing!Q12</f>
        <v>-1786.4082264313304</v>
      </c>
      <c r="R10" s="161">
        <f>Financing!R12</f>
        <v>-2143.146272415479</v>
      </c>
      <c r="S10" s="161">
        <f>Financing!S12</f>
        <v>-2532.5970692335854</v>
      </c>
    </row>
    <row r="11" spans="2:19" x14ac:dyDescent="0.25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-2664.2383091027559</v>
      </c>
      <c r="I11" s="163">
        <f t="shared" si="4"/>
        <v>-4195.7323091027556</v>
      </c>
      <c r="J11" s="163">
        <f t="shared" si="4"/>
        <v>-3149.5916931905781</v>
      </c>
      <c r="K11" s="163">
        <f t="shared" si="4"/>
        <v>-5544.7674949763959</v>
      </c>
      <c r="L11" s="163">
        <f t="shared" si="4"/>
        <v>-7204.6884705677758</v>
      </c>
      <c r="M11" s="163">
        <f t="shared" si="4"/>
        <v>-9197.7175308105052</v>
      </c>
      <c r="N11" s="163">
        <f t="shared" si="4"/>
        <v>-9806.1539935296587</v>
      </c>
      <c r="O11" s="163">
        <f t="shared" si="4"/>
        <v>-10738.791596258774</v>
      </c>
      <c r="P11" s="163">
        <f t="shared" si="4"/>
        <v>-11376.925379844475</v>
      </c>
      <c r="Q11" s="163">
        <f t="shared" si="4"/>
        <v>-12096.502201788417</v>
      </c>
      <c r="R11" s="163">
        <f t="shared" si="4"/>
        <v>-12655.14646864544</v>
      </c>
      <c r="S11" s="163">
        <f t="shared" si="4"/>
        <v>-13250.283871235824</v>
      </c>
    </row>
    <row r="12" spans="2:19" x14ac:dyDescent="0.25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0</v>
      </c>
      <c r="K12" s="165">
        <f>IF(K11&gt;0,-K11*Drivers!$C$12,0)</f>
        <v>0</v>
      </c>
      <c r="L12" s="165">
        <f>IF(L11&gt;0,-L11*Drivers!$C$12,0)</f>
        <v>0</v>
      </c>
      <c r="M12" s="165">
        <f>IF(M11&gt;0,-M11*Drivers!$C$12,0)</f>
        <v>0</v>
      </c>
      <c r="N12" s="165">
        <f>IF(N11&gt;0,-N11*Drivers!$C$12,0)</f>
        <v>0</v>
      </c>
      <c r="O12" s="165">
        <f>IF(O11&gt;0,-O11*Drivers!$C$12,0)</f>
        <v>0</v>
      </c>
      <c r="P12" s="165">
        <f>IF(P11&gt;0,-P11*Drivers!$C$12,0)</f>
        <v>0</v>
      </c>
      <c r="Q12" s="165">
        <f>IF(Q11&gt;0,-Q11*Drivers!$C$12,0)</f>
        <v>0</v>
      </c>
      <c r="R12" s="165">
        <f>IF(R11&gt;0,-R11*Drivers!$C$12,0)</f>
        <v>0</v>
      </c>
      <c r="S12" s="165">
        <f>IF(S11&gt;0,-S11*Drivers!$C$12,0)</f>
        <v>0</v>
      </c>
    </row>
    <row r="13" spans="2:19" x14ac:dyDescent="0.25">
      <c r="B13" s="25" t="s">
        <v>263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8" thickBot="1" x14ac:dyDescent="0.3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-2664.2383091027559</v>
      </c>
      <c r="I14" s="127">
        <f t="shared" si="6"/>
        <v>-4195.7323091027556</v>
      </c>
      <c r="J14" s="127">
        <f t="shared" si="6"/>
        <v>-3149.5916931905781</v>
      </c>
      <c r="K14" s="127">
        <f t="shared" si="6"/>
        <v>-5544.7674949763959</v>
      </c>
      <c r="L14" s="127">
        <f t="shared" si="6"/>
        <v>-7204.6884705677758</v>
      </c>
      <c r="M14" s="127">
        <f t="shared" si="6"/>
        <v>-9197.7175308105052</v>
      </c>
      <c r="N14" s="127">
        <f t="shared" si="6"/>
        <v>-9806.1539935296587</v>
      </c>
      <c r="O14" s="127">
        <f t="shared" ref="O14:S14" si="7">SUM(O11:O13)</f>
        <v>-10738.791596258774</v>
      </c>
      <c r="P14" s="127">
        <f t="shared" si="7"/>
        <v>-11376.925379844475</v>
      </c>
      <c r="Q14" s="127">
        <f t="shared" si="7"/>
        <v>-12096.502201788417</v>
      </c>
      <c r="R14" s="127">
        <f t="shared" si="7"/>
        <v>-12655.14646864544</v>
      </c>
      <c r="S14" s="127">
        <f t="shared" si="7"/>
        <v>-13250.283871235824</v>
      </c>
    </row>
    <row r="15" spans="2:19" x14ac:dyDescent="0.25">
      <c r="C15" s="33"/>
    </row>
    <row r="16" spans="2:19" x14ac:dyDescent="0.25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5">
      <c r="B17" s="167" t="s">
        <v>262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5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3" workbookViewId="0">
      <selection activeCell="S31" sqref="S31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259</v>
      </c>
    </row>
    <row r="2" spans="2:21" ht="15.6" x14ac:dyDescent="0.3">
      <c r="B2" s="18"/>
    </row>
    <row r="3" spans="2:21" x14ac:dyDescent="0.25">
      <c r="C3" s="224" t="s">
        <v>264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21" s="8" customFormat="1" ht="24" x14ac:dyDescent="0.25">
      <c r="B4" s="5" t="s">
        <v>260</v>
      </c>
      <c r="C4" s="6" t="s">
        <v>239</v>
      </c>
      <c r="D4" s="6" t="s">
        <v>240</v>
      </c>
      <c r="E4" s="6" t="s">
        <v>241</v>
      </c>
      <c r="F4" s="6" t="s">
        <v>244</v>
      </c>
      <c r="G4" s="6" t="s">
        <v>242</v>
      </c>
      <c r="H4" s="98"/>
      <c r="I4" s="98" t="s">
        <v>295</v>
      </c>
      <c r="J4" s="98" t="s">
        <v>296</v>
      </c>
      <c r="K4" s="98" t="s">
        <v>297</v>
      </c>
      <c r="L4" s="98" t="s">
        <v>298</v>
      </c>
      <c r="M4" s="98" t="s">
        <v>299</v>
      </c>
      <c r="N4" s="98" t="s">
        <v>300</v>
      </c>
      <c r="O4" s="98" t="s">
        <v>301</v>
      </c>
      <c r="P4" s="98" t="s">
        <v>302</v>
      </c>
      <c r="Q4" s="98" t="s">
        <v>303</v>
      </c>
      <c r="R4" s="98" t="s">
        <v>304</v>
      </c>
      <c r="S4" s="98" t="s">
        <v>305</v>
      </c>
      <c r="U4" s="36" t="s">
        <v>120</v>
      </c>
    </row>
    <row r="5" spans="2:21" s="8" customFormat="1" ht="11.4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1831.843524516436</v>
      </c>
      <c r="J5" s="161">
        <f>I5+'Cash Flow'!J28</f>
        <v>1114.1350490328728</v>
      </c>
      <c r="K5" s="161">
        <f>J5+'Cash Flow'!K28</f>
        <v>3224.142244476322</v>
      </c>
      <c r="L5" s="161">
        <f>K5+'Cash Flow'!L28</f>
        <v>2363.209007455112</v>
      </c>
      <c r="M5" s="161">
        <f>L5+'Cash Flow'!M28</f>
        <v>5134.5162909371284</v>
      </c>
      <c r="N5" s="161">
        <f>M5+'Cash Flow'!N28</f>
        <v>8041.1528985183195</v>
      </c>
      <c r="O5" s="161">
        <f>N5+'Cash Flow'!O28</f>
        <v>11559.883247385505</v>
      </c>
      <c r="P5" s="161">
        <f>O5+'Cash Flow'!P28</f>
        <v>14880.29225194959</v>
      </c>
      <c r="Q5" s="161">
        <f>P5+'Cash Flow'!Q28</f>
        <v>18286.561316426341</v>
      </c>
      <c r="R5" s="161">
        <f>Q5+'Cash Flow'!R28</f>
        <v>21336.831043429243</v>
      </c>
      <c r="S5" s="161">
        <f>R5+'Cash Flow'!S28</f>
        <v>18804.23397419566</v>
      </c>
      <c r="U5" s="8" t="s">
        <v>123</v>
      </c>
    </row>
    <row r="6" spans="2:21" s="8" customFormat="1" ht="11.4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957.66763893271502</v>
      </c>
      <c r="J7" s="202">
        <f>'Working capital'!J5</f>
        <v>1227.5052444685768</v>
      </c>
      <c r="K7" s="202">
        <f>'Working capital'!K5</f>
        <v>2210.1892648456496</v>
      </c>
      <c r="L7" s="202">
        <f>'Working capital'!L5</f>
        <v>2934.7483489782221</v>
      </c>
      <c r="M7" s="202">
        <f>'Working capital'!M5</f>
        <v>3789.7164998360863</v>
      </c>
      <c r="N7" s="202">
        <f>'Working capital'!N5</f>
        <v>4063.723965024582</v>
      </c>
      <c r="O7" s="202">
        <f>'Working capital'!O5</f>
        <v>4361.0106487584526</v>
      </c>
      <c r="P7" s="202">
        <f>'Working capital'!P5</f>
        <v>4528.441430243488</v>
      </c>
      <c r="Q7" s="202">
        <f>'Working capital'!Q5</f>
        <v>4703.3251647189436</v>
      </c>
      <c r="R7" s="202">
        <f>'Working capital'!R5</f>
        <v>4807.9320399751641</v>
      </c>
      <c r="S7" s="202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5577.4684771979119</v>
      </c>
      <c r="J8" s="202">
        <f>'Working capital'!J6</f>
        <v>7702.3510281387144</v>
      </c>
      <c r="K8" s="202">
        <f>'Working capital'!K6</f>
        <v>13972.440072751146</v>
      </c>
      <c r="L8" s="202">
        <f>'Working capital'!L6</f>
        <v>18595.372431958538</v>
      </c>
      <c r="M8" s="202">
        <f>'Working capital'!M6</f>
        <v>24055.421963513752</v>
      </c>
      <c r="N8" s="202">
        <f>'Working capital'!N6</f>
        <v>25797.10782438454</v>
      </c>
      <c r="O8" s="202">
        <f>'Working capital'!O6</f>
        <v>27687.057674163392</v>
      </c>
      <c r="P8" s="202">
        <f>'Working capital'!P6</f>
        <v>28745.283002863529</v>
      </c>
      <c r="Q8" s="202">
        <f>'Working capital'!Q6</f>
        <v>29850.409337838239</v>
      </c>
      <c r="R8" s="202">
        <f>'Working capital'!R6</f>
        <v>30504.97853458234</v>
      </c>
      <c r="S8" s="202">
        <f>'Working capital'!S6</f>
        <v>31176.092775860569</v>
      </c>
      <c r="U8" s="8" t="s">
        <v>122</v>
      </c>
    </row>
    <row r="9" spans="2:21" s="8" customFormat="1" ht="11.4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1.4" x14ac:dyDescent="0.25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1.4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14498.688986666668</v>
      </c>
      <c r="J13" s="161">
        <f>'PP&amp;E'!J10</f>
        <v>18944.953609244447</v>
      </c>
      <c r="K13" s="161">
        <f>'PP&amp;E'!K10</f>
        <v>22896.329647744005</v>
      </c>
      <c r="L13" s="161">
        <f>'PP&amp;E'!L10</f>
        <v>25438.201137715776</v>
      </c>
      <c r="M13" s="161">
        <f>'PP&amp;E'!M10</f>
        <v>26962.154857418955</v>
      </c>
      <c r="N13" s="161">
        <f>'PP&amp;E'!N10</f>
        <v>28445.080086503422</v>
      </c>
      <c r="O13" s="161">
        <f>'PP&amp;E'!O10</f>
        <v>29865.993299085523</v>
      </c>
      <c r="P13" s="161">
        <f>'PP&amp;E'!P10</f>
        <v>31201.383560564085</v>
      </c>
      <c r="Q13" s="161">
        <f>'PP&amp;E'!Q10</f>
        <v>32425.068525658789</v>
      </c>
      <c r="R13" s="161">
        <f>'PP&amp;E'!R10</f>
        <v>33508.05555026111</v>
      </c>
      <c r="S13" s="161">
        <f>'PP&amp;E'!S10</f>
        <v>34418.410073051164</v>
      </c>
      <c r="U13" s="8" t="s">
        <v>121</v>
      </c>
    </row>
    <row r="14" spans="2:21" s="8" customFormat="1" ht="11.4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1.4" x14ac:dyDescent="0.25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ht="12.6" thickBot="1" x14ac:dyDescent="0.3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35066.462148570776</v>
      </c>
      <c r="J17" s="127">
        <f t="shared" si="6"/>
        <v>42053.970279782348</v>
      </c>
      <c r="K17" s="127">
        <f t="shared" si="6"/>
        <v>58515.45219049252</v>
      </c>
      <c r="L17" s="127">
        <f t="shared" si="6"/>
        <v>67864.488832097544</v>
      </c>
      <c r="M17" s="127">
        <f t="shared" si="6"/>
        <v>81213.046662009801</v>
      </c>
      <c r="N17" s="127">
        <f t="shared" si="6"/>
        <v>88495.88881620238</v>
      </c>
      <c r="O17" s="127">
        <f t="shared" si="6"/>
        <v>96574.914233927469</v>
      </c>
      <c r="P17" s="127">
        <f t="shared" si="6"/>
        <v>102992.61440079064</v>
      </c>
      <c r="Q17" s="127">
        <f t="shared" si="6"/>
        <v>109462.69349627543</v>
      </c>
      <c r="R17" s="127">
        <f t="shared" si="6"/>
        <v>114690.15964782254</v>
      </c>
      <c r="S17" s="127">
        <f t="shared" si="6"/>
        <v>114190.12228493126</v>
      </c>
    </row>
    <row r="18" spans="2:21" s="8" customFormat="1" ht="11.4" x14ac:dyDescent="0.25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1.4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4791.7735234653437</v>
      </c>
      <c r="J19" s="161">
        <f>'Working capital'!J7</f>
        <v>6617.325024060644</v>
      </c>
      <c r="K19" s="161">
        <f>'Working capital'!K7</f>
        <v>12004.150031960702</v>
      </c>
      <c r="L19" s="161">
        <f>'Working capital'!L7</f>
        <v>15975.852421706921</v>
      </c>
      <c r="M19" s="161">
        <f>'Working capital'!M7</f>
        <v>20666.747742599873</v>
      </c>
      <c r="N19" s="161">
        <f>'Working capital'!N7</f>
        <v>22163.083262636279</v>
      </c>
      <c r="O19" s="161">
        <f>'Working capital'!O7</f>
        <v>23786.79690402604</v>
      </c>
      <c r="P19" s="161">
        <f>'Working capital'!P7</f>
        <v>24695.950605684109</v>
      </c>
      <c r="Q19" s="161">
        <f>'Working capital'!Q7</f>
        <v>25645.398394347645</v>
      </c>
      <c r="R19" s="161">
        <f>'Working capital'!R7</f>
        <v>26207.75878402216</v>
      </c>
      <c r="S19" s="161">
        <f>'Working capital'!S7</f>
        <v>26784.333526797433</v>
      </c>
      <c r="U19" s="8" t="s">
        <v>122</v>
      </c>
    </row>
    <row r="20" spans="2:21" s="8" customFormat="1" ht="11.4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2287.4929800617629</v>
      </c>
      <c r="J20" s="161">
        <f>J21*('P&amp;L'!J$5)</f>
        <v>2932.029355027782</v>
      </c>
      <c r="K20" s="161">
        <f>K21*('P&amp;L'!K$5)</f>
        <v>5279.2766742925396</v>
      </c>
      <c r="L20" s="161">
        <f>L21*('P&amp;L'!L$5)</f>
        <v>7009.9645990096942</v>
      </c>
      <c r="M20" s="161">
        <f>M21*('P&amp;L'!M$5)</f>
        <v>9052.1487177540057</v>
      </c>
      <c r="N20" s="161">
        <f>N21*('P&amp;L'!N$5)</f>
        <v>9706.6452545710326</v>
      </c>
      <c r="O20" s="161">
        <f>O21*('P&amp;L'!O$5)</f>
        <v>10416.746728674252</v>
      </c>
      <c r="P20" s="161">
        <f>P21*('P&amp;L'!P$5)</f>
        <v>10816.673302073046</v>
      </c>
      <c r="Q20" s="161">
        <f>Q21*('P&amp;L'!Q$5)</f>
        <v>11234.402061693059</v>
      </c>
      <c r="R20" s="161">
        <f>R21*('P&amp;L'!R$5)</f>
        <v>11484.266924080472</v>
      </c>
      <c r="S20" s="161">
        <f>S21*('P&amp;L'!S$5)</f>
        <v>11740.639692984849</v>
      </c>
      <c r="U20" s="8" t="s">
        <v>124</v>
      </c>
    </row>
    <row r="21" spans="2:21" s="8" customFormat="1" ht="11.4" x14ac:dyDescent="0.25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AVERAGE($C$21:$F$21)</f>
        <v>0.12716619480563068</v>
      </c>
      <c r="J21" s="196">
        <f t="shared" ref="J21:S21" si="7">AVERAGE($C$21:$F$21)</f>
        <v>0.12716619480563068</v>
      </c>
      <c r="K21" s="196">
        <f t="shared" si="7"/>
        <v>0.12716619480563068</v>
      </c>
      <c r="L21" s="196">
        <f t="shared" si="7"/>
        <v>0.12716619480563068</v>
      </c>
      <c r="M21" s="196">
        <f t="shared" si="7"/>
        <v>0.12716619480563068</v>
      </c>
      <c r="N21" s="196">
        <f t="shared" si="7"/>
        <v>0.12716619480563068</v>
      </c>
      <c r="O21" s="196">
        <f t="shared" si="7"/>
        <v>0.12716619480563068</v>
      </c>
      <c r="P21" s="196">
        <f t="shared" si="7"/>
        <v>0.12716619480563068</v>
      </c>
      <c r="Q21" s="196">
        <f t="shared" si="7"/>
        <v>0.12716619480563068</v>
      </c>
      <c r="R21" s="196">
        <f t="shared" si="7"/>
        <v>0.12716619480563068</v>
      </c>
      <c r="S21" s="196">
        <f t="shared" si="7"/>
        <v>0.12716619480563068</v>
      </c>
    </row>
    <row r="22" spans="2:21" s="8" customFormat="1" ht="11.4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1619.2202650990901</v>
      </c>
      <c r="J22" s="161">
        <f>J23*('P&amp;L'!J$5)</f>
        <v>2075.4605110955195</v>
      </c>
      <c r="K22" s="161">
        <f>K23*('P&amp;L'!K$5)</f>
        <v>3736.9783647810809</v>
      </c>
      <c r="L22" s="161">
        <f>L23*('P&amp;L'!L$5)</f>
        <v>4962.0597025994994</v>
      </c>
      <c r="M22" s="161">
        <f>M23*('P&amp;L'!M$5)</f>
        <v>6407.6361213935943</v>
      </c>
      <c r="N22" s="161">
        <f>N23*('P&amp;L'!N$5)</f>
        <v>6870.9267478954025</v>
      </c>
      <c r="O22" s="161">
        <f>O23*('P&amp;L'!O$5)</f>
        <v>7373.5777755342397</v>
      </c>
      <c r="P22" s="161">
        <f>P23*('P&amp;L'!P$5)</f>
        <v>7656.6690102804459</v>
      </c>
      <c r="Q22" s="161">
        <f>Q23*('P&amp;L'!Q$5)</f>
        <v>7952.3616654216958</v>
      </c>
      <c r="R22" s="161">
        <f>R23*('P&amp;L'!R$5)</f>
        <v>8129.2305136500163</v>
      </c>
      <c r="S22" s="161">
        <f>S23*('P&amp;L'!S$5)</f>
        <v>8310.7060357380997</v>
      </c>
      <c r="U22" s="8" t="s">
        <v>124</v>
      </c>
    </row>
    <row r="23" spans="2:21" s="8" customFormat="1" ht="11.4" x14ac:dyDescent="0.25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 t="shared" ref="I23:S23" si="8">AVERAGE($C$23:$F$23)</f>
        <v>9.0015611614797708E-2</v>
      </c>
      <c r="J23" s="196">
        <f t="shared" si="8"/>
        <v>9.0015611614797708E-2</v>
      </c>
      <c r="K23" s="196">
        <f t="shared" si="8"/>
        <v>9.0015611614797708E-2</v>
      </c>
      <c r="L23" s="196">
        <f t="shared" si="8"/>
        <v>9.0015611614797708E-2</v>
      </c>
      <c r="M23" s="196">
        <f t="shared" si="8"/>
        <v>9.0015611614797708E-2</v>
      </c>
      <c r="N23" s="196">
        <f t="shared" si="8"/>
        <v>9.0015611614797708E-2</v>
      </c>
      <c r="O23" s="196">
        <f t="shared" si="8"/>
        <v>9.0015611614797708E-2</v>
      </c>
      <c r="P23" s="196">
        <f t="shared" si="8"/>
        <v>9.0015611614797708E-2</v>
      </c>
      <c r="Q23" s="196">
        <f t="shared" si="8"/>
        <v>9.0015611614797708E-2</v>
      </c>
      <c r="R23" s="196">
        <f t="shared" si="8"/>
        <v>9.0015611614797708E-2</v>
      </c>
      <c r="S23" s="196">
        <f t="shared" si="8"/>
        <v>9.0015611614797708E-2</v>
      </c>
    </row>
    <row r="24" spans="2:21" s="8" customFormat="1" ht="11.4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758.01602225043655</v>
      </c>
      <c r="J24" s="161">
        <f>J25*('P&amp;L'!J$5)</f>
        <v>971.59871011261589</v>
      </c>
      <c r="K24" s="161">
        <f>K25*('P&amp;L'!K$5)</f>
        <v>1749.4157752119947</v>
      </c>
      <c r="L24" s="161">
        <f>L25*('P&amp;L'!L$5)</f>
        <v>2322.9210003146045</v>
      </c>
      <c r="M24" s="161">
        <f>M25*('P&amp;L'!M$5)</f>
        <v>2999.6480092655911</v>
      </c>
      <c r="N24" s="161">
        <f>N25*('P&amp;L'!N$5)</f>
        <v>3216.5312372094572</v>
      </c>
      <c r="O24" s="161">
        <f>O25*('P&amp;L'!O$5)</f>
        <v>3451.840503504719</v>
      </c>
      <c r="P24" s="161">
        <f>P25*('P&amp;L'!P$5)</f>
        <v>3584.365828391974</v>
      </c>
      <c r="Q24" s="161">
        <f>Q25*('P&amp;L'!Q$5)</f>
        <v>3722.7903374535149</v>
      </c>
      <c r="R24" s="161">
        <f>R25*('P&amp;L'!R$5)</f>
        <v>3805.5890916957883</v>
      </c>
      <c r="S24" s="161">
        <f>S25*('P&amp;L'!S$5)</f>
        <v>3890.5443978725002</v>
      </c>
      <c r="U24" s="8" t="s">
        <v>124</v>
      </c>
    </row>
    <row r="25" spans="2:21" s="8" customFormat="1" ht="11.4" x14ac:dyDescent="0.25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 t="shared" ref="I25:S25" si="9">AVERAGE($D$25:$F$25)</f>
        <v>4.2139588620152026E-2</v>
      </c>
      <c r="J25" s="196">
        <f t="shared" si="9"/>
        <v>4.2139588620152026E-2</v>
      </c>
      <c r="K25" s="196">
        <f t="shared" si="9"/>
        <v>4.2139588620152026E-2</v>
      </c>
      <c r="L25" s="196">
        <f t="shared" si="9"/>
        <v>4.2139588620152026E-2</v>
      </c>
      <c r="M25" s="196">
        <f t="shared" si="9"/>
        <v>4.2139588620152026E-2</v>
      </c>
      <c r="N25" s="196">
        <f t="shared" si="9"/>
        <v>4.2139588620152026E-2</v>
      </c>
      <c r="O25" s="196">
        <f t="shared" si="9"/>
        <v>4.2139588620152026E-2</v>
      </c>
      <c r="P25" s="196">
        <f t="shared" si="9"/>
        <v>4.2139588620152026E-2</v>
      </c>
      <c r="Q25" s="196">
        <f t="shared" si="9"/>
        <v>4.2139588620152026E-2</v>
      </c>
      <c r="R25" s="196">
        <f t="shared" si="9"/>
        <v>4.2139588620152026E-2</v>
      </c>
      <c r="S25" s="196">
        <f t="shared" si="9"/>
        <v>4.2139588620152026E-2</v>
      </c>
    </row>
    <row r="26" spans="2:21" s="8" customFormat="1" ht="11.4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1430.1937608815713</v>
      </c>
      <c r="J26" s="161">
        <f>J27*('P&amp;L'!J$5)</f>
        <v>1833.1728782700482</v>
      </c>
      <c r="K26" s="161">
        <f>K27*('P&amp;L'!K$5)</f>
        <v>3300.7264404094212</v>
      </c>
      <c r="L26" s="161">
        <f>L27*('P&amp;L'!L$5)</f>
        <v>4382.7927433611876</v>
      </c>
      <c r="M26" s="161">
        <f>M27*('P&amp;L'!M$5)</f>
        <v>5659.6137044120414</v>
      </c>
      <c r="N26" s="161">
        <f>N27*('P&amp;L'!N$5)</f>
        <v>6068.8201464134654</v>
      </c>
      <c r="O26" s="161">
        <f>O27*('P&amp;L'!O$5)</f>
        <v>6512.7920871832293</v>
      </c>
      <c r="P26" s="161">
        <f>P27*('P&amp;L'!P$5)</f>
        <v>6762.8354731394375</v>
      </c>
      <c r="Q26" s="161">
        <f>Q27*('P&amp;L'!Q$5)</f>
        <v>7024.0091995537632</v>
      </c>
      <c r="R26" s="161">
        <f>R27*('P&amp;L'!R$5)</f>
        <v>7180.2305171118005</v>
      </c>
      <c r="S26" s="161">
        <f>S27*('P&amp;L'!S$5)</f>
        <v>7340.5207290350181</v>
      </c>
      <c r="U26" s="8" t="s">
        <v>124</v>
      </c>
    </row>
    <row r="27" spans="2:21" s="8" customFormat="1" ht="11.4" x14ac:dyDescent="0.25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AVERAGE($C$27:$F$27)</f>
        <v>7.9507259690542481E-2</v>
      </c>
      <c r="J27" s="196">
        <f t="shared" ref="J27:S27" si="10">AVERAGE($C$27:$F$27)</f>
        <v>7.9507259690542481E-2</v>
      </c>
      <c r="K27" s="196">
        <f t="shared" si="10"/>
        <v>7.9507259690542481E-2</v>
      </c>
      <c r="L27" s="196">
        <f t="shared" si="10"/>
        <v>7.9507259690542481E-2</v>
      </c>
      <c r="M27" s="196">
        <f t="shared" si="10"/>
        <v>7.9507259690542481E-2</v>
      </c>
      <c r="N27" s="196">
        <f t="shared" si="10"/>
        <v>7.9507259690542481E-2</v>
      </c>
      <c r="O27" s="196">
        <f t="shared" si="10"/>
        <v>7.9507259690542481E-2</v>
      </c>
      <c r="P27" s="196">
        <f t="shared" si="10"/>
        <v>7.9507259690542481E-2</v>
      </c>
      <c r="Q27" s="196">
        <f t="shared" si="10"/>
        <v>7.9507259690542481E-2</v>
      </c>
      <c r="R27" s="196">
        <f t="shared" si="10"/>
        <v>7.9507259690542481E-2</v>
      </c>
      <c r="S27" s="196">
        <f t="shared" si="10"/>
        <v>7.9507259690542481E-2</v>
      </c>
    </row>
    <row r="28" spans="2:21" s="8" customFormat="1" ht="11.4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11672.631339780861</v>
      </c>
      <c r="J28" s="161">
        <f>I28+Financing!J19</f>
        <v>13582.294826949459</v>
      </c>
      <c r="K28" s="161">
        <f>J28+Financing!K19</f>
        <v>13582.294826949459</v>
      </c>
      <c r="L28" s="161">
        <f>K28+Financing!L19</f>
        <v>13842.123506585151</v>
      </c>
      <c r="M28" s="161">
        <f>L28+Financing!M19</f>
        <v>13842.123506585151</v>
      </c>
      <c r="N28" s="161">
        <f>M28+Financing!N19</f>
        <v>17464.105007419053</v>
      </c>
      <c r="O28" s="161">
        <f>N28+Financing!O19</f>
        <v>21251.16200299413</v>
      </c>
      <c r="P28" s="161">
        <f>O28+Financing!P19</f>
        <v>25921.961352417744</v>
      </c>
      <c r="Q28" s="161">
        <f>P28+Financing!Q19</f>
        <v>30678.46863220639</v>
      </c>
      <c r="R28" s="161">
        <f>Q28+Financing!R19</f>
        <v>35871.145923114476</v>
      </c>
      <c r="S28" s="161">
        <f>R28+Financing!S19</f>
        <v>41064.561922532856</v>
      </c>
      <c r="U28" s="8" t="s">
        <v>125</v>
      </c>
    </row>
    <row r="29" spans="2:21" s="8" customFormat="1" ht="11.4" x14ac:dyDescent="0.25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9848.2032263536021</v>
      </c>
      <c r="J29" s="161">
        <f>J30*('P&amp;L'!J$5)</f>
        <v>12623.086149610146</v>
      </c>
      <c r="K29" s="161">
        <f>K30*('P&amp;L'!K$5)</f>
        <v>22728.5460675719</v>
      </c>
      <c r="L29" s="161">
        <f>L30*('P&amp;L'!L$5)</f>
        <v>30179.57064013715</v>
      </c>
      <c r="M29" s="161">
        <f>M30*('P&amp;L'!M$5)</f>
        <v>38971.660671592799</v>
      </c>
      <c r="N29" s="161">
        <f>N30*('P&amp;L'!N$5)</f>
        <v>41789.424468771613</v>
      </c>
      <c r="O29" s="161">
        <f>O30*('P&amp;L'!O$5)</f>
        <v>44846.580791984881</v>
      </c>
      <c r="P29" s="161">
        <f>P30*('P&amp;L'!P$5)</f>
        <v>46568.360139410113</v>
      </c>
      <c r="Q29" s="161">
        <f>Q30*('P&amp;L'!Q$5)</f>
        <v>48366.782147297294</v>
      </c>
      <c r="R29" s="161">
        <f>R30*('P&amp;L'!R$5)</f>
        <v>49442.510014164742</v>
      </c>
      <c r="S29" s="161">
        <f>S30*('P&amp;L'!S$5)</f>
        <v>50546.255971804851</v>
      </c>
      <c r="U29" s="8" t="s">
        <v>124</v>
      </c>
    </row>
    <row r="30" spans="2:21" s="8" customFormat="1" ht="11.4" x14ac:dyDescent="0.25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AVERAGE($C$30:$F$30)</f>
        <v>0.54748081890686673</v>
      </c>
      <c r="J30" s="196">
        <f t="shared" ref="J30:S30" si="11">AVERAGE($C$30:$F$30)</f>
        <v>0.54748081890686673</v>
      </c>
      <c r="K30" s="196">
        <f t="shared" si="11"/>
        <v>0.54748081890686673</v>
      </c>
      <c r="L30" s="196">
        <f t="shared" si="11"/>
        <v>0.54748081890686673</v>
      </c>
      <c r="M30" s="196">
        <f t="shared" si="11"/>
        <v>0.54748081890686673</v>
      </c>
      <c r="N30" s="196">
        <f t="shared" si="11"/>
        <v>0.54748081890686673</v>
      </c>
      <c r="O30" s="196">
        <f t="shared" si="11"/>
        <v>0.54748081890686673</v>
      </c>
      <c r="P30" s="196">
        <f t="shared" si="11"/>
        <v>0.54748081890686673</v>
      </c>
      <c r="Q30" s="196">
        <f t="shared" si="11"/>
        <v>0.54748081890686673</v>
      </c>
      <c r="R30" s="196">
        <f t="shared" si="11"/>
        <v>0.54748081890686673</v>
      </c>
      <c r="S30" s="196">
        <f t="shared" si="11"/>
        <v>0.54748081890686673</v>
      </c>
    </row>
    <row r="31" spans="2:21" s="8" customFormat="1" ht="12" x14ac:dyDescent="0.25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32407.531117892668</v>
      </c>
      <c r="J31" s="205">
        <f t="shared" si="14"/>
        <v>40634.967455126214</v>
      </c>
      <c r="K31" s="205">
        <f t="shared" si="14"/>
        <v>62381.388181177092</v>
      </c>
      <c r="L31" s="205">
        <f t="shared" si="14"/>
        <v>78675.284613714204</v>
      </c>
      <c r="M31" s="205">
        <f t="shared" si="14"/>
        <v>97599.578473603062</v>
      </c>
      <c r="N31" s="205">
        <f t="shared" si="14"/>
        <v>107279.53612491631</v>
      </c>
      <c r="O31" s="205">
        <f t="shared" ref="O31:S31" si="15">O19+O20+O22+O24+O26+O28+O29</f>
        <v>117639.49679390149</v>
      </c>
      <c r="P31" s="205">
        <f t="shared" si="15"/>
        <v>126006.81571139686</v>
      </c>
      <c r="Q31" s="205">
        <f t="shared" si="15"/>
        <v>134624.21243797336</v>
      </c>
      <c r="R31" s="205">
        <f t="shared" si="15"/>
        <v>142120.73176783946</v>
      </c>
      <c r="S31" s="205">
        <f t="shared" si="15"/>
        <v>149677.56227676559</v>
      </c>
    </row>
    <row r="32" spans="2:21" s="8" customFormat="1" ht="12" x14ac:dyDescent="0.25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2658.9310306781044</v>
      </c>
      <c r="J32" s="205">
        <f>I32+'P&amp;L'!J14+Financing!J20</f>
        <v>1419.0028246561237</v>
      </c>
      <c r="K32" s="205">
        <f>J32+'P&amp;L'!K14+Financing!K20</f>
        <v>-4125.7646703202718</v>
      </c>
      <c r="L32" s="205">
        <f>K32+'P&amp;L'!L14+Financing!L20</f>
        <v>-11070.624461252355</v>
      </c>
      <c r="M32" s="205">
        <f>L32+'P&amp;L'!M14+Financing!M20</f>
        <v>-20268.341992062858</v>
      </c>
      <c r="N32" s="205">
        <f>M32+'P&amp;L'!N14+Financing!N20</f>
        <v>-26452.514484758616</v>
      </c>
      <c r="O32" s="205">
        <f>N32+'P&amp;L'!O14+Financing!O20</f>
        <v>-33404.249085442316</v>
      </c>
      <c r="P32" s="205">
        <f>O32+'P&amp;L'!P14+Financing!P20</f>
        <v>-40110.375115863179</v>
      </c>
      <c r="Q32" s="205">
        <f>P32+'P&amp;L'!Q14+Financing!Q20</f>
        <v>-47450.370037862951</v>
      </c>
      <c r="R32" s="205">
        <f>Q32+'P&amp;L'!R14+Financing!R20</f>
        <v>-54912.83921560031</v>
      </c>
      <c r="S32" s="205">
        <f>R32+'P&amp;L'!S14+Financing!S20</f>
        <v>-62969.707087417752</v>
      </c>
    </row>
    <row r="33" spans="2:19" s="8" customFormat="1" ht="11.4" x14ac:dyDescent="0.25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ht="12.6" thickBot="1" x14ac:dyDescent="0.3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35066.462148570776</v>
      </c>
      <c r="J34" s="127">
        <f t="shared" si="16"/>
        <v>42053.970279782341</v>
      </c>
      <c r="K34" s="127">
        <f t="shared" si="16"/>
        <v>58255.623510856822</v>
      </c>
      <c r="L34" s="127">
        <f t="shared" si="16"/>
        <v>67604.660152461845</v>
      </c>
      <c r="M34" s="127">
        <f t="shared" si="16"/>
        <v>77331.236481540196</v>
      </c>
      <c r="N34" s="127">
        <f t="shared" si="16"/>
        <v>80827.021640157691</v>
      </c>
      <c r="O34" s="127">
        <f t="shared" ref="O34:S34" si="17">O31+O32</f>
        <v>84235.247708459181</v>
      </c>
      <c r="P34" s="127">
        <f t="shared" si="17"/>
        <v>85896.440595533684</v>
      </c>
      <c r="Q34" s="127">
        <f t="shared" si="17"/>
        <v>87173.842400110414</v>
      </c>
      <c r="R34" s="127">
        <f t="shared" si="17"/>
        <v>87207.892552239151</v>
      </c>
      <c r="S34" s="127">
        <f t="shared" si="17"/>
        <v>86707.855189347843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259.82867963569879</v>
      </c>
      <c r="L36" s="175">
        <f t="shared" si="18"/>
        <v>259.82867963569879</v>
      </c>
      <c r="M36" s="175">
        <f t="shared" si="18"/>
        <v>3881.8101804696053</v>
      </c>
      <c r="N36" s="175">
        <f t="shared" si="18"/>
        <v>7668.8671760446887</v>
      </c>
      <c r="O36" s="175">
        <f t="shared" si="18"/>
        <v>12339.666525468288</v>
      </c>
      <c r="P36" s="175">
        <f t="shared" si="18"/>
        <v>17096.173805256956</v>
      </c>
      <c r="Q36" s="175">
        <f t="shared" si="18"/>
        <v>22288.851096165017</v>
      </c>
      <c r="R36" s="175">
        <f t="shared" si="18"/>
        <v>27482.267095583389</v>
      </c>
      <c r="S36" s="175">
        <f t="shared" si="18"/>
        <v>27482.267095583418</v>
      </c>
    </row>
    <row r="37" spans="2:19" s="8" customFormat="1" ht="11.4" x14ac:dyDescent="0.25">
      <c r="H37" s="175"/>
      <c r="I37" s="175"/>
      <c r="J37" s="175"/>
      <c r="K37" s="175"/>
      <c r="L37" s="175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L26" sqref="L26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24" t="s">
        <v>257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s="23" customFormat="1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2:19" s="23" customFormat="1" ht="11.4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-2259.6578336191915</v>
      </c>
      <c r="I5" s="165">
        <f>G5+H5</f>
        <v>-3478.0238336191915</v>
      </c>
      <c r="J5" s="165">
        <f>'P&amp;L'!J9</f>
        <v>-2431.8832177070135</v>
      </c>
      <c r="K5" s="165">
        <f>'P&amp;L'!K9</f>
        <v>-4683.8342579551863</v>
      </c>
      <c r="L5" s="165">
        <f>'P&amp;L'!L9</f>
        <v>-6343.7552335465662</v>
      </c>
      <c r="M5" s="165">
        <f>'P&amp;L'!M9</f>
        <v>-8317.2971428166184</v>
      </c>
      <c r="N5" s="165">
        <f>'P&amp;L'!N9</f>
        <v>-8925.7336055357719</v>
      </c>
      <c r="O5" s="165">
        <f>'P&amp;L'!O9</f>
        <v>-9586.7225957023456</v>
      </c>
      <c r="P5" s="165">
        <f>'P&amp;L'!P9</f>
        <v>-9940.8271046199152</v>
      </c>
      <c r="Q5" s="165">
        <f>'P&amp;L'!Q9</f>
        <v>-10310.093975357086</v>
      </c>
      <c r="R5" s="165">
        <f>'P&amp;L'!R9</f>
        <v>-10512.000196229961</v>
      </c>
      <c r="S5" s="165">
        <f>'P&amp;L'!S9</f>
        <v>-10717.686802002239</v>
      </c>
    </row>
    <row r="6" spans="2:19" s="23" customFormat="1" ht="11.4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0</v>
      </c>
      <c r="K6" s="165">
        <f>IF(K5*Drivers!$C$12&gt;0,-K5*Drivers!$C$12,0)</f>
        <v>0</v>
      </c>
      <c r="L6" s="165">
        <f>IF(L5*Drivers!$C$12&gt;0,-L5*Drivers!$C$12,0)</f>
        <v>0</v>
      </c>
      <c r="M6" s="165">
        <f>IF(M5*Drivers!$C$12&gt;0,-M5*Drivers!$C$12,0)</f>
        <v>0</v>
      </c>
      <c r="N6" s="165">
        <f>IF(N5*Drivers!$C$12&gt;0,-N5*Drivers!$C$12,0)</f>
        <v>0</v>
      </c>
      <c r="O6" s="165">
        <f>IF(O5*Drivers!$C$12&gt;0,-O5*Drivers!$C$12,0)</f>
        <v>0</v>
      </c>
      <c r="P6" s="165">
        <f>IF(P5*Drivers!$C$12&gt;0,-P5*Drivers!$C$12,0)</f>
        <v>0</v>
      </c>
      <c r="Q6" s="165">
        <f>IF(Q5*Drivers!$C$12&gt;0,-Q5*Drivers!$C$12,0)</f>
        <v>0</v>
      </c>
      <c r="R6" s="165">
        <f>IF(R5*Drivers!$C$12&gt;0,-R5*Drivers!$C$12,0)</f>
        <v>0</v>
      </c>
      <c r="S6" s="165">
        <f>IF(S5*Drivers!$C$12&gt;0,-S5*Drivers!$C$12,0)</f>
        <v>0</v>
      </c>
    </row>
    <row r="7" spans="2:19" s="23" customFormat="1" ht="12" x14ac:dyDescent="0.25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-2259.6578336191915</v>
      </c>
      <c r="I7" s="183">
        <f t="shared" si="0"/>
        <v>-3497.3358336191914</v>
      </c>
      <c r="J7" s="183">
        <f t="shared" ref="J7:K7" si="1">SUM(J5:J6)</f>
        <v>-2431.8832177070135</v>
      </c>
      <c r="K7" s="183">
        <f t="shared" si="1"/>
        <v>-4683.8342579551863</v>
      </c>
      <c r="L7" s="183">
        <f t="shared" ref="L7:N7" si="2">SUM(L5:L6)</f>
        <v>-6343.7552335465662</v>
      </c>
      <c r="M7" s="183">
        <f t="shared" si="2"/>
        <v>-8317.2971428166184</v>
      </c>
      <c r="N7" s="183">
        <f t="shared" si="2"/>
        <v>-8925.7336055357719</v>
      </c>
      <c r="O7" s="183">
        <f t="shared" ref="O7:S7" si="3">SUM(O5:O6)</f>
        <v>-9586.7225957023456</v>
      </c>
      <c r="P7" s="183">
        <f t="shared" si="3"/>
        <v>-9940.8271046199152</v>
      </c>
      <c r="Q7" s="183">
        <f t="shared" si="3"/>
        <v>-10310.093975357086</v>
      </c>
      <c r="R7" s="183">
        <f t="shared" si="3"/>
        <v>-10512.000196229961</v>
      </c>
      <c r="S7" s="183">
        <f t="shared" si="3"/>
        <v>-10717.686802002239</v>
      </c>
    </row>
    <row r="8" spans="2:19" s="23" customFormat="1" ht="11.4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643.85821333333342</v>
      </c>
      <c r="I8" s="165">
        <f>G8+H8</f>
        <v>1545.3462133333335</v>
      </c>
      <c r="J8" s="165">
        <f>-'PP&amp;E'!J9</f>
        <v>1353.2109720888891</v>
      </c>
      <c r="K8" s="165">
        <f>-'PP&amp;E'!K9</f>
        <v>1732.1100442737779</v>
      </c>
      <c r="L8" s="165">
        <f>-'PP&amp;E'!L9</f>
        <v>2037.3944395770313</v>
      </c>
      <c r="M8" s="165">
        <f>-'PP&amp;E'!M9</f>
        <v>2291.7764509541889</v>
      </c>
      <c r="N8" s="165">
        <f>-'PP&amp;E'!N9</f>
        <v>2561.3979995283785</v>
      </c>
      <c r="O8" s="165">
        <f>-'PP&amp;E'!O9</f>
        <v>2845.8488003934126</v>
      </c>
      <c r="P8" s="165">
        <f>-'PP&amp;E'!P9</f>
        <v>3144.508733384268</v>
      </c>
      <c r="Q8" s="165">
        <f>-'PP&amp;E'!Q9</f>
        <v>3456.5225689899089</v>
      </c>
      <c r="R8" s="165">
        <f>-'PP&amp;E'!R9</f>
        <v>3780.7732542464969</v>
      </c>
      <c r="S8" s="165">
        <f>-'PP&amp;E'!S9</f>
        <v>4115.8538097491082</v>
      </c>
    </row>
    <row r="9" spans="2:19" s="23" customFormat="1" ht="12" x14ac:dyDescent="0.25">
      <c r="B9" s="38" t="s">
        <v>164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-1615.7996202858581</v>
      </c>
      <c r="I9" s="183">
        <f t="shared" si="0"/>
        <v>-1951.9896202858579</v>
      </c>
      <c r="J9" s="183">
        <f t="shared" ref="J9:K9" si="5">SUM(J7:J8)</f>
        <v>-1078.6722456181244</v>
      </c>
      <c r="K9" s="183">
        <f t="shared" si="5"/>
        <v>-2951.7242136814084</v>
      </c>
      <c r="L9" s="183">
        <f t="shared" ref="L9:N9" si="6">SUM(L7:L8)</f>
        <v>-4306.3607939695348</v>
      </c>
      <c r="M9" s="183">
        <f t="shared" si="6"/>
        <v>-6025.5206918624299</v>
      </c>
      <c r="N9" s="183">
        <f t="shared" si="6"/>
        <v>-6364.3356060073929</v>
      </c>
      <c r="O9" s="183">
        <f t="shared" ref="O9:S9" si="7">SUM(O7:O8)</f>
        <v>-6740.873795308933</v>
      </c>
      <c r="P9" s="183">
        <f t="shared" si="7"/>
        <v>-6796.3183712356476</v>
      </c>
      <c r="Q9" s="183">
        <f t="shared" si="7"/>
        <v>-6853.5714063671767</v>
      </c>
      <c r="R9" s="183">
        <f t="shared" si="7"/>
        <v>-6731.2269419834647</v>
      </c>
      <c r="S9" s="183">
        <f t="shared" si="7"/>
        <v>-6601.8329922531311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1.4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-387.793638932715</v>
      </c>
      <c r="I11" s="165">
        <f>G11+H11</f>
        <v>-442.28663893271505</v>
      </c>
      <c r="J11" s="165">
        <f>-('Balance Sheet'!J7-'Balance Sheet'!I7)</f>
        <v>-269.83760553586183</v>
      </c>
      <c r="K11" s="165">
        <f>-('Balance Sheet'!K7-'Balance Sheet'!J7)</f>
        <v>-982.68402037707278</v>
      </c>
      <c r="L11" s="165">
        <f>-('Balance Sheet'!L7-'Balance Sheet'!K7)</f>
        <v>-724.55908413257248</v>
      </c>
      <c r="M11" s="165">
        <f>-('Balance Sheet'!M7-'Balance Sheet'!L7)</f>
        <v>-854.9681508578642</v>
      </c>
      <c r="N11" s="165">
        <f>-('Balance Sheet'!N7-'Balance Sheet'!M7)</f>
        <v>-274.00746518849564</v>
      </c>
      <c r="O11" s="165">
        <f>-('Balance Sheet'!O7-'Balance Sheet'!N7)</f>
        <v>-297.28668373387063</v>
      </c>
      <c r="P11" s="165">
        <f>-('Balance Sheet'!P7-'Balance Sheet'!O7)</f>
        <v>-167.43078148503537</v>
      </c>
      <c r="Q11" s="165">
        <f>-('Balance Sheet'!Q7-'Balance Sheet'!P7)</f>
        <v>-174.88373447545564</v>
      </c>
      <c r="R11" s="165">
        <f>-('Balance Sheet'!R7-'Balance Sheet'!Q7)</f>
        <v>-104.60687525622052</v>
      </c>
      <c r="S11" s="165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-2252.8254771979118</v>
      </c>
      <c r="I12" s="165">
        <f t="shared" ref="I12:I13" si="8">G12+H12</f>
        <v>-3313.931477197912</v>
      </c>
      <c r="J12" s="165">
        <f>-('Balance Sheet'!J8-'Balance Sheet'!I8)</f>
        <v>-2124.8825509408025</v>
      </c>
      <c r="K12" s="165">
        <f>-('Balance Sheet'!K8-'Balance Sheet'!J8)</f>
        <v>-6270.0890446124313</v>
      </c>
      <c r="L12" s="165">
        <f>-('Balance Sheet'!L8-'Balance Sheet'!K8)</f>
        <v>-4622.9323592073924</v>
      </c>
      <c r="M12" s="165">
        <f>-('Balance Sheet'!M8-'Balance Sheet'!L8)</f>
        <v>-5460.0495315552143</v>
      </c>
      <c r="N12" s="165">
        <f>-('Balance Sheet'!N8-'Balance Sheet'!M8)</f>
        <v>-1741.685860870788</v>
      </c>
      <c r="O12" s="165">
        <f>-('Balance Sheet'!O8-'Balance Sheet'!N8)</f>
        <v>-1889.9498497788518</v>
      </c>
      <c r="P12" s="165">
        <f>-('Balance Sheet'!P8-'Balance Sheet'!O8)</f>
        <v>-1058.2253287001367</v>
      </c>
      <c r="Q12" s="165">
        <f>-('Balance Sheet'!Q8-'Balance Sheet'!P8)</f>
        <v>-1105.1263349747096</v>
      </c>
      <c r="R12" s="165">
        <f>-('Balance Sheet'!R8-'Balance Sheet'!Q8)</f>
        <v>-654.56919674410165</v>
      </c>
      <c r="S12" s="165">
        <f>-('Balance Sheet'!S8-'Balance Sheet'!R8)</f>
        <v>-671.11424127822829</v>
      </c>
    </row>
    <row r="13" spans="2:19" s="23" customFormat="1" ht="11.4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1761.2805234653438</v>
      </c>
      <c r="I13" s="165">
        <f t="shared" si="8"/>
        <v>2401.5235234653437</v>
      </c>
      <c r="J13" s="165">
        <f>'Balance Sheet'!J19-'Balance Sheet'!I19</f>
        <v>1825.5515005953002</v>
      </c>
      <c r="K13" s="165">
        <f>'Balance Sheet'!K19-'Balance Sheet'!J19</f>
        <v>5386.8250079000582</v>
      </c>
      <c r="L13" s="165">
        <f>'Balance Sheet'!L19-'Balance Sheet'!K19</f>
        <v>3971.7023897462186</v>
      </c>
      <c r="M13" s="165">
        <f>'Balance Sheet'!M19-'Balance Sheet'!L19</f>
        <v>4690.8953208929524</v>
      </c>
      <c r="N13" s="165">
        <f>'Balance Sheet'!N19-'Balance Sheet'!M19</f>
        <v>1496.3355200364058</v>
      </c>
      <c r="O13" s="165">
        <f>'Balance Sheet'!O19-'Balance Sheet'!N19</f>
        <v>1623.7136413897606</v>
      </c>
      <c r="P13" s="165">
        <f>'Balance Sheet'!P19-'Balance Sheet'!O19</f>
        <v>909.15370165806962</v>
      </c>
      <c r="Q13" s="165">
        <f>'Balance Sheet'!Q19-'Balance Sheet'!P19</f>
        <v>949.4477886635359</v>
      </c>
      <c r="R13" s="165">
        <f>'Balance Sheet'!R19-'Balance Sheet'!Q19</f>
        <v>562.36038967451532</v>
      </c>
      <c r="S13" s="165">
        <f>'Balance Sheet'!S19-'Balance Sheet'!R19</f>
        <v>576.57474277527217</v>
      </c>
    </row>
    <row r="14" spans="2:19" s="23" customFormat="1" ht="12" x14ac:dyDescent="0.25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-879.33859266528316</v>
      </c>
      <c r="I14" s="186">
        <f t="shared" ref="I14:J14" si="10">SUM(I11:I13)</f>
        <v>-1354.6945926652834</v>
      </c>
      <c r="J14" s="186">
        <f t="shared" si="10"/>
        <v>-569.16865588136397</v>
      </c>
      <c r="K14" s="186">
        <f t="shared" ref="K14:N14" si="11">SUM(K11:K13)</f>
        <v>-1865.9480570894457</v>
      </c>
      <c r="L14" s="186">
        <f t="shared" si="11"/>
        <v>-1375.7890535937458</v>
      </c>
      <c r="M14" s="186">
        <f t="shared" si="11"/>
        <v>-1624.1223615201261</v>
      </c>
      <c r="N14" s="186">
        <f t="shared" si="11"/>
        <v>-519.35780602287787</v>
      </c>
      <c r="O14" s="186">
        <f t="shared" ref="O14:S14" si="12">SUM(O11:O13)</f>
        <v>-563.52289212296182</v>
      </c>
      <c r="P14" s="186">
        <f t="shared" si="12"/>
        <v>-316.50240852710249</v>
      </c>
      <c r="Q14" s="186">
        <f t="shared" si="12"/>
        <v>-330.56228078662934</v>
      </c>
      <c r="R14" s="186">
        <f t="shared" si="12"/>
        <v>-196.81568232580685</v>
      </c>
      <c r="S14" s="186">
        <f t="shared" si="12"/>
        <v>-201.87093358201309</v>
      </c>
    </row>
    <row r="15" spans="2:19" s="23" customFormat="1" ht="3.75" customHeight="1" x14ac:dyDescent="0.25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1.4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-5799.4755946666673</v>
      </c>
      <c r="K16" s="165">
        <f>-'PP&amp;E'!K8</f>
        <v>-5683.4860827733337</v>
      </c>
      <c r="L16" s="165">
        <f>-'PP&amp;E'!L8</f>
        <v>-4579.2659295488011</v>
      </c>
      <c r="M16" s="165">
        <f>-'PP&amp;E'!M8</f>
        <v>-3815.7301706573662</v>
      </c>
      <c r="N16" s="165">
        <f>-'PP&amp;E'!N8</f>
        <v>-4044.3232286128432</v>
      </c>
      <c r="O16" s="165">
        <f>-'PP&amp;E'!O8</f>
        <v>-4266.7620129755132</v>
      </c>
      <c r="P16" s="165">
        <f>-'PP&amp;E'!P8</f>
        <v>-4479.8989948628287</v>
      </c>
      <c r="Q16" s="165">
        <f>-'PP&amp;E'!Q8</f>
        <v>-4680.2075340846122</v>
      </c>
      <c r="R16" s="165">
        <f>-'PP&amp;E'!R8</f>
        <v>-4863.7602788488184</v>
      </c>
      <c r="S16" s="165">
        <f>-'PP&amp;E'!S8</f>
        <v>-5026.2083325391659</v>
      </c>
    </row>
    <row r="17" spans="2:19" s="23" customFormat="1" ht="11.4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7947.3072546464628</v>
      </c>
      <c r="I18" s="165">
        <f t="shared" si="13"/>
        <v>5124.8412546464633</v>
      </c>
      <c r="J18" s="165">
        <f>'Balance Sheet'!J20-'Balance Sheet'!I20+'Balance Sheet'!J22-'Balance Sheet'!I22+'Balance Sheet'!J24-'Balance Sheet'!I24+'Balance Sheet'!J26-'Balance Sheet'!I26+'Balance Sheet'!J29-'Balance Sheet'!I29</f>
        <v>4492.2213494696498</v>
      </c>
      <c r="K18" s="165">
        <f>'Balance Sheet'!K20-'Balance Sheet'!J20+'Balance Sheet'!K22-'Balance Sheet'!J22+'Balance Sheet'!K24-'Balance Sheet'!J24+'Balance Sheet'!K26-'Balance Sheet'!J26+'Balance Sheet'!K29-'Balance Sheet'!J29</f>
        <v>16359.595718150824</v>
      </c>
      <c r="L18" s="165">
        <f>'Balance Sheet'!L20-'Balance Sheet'!K20+'Balance Sheet'!L22-'Balance Sheet'!K22+'Balance Sheet'!L24-'Balance Sheet'!K24+'Balance Sheet'!L26-'Balance Sheet'!K26+'Balance Sheet'!L29-'Balance Sheet'!K29</f>
        <v>12062.365363155201</v>
      </c>
      <c r="M18" s="165">
        <f>'Balance Sheet'!M20-'Balance Sheet'!L20+'Balance Sheet'!M22-'Balance Sheet'!L22+'Balance Sheet'!M24-'Balance Sheet'!L24+'Balance Sheet'!M26-'Balance Sheet'!L26+'Balance Sheet'!M29-'Balance Sheet'!L29</f>
        <v>14233.398538995898</v>
      </c>
      <c r="N18" s="165">
        <f>'Balance Sheet'!N20-'Balance Sheet'!M20+'Balance Sheet'!N22-'Balance Sheet'!M22+'Balance Sheet'!N24-'Balance Sheet'!M24+'Balance Sheet'!N26-'Balance Sheet'!M26+'Balance Sheet'!N29-'Balance Sheet'!M29</f>
        <v>4561.6406304429402</v>
      </c>
      <c r="O18" s="165">
        <f>'Balance Sheet'!O20-'Balance Sheet'!N20+'Balance Sheet'!O22-'Balance Sheet'!N22+'Balance Sheet'!O24-'Balance Sheet'!N24+'Balance Sheet'!O26-'Balance Sheet'!N26+'Balance Sheet'!O29-'Balance Sheet'!N29</f>
        <v>4949.1900320203495</v>
      </c>
      <c r="P18" s="165">
        <f>'Balance Sheet'!P20-'Balance Sheet'!O20+'Balance Sheet'!P22-'Balance Sheet'!O22+'Balance Sheet'!P24-'Balance Sheet'!O24+'Balance Sheet'!P26-'Balance Sheet'!O26+'Balance Sheet'!P29-'Balance Sheet'!O29</f>
        <v>2787.3658664136965</v>
      </c>
      <c r="Q18" s="165">
        <f>'Balance Sheet'!Q20-'Balance Sheet'!P20+'Balance Sheet'!Q22-'Balance Sheet'!P22+'Balance Sheet'!Q24-'Balance Sheet'!P24+'Balance Sheet'!Q26-'Balance Sheet'!P26+'Balance Sheet'!Q29-'Balance Sheet'!P29</f>
        <v>2911.4416581243058</v>
      </c>
      <c r="R18" s="165">
        <f>'Balance Sheet'!R20-'Balance Sheet'!Q20+'Balance Sheet'!R22-'Balance Sheet'!Q22+'Balance Sheet'!R24-'Balance Sheet'!Q24+'Balance Sheet'!R26-'Balance Sheet'!Q26+'Balance Sheet'!R29-'Balance Sheet'!Q29</f>
        <v>1741.4816492834943</v>
      </c>
      <c r="S18" s="165">
        <f>'Balance Sheet'!S20-'Balance Sheet'!R20+'Balance Sheet'!S22-'Balance Sheet'!R22+'Balance Sheet'!S24-'Balance Sheet'!R24+'Balance Sheet'!S26-'Balance Sheet'!R26+'Balance Sheet'!S29-'Balance Sheet'!R29</f>
        <v>1786.8397667324971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ht="12.6" thickBot="1" x14ac:dyDescent="0.3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-112.11267956171969</v>
      </c>
      <c r="I20" s="192">
        <f t="shared" si="15"/>
        <v>-3918.1316795617186</v>
      </c>
      <c r="J20" s="192">
        <f t="shared" si="15"/>
        <v>-3819.3269743371948</v>
      </c>
      <c r="K20" s="192">
        <f t="shared" si="15"/>
        <v>2711.1117528289669</v>
      </c>
      <c r="L20" s="192">
        <f t="shared" si="15"/>
        <v>-519.65735927138485</v>
      </c>
      <c r="M20" s="192">
        <f t="shared" si="15"/>
        <v>29.746170641999015</v>
      </c>
      <c r="N20" s="192">
        <f t="shared" si="15"/>
        <v>-7243.9630016678029</v>
      </c>
      <c r="O20" s="192">
        <f t="shared" ref="O20:S20" si="16">O9+O14+O17+O18+O16</f>
        <v>-7574.1139911501496</v>
      </c>
      <c r="P20" s="192">
        <f t="shared" si="16"/>
        <v>-9341.5986988472287</v>
      </c>
      <c r="Q20" s="192">
        <f t="shared" si="16"/>
        <v>-9513.0145595772919</v>
      </c>
      <c r="R20" s="192">
        <f t="shared" si="16"/>
        <v>-10385.354581816167</v>
      </c>
      <c r="S20" s="192">
        <f t="shared" si="16"/>
        <v>-10386.831998836758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1.4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-404.5804754835645</v>
      </c>
      <c r="I22" s="165">
        <f t="shared" ref="I22:I26" si="17">G22+H22</f>
        <v>-694.23547548356441</v>
      </c>
      <c r="J22" s="165">
        <f>'P&amp;L'!J10</f>
        <v>-717.70847548356448</v>
      </c>
      <c r="K22" s="165">
        <f>'P&amp;L'!K10</f>
        <v>-860.93323702120927</v>
      </c>
      <c r="L22" s="165">
        <f>'P&amp;L'!L10</f>
        <v>-860.93323702120927</v>
      </c>
      <c r="M22" s="165">
        <f>'P&amp;L'!M10</f>
        <v>-880.42038799388615</v>
      </c>
      <c r="N22" s="165">
        <f>'P&amp;L'!N10</f>
        <v>-880.42038799388615</v>
      </c>
      <c r="O22" s="165">
        <f>'P&amp;L'!O10</f>
        <v>-1152.0690005564288</v>
      </c>
      <c r="P22" s="165">
        <f>'P&amp;L'!P10</f>
        <v>-1436.0982752245593</v>
      </c>
      <c r="Q22" s="165">
        <f>'P&amp;L'!Q10</f>
        <v>-1786.4082264313304</v>
      </c>
      <c r="R22" s="165">
        <f>'P&amp;L'!R10</f>
        <v>-2143.146272415479</v>
      </c>
      <c r="S22" s="165">
        <f>'P&amp;L'!S10</f>
        <v>-2532.5970692335854</v>
      </c>
    </row>
    <row r="23" spans="2:19" s="23" customFormat="1" ht="11.4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56.056339780860071</v>
      </c>
      <c r="I23" s="165">
        <f t="shared" si="17"/>
        <v>1460.382339780861</v>
      </c>
      <c r="J23" s="165">
        <f>'Balance Sheet'!K28-'Balance Sheet'!I28</f>
        <v>1909.6634871685983</v>
      </c>
      <c r="K23" s="165">
        <f>'Balance Sheet'!L28-'Balance Sheet'!J28</f>
        <v>259.82867963569151</v>
      </c>
      <c r="L23" s="165">
        <f>'Balance Sheet'!M28-'Balance Sheet'!K28</f>
        <v>259.82867963569151</v>
      </c>
      <c r="M23" s="165">
        <f>'Balance Sheet'!N28-'Balance Sheet'!L28</f>
        <v>3621.9815008339028</v>
      </c>
      <c r="N23" s="165">
        <f>'Balance Sheet'!O28-'Balance Sheet'!M28</f>
        <v>7409.038496408979</v>
      </c>
      <c r="O23" s="165">
        <f>'Balance Sheet'!P28-'Balance Sheet'!N28</f>
        <v>8457.8563449986905</v>
      </c>
      <c r="P23" s="165">
        <f>'Balance Sheet'!Q28-'Balance Sheet'!O28</f>
        <v>9427.3066292122603</v>
      </c>
      <c r="Q23" s="165">
        <f>'Balance Sheet'!R28-'Balance Sheet'!P28</f>
        <v>9949.1845706967324</v>
      </c>
      <c r="R23" s="165">
        <f>'Balance Sheet'!S28-'Balance Sheet'!Q28</f>
        <v>10386.093290326466</v>
      </c>
      <c r="S23" s="165">
        <f>'Balance Sheet'!S28-'Balance Sheet'!R28</f>
        <v>5193.4159994183792</v>
      </c>
    </row>
    <row r="24" spans="2:19" s="23" customFormat="1" ht="11.4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56.056339780860071</v>
      </c>
      <c r="I24" s="165">
        <f t="shared" si="17"/>
        <v>1515.6713397808605</v>
      </c>
      <c r="J24" s="165">
        <f>'Balance Sheet'!J32-'Balance Sheet'!I32-'P&amp;L'!J14</f>
        <v>1909.6634871685974</v>
      </c>
      <c r="K24" s="165">
        <f>'Balance Sheet'!K32-'Balance Sheet'!J32-'P&amp;L'!K14</f>
        <v>0</v>
      </c>
      <c r="L24" s="165">
        <f>'Balance Sheet'!L32-'Balance Sheet'!K32-'P&amp;L'!L14</f>
        <v>259.82867963569242</v>
      </c>
      <c r="M24" s="165">
        <f>'Balance Sheet'!M32-'Balance Sheet'!L32-'P&amp;L'!M14</f>
        <v>0</v>
      </c>
      <c r="N24" s="165">
        <f>'Balance Sheet'!N32-'Balance Sheet'!M32-'P&amp;L'!N14</f>
        <v>3621.981500833901</v>
      </c>
      <c r="O24" s="165">
        <f>'Balance Sheet'!O32-'Balance Sheet'!N32-'P&amp;L'!O14</f>
        <v>3787.0569955750743</v>
      </c>
      <c r="P24" s="165">
        <f>'Balance Sheet'!P32-'Balance Sheet'!O32-'P&amp;L'!P14</f>
        <v>4670.7993494236125</v>
      </c>
      <c r="Q24" s="165">
        <f>'Balance Sheet'!Q32-'Balance Sheet'!P32-'P&amp;L'!Q14</f>
        <v>4756.5072797886442</v>
      </c>
      <c r="R24" s="165">
        <f>'Balance Sheet'!R32-'Balance Sheet'!Q32-'P&amp;L'!R14</f>
        <v>5192.677290908081</v>
      </c>
      <c r="S24" s="165">
        <f>'Balance Sheet'!S32-'Balance Sheet'!R32-'P&amp;L'!S14</f>
        <v>5193.4159994183829</v>
      </c>
    </row>
    <row r="25" spans="2:19" s="23" customFormat="1" ht="11.4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0</v>
      </c>
      <c r="K25" s="165">
        <f>'P&amp;L'!K12-K6</f>
        <v>0</v>
      </c>
      <c r="L25" s="165">
        <f>'P&amp;L'!L12-L6</f>
        <v>0</v>
      </c>
      <c r="M25" s="165">
        <f>'P&amp;L'!M12-M6</f>
        <v>0</v>
      </c>
      <c r="N25" s="165">
        <f>'P&amp;L'!N12-N6</f>
        <v>0</v>
      </c>
      <c r="O25" s="165">
        <f>'P&amp;L'!O12-O6</f>
        <v>0</v>
      </c>
      <c r="P25" s="165">
        <f>'P&amp;L'!P12-P6</f>
        <v>0</v>
      </c>
      <c r="Q25" s="165">
        <f>'P&amp;L'!Q12-Q6</f>
        <v>0</v>
      </c>
      <c r="R25" s="165">
        <f>'P&amp;L'!R12-R6</f>
        <v>0</v>
      </c>
      <c r="S25" s="165">
        <f>'P&amp;L'!S12-S6</f>
        <v>0</v>
      </c>
    </row>
    <row r="26" spans="2:19" s="23" customFormat="1" ht="11.4" x14ac:dyDescent="0.2">
      <c r="B26" s="40" t="s">
        <v>263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ht="12.6" thickBot="1" x14ac:dyDescent="0.3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-404.58047548356399</v>
      </c>
      <c r="I28" s="192">
        <f t="shared" ref="I28:J28" si="19">SUM(I20:I27)</f>
        <v>-1536.0704754835613</v>
      </c>
      <c r="J28" s="192">
        <f t="shared" si="19"/>
        <v>-717.70847548356323</v>
      </c>
      <c r="K28" s="192">
        <f t="shared" ref="K28:N28" si="20">SUM(K20:K27)</f>
        <v>2110.0071954434493</v>
      </c>
      <c r="L28" s="192">
        <f t="shared" si="20"/>
        <v>-860.93323702121006</v>
      </c>
      <c r="M28" s="192">
        <f t="shared" si="20"/>
        <v>2771.3072834820159</v>
      </c>
      <c r="N28" s="192">
        <f t="shared" si="20"/>
        <v>2906.6366075811911</v>
      </c>
      <c r="O28" s="192">
        <f t="shared" ref="O28:S28" si="21">SUM(O20:O27)</f>
        <v>3518.730348867186</v>
      </c>
      <c r="P28" s="192">
        <f t="shared" si="21"/>
        <v>3320.4090045640842</v>
      </c>
      <c r="Q28" s="192">
        <f t="shared" si="21"/>
        <v>3406.2690644767536</v>
      </c>
      <c r="R28" s="192">
        <f t="shared" si="21"/>
        <v>3050.2697270029003</v>
      </c>
      <c r="S28" s="192">
        <f t="shared" si="21"/>
        <v>-2532.5970692335814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1831.8435245164367</v>
      </c>
      <c r="K30" s="37">
        <f t="shared" si="22"/>
        <v>1114.1350490328734</v>
      </c>
      <c r="L30" s="37">
        <f t="shared" si="22"/>
        <v>3224.142244476323</v>
      </c>
      <c r="M30" s="37">
        <f t="shared" si="22"/>
        <v>2363.2090074551129</v>
      </c>
      <c r="N30" s="37">
        <f t="shared" si="22"/>
        <v>5134.5162909371284</v>
      </c>
      <c r="O30" s="37">
        <f t="shared" si="22"/>
        <v>8041.1528985183195</v>
      </c>
      <c r="P30" s="37">
        <f t="shared" si="22"/>
        <v>11559.883247385505</v>
      </c>
      <c r="Q30" s="37">
        <f t="shared" si="22"/>
        <v>14880.29225194959</v>
      </c>
      <c r="R30" s="37">
        <f t="shared" si="22"/>
        <v>18286.561316426341</v>
      </c>
      <c r="S30" s="37">
        <f t="shared" si="22"/>
        <v>21336.831043429243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-404.58047548356399</v>
      </c>
      <c r="I31" s="37">
        <f t="shared" si="23"/>
        <v>-1536.0704754835613</v>
      </c>
      <c r="J31" s="37">
        <f t="shared" si="23"/>
        <v>-717.70847548356323</v>
      </c>
      <c r="K31" s="37">
        <f t="shared" si="23"/>
        <v>2110.0071954434493</v>
      </c>
      <c r="L31" s="37">
        <f t="shared" ref="L31:N31" si="24">L28</f>
        <v>-860.93323702121006</v>
      </c>
      <c r="M31" s="37">
        <f t="shared" si="24"/>
        <v>2771.3072834820159</v>
      </c>
      <c r="N31" s="37">
        <f t="shared" si="24"/>
        <v>2906.6366075811911</v>
      </c>
      <c r="O31" s="37">
        <f t="shared" ref="O31:S31" si="25">O28</f>
        <v>3518.730348867186</v>
      </c>
      <c r="P31" s="37">
        <f t="shared" si="25"/>
        <v>3320.4090045640842</v>
      </c>
      <c r="Q31" s="37">
        <f t="shared" si="25"/>
        <v>3406.2690644767536</v>
      </c>
      <c r="R31" s="37">
        <f t="shared" si="25"/>
        <v>3050.2697270029003</v>
      </c>
      <c r="S31" s="37">
        <f t="shared" si="25"/>
        <v>-2532.5970692335814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1831.8435245164369</v>
      </c>
      <c r="I32" s="37">
        <f t="shared" si="26"/>
        <v>1831.8435245164367</v>
      </c>
      <c r="J32" s="37">
        <f t="shared" si="26"/>
        <v>1114.1350490328734</v>
      </c>
      <c r="K32" s="37">
        <f t="shared" si="26"/>
        <v>3224.142244476323</v>
      </c>
      <c r="L32" s="37">
        <f t="shared" si="26"/>
        <v>2363.2090074551129</v>
      </c>
      <c r="M32" s="37">
        <f t="shared" si="26"/>
        <v>5134.5162909371284</v>
      </c>
      <c r="N32" s="37">
        <f t="shared" si="26"/>
        <v>8041.1528985183195</v>
      </c>
      <c r="O32" s="37">
        <f t="shared" ref="O32:S32" si="27">O30+O31</f>
        <v>11559.883247385505</v>
      </c>
      <c r="P32" s="37">
        <f t="shared" si="27"/>
        <v>14880.29225194959</v>
      </c>
      <c r="Q32" s="37">
        <f t="shared" si="27"/>
        <v>18286.561316426341</v>
      </c>
      <c r="R32" s="37">
        <f t="shared" si="27"/>
        <v>21336.831043429243</v>
      </c>
      <c r="S32" s="37">
        <f t="shared" si="27"/>
        <v>18804.23397419566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214" t="s">
        <v>117</v>
      </c>
      <c r="C34" s="214">
        <f>'Balance Sheet'!C5-C32</f>
        <v>0</v>
      </c>
      <c r="D34" s="214">
        <f>'Balance Sheet'!D5-D32</f>
        <v>0</v>
      </c>
      <c r="E34" s="214">
        <f>'Balance Sheet'!E5-E32</f>
        <v>0</v>
      </c>
      <c r="F34" s="214">
        <f>'Balance Sheet'!F5-F32</f>
        <v>0</v>
      </c>
      <c r="G34" s="214">
        <f>'Balance Sheet'!G5-G32</f>
        <v>0</v>
      </c>
      <c r="H34" s="214">
        <f>'Balance Sheet'!I5-H32</f>
        <v>0</v>
      </c>
      <c r="I34" s="214">
        <f>'Balance Sheet'!I5-I32</f>
        <v>0</v>
      </c>
      <c r="J34" s="214">
        <f>'Balance Sheet'!J5-J32</f>
        <v>0</v>
      </c>
      <c r="K34" s="214">
        <f>'Balance Sheet'!K5-K32</f>
        <v>0</v>
      </c>
      <c r="L34" s="214">
        <f>'Balance Sheet'!L5-L32</f>
        <v>0</v>
      </c>
      <c r="M34" s="214">
        <f>'Balance Sheet'!M5-M32</f>
        <v>0</v>
      </c>
      <c r="N34" s="214">
        <f>'Balance Sheet'!N5-N32</f>
        <v>0</v>
      </c>
      <c r="O34" s="214">
        <f>'Balance Sheet'!O5-O32</f>
        <v>0</v>
      </c>
      <c r="P34" s="214">
        <f>'Balance Sheet'!P5-P32</f>
        <v>0</v>
      </c>
      <c r="Q34" s="214">
        <f>'Balance Sheet'!Q5-Q32</f>
        <v>0</v>
      </c>
      <c r="R34" s="214">
        <f>'Balance Sheet'!R5-R32</f>
        <v>0</v>
      </c>
      <c r="S34" s="214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S22"/>
  <sheetViews>
    <sheetView showOutlineSymbols="0" workbookViewId="0">
      <selection activeCell="H6" sqref="H6"/>
    </sheetView>
  </sheetViews>
  <sheetFormatPr defaultColWidth="9.109375" defaultRowHeight="11.4" outlineLevelRow="1" x14ac:dyDescent="0.2"/>
  <cols>
    <col min="1" max="1" width="2" style="49" customWidth="1"/>
    <col min="2" max="2" width="22.6640625" style="49" customWidth="1"/>
    <col min="3" max="12" width="9.77734375" style="49" customWidth="1"/>
    <col min="13" max="18" width="9.109375" style="49"/>
    <col min="19" max="19" width="9.77734375" style="49" bestFit="1" customWidth="1"/>
    <col min="20" max="16384" width="9.109375" style="49"/>
  </cols>
  <sheetData>
    <row r="1" spans="2:19" ht="15.6" x14ac:dyDescent="0.3">
      <c r="B1" s="48" t="s">
        <v>144</v>
      </c>
    </row>
    <row r="2" spans="2:19" ht="12" thickBot="1" x14ac:dyDescent="0.25"/>
    <row r="3" spans="2:19" ht="13.2" thickTop="1" thickBot="1" x14ac:dyDescent="0.3">
      <c r="B3" s="50" t="s">
        <v>145</v>
      </c>
      <c r="C3" s="51">
        <f>Drivers!C13</f>
        <v>0.02</v>
      </c>
      <c r="D3" s="49" t="s">
        <v>76</v>
      </c>
    </row>
    <row r="4" spans="2:19" ht="12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5">
      <c r="B5" s="5" t="s">
        <v>260</v>
      </c>
      <c r="C5" s="6" t="s">
        <v>45</v>
      </c>
      <c r="D5" s="6" t="s">
        <v>46</v>
      </c>
      <c r="E5" s="6" t="s">
        <v>47</v>
      </c>
      <c r="F5" s="6" t="s">
        <v>165</v>
      </c>
      <c r="G5" s="6" t="s">
        <v>173</v>
      </c>
      <c r="H5" s="98" t="s">
        <v>184</v>
      </c>
      <c r="I5" s="98"/>
      <c r="J5" s="98" t="s">
        <v>185</v>
      </c>
      <c r="K5" s="98" t="s">
        <v>186</v>
      </c>
      <c r="L5" s="98" t="s">
        <v>187</v>
      </c>
      <c r="M5" s="98" t="s">
        <v>188</v>
      </c>
      <c r="N5" s="98" t="s">
        <v>189</v>
      </c>
      <c r="O5" s="98" t="s">
        <v>269</v>
      </c>
      <c r="P5" s="98" t="s">
        <v>270</v>
      </c>
      <c r="Q5" s="98" t="s">
        <v>271</v>
      </c>
      <c r="R5" s="98" t="s">
        <v>272</v>
      </c>
      <c r="S5" s="98" t="s">
        <v>273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>
        <f>'Cash Flow'!H20</f>
        <v>-112.11267956171969</v>
      </c>
      <c r="I6" s="149"/>
      <c r="J6" s="149">
        <f>'Cash Flow'!J20</f>
        <v>-3819.3269743371948</v>
      </c>
      <c r="K6" s="149">
        <f>'Cash Flow'!K20</f>
        <v>2711.1117528289669</v>
      </c>
      <c r="L6" s="149">
        <f>'Cash Flow'!L20</f>
        <v>-519.65735927138485</v>
      </c>
      <c r="M6" s="149">
        <f>'Cash Flow'!M20</f>
        <v>29.746170641999015</v>
      </c>
      <c r="N6" s="149">
        <f>'Cash Flow'!N20</f>
        <v>-7243.9630016678029</v>
      </c>
      <c r="O6" s="149">
        <f>'Cash Flow'!O20</f>
        <v>-7574.1139911501496</v>
      </c>
      <c r="P6" s="149">
        <f>'Cash Flow'!P20</f>
        <v>-9341.5986988472287</v>
      </c>
      <c r="Q6" s="149">
        <f>'Cash Flow'!Q20</f>
        <v>-9513.0145595772919</v>
      </c>
      <c r="R6" s="149">
        <f>'Cash Flow'!R20</f>
        <v>-10385.354581816167</v>
      </c>
      <c r="S6" s="149">
        <f>'Cash Flow'!S20</f>
        <v>-10386.831998836758</v>
      </c>
    </row>
    <row r="7" spans="2:19" x14ac:dyDescent="0.2">
      <c r="B7" s="49" t="s">
        <v>281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f>S6*(1+$C$3)/(S9-C3)</f>
        <v>-129290.28295941722</v>
      </c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>
        <f>WACC!G24</f>
        <v>5.7865791147052703E-2</v>
      </c>
      <c r="I9" s="151"/>
      <c r="J9" s="151">
        <f>WACC!J24</f>
        <v>5.4126982488509792E-2</v>
      </c>
      <c r="K9" s="151">
        <f>WACC!K24</f>
        <v>4.4995857237893705E-2</v>
      </c>
      <c r="L9" s="151">
        <f>WACC!L24</f>
        <v>-1.6204602678539293E-2</v>
      </c>
      <c r="M9" s="151">
        <f>WACC!M24</f>
        <v>0.1067489308527714</v>
      </c>
      <c r="N9" s="151">
        <f>WACC!N24</f>
        <v>0.10311888316113041</v>
      </c>
      <c r="O9" s="151">
        <f>WACC!O24</f>
        <v>9.9776307688060034E-2</v>
      </c>
      <c r="P9" s="151">
        <f>WACC!P24</f>
        <v>0.10112407197133474</v>
      </c>
      <c r="Q9" s="151">
        <f>WACC!Q24</f>
        <v>0.10116152888163213</v>
      </c>
      <c r="R9" s="151">
        <f>WACC!R24</f>
        <v>0.10210172501470981</v>
      </c>
      <c r="S9" s="151">
        <f>WACC!S24</f>
        <v>0.10194404402486312</v>
      </c>
    </row>
    <row r="10" spans="2:19" ht="12" x14ac:dyDescent="0.25">
      <c r="B10" s="57" t="s">
        <v>147</v>
      </c>
      <c r="C10" s="58"/>
      <c r="D10" s="58"/>
      <c r="E10" s="58"/>
      <c r="F10" s="58"/>
      <c r="G10" s="58"/>
      <c r="H10" s="152">
        <f>H6/(1+H9)^H4</f>
        <v>-109.0032497606641</v>
      </c>
      <c r="I10" s="152"/>
      <c r="J10" s="152">
        <f t="shared" ref="J10:S10" si="0">J6/(1+J9)^J4</f>
        <v>-3528.9657627411293</v>
      </c>
      <c r="K10" s="152">
        <f t="shared" si="0"/>
        <v>2428.6280005020244</v>
      </c>
      <c r="L10" s="152">
        <f t="shared" si="0"/>
        <v>-550.23768298981679</v>
      </c>
      <c r="M10" s="152">
        <f t="shared" si="0"/>
        <v>18.84560416807776</v>
      </c>
      <c r="N10" s="152">
        <f t="shared" si="0"/>
        <v>-4222.3426060114089</v>
      </c>
      <c r="O10" s="152">
        <f t="shared" si="0"/>
        <v>-4081.8167190470363</v>
      </c>
      <c r="P10" s="152">
        <f t="shared" si="0"/>
        <v>-4535.7517774377102</v>
      </c>
      <c r="Q10" s="152">
        <f t="shared" si="0"/>
        <v>-4193.5749129432661</v>
      </c>
      <c r="R10" s="152">
        <f t="shared" si="0"/>
        <v>-4123.9685875708446</v>
      </c>
      <c r="S10" s="152">
        <f t="shared" si="0"/>
        <v>-3748.0719333173265</v>
      </c>
    </row>
    <row r="11" spans="2:19" x14ac:dyDescent="0.2">
      <c r="B11" s="49" t="s">
        <v>294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>
        <f>S7/(1+S9)^S4</f>
        <v>-46654.194547973551</v>
      </c>
    </row>
    <row r="13" spans="2:19" ht="12" x14ac:dyDescent="0.25">
      <c r="B13" s="225" t="s">
        <v>148</v>
      </c>
      <c r="C13" s="225"/>
      <c r="D13" s="225"/>
      <c r="E13" s="225"/>
      <c r="F13" s="225"/>
      <c r="G13" s="225"/>
      <c r="H13" s="225"/>
      <c r="I13" s="225"/>
      <c r="J13" s="225"/>
      <c r="K13" s="225"/>
    </row>
    <row r="14" spans="2:19" x14ac:dyDescent="0.2">
      <c r="B14" s="49" t="s">
        <v>149</v>
      </c>
      <c r="E14" s="54"/>
      <c r="F14" s="54">
        <f>SUM(G10:L10)</f>
        <v>-1759.5786949895855</v>
      </c>
      <c r="G14" s="60">
        <f>F14/$F$17</f>
        <v>3.6344589093669485E-2</v>
      </c>
      <c r="H14" s="49" t="s">
        <v>150</v>
      </c>
    </row>
    <row r="15" spans="2:19" x14ac:dyDescent="0.2">
      <c r="B15" s="49" t="s">
        <v>151</v>
      </c>
      <c r="E15" s="54"/>
      <c r="F15" s="54">
        <f>S7</f>
        <v>-129290.28295941722</v>
      </c>
    </row>
    <row r="16" spans="2:19" x14ac:dyDescent="0.2">
      <c r="B16" s="49" t="s">
        <v>152</v>
      </c>
      <c r="E16" s="54"/>
      <c r="F16" s="54">
        <f>S11</f>
        <v>-46654.194547973551</v>
      </c>
      <c r="G16" s="60">
        <f>F16/$F$17</f>
        <v>0.96365541090633056</v>
      </c>
      <c r="H16" s="49" t="s">
        <v>150</v>
      </c>
    </row>
    <row r="17" spans="2:7" ht="12" x14ac:dyDescent="0.25">
      <c r="B17" s="53" t="s">
        <v>153</v>
      </c>
      <c r="C17" s="53"/>
      <c r="D17" s="53"/>
      <c r="E17" s="55"/>
      <c r="F17" s="55">
        <f>F16+F14</f>
        <v>-48413.773242963136</v>
      </c>
    </row>
    <row r="18" spans="2:7" x14ac:dyDescent="0.2">
      <c r="B18" s="56" t="s">
        <v>154</v>
      </c>
      <c r="E18" s="54"/>
      <c r="F18" s="54">
        <f>'Balance Sheet'!S5</f>
        <v>18804.23397419566</v>
      </c>
      <c r="G18" s="54"/>
    </row>
    <row r="19" spans="2:7" x14ac:dyDescent="0.2">
      <c r="B19" s="56" t="s">
        <v>155</v>
      </c>
      <c r="E19" s="54"/>
      <c r="F19" s="54">
        <f>'Balance Sheet'!S28</f>
        <v>41064.561922532856</v>
      </c>
    </row>
    <row r="20" spans="2:7" ht="12" x14ac:dyDescent="0.25">
      <c r="B20" s="53" t="s">
        <v>156</v>
      </c>
      <c r="C20" s="53"/>
      <c r="D20" s="53"/>
      <c r="E20" s="55"/>
      <c r="F20" s="55">
        <f>F17+F18-F19</f>
        <v>-70674.101191300331</v>
      </c>
    </row>
    <row r="21" spans="2:7" x14ac:dyDescent="0.2">
      <c r="B21" s="49" t="s">
        <v>160</v>
      </c>
      <c r="F21" s="54">
        <v>168.07</v>
      </c>
    </row>
    <row r="22" spans="2:7" ht="12" x14ac:dyDescent="0.25">
      <c r="B22" s="61" t="s">
        <v>161</v>
      </c>
      <c r="C22" s="61"/>
      <c r="D22" s="61"/>
      <c r="E22" s="61"/>
      <c r="F22" s="61">
        <f>F20/F21</f>
        <v>-420.50396377283471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166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165</v>
      </c>
      <c r="G3" s="98" t="s">
        <v>173</v>
      </c>
    </row>
    <row r="4" spans="2:7" x14ac:dyDescent="0.25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5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5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5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5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5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5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5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5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5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5">
      <c r="B14" s="8" t="s">
        <v>170</v>
      </c>
      <c r="C14" s="73"/>
      <c r="D14" s="73"/>
      <c r="E14" s="73"/>
      <c r="F14" s="73"/>
      <c r="G14" s="74">
        <v>-103434</v>
      </c>
    </row>
    <row r="15" spans="2:7" x14ac:dyDescent="0.25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5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5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5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5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5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5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5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8" thickBot="1" x14ac:dyDescent="0.3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171</v>
      </c>
      <c r="C25" s="69"/>
      <c r="D25" s="69"/>
      <c r="E25" s="69"/>
      <c r="F25" s="69"/>
      <c r="G25" s="69"/>
    </row>
    <row r="26" spans="2:7" x14ac:dyDescent="0.2">
      <c r="B26" s="69" t="s">
        <v>346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347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348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285</v>
      </c>
    </row>
    <row r="8" spans="1:3" x14ac:dyDescent="0.2">
      <c r="B8" s="8" t="s">
        <v>283</v>
      </c>
      <c r="C8" s="180">
        <f>'Revenue automotive'!I11</f>
        <v>14236.04</v>
      </c>
    </row>
    <row r="9" spans="1:3" x14ac:dyDescent="0.2">
      <c r="B9" s="8" t="s">
        <v>175</v>
      </c>
      <c r="C9" s="180">
        <f>'Revenue automotive'!J5-'Revenue automotive'!I5</f>
        <v>5433.96</v>
      </c>
    </row>
    <row r="10" spans="1:3" x14ac:dyDescent="0.2">
      <c r="B10" s="8" t="s">
        <v>181</v>
      </c>
      <c r="C10" s="180">
        <f>'Revenue automotive'!J6-'Revenue automotive'!I6</f>
        <v>175</v>
      </c>
    </row>
    <row r="11" spans="1:3" x14ac:dyDescent="0.2">
      <c r="B11" s="8" t="s">
        <v>176</v>
      </c>
      <c r="C11" s="180">
        <f>'Revenue automotive'!J7-'Revenue automotive'!I7</f>
        <v>88.2</v>
      </c>
    </row>
    <row r="12" spans="1:3" x14ac:dyDescent="0.2">
      <c r="B12" s="8" t="s">
        <v>178</v>
      </c>
      <c r="C12" s="180">
        <f>'Revenue automotive'!J8-'Revenue automotive'!I8</f>
        <v>0</v>
      </c>
    </row>
    <row r="13" spans="1:3" x14ac:dyDescent="0.2">
      <c r="B13" s="8" t="s">
        <v>177</v>
      </c>
      <c r="C13" s="180">
        <f>'Revenue automotive'!J9-'Revenue automotive'!I9</f>
        <v>15.75</v>
      </c>
    </row>
    <row r="14" spans="1:3" x14ac:dyDescent="0.2">
      <c r="B14" s="8" t="s">
        <v>174</v>
      </c>
      <c r="C14" s="180">
        <f>'Revenue automotive'!J10-'Revenue automotive'!I10</f>
        <v>50</v>
      </c>
    </row>
    <row r="15" spans="1:3" x14ac:dyDescent="0.2">
      <c r="B15" s="8" t="s">
        <v>284</v>
      </c>
      <c r="C15" s="180">
        <f>'Revenue automotive'!J11</f>
        <v>19998.95</v>
      </c>
    </row>
    <row r="27" spans="2:3" x14ac:dyDescent="0.2">
      <c r="B27" s="8" t="s">
        <v>284</v>
      </c>
      <c r="C27" s="180">
        <f>'Revenue automotive'!J11</f>
        <v>19998.95</v>
      </c>
    </row>
    <row r="28" spans="2:3" x14ac:dyDescent="0.2">
      <c r="B28" s="8" t="s">
        <v>175</v>
      </c>
      <c r="C28" s="180">
        <f>'Revenue automotive'!K5-'Revenue automotive'!J5</f>
        <v>6552</v>
      </c>
    </row>
    <row r="29" spans="2:3" x14ac:dyDescent="0.2">
      <c r="B29" s="8" t="s">
        <v>181</v>
      </c>
      <c r="C29" s="180">
        <f>'Revenue automotive'!K6-'Revenue automotive'!J6</f>
        <v>178.5</v>
      </c>
    </row>
    <row r="30" spans="2:3" x14ac:dyDescent="0.2">
      <c r="B30" s="8" t="s">
        <v>176</v>
      </c>
      <c r="C30" s="180">
        <f>'Revenue automotive'!K7-'Revenue automotive'!J7</f>
        <v>6442.8</v>
      </c>
    </row>
    <row r="31" spans="2:3" x14ac:dyDescent="0.2">
      <c r="B31" s="8" t="s">
        <v>178</v>
      </c>
      <c r="C31" s="180">
        <f>'Revenue automotive'!K8-'Revenue automotive'!J8</f>
        <v>115</v>
      </c>
    </row>
    <row r="32" spans="2:3" x14ac:dyDescent="0.2">
      <c r="B32" s="8" t="s">
        <v>177</v>
      </c>
      <c r="C32" s="180">
        <f>'Revenue automotive'!K9-'Revenue automotive'!J9</f>
        <v>1150.5</v>
      </c>
    </row>
    <row r="33" spans="2:3" x14ac:dyDescent="0.2">
      <c r="B33" s="8" t="s">
        <v>174</v>
      </c>
      <c r="C33" s="180">
        <f>'Revenue automotive'!K10-'Revenue automotive'!J10</f>
        <v>3652.3809523809527</v>
      </c>
    </row>
    <row r="34" spans="2:3" x14ac:dyDescent="0.2">
      <c r="B34" s="8" t="s">
        <v>286</v>
      </c>
      <c r="C34" s="180">
        <f>'Revenue automotive'!K11</f>
        <v>38090.130952380954</v>
      </c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291</v>
      </c>
    </row>
    <row r="8" spans="1:3" x14ac:dyDescent="0.2">
      <c r="B8" s="8" t="s">
        <v>287</v>
      </c>
      <c r="C8" s="180">
        <f>'Cash Flow'!I28</f>
        <v>-1536.0704754835613</v>
      </c>
    </row>
    <row r="9" spans="1:3" x14ac:dyDescent="0.2">
      <c r="B9" s="8" t="s">
        <v>128</v>
      </c>
      <c r="C9" s="180">
        <f>'Cash Flow'!J7-'Cash Flow'!I7</f>
        <v>1065.4526159121779</v>
      </c>
    </row>
    <row r="10" spans="1:3" x14ac:dyDescent="0.2">
      <c r="B10" s="8" t="s">
        <v>143</v>
      </c>
      <c r="C10" s="180">
        <f>'Cash Flow'!J8-'Cash Flow'!I8</f>
        <v>-192.13524124444439</v>
      </c>
    </row>
    <row r="11" spans="1:3" x14ac:dyDescent="0.2">
      <c r="B11" s="8" t="s">
        <v>289</v>
      </c>
      <c r="C11" s="180">
        <f>'Cash Flow'!J14-'Cash Flow'!I14</f>
        <v>785.52593678391941</v>
      </c>
    </row>
    <row r="12" spans="1:3" x14ac:dyDescent="0.2">
      <c r="B12" s="8" t="s">
        <v>82</v>
      </c>
      <c r="C12" s="180">
        <f>'Cash Flow'!J16-'Cash Flow'!I16</f>
        <v>217.03760533333298</v>
      </c>
    </row>
    <row r="13" spans="1:3" x14ac:dyDescent="0.2">
      <c r="B13" s="8" t="s">
        <v>290</v>
      </c>
      <c r="C13" s="180">
        <f>'Cash Flow'!J17-'Cash Flow'!I17+'Cash Flow'!J18-'Cash Flow'!I18+'Cash Flow'!J22-'Cash Flow'!I22+'Cash Flow'!J23-'Cash Flow'!I23+'Cash Flow'!J24-'Cash Flow'!I24+'Cash Flow'!J25-'Cash Flow'!I25+'Cash Flow'!J26-'Cash Flow'!I26</f>
        <v>-1057.5189167849881</v>
      </c>
    </row>
    <row r="14" spans="1:3" x14ac:dyDescent="0.2">
      <c r="B14" s="8" t="s">
        <v>288</v>
      </c>
      <c r="C14" s="180">
        <f>'Cash Flow'!J28</f>
        <v>-717.70847548356323</v>
      </c>
    </row>
    <row r="26" spans="2:3" x14ac:dyDescent="0.2">
      <c r="B26" s="8" t="s">
        <v>292</v>
      </c>
      <c r="C26" s="180">
        <f>'Cash Flow'!R28</f>
        <v>3050.2697270029003</v>
      </c>
    </row>
    <row r="27" spans="2:3" x14ac:dyDescent="0.2">
      <c r="B27" s="8" t="s">
        <v>128</v>
      </c>
      <c r="C27" s="180">
        <f>'Cash Flow'!S7-'Cash Flow'!R7</f>
        <v>-205.6866057722782</v>
      </c>
    </row>
    <row r="28" spans="2:3" x14ac:dyDescent="0.2">
      <c r="B28" s="8" t="s">
        <v>143</v>
      </c>
      <c r="C28" s="180">
        <f>'Cash Flow'!S8-'Cash Flow'!R8</f>
        <v>335.08055550261133</v>
      </c>
    </row>
    <row r="29" spans="2:3" x14ac:dyDescent="0.2">
      <c r="B29" s="8" t="s">
        <v>289</v>
      </c>
      <c r="C29" s="180">
        <f>'Cash Flow'!S14-'Cash Flow'!R14</f>
        <v>-5.0552512562062475</v>
      </c>
    </row>
    <row r="30" spans="2:3" x14ac:dyDescent="0.2">
      <c r="B30" s="8" t="s">
        <v>82</v>
      </c>
      <c r="C30" s="180">
        <f>'Cash Flow'!S16-'Cash Flow'!R16</f>
        <v>-162.44805369034748</v>
      </c>
    </row>
    <row r="31" spans="2:3" x14ac:dyDescent="0.2">
      <c r="B31" s="8" t="s">
        <v>290</v>
      </c>
      <c r="C31" s="180">
        <f>'Cash Flow'!S17-'Cash Flow'!R17+'Cash Flow'!S18-'Cash Flow'!R18+'Cash Flow'!S22-'Cash Flow'!R22+'Cash Flow'!S23-'Cash Flow'!R23+'Cash Flow'!S24-'Cash Flow'!R24+'Cash Flow'!S25-'Cash Flow'!R25</f>
        <v>-5544.7574410202615</v>
      </c>
    </row>
    <row r="32" spans="2:3" x14ac:dyDescent="0.2">
      <c r="B32" s="8" t="s">
        <v>293</v>
      </c>
      <c r="C32" s="180">
        <f>'Cash Flow'!S28</f>
        <v>-2532.5970692335814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333</v>
      </c>
    </row>
    <row r="8" spans="1:3" x14ac:dyDescent="0.2">
      <c r="B8" s="8" t="s">
        <v>287</v>
      </c>
      <c r="C8" s="180">
        <f>'Cash Flow'!I28</f>
        <v>-1536.0704754835613</v>
      </c>
    </row>
    <row r="9" spans="1:3" x14ac:dyDescent="0.2">
      <c r="B9" s="8" t="s">
        <v>128</v>
      </c>
      <c r="C9" s="180">
        <f>'Cash Flow'!J7-'Cash Flow'!I7</f>
        <v>1065.4526159121779</v>
      </c>
    </row>
    <row r="10" spans="1:3" x14ac:dyDescent="0.2">
      <c r="B10" s="8" t="s">
        <v>143</v>
      </c>
      <c r="C10" s="180">
        <f>'Cash Flow'!J8-'Cash Flow'!I8</f>
        <v>-192.13524124444439</v>
      </c>
    </row>
    <row r="11" spans="1:3" x14ac:dyDescent="0.2">
      <c r="B11" s="8" t="s">
        <v>289</v>
      </c>
      <c r="C11" s="180">
        <f>'Cash Flow'!J14-'Cash Flow'!I14</f>
        <v>785.52593678391941</v>
      </c>
    </row>
    <row r="12" spans="1:3" x14ac:dyDescent="0.2">
      <c r="B12" s="8" t="s">
        <v>82</v>
      </c>
      <c r="C12" s="180">
        <f>'Cash Flow'!J16-'Cash Flow'!I16</f>
        <v>217.03760533333298</v>
      </c>
    </row>
    <row r="13" spans="1:3" x14ac:dyDescent="0.2">
      <c r="B13" s="8" t="s">
        <v>290</v>
      </c>
      <c r="C13" s="180">
        <f>'Cash Flow'!J17-'Cash Flow'!I17+'Cash Flow'!J18-'Cash Flow'!I18+'Cash Flow'!J22-'Cash Flow'!I22+'Cash Flow'!J23-'Cash Flow'!I23+'Cash Flow'!J24-'Cash Flow'!I24+'Cash Flow'!J25-'Cash Flow'!I25+'Cash Flow'!J26-'Cash Flow'!I26</f>
        <v>-1057.5189167849881</v>
      </c>
    </row>
    <row r="14" spans="1:3" x14ac:dyDescent="0.2">
      <c r="B14" s="8" t="s">
        <v>288</v>
      </c>
      <c r="C14" s="180">
        <f>'Cash Flow'!J28</f>
        <v>-717.70847548356323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343</v>
      </c>
    </row>
    <row r="3" spans="1:3" ht="12" x14ac:dyDescent="0.25">
      <c r="B3" s="219" t="s">
        <v>340</v>
      </c>
      <c r="C3" s="180">
        <f>'P&amp;L'!F14</f>
        <v>-1961.3999999999987</v>
      </c>
    </row>
    <row r="4" spans="1:3" x14ac:dyDescent="0.2">
      <c r="B4" s="25" t="s">
        <v>334</v>
      </c>
      <c r="C4" s="180">
        <f>'P&amp;L'!I5-'P&amp;L'!F5</f>
        <v>6229.4650000000001</v>
      </c>
    </row>
    <row r="5" spans="1:3" ht="22.8" x14ac:dyDescent="0.2">
      <c r="B5" s="220" t="s">
        <v>336</v>
      </c>
      <c r="C5" s="180">
        <f>'P&amp;L'!I6-'P&amp;L'!F6</f>
        <v>-6835.0287126649346</v>
      </c>
    </row>
    <row r="6" spans="1:3" ht="22.8" x14ac:dyDescent="0.2">
      <c r="B6" s="220" t="s">
        <v>337</v>
      </c>
      <c r="C6" s="180">
        <f>'P&amp;L'!I8-'P&amp;L'!F8</f>
        <v>-1240.3741209542582</v>
      </c>
    </row>
    <row r="7" spans="1:3" ht="22.8" x14ac:dyDescent="0.2">
      <c r="B7" s="220" t="s">
        <v>338</v>
      </c>
      <c r="C7" s="180">
        <f>'P&amp;L'!I10-'P&amp;L'!F10</f>
        <v>-140.76247548356446</v>
      </c>
    </row>
    <row r="8" spans="1:3" x14ac:dyDescent="0.2">
      <c r="B8" s="25" t="s">
        <v>335</v>
      </c>
      <c r="C8" s="180">
        <f>'P&amp;L'!I12-'P&amp;L'!F12</f>
        <v>31.545999999999999</v>
      </c>
    </row>
    <row r="9" spans="1:3" ht="22.8" x14ac:dyDescent="0.2">
      <c r="B9" s="220" t="s">
        <v>339</v>
      </c>
      <c r="C9" s="180">
        <f>'P&amp;L'!I13-'P&amp;L'!F13</f>
        <v>-279.178</v>
      </c>
    </row>
    <row r="10" spans="1:3" ht="12" x14ac:dyDescent="0.25">
      <c r="B10" s="219" t="s">
        <v>341</v>
      </c>
      <c r="C10" s="180">
        <f>'P&amp;L'!I14</f>
        <v>-4195.7323091027556</v>
      </c>
    </row>
    <row r="11" spans="1:3" x14ac:dyDescent="0.2">
      <c r="B11" s="25" t="s">
        <v>334</v>
      </c>
      <c r="C11" s="180">
        <f>'P&amp;L'!J5-'P&amp;L'!I5</f>
        <v>5068.4568800000015</v>
      </c>
    </row>
    <row r="12" spans="1:3" ht="22.8" x14ac:dyDescent="0.2">
      <c r="B12" s="220" t="s">
        <v>336</v>
      </c>
      <c r="C12" s="180">
        <f>'P&amp;L'!J6-'P&amp;L'!I6</f>
        <v>-6237.0723140263908</v>
      </c>
    </row>
    <row r="13" spans="1:3" ht="22.8" x14ac:dyDescent="0.2">
      <c r="B13" s="220" t="s">
        <v>337</v>
      </c>
      <c r="C13" s="180">
        <f>'P&amp;L'!J8-'P&amp;L'!I8</f>
        <v>2214.7560499385672</v>
      </c>
    </row>
    <row r="14" spans="1:3" ht="22.8" x14ac:dyDescent="0.2">
      <c r="B14" s="220" t="s">
        <v>338</v>
      </c>
      <c r="C14" s="180">
        <f>'P&amp;L'!J10-'P&amp;L'!I10</f>
        <v>0</v>
      </c>
    </row>
    <row r="15" spans="1:3" x14ac:dyDescent="0.2">
      <c r="B15" s="25" t="s">
        <v>335</v>
      </c>
      <c r="C15" s="180">
        <f>'P&amp;L'!J12-'P&amp;L'!I12</f>
        <v>0</v>
      </c>
    </row>
    <row r="16" spans="1:3" ht="12" x14ac:dyDescent="0.25">
      <c r="B16" s="219" t="s">
        <v>342</v>
      </c>
      <c r="C16" s="180">
        <f>'P&amp;L'!J14</f>
        <v>-3149.5916931905781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C42-E73B-4608-8B01-88995DABF4B7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310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U27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6" width="5.88671875" style="8" bestFit="1" customWidth="1"/>
    <col min="7" max="7" width="6.88671875" style="8" bestFit="1" customWidth="1"/>
    <col min="8" max="12" width="10.44140625" style="8" bestFit="1" customWidth="1"/>
    <col min="13" max="19" width="9.109375" style="8"/>
    <col min="20" max="20" width="2" style="8" customWidth="1"/>
    <col min="21" max="16384" width="9.109375" style="8"/>
  </cols>
  <sheetData>
    <row r="1" spans="1:21" ht="15.6" x14ac:dyDescent="0.25">
      <c r="A1" s="213"/>
      <c r="B1" s="2" t="s">
        <v>318</v>
      </c>
    </row>
    <row r="3" spans="1:21" ht="12" x14ac:dyDescent="0.25">
      <c r="C3" s="224" t="s">
        <v>217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1" ht="27" customHeight="1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  <c r="U4" s="6" t="s">
        <v>312</v>
      </c>
    </row>
    <row r="5" spans="1:21" x14ac:dyDescent="0.25">
      <c r="B5" s="8" t="s">
        <v>175</v>
      </c>
      <c r="C5" s="89">
        <f>'Revenue automotive'!C5</f>
        <v>0</v>
      </c>
      <c r="D5" s="89">
        <f>'Revenue automotive'!D5</f>
        <v>0</v>
      </c>
      <c r="E5" s="89">
        <f>'Revenue automotive'!E5</f>
        <v>0</v>
      </c>
      <c r="F5" s="166" t="str">
        <f>'Revenue automotive'!F5</f>
        <v>n.a.</v>
      </c>
      <c r="G5" s="166" t="str">
        <f>'Revenue automotive'!G5</f>
        <v>n.a.</v>
      </c>
      <c r="H5" s="90">
        <f>'Revenue automotive'!H5</f>
        <v>4368</v>
      </c>
      <c r="I5" s="90">
        <f>'Revenue automotive'!I5</f>
        <v>5486.04</v>
      </c>
      <c r="J5" s="90">
        <f>'Revenue automotive'!J5</f>
        <v>10920</v>
      </c>
      <c r="K5" s="90">
        <f>'Revenue automotive'!K5</f>
        <v>17472</v>
      </c>
      <c r="L5" s="90">
        <f>'Revenue automotive'!L5</f>
        <v>19219.200000000004</v>
      </c>
      <c r="M5" s="90">
        <f>'Revenue automotive'!M5</f>
        <v>21141.120000000003</v>
      </c>
      <c r="N5" s="90">
        <f>'Revenue automotive'!N5</f>
        <v>22198.176000000003</v>
      </c>
      <c r="O5" s="90">
        <f>'Revenue automotive'!O5</f>
        <v>23308.084800000008</v>
      </c>
      <c r="P5" s="90">
        <f>'Revenue automotive'!P5</f>
        <v>23774.246496000003</v>
      </c>
      <c r="Q5" s="90">
        <f>'Revenue automotive'!Q5</f>
        <v>24249.731425920007</v>
      </c>
      <c r="R5" s="90">
        <f>'Revenue automotive'!R5</f>
        <v>24734.726054438408</v>
      </c>
      <c r="S5" s="90">
        <f>'Revenue automotive'!S5</f>
        <v>25229.420575527176</v>
      </c>
      <c r="U5" s="99" t="s">
        <v>313</v>
      </c>
    </row>
    <row r="6" spans="1:21" x14ac:dyDescent="0.25">
      <c r="B6" s="8" t="s">
        <v>181</v>
      </c>
      <c r="C6" s="89">
        <f>'Revenue automotive'!C6</f>
        <v>3007.0120000000002</v>
      </c>
      <c r="D6" s="89">
        <f>'Revenue automotive'!D6</f>
        <v>3740.973</v>
      </c>
      <c r="E6" s="89">
        <f>'Revenue automotive'!E6</f>
        <v>6350.7659999999996</v>
      </c>
      <c r="F6" s="166" t="str">
        <f>'Revenue automotive'!F6</f>
        <v>n.a.</v>
      </c>
      <c r="G6" s="166" t="str">
        <f>'Revenue automotive'!G6</f>
        <v>n.a.</v>
      </c>
      <c r="H6" s="90">
        <f>'Revenue automotive'!H6</f>
        <v>4891.25</v>
      </c>
      <c r="I6" s="90">
        <f>'Revenue automotive'!I6</f>
        <v>8750</v>
      </c>
      <c r="J6" s="90">
        <f>'Revenue automotive'!J6</f>
        <v>8925</v>
      </c>
      <c r="K6" s="90">
        <f>'Revenue automotive'!K6</f>
        <v>9103.5</v>
      </c>
      <c r="L6" s="90">
        <f>'Revenue automotive'!L6</f>
        <v>9285.57</v>
      </c>
      <c r="M6" s="90">
        <f>'Revenue automotive'!M6</f>
        <v>9471.2813999999998</v>
      </c>
      <c r="N6" s="90">
        <f>'Revenue automotive'!N6</f>
        <v>9660.7070280000007</v>
      </c>
      <c r="O6" s="90">
        <f>'Revenue automotive'!O6</f>
        <v>9853.9211685600021</v>
      </c>
      <c r="P6" s="90">
        <f>'Revenue automotive'!P6</f>
        <v>10050.9995919312</v>
      </c>
      <c r="Q6" s="90">
        <f>'Revenue automotive'!Q6</f>
        <v>10252.019583769825</v>
      </c>
      <c r="R6" s="90">
        <f>'Revenue automotive'!R6</f>
        <v>10457.059975445223</v>
      </c>
      <c r="S6" s="90">
        <f>'Revenue automotive'!S6</f>
        <v>10666.201174954127</v>
      </c>
      <c r="U6" s="99" t="s">
        <v>313</v>
      </c>
    </row>
    <row r="7" spans="1:21" x14ac:dyDescent="0.25">
      <c r="B7" s="8" t="s">
        <v>176</v>
      </c>
      <c r="C7" s="89">
        <f>'Revenue automotive'!C7</f>
        <v>0</v>
      </c>
      <c r="D7" s="89">
        <f>'Revenue automotive'!D7</f>
        <v>0</v>
      </c>
      <c r="E7" s="89">
        <f>'Revenue automotive'!E7</f>
        <v>0</v>
      </c>
      <c r="F7" s="89">
        <f>'Revenue automotive'!F7</f>
        <v>0</v>
      </c>
      <c r="G7" s="89">
        <f>'Revenue automotive'!G7</f>
        <v>0</v>
      </c>
      <c r="H7" s="90">
        <f>'Revenue automotive'!H7</f>
        <v>0</v>
      </c>
      <c r="I7" s="90">
        <f>'Revenue automotive'!I7</f>
        <v>0</v>
      </c>
      <c r="J7" s="90">
        <f>'Revenue automotive'!J7</f>
        <v>88.2</v>
      </c>
      <c r="K7" s="90">
        <f>'Revenue automotive'!K7</f>
        <v>6531</v>
      </c>
      <c r="L7" s="90">
        <f>'Revenue automotive'!L7</f>
        <v>13000</v>
      </c>
      <c r="M7" s="90">
        <f>'Revenue automotive'!M7</f>
        <v>20800</v>
      </c>
      <c r="N7" s="90">
        <f>'Revenue automotive'!N7</f>
        <v>22880.000000000004</v>
      </c>
      <c r="O7" s="90">
        <f>'Revenue automotive'!O7</f>
        <v>25168.000000000007</v>
      </c>
      <c r="P7" s="90">
        <f>'Revenue automotive'!P7</f>
        <v>26426.400000000009</v>
      </c>
      <c r="Q7" s="90">
        <f>'Revenue automotive'!Q7</f>
        <v>27747.720000000008</v>
      </c>
      <c r="R7" s="90">
        <f>'Revenue automotive'!R7</f>
        <v>28302.674400000007</v>
      </c>
      <c r="S7" s="90">
        <f>'Revenue automotive'!S7</f>
        <v>28868.727888000005</v>
      </c>
      <c r="U7" s="99" t="s">
        <v>313</v>
      </c>
    </row>
    <row r="8" spans="1:21" x14ac:dyDescent="0.25">
      <c r="B8" s="8" t="s">
        <v>178</v>
      </c>
      <c r="C8" s="89">
        <f>'Revenue automotive'!C8</f>
        <v>0</v>
      </c>
      <c r="D8" s="89">
        <f>'Revenue automotive'!D8</f>
        <v>0</v>
      </c>
      <c r="E8" s="89">
        <f>'Revenue automotive'!E8</f>
        <v>0</v>
      </c>
      <c r="F8" s="89">
        <f>'Revenue automotive'!F8</f>
        <v>0</v>
      </c>
      <c r="G8" s="89">
        <f>'Revenue automotive'!G8</f>
        <v>0</v>
      </c>
      <c r="H8" s="90">
        <f>'Revenue automotive'!H8</f>
        <v>0</v>
      </c>
      <c r="I8" s="90">
        <f>'Revenue automotive'!I8</f>
        <v>0</v>
      </c>
      <c r="J8" s="90">
        <f>'Revenue automotive'!J8</f>
        <v>0</v>
      </c>
      <c r="K8" s="90">
        <f>'Revenue automotive'!K8</f>
        <v>115</v>
      </c>
      <c r="L8" s="90">
        <f>'Revenue automotive'!L8</f>
        <v>230</v>
      </c>
      <c r="M8" s="90">
        <f>'Revenue automotive'!M8</f>
        <v>345</v>
      </c>
      <c r="N8" s="90">
        <f>'Revenue automotive'!N8</f>
        <v>379.50000000000006</v>
      </c>
      <c r="O8" s="90">
        <f>'Revenue automotive'!O8</f>
        <v>417.4500000000001</v>
      </c>
      <c r="P8" s="90">
        <f>'Revenue automotive'!P8</f>
        <v>438.3225000000001</v>
      </c>
      <c r="Q8" s="90">
        <f>'Revenue automotive'!Q8</f>
        <v>460.23862500000013</v>
      </c>
      <c r="R8" s="90">
        <f>'Revenue automotive'!R8</f>
        <v>469.44339750000017</v>
      </c>
      <c r="S8" s="90">
        <f>'Revenue automotive'!S8</f>
        <v>478.83226545000019</v>
      </c>
      <c r="U8" s="99" t="s">
        <v>313</v>
      </c>
    </row>
    <row r="9" spans="1:21" x14ac:dyDescent="0.25">
      <c r="B9" s="8" t="s">
        <v>177</v>
      </c>
      <c r="C9" s="89">
        <f>'Revenue automotive'!C9</f>
        <v>0</v>
      </c>
      <c r="D9" s="89">
        <f>'Revenue automotive'!D9</f>
        <v>0</v>
      </c>
      <c r="E9" s="89">
        <f>'Revenue automotive'!E9</f>
        <v>0</v>
      </c>
      <c r="F9" s="89">
        <f>'Revenue automotive'!F9</f>
        <v>0</v>
      </c>
      <c r="G9" s="89">
        <f>'Revenue automotive'!G9</f>
        <v>0</v>
      </c>
      <c r="H9" s="90">
        <f>'Revenue automotive'!H9</f>
        <v>0</v>
      </c>
      <c r="I9" s="90">
        <f>'Revenue automotive'!I9</f>
        <v>0</v>
      </c>
      <c r="J9" s="90">
        <f>'Revenue automotive'!J9</f>
        <v>15.75</v>
      </c>
      <c r="K9" s="90">
        <f>'Revenue automotive'!K9</f>
        <v>1166.25</v>
      </c>
      <c r="L9" s="90">
        <f>'Revenue automotive'!L9</f>
        <v>2321.4285714285716</v>
      </c>
      <c r="M9" s="90">
        <f>'Revenue automotive'!M9</f>
        <v>3714.2857142857151</v>
      </c>
      <c r="N9" s="90">
        <f>'Revenue automotive'!N9</f>
        <v>4085.7142857142867</v>
      </c>
      <c r="O9" s="90">
        <f>'Revenue automotive'!O9</f>
        <v>4494.2857142857165</v>
      </c>
      <c r="P9" s="90">
        <f>'Revenue automotive'!P9</f>
        <v>4719.0000000000018</v>
      </c>
      <c r="Q9" s="90">
        <f>'Revenue automotive'!Q9</f>
        <v>4954.9500000000025</v>
      </c>
      <c r="R9" s="90">
        <f>'Revenue automotive'!R9</f>
        <v>5054.0490000000027</v>
      </c>
      <c r="S9" s="90">
        <f>'Revenue automotive'!S9</f>
        <v>5155.1299800000024</v>
      </c>
      <c r="U9" s="99" t="s">
        <v>314</v>
      </c>
    </row>
    <row r="10" spans="1:21" x14ac:dyDescent="0.25">
      <c r="B10" s="8" t="s">
        <v>174</v>
      </c>
      <c r="C10" s="89">
        <f>'Revenue automotive'!C10</f>
        <v>0</v>
      </c>
      <c r="D10" s="89">
        <f>'Revenue automotive'!D10</f>
        <v>0</v>
      </c>
      <c r="E10" s="89">
        <f>'Revenue automotive'!E10</f>
        <v>0</v>
      </c>
      <c r="F10" s="89">
        <f>'Revenue automotive'!F10</f>
        <v>0</v>
      </c>
      <c r="G10" s="89">
        <f>'Revenue automotive'!G10</f>
        <v>0</v>
      </c>
      <c r="H10" s="90">
        <f>'Revenue automotive'!H10</f>
        <v>0</v>
      </c>
      <c r="I10" s="90">
        <f>'Revenue automotive'!I10</f>
        <v>0</v>
      </c>
      <c r="J10" s="90">
        <f>'Revenue automotive'!J10</f>
        <v>50</v>
      </c>
      <c r="K10" s="90">
        <f>'Revenue automotive'!K10</f>
        <v>3702.3809523809527</v>
      </c>
      <c r="L10" s="90">
        <f>'Revenue automotive'!L10</f>
        <v>7369.6145124716568</v>
      </c>
      <c r="M10" s="90">
        <f>'Revenue automotive'!M10</f>
        <v>11791.38321995465</v>
      </c>
      <c r="N10" s="90">
        <f>'Revenue automotive'!N10</f>
        <v>12970.521541950116</v>
      </c>
      <c r="O10" s="90">
        <f>'Revenue automotive'!O10</f>
        <v>14267.573696145129</v>
      </c>
      <c r="P10" s="90">
        <f>'Revenue automotive'!P10</f>
        <v>14980.952380952387</v>
      </c>
      <c r="Q10" s="90">
        <f>'Revenue automotive'!Q10</f>
        <v>15730.000000000009</v>
      </c>
      <c r="R10" s="90">
        <f>'Revenue automotive'!R10</f>
        <v>16044.600000000009</v>
      </c>
      <c r="S10" s="90">
        <f>'Revenue automotive'!S10</f>
        <v>16365.492000000009</v>
      </c>
      <c r="U10" s="99" t="s">
        <v>315</v>
      </c>
    </row>
    <row r="11" spans="1:21" ht="12.6" thickBot="1" x14ac:dyDescent="0.3">
      <c r="B11" s="116" t="s">
        <v>69</v>
      </c>
      <c r="C11" s="127">
        <f>SUM(C5:C10)</f>
        <v>3007.0120000000002</v>
      </c>
      <c r="D11" s="127">
        <f t="shared" ref="D11:S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si="0"/>
        <v>77509.315378990868</v>
      </c>
      <c r="P11" s="127">
        <f t="shared" si="0"/>
        <v>80389.920968883598</v>
      </c>
      <c r="Q11" s="127">
        <f t="shared" si="0"/>
        <v>83394.659634689859</v>
      </c>
      <c r="R11" s="127">
        <f t="shared" si="0"/>
        <v>85062.552827383639</v>
      </c>
      <c r="S11" s="127">
        <f t="shared" si="0"/>
        <v>86763.803883931323</v>
      </c>
    </row>
    <row r="12" spans="1:21" x14ac:dyDescent="0.2">
      <c r="C12" s="180"/>
    </row>
    <row r="13" spans="1:21" ht="13.2" x14ac:dyDescent="0.25">
      <c r="B13" s="1"/>
    </row>
    <row r="14" spans="1:21" ht="13.2" x14ac:dyDescent="0.25">
      <c r="B14" s="1"/>
    </row>
    <row r="21" spans="3:3" x14ac:dyDescent="0.2">
      <c r="C21" s="180"/>
    </row>
    <row r="22" spans="3:3" x14ac:dyDescent="0.2">
      <c r="C22" s="180"/>
    </row>
    <row r="23" spans="3:3" x14ac:dyDescent="0.2">
      <c r="C23" s="180"/>
    </row>
    <row r="24" spans="3:3" x14ac:dyDescent="0.2">
      <c r="C24" s="180"/>
    </row>
    <row r="25" spans="3:3" x14ac:dyDescent="0.2">
      <c r="C25" s="180"/>
    </row>
    <row r="26" spans="3:3" x14ac:dyDescent="0.2">
      <c r="C26" s="180"/>
    </row>
    <row r="27" spans="3:3" x14ac:dyDescent="0.2">
      <c r="C27" s="180"/>
    </row>
  </sheetData>
  <mergeCells count="1">
    <mergeCell ref="C3:S3"/>
  </mergeCells>
  <pageMargins left="0.7" right="0.7" top="0.75" bottom="0.75" header="0.3" footer="0.3"/>
  <pageSetup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U32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6" width="5.88671875" style="8" bestFit="1" customWidth="1"/>
    <col min="7" max="7" width="6.88671875" style="8" bestFit="1" customWidth="1"/>
    <col min="8" max="12" width="10.44140625" style="8" bestFit="1" customWidth="1"/>
    <col min="13" max="19" width="9.109375" style="8"/>
    <col min="20" max="20" width="2" style="8" customWidth="1"/>
    <col min="21" max="16384" width="9.109375" style="8"/>
  </cols>
  <sheetData>
    <row r="1" spans="1:21" ht="15.6" x14ac:dyDescent="0.25">
      <c r="A1" s="213"/>
      <c r="B1" s="2" t="s">
        <v>311</v>
      </c>
    </row>
    <row r="3" spans="1:21" ht="12" x14ac:dyDescent="0.25">
      <c r="C3" s="224" t="s">
        <v>217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1" ht="27" customHeight="1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  <c r="U4" s="6" t="s">
        <v>312</v>
      </c>
    </row>
    <row r="5" spans="1:21" x14ac:dyDescent="0.25">
      <c r="B5" s="8" t="s">
        <v>175</v>
      </c>
      <c r="C5" s="89">
        <f>'Revenue automotive'!C5</f>
        <v>0</v>
      </c>
      <c r="D5" s="89">
        <f>'Revenue automotive'!D5</f>
        <v>0</v>
      </c>
      <c r="E5" s="89">
        <f>'Revenue automotive'!E5</f>
        <v>0</v>
      </c>
      <c r="F5" s="166" t="str">
        <f>'Revenue automotive'!F5</f>
        <v>n.a.</v>
      </c>
      <c r="G5" s="166" t="str">
        <f>'Revenue automotive'!G5</f>
        <v>n.a.</v>
      </c>
      <c r="H5" s="90">
        <f>'Revenue automotive'!H5</f>
        <v>4368</v>
      </c>
      <c r="I5" s="90">
        <f>'Revenue automotive'!I5</f>
        <v>5486.04</v>
      </c>
      <c r="J5" s="90">
        <f>'Revenue automotive'!J5</f>
        <v>10920</v>
      </c>
      <c r="K5" s="90">
        <f>'Revenue automotive'!K5</f>
        <v>17472</v>
      </c>
      <c r="L5" s="90">
        <f>'Revenue automotive'!L5</f>
        <v>19219.200000000004</v>
      </c>
      <c r="M5" s="90">
        <f>'Revenue automotive'!M5</f>
        <v>21141.120000000003</v>
      </c>
      <c r="N5" s="90">
        <f>'Revenue automotive'!N5</f>
        <v>22198.176000000003</v>
      </c>
      <c r="O5" s="90">
        <f>'Revenue automotive'!O5</f>
        <v>23308.084800000008</v>
      </c>
      <c r="P5" s="90">
        <f>'Revenue automotive'!P5</f>
        <v>23774.246496000003</v>
      </c>
      <c r="Q5" s="90">
        <f>'Revenue automotive'!Q5</f>
        <v>24249.731425920007</v>
      </c>
      <c r="R5" s="90">
        <f>'Revenue automotive'!R5</f>
        <v>24734.726054438408</v>
      </c>
      <c r="S5" s="90">
        <f>'Revenue automotive'!S5</f>
        <v>25229.420575527176</v>
      </c>
      <c r="U5" s="99" t="s">
        <v>313</v>
      </c>
    </row>
    <row r="6" spans="1:21" x14ac:dyDescent="0.25">
      <c r="B6" s="8" t="s">
        <v>181</v>
      </c>
      <c r="C6" s="89">
        <f>'Revenue automotive'!C6</f>
        <v>3007.0120000000002</v>
      </c>
      <c r="D6" s="89">
        <f>'Revenue automotive'!D6</f>
        <v>3740.973</v>
      </c>
      <c r="E6" s="89">
        <f>'Revenue automotive'!E6</f>
        <v>6350.7659999999996</v>
      </c>
      <c r="F6" s="166" t="str">
        <f>'Revenue automotive'!F6</f>
        <v>n.a.</v>
      </c>
      <c r="G6" s="166" t="str">
        <f>'Revenue automotive'!G6</f>
        <v>n.a.</v>
      </c>
      <c r="H6" s="90">
        <f>'Revenue automotive'!H6</f>
        <v>4891.25</v>
      </c>
      <c r="I6" s="90">
        <f>'Revenue automotive'!I6</f>
        <v>8750</v>
      </c>
      <c r="J6" s="90">
        <f>'Revenue automotive'!J6</f>
        <v>8925</v>
      </c>
      <c r="K6" s="90">
        <f>'Revenue automotive'!K6</f>
        <v>9103.5</v>
      </c>
      <c r="L6" s="90">
        <f>'Revenue automotive'!L6</f>
        <v>9285.57</v>
      </c>
      <c r="M6" s="90">
        <f>'Revenue automotive'!M6</f>
        <v>9471.2813999999998</v>
      </c>
      <c r="N6" s="90">
        <f>'Revenue automotive'!N6</f>
        <v>9660.7070280000007</v>
      </c>
      <c r="O6" s="90">
        <f>'Revenue automotive'!O6</f>
        <v>9853.9211685600021</v>
      </c>
      <c r="P6" s="90">
        <f>'Revenue automotive'!P6</f>
        <v>10050.9995919312</v>
      </c>
      <c r="Q6" s="90">
        <f>'Revenue automotive'!Q6</f>
        <v>10252.019583769825</v>
      </c>
      <c r="R6" s="90">
        <f>'Revenue automotive'!R6</f>
        <v>10457.059975445223</v>
      </c>
      <c r="S6" s="90">
        <f>'Revenue automotive'!S6</f>
        <v>10666.201174954127</v>
      </c>
      <c r="U6" s="99" t="s">
        <v>313</v>
      </c>
    </row>
    <row r="7" spans="1:21" x14ac:dyDescent="0.25">
      <c r="B7" s="8" t="s">
        <v>176</v>
      </c>
      <c r="C7" s="89">
        <f>'Revenue automotive'!C7</f>
        <v>0</v>
      </c>
      <c r="D7" s="89">
        <f>'Revenue automotive'!D7</f>
        <v>0</v>
      </c>
      <c r="E7" s="89">
        <f>'Revenue automotive'!E7</f>
        <v>0</v>
      </c>
      <c r="F7" s="89">
        <f>'Revenue automotive'!F7</f>
        <v>0</v>
      </c>
      <c r="G7" s="89">
        <f>'Revenue automotive'!G7</f>
        <v>0</v>
      </c>
      <c r="H7" s="90">
        <f>'Revenue automotive'!H7</f>
        <v>0</v>
      </c>
      <c r="I7" s="90">
        <f>'Revenue automotive'!I7</f>
        <v>0</v>
      </c>
      <c r="J7" s="90">
        <f>'Revenue automotive'!J7</f>
        <v>88.2</v>
      </c>
      <c r="K7" s="90">
        <f>'Revenue automotive'!K7</f>
        <v>6531</v>
      </c>
      <c r="L7" s="90">
        <f>'Revenue automotive'!L7</f>
        <v>13000</v>
      </c>
      <c r="M7" s="90">
        <f>'Revenue automotive'!M7</f>
        <v>20800</v>
      </c>
      <c r="N7" s="90">
        <f>'Revenue automotive'!N7</f>
        <v>22880.000000000004</v>
      </c>
      <c r="O7" s="90">
        <f>'Revenue automotive'!O7</f>
        <v>25168.000000000007</v>
      </c>
      <c r="P7" s="90">
        <f>'Revenue automotive'!P7</f>
        <v>26426.400000000009</v>
      </c>
      <c r="Q7" s="90">
        <f>'Revenue automotive'!Q7</f>
        <v>27747.720000000008</v>
      </c>
      <c r="R7" s="90">
        <f>'Revenue automotive'!R7</f>
        <v>28302.674400000007</v>
      </c>
      <c r="S7" s="90">
        <f>'Revenue automotive'!S7</f>
        <v>28868.727888000005</v>
      </c>
      <c r="U7" s="99" t="s">
        <v>313</v>
      </c>
    </row>
    <row r="8" spans="1:21" x14ac:dyDescent="0.25">
      <c r="B8" s="8" t="s">
        <v>178</v>
      </c>
      <c r="C8" s="89">
        <f>'Revenue automotive'!C8</f>
        <v>0</v>
      </c>
      <c r="D8" s="89">
        <f>'Revenue automotive'!D8</f>
        <v>0</v>
      </c>
      <c r="E8" s="89">
        <f>'Revenue automotive'!E8</f>
        <v>0</v>
      </c>
      <c r="F8" s="89">
        <f>'Revenue automotive'!F8</f>
        <v>0</v>
      </c>
      <c r="G8" s="89">
        <f>'Revenue automotive'!G8</f>
        <v>0</v>
      </c>
      <c r="H8" s="90">
        <f>'Revenue automotive'!H8</f>
        <v>0</v>
      </c>
      <c r="I8" s="90">
        <f>'Revenue automotive'!I8</f>
        <v>0</v>
      </c>
      <c r="J8" s="90">
        <f>'Revenue automotive'!J8</f>
        <v>0</v>
      </c>
      <c r="K8" s="90">
        <f>'Revenue automotive'!K8</f>
        <v>115</v>
      </c>
      <c r="L8" s="90">
        <f>'Revenue automotive'!L8</f>
        <v>230</v>
      </c>
      <c r="M8" s="90">
        <f>'Revenue automotive'!M8</f>
        <v>345</v>
      </c>
      <c r="N8" s="90">
        <f>'Revenue automotive'!N8</f>
        <v>379.50000000000006</v>
      </c>
      <c r="O8" s="90">
        <f>'Revenue automotive'!O8</f>
        <v>417.4500000000001</v>
      </c>
      <c r="P8" s="90">
        <f>'Revenue automotive'!P8</f>
        <v>438.3225000000001</v>
      </c>
      <c r="Q8" s="90">
        <f>'Revenue automotive'!Q8</f>
        <v>460.23862500000013</v>
      </c>
      <c r="R8" s="90">
        <f>'Revenue automotive'!R8</f>
        <v>469.44339750000017</v>
      </c>
      <c r="S8" s="90">
        <f>'Revenue automotive'!S8</f>
        <v>478.83226545000019</v>
      </c>
      <c r="U8" s="99" t="s">
        <v>313</v>
      </c>
    </row>
    <row r="9" spans="1:21" x14ac:dyDescent="0.25">
      <c r="B9" s="8" t="s">
        <v>177</v>
      </c>
      <c r="C9" s="89">
        <f>'Revenue automotive'!C9</f>
        <v>0</v>
      </c>
      <c r="D9" s="89">
        <f>'Revenue automotive'!D9</f>
        <v>0</v>
      </c>
      <c r="E9" s="89">
        <f>'Revenue automotive'!E9</f>
        <v>0</v>
      </c>
      <c r="F9" s="89">
        <f>'Revenue automotive'!F9</f>
        <v>0</v>
      </c>
      <c r="G9" s="89">
        <f>'Revenue automotive'!G9</f>
        <v>0</v>
      </c>
      <c r="H9" s="90">
        <f>'Revenue automotive'!H9</f>
        <v>0</v>
      </c>
      <c r="I9" s="90">
        <f>'Revenue automotive'!I9</f>
        <v>0</v>
      </c>
      <c r="J9" s="90">
        <f>'Revenue automotive'!J9</f>
        <v>15.75</v>
      </c>
      <c r="K9" s="90">
        <f>'Revenue automotive'!K9</f>
        <v>1166.25</v>
      </c>
      <c r="L9" s="90">
        <f>'Revenue automotive'!L9</f>
        <v>2321.4285714285716</v>
      </c>
      <c r="M9" s="90">
        <f>'Revenue automotive'!M9</f>
        <v>3714.2857142857151</v>
      </c>
      <c r="N9" s="90">
        <f>'Revenue automotive'!N9</f>
        <v>4085.7142857142867</v>
      </c>
      <c r="O9" s="90">
        <f>'Revenue automotive'!O9</f>
        <v>4494.2857142857165</v>
      </c>
      <c r="P9" s="90">
        <f>'Revenue automotive'!P9</f>
        <v>4719.0000000000018</v>
      </c>
      <c r="Q9" s="90">
        <f>'Revenue automotive'!Q9</f>
        <v>4954.9500000000025</v>
      </c>
      <c r="R9" s="90">
        <f>'Revenue automotive'!R9</f>
        <v>5054.0490000000027</v>
      </c>
      <c r="S9" s="90">
        <f>'Revenue automotive'!S9</f>
        <v>5155.1299800000024</v>
      </c>
      <c r="U9" s="99" t="s">
        <v>314</v>
      </c>
    </row>
    <row r="10" spans="1:21" x14ac:dyDescent="0.25">
      <c r="B10" s="8" t="s">
        <v>174</v>
      </c>
      <c r="C10" s="89">
        <f>'Revenue automotive'!C10</f>
        <v>0</v>
      </c>
      <c r="D10" s="89">
        <f>'Revenue automotive'!D10</f>
        <v>0</v>
      </c>
      <c r="E10" s="89">
        <f>'Revenue automotive'!E10</f>
        <v>0</v>
      </c>
      <c r="F10" s="89">
        <f>'Revenue automotive'!F10</f>
        <v>0</v>
      </c>
      <c r="G10" s="89">
        <f>'Revenue automotive'!G10</f>
        <v>0</v>
      </c>
      <c r="H10" s="90">
        <f>'Revenue automotive'!H10</f>
        <v>0</v>
      </c>
      <c r="I10" s="90">
        <f>'Revenue automotive'!I10</f>
        <v>0</v>
      </c>
      <c r="J10" s="90">
        <f>'Revenue automotive'!J10</f>
        <v>50</v>
      </c>
      <c r="K10" s="90">
        <f>'Revenue automotive'!K10</f>
        <v>3702.3809523809527</v>
      </c>
      <c r="L10" s="90">
        <f>'Revenue automotive'!L10</f>
        <v>7369.6145124716568</v>
      </c>
      <c r="M10" s="90">
        <f>'Revenue automotive'!M10</f>
        <v>11791.38321995465</v>
      </c>
      <c r="N10" s="90">
        <f>'Revenue automotive'!N10</f>
        <v>12970.521541950116</v>
      </c>
      <c r="O10" s="90">
        <f>'Revenue automotive'!O10</f>
        <v>14267.573696145129</v>
      </c>
      <c r="P10" s="90">
        <f>'Revenue automotive'!P10</f>
        <v>14980.952380952387</v>
      </c>
      <c r="Q10" s="90">
        <f>'Revenue automotive'!Q10</f>
        <v>15730.000000000009</v>
      </c>
      <c r="R10" s="90">
        <f>'Revenue automotive'!R10</f>
        <v>16044.600000000009</v>
      </c>
      <c r="S10" s="90">
        <f>'Revenue automotive'!S10</f>
        <v>16365.492000000009</v>
      </c>
      <c r="U10" s="99" t="s">
        <v>315</v>
      </c>
    </row>
    <row r="11" spans="1:21" ht="12.6" thickBot="1" x14ac:dyDescent="0.3">
      <c r="B11" s="116" t="s">
        <v>69</v>
      </c>
      <c r="C11" s="127">
        <f>SUM(C5:C10)</f>
        <v>3007.0120000000002</v>
      </c>
      <c r="D11" s="127">
        <f t="shared" ref="D11:S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si="0"/>
        <v>77509.315378990868</v>
      </c>
      <c r="P11" s="127">
        <f t="shared" si="0"/>
        <v>80389.920968883598</v>
      </c>
      <c r="Q11" s="127">
        <f t="shared" si="0"/>
        <v>83394.659634689859</v>
      </c>
      <c r="R11" s="127">
        <f t="shared" si="0"/>
        <v>85062.552827383639</v>
      </c>
      <c r="S11" s="127">
        <f t="shared" si="0"/>
        <v>86763.803883931323</v>
      </c>
    </row>
    <row r="12" spans="1:21" x14ac:dyDescent="0.2">
      <c r="C12" s="180"/>
    </row>
    <row r="13" spans="1:21" ht="24" x14ac:dyDescent="0.25">
      <c r="B13" s="6"/>
      <c r="C13" s="6" t="s">
        <v>45</v>
      </c>
      <c r="D13" s="6" t="s">
        <v>46</v>
      </c>
      <c r="E13" s="6" t="s">
        <v>47</v>
      </c>
      <c r="F13" s="6" t="s">
        <v>165</v>
      </c>
      <c r="G13" s="6" t="s">
        <v>173</v>
      </c>
      <c r="H13" s="98" t="s">
        <v>184</v>
      </c>
      <c r="I13" s="98" t="s">
        <v>183</v>
      </c>
      <c r="J13" s="98" t="s">
        <v>185</v>
      </c>
      <c r="K13" s="98" t="s">
        <v>186</v>
      </c>
      <c r="L13" s="98" t="s">
        <v>187</v>
      </c>
      <c r="M13" s="98" t="s">
        <v>188</v>
      </c>
      <c r="N13" s="98" t="s">
        <v>189</v>
      </c>
      <c r="O13" s="98" t="s">
        <v>269</v>
      </c>
      <c r="P13" s="98" t="s">
        <v>270</v>
      </c>
      <c r="Q13" s="98" t="s">
        <v>271</v>
      </c>
      <c r="R13" s="98" t="s">
        <v>272</v>
      </c>
      <c r="S13" s="98" t="s">
        <v>273</v>
      </c>
    </row>
    <row r="14" spans="1:21" x14ac:dyDescent="0.2">
      <c r="B14" s="8" t="s">
        <v>313</v>
      </c>
      <c r="C14" s="180"/>
      <c r="H14" s="90">
        <f t="shared" ref="H14:J16" si="1">SUMIF($U$5:$U$10,$B14,H$5:H$10)</f>
        <v>9259.25</v>
      </c>
      <c r="I14" s="90">
        <f t="shared" si="1"/>
        <v>14236.04</v>
      </c>
      <c r="J14" s="90">
        <f t="shared" si="1"/>
        <v>19933.2</v>
      </c>
      <c r="K14" s="90">
        <f t="shared" ref="K14:S16" si="2">SUMIF($U$5:$U$10,$B14,K$5:K$10)</f>
        <v>33221.5</v>
      </c>
      <c r="L14" s="90">
        <f t="shared" si="2"/>
        <v>41734.770000000004</v>
      </c>
      <c r="M14" s="90">
        <f t="shared" si="2"/>
        <v>51757.401400000002</v>
      </c>
      <c r="N14" s="90">
        <f t="shared" si="2"/>
        <v>55118.383028000011</v>
      </c>
      <c r="O14" s="90">
        <f t="shared" si="2"/>
        <v>58747.455968560018</v>
      </c>
      <c r="P14" s="90">
        <f t="shared" si="2"/>
        <v>60689.968587931216</v>
      </c>
      <c r="Q14" s="90">
        <f t="shared" si="2"/>
        <v>62709.70963468984</v>
      </c>
      <c r="R14" s="90">
        <f t="shared" si="2"/>
        <v>63963.903827383634</v>
      </c>
      <c r="S14" s="90">
        <f t="shared" si="2"/>
        <v>65243.181903931305</v>
      </c>
    </row>
    <row r="15" spans="1:21" x14ac:dyDescent="0.25">
      <c r="B15" s="8" t="s">
        <v>314</v>
      </c>
      <c r="H15" s="90">
        <f t="shared" si="1"/>
        <v>0</v>
      </c>
      <c r="I15" s="90">
        <f t="shared" si="1"/>
        <v>0</v>
      </c>
      <c r="J15" s="90">
        <f t="shared" si="1"/>
        <v>15.75</v>
      </c>
      <c r="K15" s="90">
        <f t="shared" si="2"/>
        <v>1166.25</v>
      </c>
      <c r="L15" s="90">
        <f t="shared" si="2"/>
        <v>2321.4285714285716</v>
      </c>
      <c r="M15" s="90">
        <f t="shared" si="2"/>
        <v>3714.2857142857151</v>
      </c>
      <c r="N15" s="90">
        <f t="shared" si="2"/>
        <v>4085.7142857142867</v>
      </c>
      <c r="O15" s="90">
        <f t="shared" si="2"/>
        <v>4494.2857142857165</v>
      </c>
      <c r="P15" s="90">
        <f t="shared" si="2"/>
        <v>4719.0000000000018</v>
      </c>
      <c r="Q15" s="90">
        <f t="shared" si="2"/>
        <v>4954.9500000000025</v>
      </c>
      <c r="R15" s="90">
        <f t="shared" si="2"/>
        <v>5054.0490000000027</v>
      </c>
      <c r="S15" s="90">
        <f t="shared" si="2"/>
        <v>5155.1299800000024</v>
      </c>
    </row>
    <row r="16" spans="1:21" x14ac:dyDescent="0.25">
      <c r="B16" s="8" t="s">
        <v>315</v>
      </c>
      <c r="H16" s="90">
        <f t="shared" si="1"/>
        <v>0</v>
      </c>
      <c r="I16" s="90">
        <f t="shared" si="1"/>
        <v>0</v>
      </c>
      <c r="J16" s="90">
        <f t="shared" si="1"/>
        <v>50</v>
      </c>
      <c r="K16" s="90">
        <f t="shared" si="2"/>
        <v>3702.3809523809527</v>
      </c>
      <c r="L16" s="90">
        <f t="shared" si="2"/>
        <v>7369.6145124716568</v>
      </c>
      <c r="M16" s="90">
        <f t="shared" si="2"/>
        <v>11791.38321995465</v>
      </c>
      <c r="N16" s="90">
        <f t="shared" si="2"/>
        <v>12970.521541950116</v>
      </c>
      <c r="O16" s="90">
        <f t="shared" si="2"/>
        <v>14267.573696145129</v>
      </c>
      <c r="P16" s="90">
        <f t="shared" si="2"/>
        <v>14980.952380952387</v>
      </c>
      <c r="Q16" s="90">
        <f t="shared" si="2"/>
        <v>15730.000000000009</v>
      </c>
      <c r="R16" s="90">
        <f t="shared" si="2"/>
        <v>16044.600000000009</v>
      </c>
      <c r="S16" s="90">
        <f t="shared" si="2"/>
        <v>16365.492000000009</v>
      </c>
    </row>
    <row r="17" spans="2:19" ht="12.6" thickBot="1" x14ac:dyDescent="0.3">
      <c r="B17" s="116" t="s">
        <v>69</v>
      </c>
      <c r="C17" s="127"/>
      <c r="D17" s="127"/>
      <c r="E17" s="127"/>
      <c r="F17" s="127"/>
      <c r="G17" s="127"/>
      <c r="H17" s="127">
        <f>SUM(H14:H16)</f>
        <v>9259.25</v>
      </c>
      <c r="I17" s="127">
        <f t="shared" ref="I17:S17" si="3">SUM(I14:I16)</f>
        <v>14236.04</v>
      </c>
      <c r="J17" s="127">
        <f t="shared" si="3"/>
        <v>19998.95</v>
      </c>
      <c r="K17" s="127">
        <f t="shared" si="3"/>
        <v>38090.130952380954</v>
      </c>
      <c r="L17" s="127">
        <f t="shared" si="3"/>
        <v>51425.813083900233</v>
      </c>
      <c r="M17" s="127">
        <f t="shared" si="3"/>
        <v>67263.070334240372</v>
      </c>
      <c r="N17" s="127">
        <f t="shared" si="3"/>
        <v>72174.618855664419</v>
      </c>
      <c r="O17" s="127">
        <f t="shared" si="3"/>
        <v>77509.315378990868</v>
      </c>
      <c r="P17" s="127">
        <f t="shared" si="3"/>
        <v>80389.920968883598</v>
      </c>
      <c r="Q17" s="127">
        <f t="shared" si="3"/>
        <v>83394.659634689859</v>
      </c>
      <c r="R17" s="127">
        <f t="shared" si="3"/>
        <v>85062.552827383639</v>
      </c>
      <c r="S17" s="127">
        <f t="shared" si="3"/>
        <v>86763.803883931323</v>
      </c>
    </row>
    <row r="18" spans="2:19" ht="13.2" x14ac:dyDescent="0.25">
      <c r="B18" s="1"/>
    </row>
    <row r="19" spans="2:19" ht="13.2" x14ac:dyDescent="0.25">
      <c r="B19" s="1"/>
    </row>
    <row r="26" spans="2:19" x14ac:dyDescent="0.2">
      <c r="C26" s="180"/>
    </row>
    <row r="27" spans="2:19" x14ac:dyDescent="0.2">
      <c r="C27" s="180"/>
    </row>
    <row r="28" spans="2:19" x14ac:dyDescent="0.2">
      <c r="C28" s="180"/>
    </row>
    <row r="29" spans="2:19" x14ac:dyDescent="0.2">
      <c r="C29" s="180"/>
    </row>
    <row r="30" spans="2:19" x14ac:dyDescent="0.2">
      <c r="C30" s="180"/>
    </row>
    <row r="31" spans="2:19" x14ac:dyDescent="0.2">
      <c r="C31" s="180"/>
    </row>
    <row r="32" spans="2:19" x14ac:dyDescent="0.2">
      <c r="C32" s="180"/>
    </row>
  </sheetData>
  <mergeCells count="1">
    <mergeCell ref="C3:S3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S24"/>
  <sheetViews>
    <sheetView workbookViewId="0">
      <selection activeCell="B4" sqref="B4"/>
    </sheetView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5" width="7.21875" style="8" bestFit="1" customWidth="1"/>
    <col min="6" max="6" width="8.109375" style="8" bestFit="1" customWidth="1"/>
    <col min="7" max="7" width="6.88671875" style="8" hidden="1" customWidth="1" outlineLevel="1"/>
    <col min="8" max="8" width="10.44140625" style="8" hidden="1" customWidth="1" outlineLevel="1"/>
    <col min="9" max="9" width="10.5546875" style="8" bestFit="1" customWidth="1" collapsed="1"/>
    <col min="10" max="12" width="10.5546875" style="8" bestFit="1" customWidth="1"/>
    <col min="13" max="19" width="9.21875" style="8" bestFit="1" customWidth="1"/>
    <col min="20" max="20" width="2" style="8" customWidth="1"/>
    <col min="21" max="16384" width="9.109375" style="8"/>
  </cols>
  <sheetData>
    <row r="1" spans="1:19" ht="15.6" x14ac:dyDescent="0.25">
      <c r="A1" s="213"/>
      <c r="B1" s="2" t="s">
        <v>311</v>
      </c>
    </row>
    <row r="3" spans="1:19" x14ac:dyDescent="0.2">
      <c r="C3" s="180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">
      <c r="B5" s="8" t="s">
        <v>316</v>
      </c>
      <c r="C5" s="180">
        <f>'P&amp;L'!C5</f>
        <v>3198.3560000000002</v>
      </c>
      <c r="D5" s="63">
        <f>'P&amp;L'!D5</f>
        <v>4046.0250000000001</v>
      </c>
      <c r="E5" s="63">
        <f>'P&amp;L'!E5</f>
        <v>7000.1319999999996</v>
      </c>
      <c r="F5" s="63">
        <f>'P&amp;L'!F5</f>
        <v>11758.751</v>
      </c>
      <c r="G5" s="63">
        <f>'P&amp;L'!G5</f>
        <v>7410.982</v>
      </c>
      <c r="H5" s="216">
        <f>'P&amp;L'!H5</f>
        <v>10577.234</v>
      </c>
      <c r="I5" s="216">
        <f>'P&amp;L'!I5</f>
        <v>17988.216</v>
      </c>
      <c r="J5" s="216">
        <f>'P&amp;L'!J5</f>
        <v>23056.672880000002</v>
      </c>
      <c r="K5" s="216">
        <f>'P&amp;L'!K5</f>
        <v>41514.780577980957</v>
      </c>
      <c r="L5" s="216">
        <f>'P&amp;L'!L5</f>
        <v>55124.434679548234</v>
      </c>
      <c r="M5" s="216">
        <f>'P&amp;L'!M5</f>
        <v>71183.609225627253</v>
      </c>
      <c r="N5" s="216">
        <f>'P&amp;L'!N5</f>
        <v>76330.390080534518</v>
      </c>
      <c r="O5" s="216">
        <f>'P&amp;L'!O5</f>
        <v>81914.432877353174</v>
      </c>
      <c r="P5" s="216">
        <f>'P&amp;L'!P5</f>
        <v>85059.345517147638</v>
      </c>
      <c r="Q5" s="216">
        <f>'P&amp;L'!Q5</f>
        <v>88344.249655849737</v>
      </c>
      <c r="R5" s="216">
        <f>'P&amp;L'!R5</f>
        <v>90309.118249813109</v>
      </c>
      <c r="S5" s="216">
        <f>'P&amp;L'!S5</f>
        <v>92325.163231706567</v>
      </c>
    </row>
    <row r="6" spans="1:19" x14ac:dyDescent="0.25">
      <c r="B6" s="193" t="s">
        <v>218</v>
      </c>
      <c r="C6" s="217">
        <f t="shared" ref="C6:S6" si="0">C8/C5</f>
        <v>0.27566380978227573</v>
      </c>
      <c r="D6" s="217">
        <f t="shared" si="0"/>
        <v>0.22824945471172328</v>
      </c>
      <c r="E6" s="217">
        <f t="shared" si="0"/>
        <v>0.22846097759299391</v>
      </c>
      <c r="F6" s="217">
        <f t="shared" si="0"/>
        <v>0.18900706376042839</v>
      </c>
      <c r="G6" s="217">
        <f t="shared" si="0"/>
        <v>0.14511653111557957</v>
      </c>
      <c r="H6" s="218">
        <f t="shared" si="0"/>
        <v>5.1191765950821019E-2</v>
      </c>
      <c r="I6" s="218">
        <f t="shared" si="0"/>
        <v>8.9887918142358678E-2</v>
      </c>
      <c r="J6" s="218">
        <f t="shared" si="0"/>
        <v>1.9443735687361553E-2</v>
      </c>
      <c r="K6" s="218">
        <f t="shared" si="0"/>
        <v>1.2094603144115739E-2</v>
      </c>
      <c r="L6" s="218">
        <f t="shared" si="0"/>
        <v>9.8372560646570774E-3</v>
      </c>
      <c r="M6" s="218">
        <f t="shared" si="0"/>
        <v>8.0750270515500423E-3</v>
      </c>
      <c r="N6" s="218">
        <f t="shared" si="0"/>
        <v>7.9823795435669895E-3</v>
      </c>
      <c r="O6" s="218">
        <f t="shared" si="0"/>
        <v>7.8845205942918543E-3</v>
      </c>
      <c r="P6" s="218">
        <f t="shared" si="0"/>
        <v>8.0485852648922319E-3</v>
      </c>
      <c r="Q6" s="218">
        <f t="shared" si="0"/>
        <v>8.2142736114221206E-3</v>
      </c>
      <c r="R6" s="218">
        <f t="shared" si="0"/>
        <v>8.5176877362620161E-3</v>
      </c>
      <c r="S6" s="218">
        <f t="shared" si="0"/>
        <v>8.8315940377172997E-3</v>
      </c>
    </row>
    <row r="7" spans="1:19" x14ac:dyDescent="0.25">
      <c r="B7" s="193" t="s">
        <v>317</v>
      </c>
      <c r="C7" s="217">
        <f t="shared" ref="C7:S7" si="1">C9/C5</f>
        <v>-5.8370300241749079E-2</v>
      </c>
      <c r="D7" s="217">
        <f t="shared" si="1"/>
        <v>-0.17711927138364195</v>
      </c>
      <c r="E7" s="217">
        <f t="shared" si="1"/>
        <v>-9.5332488015940367E-2</v>
      </c>
      <c r="F7" s="217">
        <f t="shared" si="1"/>
        <v>-0.13879756446921945</v>
      </c>
      <c r="G7" s="217">
        <f t="shared" si="1"/>
        <v>-0.16440007545558741</v>
      </c>
      <c r="H7" s="218">
        <f t="shared" si="1"/>
        <v>-0.21363409693112503</v>
      </c>
      <c r="I7" s="218">
        <f t="shared" si="1"/>
        <v>-0.19335012619479283</v>
      </c>
      <c r="J7" s="218">
        <f t="shared" si="1"/>
        <v>-0.10547416057658937</v>
      </c>
      <c r="K7" s="218">
        <f t="shared" si="1"/>
        <v>-0.11282329311983519</v>
      </c>
      <c r="L7" s="218">
        <f t="shared" si="1"/>
        <v>-0.11508064019929384</v>
      </c>
      <c r="M7" s="218">
        <f t="shared" si="1"/>
        <v>-0.11684286921240089</v>
      </c>
      <c r="N7" s="218">
        <f t="shared" si="1"/>
        <v>-0.11693551672038394</v>
      </c>
      <c r="O7" s="218">
        <f t="shared" si="1"/>
        <v>-0.11703337566965906</v>
      </c>
      <c r="P7" s="218">
        <f t="shared" si="1"/>
        <v>-0.11686931099905869</v>
      </c>
      <c r="Q7" s="218">
        <f t="shared" si="1"/>
        <v>-0.1167036226525288</v>
      </c>
      <c r="R7" s="218">
        <f t="shared" si="1"/>
        <v>-0.1164002085276889</v>
      </c>
      <c r="S7" s="218">
        <f t="shared" si="1"/>
        <v>-0.1160863022262336</v>
      </c>
    </row>
    <row r="8" spans="1:19" x14ac:dyDescent="0.2">
      <c r="B8" s="8" t="s">
        <v>77</v>
      </c>
      <c r="C8" s="180">
        <f>'P&amp;L'!C7</f>
        <v>881.67100000000028</v>
      </c>
      <c r="D8" s="63">
        <f>'P&amp;L'!D7</f>
        <v>923.50300000000016</v>
      </c>
      <c r="E8" s="63">
        <f>'P&amp;L'!E7</f>
        <v>1599.2569999999996</v>
      </c>
      <c r="F8" s="63">
        <f>'P&amp;L'!F7</f>
        <v>2222.487000000001</v>
      </c>
      <c r="G8" s="63">
        <f>'P&amp;L'!G7</f>
        <v>1075.4560000000001</v>
      </c>
      <c r="H8" s="216">
        <f>'P&amp;L'!H7</f>
        <v>541.46728733506643</v>
      </c>
      <c r="I8" s="216">
        <f>'P&amp;L'!I7</f>
        <v>1616.9232873350666</v>
      </c>
      <c r="J8" s="216">
        <f>'P&amp;L'!J7</f>
        <v>448.30785330867729</v>
      </c>
      <c r="K8" s="216">
        <f>'P&amp;L'!K7</f>
        <v>502.10479570572352</v>
      </c>
      <c r="L8" s="216">
        <f>'P&amp;L'!L7</f>
        <v>542.27317936217878</v>
      </c>
      <c r="M8" s="216">
        <f>'P&amp;L'!M7</f>
        <v>574.80957012390718</v>
      </c>
      <c r="N8" s="216">
        <f>'P&amp;L'!N7</f>
        <v>609.29814433134743</v>
      </c>
      <c r="O8" s="216">
        <f>'P&amp;L'!O7</f>
        <v>645.85603299122886</v>
      </c>
      <c r="P8" s="216">
        <f>'P&amp;L'!P7</f>
        <v>684.60739497069153</v>
      </c>
      <c r="Q8" s="216">
        <f>'P&amp;L'!Q7</f>
        <v>725.68383866893419</v>
      </c>
      <c r="R8" s="216">
        <f>'P&amp;L'!R7</f>
        <v>769.22486898906936</v>
      </c>
      <c r="S8" s="216">
        <f>'P&amp;L'!S7</f>
        <v>815.37836112841615</v>
      </c>
    </row>
    <row r="9" spans="1:19" x14ac:dyDescent="0.2">
      <c r="B9" s="8" t="s">
        <v>43</v>
      </c>
      <c r="C9" s="180">
        <f>'P&amp;L'!C9</f>
        <v>-186.68899999999962</v>
      </c>
      <c r="D9" s="180">
        <f>'P&amp;L'!D9</f>
        <v>-716.62899999999991</v>
      </c>
      <c r="E9" s="180">
        <f>'P&amp;L'!E9</f>
        <v>-667.3400000000006</v>
      </c>
      <c r="F9" s="180">
        <f>'P&amp;L'!F9</f>
        <v>-1632.0859999999989</v>
      </c>
      <c r="G9" s="8">
        <f>'P&amp;L'!G9</f>
        <v>-1218.366</v>
      </c>
      <c r="H9" s="90">
        <f>'P&amp;L'!H9</f>
        <v>-2259.6578336191915</v>
      </c>
      <c r="I9" s="90">
        <f>'P&amp;L'!I9</f>
        <v>-3478.0238336191915</v>
      </c>
      <c r="J9" s="90">
        <f>'P&amp;L'!J9</f>
        <v>-2431.8832177070135</v>
      </c>
      <c r="K9" s="90">
        <f>'P&amp;L'!K9</f>
        <v>-4683.8342579551863</v>
      </c>
      <c r="L9" s="90">
        <f>'P&amp;L'!L9</f>
        <v>-6343.7552335465662</v>
      </c>
      <c r="M9" s="90">
        <f>'P&amp;L'!M9</f>
        <v>-8317.2971428166184</v>
      </c>
      <c r="N9" s="90">
        <f>'P&amp;L'!N9</f>
        <v>-8925.7336055357719</v>
      </c>
      <c r="O9" s="90">
        <f>'P&amp;L'!O9</f>
        <v>-9586.7225957023456</v>
      </c>
      <c r="P9" s="90">
        <f>'P&amp;L'!P9</f>
        <v>-9940.8271046199152</v>
      </c>
      <c r="Q9" s="90">
        <f>'P&amp;L'!Q9</f>
        <v>-10310.093975357086</v>
      </c>
      <c r="R9" s="90">
        <f>'P&amp;L'!R9</f>
        <v>-10512.000196229961</v>
      </c>
      <c r="S9" s="90">
        <f>'P&amp;L'!S9</f>
        <v>-10717.686802002239</v>
      </c>
    </row>
    <row r="10" spans="1:19" ht="13.2" x14ac:dyDescent="0.25">
      <c r="B10" s="1"/>
    </row>
    <row r="11" spans="1:19" ht="13.2" x14ac:dyDescent="0.25">
      <c r="B11" s="1"/>
    </row>
    <row r="18" spans="3:3" x14ac:dyDescent="0.2">
      <c r="C18" s="180"/>
    </row>
    <row r="19" spans="3:3" x14ac:dyDescent="0.2">
      <c r="C19" s="180"/>
    </row>
    <row r="20" spans="3:3" x14ac:dyDescent="0.2">
      <c r="C20" s="180"/>
    </row>
    <row r="21" spans="3:3" x14ac:dyDescent="0.2">
      <c r="C21" s="180"/>
    </row>
    <row r="22" spans="3:3" x14ac:dyDescent="0.2">
      <c r="C22" s="180"/>
    </row>
    <row r="23" spans="3:3" x14ac:dyDescent="0.2">
      <c r="C23" s="180"/>
    </row>
    <row r="24" spans="3:3" x14ac:dyDescent="0.2">
      <c r="C24" s="180"/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168</v>
      </c>
    </row>
    <row r="3" spans="2:7" ht="24" x14ac:dyDescent="0.25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167</v>
      </c>
      <c r="G3" s="65" t="s">
        <v>169</v>
      </c>
    </row>
    <row r="4" spans="2:7" x14ac:dyDescent="0.25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5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5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5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5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ht="12" x14ac:dyDescent="0.25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5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5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5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5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5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5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5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6" thickBot="1" x14ac:dyDescent="0.3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5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5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5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5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5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5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5">
      <c r="B24" s="8" t="s">
        <v>25</v>
      </c>
      <c r="C24" s="80">
        <v>0</v>
      </c>
      <c r="D24" s="80"/>
      <c r="E24" s="80"/>
      <c r="F24" s="73"/>
      <c r="G24" s="74"/>
    </row>
    <row r="25" spans="2:7" x14ac:dyDescent="0.25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ht="12" x14ac:dyDescent="0.25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5">
      <c r="B27" s="8" t="s">
        <v>28</v>
      </c>
      <c r="C27" s="80"/>
      <c r="D27" s="80"/>
      <c r="E27" s="80"/>
      <c r="F27" s="80"/>
      <c r="G27" s="81"/>
    </row>
    <row r="28" spans="2:7" x14ac:dyDescent="0.25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5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ht="12" x14ac:dyDescent="0.25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ht="12" x14ac:dyDescent="0.25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5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6" thickBot="1" x14ac:dyDescent="0.3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5">
      <c r="F34" s="63"/>
    </row>
    <row r="35" spans="2:7" x14ac:dyDescent="0.2">
      <c r="B35" s="68" t="s">
        <v>171</v>
      </c>
      <c r="C35" s="67"/>
      <c r="D35" s="67"/>
      <c r="E35" s="67"/>
      <c r="F35" s="67"/>
      <c r="G35" s="67"/>
    </row>
    <row r="36" spans="2:7" x14ac:dyDescent="0.2">
      <c r="B36" s="68" t="s">
        <v>349</v>
      </c>
      <c r="C36" s="67"/>
      <c r="D36" s="67"/>
      <c r="E36" s="67"/>
      <c r="F36" s="67"/>
      <c r="G36" s="67"/>
    </row>
    <row r="37" spans="2:7" x14ac:dyDescent="0.2">
      <c r="B37" s="66" t="s">
        <v>351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352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353</v>
      </c>
      <c r="C43" s="67"/>
      <c r="D43" s="67"/>
      <c r="E43" s="67"/>
      <c r="F43" s="67"/>
      <c r="G43" s="67"/>
    </row>
    <row r="44" spans="2:7" x14ac:dyDescent="0.2">
      <c r="B44" s="66" t="s">
        <v>350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354</v>
      </c>
      <c r="C45" s="223" t="s">
        <v>355</v>
      </c>
      <c r="D45" s="223" t="s">
        <v>355</v>
      </c>
      <c r="E45" s="223" t="s">
        <v>355</v>
      </c>
      <c r="F45" s="223" t="s">
        <v>355</v>
      </c>
      <c r="G45" s="223" t="s">
        <v>355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workbookViewId="0"/>
  </sheetViews>
  <sheetFormatPr defaultColWidth="9.109375" defaultRowHeight="11.4" x14ac:dyDescent="0.25"/>
  <cols>
    <col min="1" max="1" width="2" style="8" customWidth="1"/>
    <col min="2" max="2" width="23.33203125" style="8" customWidth="1"/>
    <col min="3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331</v>
      </c>
    </row>
    <row r="3" spans="1:3" x14ac:dyDescent="0.25">
      <c r="B3" s="8" t="s">
        <v>322</v>
      </c>
      <c r="C3" s="174">
        <f>'Revenue automotive'!F11*1000/Deliveries!F11</f>
        <v>93.535837634366871</v>
      </c>
    </row>
    <row r="4" spans="1:3" x14ac:dyDescent="0.25">
      <c r="B4" s="8" t="s">
        <v>323</v>
      </c>
      <c r="C4" s="174">
        <f>'Revenue automotive'!I11*1000/Deliveries!I11</f>
        <v>61.729425028184892</v>
      </c>
    </row>
    <row r="5" spans="1:3" x14ac:dyDescent="0.25">
      <c r="B5" s="8" t="s">
        <v>324</v>
      </c>
      <c r="C5" s="174">
        <f>'Revenue automotive'!J11*1000/Deliveries!J11</f>
        <v>54.90235104210133</v>
      </c>
    </row>
    <row r="7" spans="1:3" x14ac:dyDescent="0.2">
      <c r="B7" s="8" t="s">
        <v>325</v>
      </c>
      <c r="C7" s="180">
        <f>Deliveries!F11</f>
        <v>103076</v>
      </c>
    </row>
    <row r="8" spans="1:3" x14ac:dyDescent="0.2">
      <c r="B8" s="8" t="s">
        <v>326</v>
      </c>
      <c r="C8" s="180">
        <f>Deliveries!I11</f>
        <v>230620</v>
      </c>
    </row>
    <row r="9" spans="1:3" x14ac:dyDescent="0.2">
      <c r="B9" s="8" t="s">
        <v>327</v>
      </c>
      <c r="C9" s="180">
        <f>Deliveries!J11</f>
        <v>364264</v>
      </c>
    </row>
    <row r="11" spans="1:3" x14ac:dyDescent="0.2">
      <c r="B11" s="8" t="s">
        <v>320</v>
      </c>
      <c r="C11" s="180">
        <f>'Revenue automotive'!F11</f>
        <v>9641.2999999999993</v>
      </c>
    </row>
    <row r="12" spans="1:3" x14ac:dyDescent="0.2">
      <c r="B12" s="8" t="s">
        <v>328</v>
      </c>
      <c r="C12" s="180">
        <f>(C8-C7)*C3/1000</f>
        <v>11929.934875237688</v>
      </c>
    </row>
    <row r="13" spans="1:3" x14ac:dyDescent="0.2">
      <c r="B13" s="8" t="s">
        <v>329</v>
      </c>
      <c r="C13" s="180">
        <f>C7*(C4-C3)/1000</f>
        <v>-3278.4777857948138</v>
      </c>
    </row>
    <row r="14" spans="1:3" x14ac:dyDescent="0.2">
      <c r="B14" s="8" t="s">
        <v>330</v>
      </c>
      <c r="C14" s="180">
        <f>(C8-C7)*(C4-C3)/1000</f>
        <v>-4056.7170894428741</v>
      </c>
    </row>
    <row r="15" spans="1:3" x14ac:dyDescent="0.2">
      <c r="B15" s="8" t="s">
        <v>321</v>
      </c>
      <c r="C15" s="180">
        <f>'Revenue automotive'!I11</f>
        <v>14236.04</v>
      </c>
    </row>
    <row r="16" spans="1:3" x14ac:dyDescent="0.2">
      <c r="C16" s="180"/>
    </row>
    <row r="17" spans="2:3" x14ac:dyDescent="0.2">
      <c r="C17" s="180"/>
    </row>
    <row r="18" spans="2:3" x14ac:dyDescent="0.2">
      <c r="C18" s="180"/>
    </row>
    <row r="19" spans="2:3" x14ac:dyDescent="0.2">
      <c r="C19" s="180"/>
    </row>
    <row r="20" spans="2:3" x14ac:dyDescent="0.2">
      <c r="C20" s="180"/>
    </row>
    <row r="21" spans="2:3" x14ac:dyDescent="0.2">
      <c r="B21" s="8" t="s">
        <v>321</v>
      </c>
      <c r="C21" s="180">
        <f>'Revenue automotive'!I11</f>
        <v>14236.04</v>
      </c>
    </row>
    <row r="22" spans="2:3" x14ac:dyDescent="0.2">
      <c r="B22" s="8" t="s">
        <v>328</v>
      </c>
      <c r="C22" s="180">
        <f>(C9-C8)*C4/1000</f>
        <v>8249.7672784667411</v>
      </c>
    </row>
    <row r="23" spans="2:3" x14ac:dyDescent="0.2">
      <c r="B23" s="8" t="s">
        <v>329</v>
      </c>
      <c r="C23" s="180">
        <f>C8*(C5-C4)/1000</f>
        <v>-1574.459802670591</v>
      </c>
    </row>
    <row r="24" spans="2:3" x14ac:dyDescent="0.2">
      <c r="B24" s="8" t="s">
        <v>330</v>
      </c>
      <c r="C24" s="180">
        <f>(C9-C8)*(C5-C4)/1000</f>
        <v>-912.39747579615153</v>
      </c>
    </row>
    <row r="25" spans="2:3" x14ac:dyDescent="0.2">
      <c r="B25" s="8" t="s">
        <v>332</v>
      </c>
      <c r="C25" s="180">
        <f>'Revenue automotive'!J11</f>
        <v>19998.95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253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180</v>
      </c>
    </row>
    <row r="2" spans="1:19" ht="15.6" x14ac:dyDescent="0.25">
      <c r="A2" s="1"/>
      <c r="B2" s="2"/>
    </row>
    <row r="3" spans="1:19" ht="12" x14ac:dyDescent="0.25">
      <c r="C3" s="224" t="s">
        <v>182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175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5">
      <c r="B6" s="8" t="s">
        <v>181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5">
      <c r="B7" s="8" t="s">
        <v>176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5">
      <c r="B8" s="8" t="s">
        <v>178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5">
      <c r="B9" s="8" t="s">
        <v>177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5">
      <c r="B10" s="8" t="s">
        <v>174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6" thickBot="1" x14ac:dyDescent="0.3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5"/>
    <row r="13" spans="1:19" x14ac:dyDescent="0.25">
      <c r="B13" s="91" t="s">
        <v>190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5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5">
      <c r="B15" s="92" t="s">
        <v>175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5">
      <c r="B16" s="92" t="s">
        <v>181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5">
      <c r="B17" s="92" t="s">
        <v>176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5">
      <c r="B18" s="92" t="s">
        <v>178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5">
      <c r="B19" s="92" t="s">
        <v>177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5">
      <c r="B20" s="92" t="s">
        <v>174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5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5">
      <c r="B24" s="8" t="s">
        <v>266</v>
      </c>
    </row>
    <row r="25" spans="2:19" x14ac:dyDescent="0.25">
      <c r="B25" s="8" t="s">
        <v>267</v>
      </c>
      <c r="C25" s="34">
        <v>0.1</v>
      </c>
    </row>
    <row r="26" spans="2:19" x14ac:dyDescent="0.25">
      <c r="B26" s="8" t="s">
        <v>267</v>
      </c>
      <c r="C26" s="34">
        <v>0.05</v>
      </c>
    </row>
    <row r="27" spans="2:19" x14ac:dyDescent="0.25">
      <c r="B27" s="8" t="s">
        <v>268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Other charts --&gt;</vt:lpstr>
      <vt:lpstr>Revenue by type of car</vt:lpstr>
      <vt:lpstr>Types of vehicles</vt:lpstr>
      <vt:lpstr>Profitability</vt:lpstr>
      <vt:lpstr>Price - Volume - Mix --&gt;</vt:lpstr>
      <vt:lpstr>Price-Volume-Mix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2018-11-09T13:22:40Z</dcterms:modified>
</cp:coreProperties>
</file>