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uropeanCall_EG" sheetId="1" r:id="rId4"/>
    <sheet name="AmericanPut_EG" sheetId="2" r:id="rId5"/>
    <sheet name="OptionsOnFuturesEG" sheetId="3" r:id="rId6"/>
    <sheet name="15PeriodBinomialModel" sheetId="4" r:id="rId7"/>
  </sheets>
</workbook>
</file>

<file path=xl/comments1.xml><?xml version="1.0" encoding="utf-8"?>
<comments xmlns="http://schemas.openxmlformats.org/spreadsheetml/2006/main">
  <authors>
    <author>mhaugh</author>
  </authors>
  <commentList>
    <comment ref="I2" authorId="0">
      <text>
        <r>
          <rPr>
            <sz val="11"/>
            <color indexed="8"/>
            <rFont val="Helvetica Neue"/>
          </rPr>
          <t>mhaugh:
1 for a call, -1 for a put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F2" authorId="0">
      <text>
        <r>
          <rPr>
            <sz val="11"/>
            <color indexed="8"/>
            <rFont val="Helvetica Neue"/>
          </rPr>
          <t>mhaugh:
1 for a call, -1 for a put</t>
        </r>
      </text>
    </comment>
  </commentList>
</comments>
</file>

<file path=xl/sharedStrings.xml><?xml version="1.0" encoding="utf-8"?>
<sst xmlns="http://schemas.openxmlformats.org/spreadsheetml/2006/main" uniqueCount="34">
  <si>
    <t>Lattice Parameters</t>
  </si>
  <si>
    <t>Option Parameters</t>
  </si>
  <si>
    <t>Initial Price</t>
  </si>
  <si>
    <t>Strike</t>
  </si>
  <si>
    <t>T (years)</t>
  </si>
  <si>
    <t>volatility</t>
  </si>
  <si>
    <t># Periods</t>
  </si>
  <si>
    <t>R</t>
  </si>
  <si>
    <t>u</t>
  </si>
  <si>
    <t>d</t>
  </si>
  <si>
    <t>q</t>
  </si>
  <si>
    <t>1-q</t>
  </si>
  <si>
    <t>Stock-Lattice</t>
  </si>
  <si>
    <t>t = 0</t>
  </si>
  <si>
    <t>t = 1</t>
  </si>
  <si>
    <t>t = 2</t>
  </si>
  <si>
    <t>t = 3</t>
  </si>
  <si>
    <t>Option-Lattice</t>
  </si>
  <si>
    <t>Futures Parameters</t>
  </si>
  <si>
    <t>Expiration</t>
  </si>
  <si>
    <t>Call / Put</t>
  </si>
  <si>
    <t>Type</t>
  </si>
  <si>
    <t>European</t>
  </si>
  <si>
    <t>r</t>
  </si>
  <si>
    <t>Div-Yield</t>
  </si>
  <si>
    <t>t = 4</t>
  </si>
  <si>
    <t>t = 5</t>
  </si>
  <si>
    <t>t = 6</t>
  </si>
  <si>
    <t>t = 7</t>
  </si>
  <si>
    <t>t = 8</t>
  </si>
  <si>
    <t>t = 9</t>
  </si>
  <si>
    <t>t = 10</t>
  </si>
  <si>
    <t>Futures-Lattice</t>
  </si>
  <si>
    <t>Share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</si>
</sst>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.0%"/>
    <numFmt numFmtId="60" formatCode="0.00000"/>
    <numFmt numFmtId="61" formatCode="0.0"/>
    <numFmt numFmtId="62" formatCode="0.000"/>
  </numFmts>
  <fonts count="8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0"/>
      <color indexed="8"/>
      <name val="Arial"/>
    </font>
    <font>
      <b val="1"/>
      <sz val="10"/>
      <color indexed="8"/>
      <name val="Times New Roman"/>
    </font>
    <font>
      <sz val="10"/>
      <color indexed="8"/>
      <name val="Times New Roman"/>
    </font>
    <font>
      <b val="1"/>
      <sz val="10"/>
      <color indexed="8"/>
      <name val="Arial"/>
    </font>
    <font>
      <sz val="11"/>
      <color indexed="8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4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medium">
        <color indexed="8"/>
      </right>
      <top style="thin">
        <color indexed="11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11"/>
      </right>
      <top style="medium">
        <color indexed="8"/>
      </top>
      <bottom/>
      <diagonal/>
    </border>
    <border>
      <left/>
      <right style="thin">
        <color indexed="11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1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1"/>
      </left>
      <right style="medium">
        <color indexed="8"/>
      </right>
      <top/>
      <bottom style="thin">
        <color indexed="11"/>
      </bottom>
      <diagonal/>
    </border>
    <border>
      <left style="medium">
        <color indexed="8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0" fontId="0" fillId="3" borderId="3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4" fillId="3" borderId="4" applyNumberFormat="0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horizontal="center" vertical="bottom"/>
    </xf>
    <xf numFmtId="0" fontId="3" fillId="2" borderId="7" applyNumberFormat="0" applyFont="1" applyFill="1" applyBorder="1" applyAlignment="1" applyProtection="0">
      <alignment horizontal="center" vertical="bottom"/>
    </xf>
    <xf numFmtId="49" fontId="5" fillId="4" borderId="8" applyNumberFormat="1" applyFont="1" applyFill="1" applyBorder="1" applyAlignment="1" applyProtection="0">
      <alignment horizontal="center" vertical="bottom"/>
    </xf>
    <xf numFmtId="0" fontId="3" fillId="3" borderId="8" applyNumberFormat="1" applyFont="1" applyFill="1" applyBorder="1" applyAlignment="1" applyProtection="0">
      <alignment horizontal="center" vertical="bottom"/>
    </xf>
    <xf numFmtId="0" fontId="0" fillId="3" borderId="9" applyNumberFormat="0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49" fontId="6" fillId="4" borderId="12" applyNumberFormat="1" applyFont="1" applyFill="1" applyBorder="1" applyAlignment="1" applyProtection="0">
      <alignment vertical="bottom"/>
    </xf>
    <xf numFmtId="0" fontId="3" fillId="3" borderId="12" applyNumberFormat="1" applyFont="1" applyFill="1" applyBorder="1" applyAlignment="1" applyProtection="0">
      <alignment horizontal="center" vertical="bottom"/>
    </xf>
    <xf numFmtId="49" fontId="5" fillId="4" borderId="13" applyNumberFormat="1" applyFont="1" applyFill="1" applyBorder="1" applyAlignment="1" applyProtection="0">
      <alignment horizontal="center" vertical="bottom"/>
    </xf>
    <xf numFmtId="2" fontId="0" fillId="3" borderId="13" applyNumberFormat="1" applyFont="1" applyFill="1" applyBorder="1" applyAlignment="1" applyProtection="0">
      <alignment horizontal="center" vertical="bottom"/>
    </xf>
    <xf numFmtId="2" fontId="4" fillId="3" borderId="10" applyNumberFormat="1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59" fontId="0" fillId="3" borderId="13" applyNumberFormat="1" applyFont="1" applyFill="1" applyBorder="1" applyAlignment="1" applyProtection="0">
      <alignment horizontal="center" vertical="bottom"/>
    </xf>
    <xf numFmtId="0" fontId="0" fillId="3" borderId="16" applyNumberFormat="0" applyFont="1" applyFill="1" applyBorder="1" applyAlignment="1" applyProtection="0">
      <alignment vertical="bottom"/>
    </xf>
    <xf numFmtId="0" fontId="3" fillId="3" borderId="13" applyNumberFormat="1" applyFont="1" applyFill="1" applyBorder="1" applyAlignment="1" applyProtection="0">
      <alignment horizontal="center" vertical="bottom"/>
    </xf>
    <xf numFmtId="10" fontId="4" fillId="3" borderId="10" applyNumberFormat="1" applyFont="1" applyFill="1" applyBorder="1" applyAlignment="1" applyProtection="0">
      <alignment vertical="bottom"/>
    </xf>
    <xf numFmtId="49" fontId="5" fillId="4" borderId="17" applyNumberFormat="1" applyFont="1" applyFill="1" applyBorder="1" applyAlignment="1" applyProtection="0">
      <alignment horizontal="center" vertical="bottom"/>
    </xf>
    <xf numFmtId="2" fontId="0" fillId="3" borderId="17" applyNumberFormat="1" applyFont="1" applyFill="1" applyBorder="1" applyAlignment="1" applyProtection="0">
      <alignment horizontal="center" vertical="bottom"/>
    </xf>
    <xf numFmtId="49" fontId="5" fillId="5" borderId="8" applyNumberFormat="1" applyFont="1" applyFill="1" applyBorder="1" applyAlignment="1" applyProtection="0">
      <alignment horizontal="center" vertical="bottom"/>
    </xf>
    <xf numFmtId="60" fontId="3" fillId="3" borderId="8" applyNumberFormat="1" applyFont="1" applyFill="1" applyBorder="1" applyAlignment="1" applyProtection="0">
      <alignment horizontal="center" vertical="bottom"/>
    </xf>
    <xf numFmtId="49" fontId="5" fillId="5" borderId="13" applyNumberFormat="1" applyFont="1" applyFill="1" applyBorder="1" applyAlignment="1" applyProtection="0">
      <alignment horizontal="center" vertical="bottom"/>
    </xf>
    <xf numFmtId="60" fontId="3" fillId="3" borderId="13" applyNumberFormat="1" applyFont="1" applyFill="1" applyBorder="1" applyAlignment="1" applyProtection="0">
      <alignment horizontal="center" vertical="bottom"/>
    </xf>
    <xf numFmtId="0" fontId="3" fillId="3" borderId="10" applyNumberFormat="0" applyFont="1" applyFill="1" applyBorder="1" applyAlignment="1" applyProtection="0">
      <alignment horizontal="right" vertical="bottom"/>
    </xf>
    <xf numFmtId="10" fontId="3" fillId="3" borderId="13" applyNumberFormat="1" applyFont="1" applyFill="1" applyBorder="1" applyAlignment="1" applyProtection="0">
      <alignment horizontal="center" vertical="bottom"/>
    </xf>
    <xf numFmtId="49" fontId="3" fillId="5" borderId="17" applyNumberFormat="1" applyFont="1" applyFill="1" applyBorder="1" applyAlignment="1" applyProtection="0">
      <alignment horizontal="center" vertical="bottom"/>
    </xf>
    <xf numFmtId="10" fontId="3" fillId="3" borderId="17" applyNumberFormat="1" applyFont="1" applyFill="1" applyBorder="1" applyAlignment="1" applyProtection="0">
      <alignment horizontal="center" vertical="bottom"/>
    </xf>
    <xf numFmtId="1" fontId="5" fillId="3" borderId="10" applyNumberFormat="1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61" fontId="3" fillId="3" borderId="10" applyNumberFormat="1" applyFont="1" applyFill="1" applyBorder="1" applyAlignment="1" applyProtection="0">
      <alignment horizontal="center" vertical="bottom"/>
    </xf>
    <xf numFmtId="0" fontId="0" fillId="3" borderId="19" applyNumberFormat="0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61" fontId="3" fillId="3" borderId="21" applyNumberFormat="1" applyFont="1" applyFill="1" applyBorder="1" applyAlignment="1" applyProtection="0">
      <alignment horizontal="center" vertical="bottom"/>
    </xf>
    <xf numFmtId="49" fontId="6" fillId="6" borderId="1" applyNumberFormat="1" applyFont="1" applyFill="1" applyBorder="1" applyAlignment="1" applyProtection="0">
      <alignment horizontal="center" vertical="bottom"/>
    </xf>
    <xf numFmtId="61" fontId="6" fillId="6" borderId="2" applyNumberFormat="1" applyFont="1" applyFill="1" applyBorder="1" applyAlignment="1" applyProtection="0">
      <alignment horizontal="center" vertical="bottom"/>
    </xf>
    <xf numFmtId="61" fontId="3" fillId="3" borderId="22" applyNumberFormat="1" applyFont="1" applyFill="1" applyBorder="1" applyAlignment="1" applyProtection="0">
      <alignment horizontal="center" vertical="bottom"/>
    </xf>
    <xf numFmtId="61" fontId="3" fillId="3" borderId="23" applyNumberFormat="1" applyFont="1" applyFill="1" applyBorder="1" applyAlignment="1" applyProtection="0">
      <alignment horizontal="center" vertical="bottom"/>
    </xf>
    <xf numFmtId="61" fontId="3" fillId="3" borderId="9" applyNumberFormat="1" applyFont="1" applyFill="1" applyBorder="1" applyAlignment="1" applyProtection="0">
      <alignment horizontal="center" vertical="bottom"/>
    </xf>
    <xf numFmtId="62" fontId="3" fillId="3" borderId="22" applyNumberFormat="1" applyFont="1" applyFill="1" applyBorder="1" applyAlignment="1" applyProtection="0">
      <alignment horizontal="center" vertical="bottom"/>
    </xf>
    <xf numFmtId="62" fontId="3" fillId="3" borderId="14" applyNumberFormat="1" applyFont="1" applyFill="1" applyBorder="1" applyAlignment="1" applyProtection="0">
      <alignment horizontal="center" vertical="bottom"/>
    </xf>
    <xf numFmtId="62" fontId="3" fillId="3" borderId="10" applyNumberFormat="1" applyFont="1" applyFill="1" applyBorder="1" applyAlignment="1" applyProtection="0">
      <alignment horizontal="center" vertical="bottom"/>
    </xf>
    <xf numFmtId="62" fontId="3" fillId="3" borderId="11" applyNumberFormat="1" applyFont="1" applyFill="1" applyBorder="1" applyAlignment="1" applyProtection="0">
      <alignment horizontal="center" vertical="bottom"/>
    </xf>
    <xf numFmtId="62" fontId="3" fillId="3" borderId="9" applyNumberFormat="1" applyFont="1" applyFill="1" applyBorder="1" applyAlignment="1" applyProtection="0">
      <alignment horizontal="center" vertical="bottom"/>
    </xf>
    <xf numFmtId="61" fontId="6" fillId="3" borderId="10" applyNumberFormat="1" applyFont="1" applyFill="1" applyBorder="1" applyAlignment="1" applyProtection="0">
      <alignment horizontal="center" vertical="bottom"/>
    </xf>
    <xf numFmtId="61" fontId="3" fillId="3" borderId="11" applyNumberFormat="1" applyFont="1" applyFill="1" applyBorder="1" applyAlignment="1" applyProtection="0">
      <alignment horizontal="center" vertical="bottom"/>
    </xf>
    <xf numFmtId="61" fontId="6" fillId="3" borderId="21" applyNumberFormat="1" applyFont="1" applyFill="1" applyBorder="1" applyAlignment="1" applyProtection="0">
      <alignment horizontal="center" vertical="bottom"/>
    </xf>
    <xf numFmtId="49" fontId="6" fillId="3" borderId="24" applyNumberFormat="1" applyFont="1" applyFill="1" applyBorder="1" applyAlignment="1" applyProtection="0">
      <alignment horizontal="center" vertical="bottom"/>
    </xf>
    <xf numFmtId="49" fontId="6" fillId="3" borderId="20" applyNumberFormat="1" applyFont="1" applyFill="1" applyBorder="1" applyAlignment="1" applyProtection="0">
      <alignment horizontal="center" vertical="bottom"/>
    </xf>
    <xf numFmtId="49" fontId="6" fillId="3" borderId="25" applyNumberFormat="1" applyFont="1" applyFill="1" applyBorder="1" applyAlignment="1" applyProtection="0">
      <alignment horizontal="center" vertical="bottom"/>
    </xf>
    <xf numFmtId="61" fontId="6" fillId="3" borderId="9" applyNumberFormat="1" applyFont="1" applyFill="1" applyBorder="1" applyAlignment="1" applyProtection="0">
      <alignment horizontal="center" vertical="bottom"/>
    </xf>
    <xf numFmtId="61" fontId="6" fillId="3" borderId="26" applyNumberFormat="1" applyFont="1" applyFill="1" applyBorder="1" applyAlignment="1" applyProtection="0">
      <alignment horizontal="center" vertical="bottom"/>
    </xf>
    <xf numFmtId="61" fontId="6" fillId="3" borderId="27" applyNumberFormat="1" applyFont="1" applyFill="1" applyBorder="1" applyAlignment="1" applyProtection="0">
      <alignment horizontal="center" vertical="bottom"/>
    </xf>
    <xf numFmtId="0" fontId="0" fillId="3" borderId="28" applyNumberFormat="0" applyFont="1" applyFill="1" applyBorder="1" applyAlignment="1" applyProtection="0">
      <alignment vertical="bottom"/>
    </xf>
    <xf numFmtId="0" fontId="0" fillId="3" borderId="2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2" fontId="3" fillId="3" borderId="22" applyNumberFormat="1" applyFont="1" applyFill="1" applyBorder="1" applyAlignment="1" applyProtection="0">
      <alignment horizontal="center" vertical="bottom"/>
    </xf>
    <xf numFmtId="2" fontId="3" fillId="3" borderId="14" applyNumberFormat="1" applyFont="1" applyFill="1" applyBorder="1" applyAlignment="1" applyProtection="0">
      <alignment horizontal="center" vertical="bottom"/>
    </xf>
    <xf numFmtId="2" fontId="3" fillId="3" borderId="10" applyNumberFormat="1" applyFont="1" applyFill="1" applyBorder="1" applyAlignment="1" applyProtection="0">
      <alignment horizontal="center" vertical="bottom"/>
    </xf>
    <xf numFmtId="2" fontId="3" fillId="3" borderId="11" applyNumberFormat="1" applyFont="1" applyFill="1" applyBorder="1" applyAlignment="1" applyProtection="0">
      <alignment horizontal="center" vertical="bottom"/>
    </xf>
    <xf numFmtId="2" fontId="3" fillId="3" borderId="9" applyNumberFormat="1" applyFont="1" applyFill="1" applyBorder="1" applyAlignment="1" applyProtection="0">
      <alignment horizontal="center" vertical="bottom"/>
    </xf>
    <xf numFmtId="61" fontId="3" fillId="3" borderId="14" applyNumberFormat="1" applyFont="1" applyFill="1" applyBorder="1" applyAlignment="1" applyProtection="0">
      <alignment horizontal="center" vertical="bottom"/>
    </xf>
    <xf numFmtId="61" fontId="3" fillId="7" borderId="10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fillId="3" borderId="30" applyNumberFormat="0" applyFont="1" applyFill="1" applyBorder="1" applyAlignment="1" applyProtection="0">
      <alignment vertical="bottom"/>
    </xf>
    <xf numFmtId="49" fontId="0" fillId="4" borderId="31" applyNumberFormat="1" applyFont="1" applyFill="1" applyBorder="1" applyAlignment="1" applyProtection="0">
      <alignment vertical="bottom"/>
    </xf>
    <xf numFmtId="0" fontId="3" fillId="3" borderId="31" applyNumberFormat="1" applyFont="1" applyFill="1" applyBorder="1" applyAlignment="1" applyProtection="0">
      <alignment horizontal="center" vertical="bottom"/>
    </xf>
    <xf numFmtId="49" fontId="0" fillId="4" borderId="8" applyNumberFormat="1" applyFont="1" applyFill="1" applyBorder="1" applyAlignment="1" applyProtection="0">
      <alignment vertical="bottom"/>
    </xf>
    <xf numFmtId="49" fontId="0" fillId="4" borderId="13" applyNumberFormat="1" applyFont="1" applyFill="1" applyBorder="1" applyAlignment="1" applyProtection="0">
      <alignment vertical="bottom"/>
    </xf>
    <xf numFmtId="0" fontId="3" fillId="3" borderId="11" applyNumberFormat="0" applyFont="1" applyFill="1" applyBorder="1" applyAlignment="1" applyProtection="0">
      <alignment horizontal="right" vertical="bottom"/>
    </xf>
    <xf numFmtId="49" fontId="0" fillId="4" borderId="17" applyNumberFormat="1" applyFont="1" applyFill="1" applyBorder="1" applyAlignment="1" applyProtection="0">
      <alignment vertical="bottom"/>
    </xf>
    <xf numFmtId="49" fontId="0" fillId="3" borderId="17" applyNumberFormat="1" applyFont="1" applyFill="1" applyBorder="1" applyAlignment="1" applyProtection="0">
      <alignment vertical="bottom"/>
    </xf>
    <xf numFmtId="10" fontId="0" fillId="3" borderId="13" applyNumberFormat="1" applyFont="1" applyFill="1" applyBorder="1" applyAlignment="1" applyProtection="0">
      <alignment horizontal="center" vertical="bottom"/>
    </xf>
    <xf numFmtId="10" fontId="0" fillId="3" borderId="17" applyNumberFormat="1" applyFont="1" applyFill="1" applyBorder="1" applyAlignment="1" applyProtection="0">
      <alignment horizontal="center" vertical="bottom"/>
    </xf>
    <xf numFmtId="0" fontId="0" fillId="3" borderId="32" applyNumberFormat="0" applyFont="1" applyFill="1" applyBorder="1" applyAlignment="1" applyProtection="0">
      <alignment vertical="bottom"/>
    </xf>
    <xf numFmtId="61" fontId="3" fillId="3" borderId="16" applyNumberFormat="1" applyFont="1" applyFill="1" applyBorder="1" applyAlignment="1" applyProtection="0">
      <alignment horizontal="center" vertical="bottom"/>
    </xf>
    <xf numFmtId="61" fontId="6" fillId="3" borderId="16" applyNumberFormat="1" applyFont="1" applyFill="1" applyBorder="1" applyAlignment="1" applyProtection="0">
      <alignment horizontal="center" vertical="bottom"/>
    </xf>
    <xf numFmtId="61" fontId="6" fillId="3" borderId="29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6" fillId="4" borderId="8" applyNumberFormat="1" applyFont="1" applyFill="1" applyBorder="1" applyAlignment="1" applyProtection="0">
      <alignment vertical="bottom"/>
    </xf>
    <xf numFmtId="49" fontId="6" fillId="4" borderId="17" applyNumberFormat="1" applyFont="1" applyFill="1" applyBorder="1" applyAlignment="1" applyProtection="0">
      <alignment vertical="bottom"/>
    </xf>
    <xf numFmtId="0" fontId="3" fillId="3" borderId="17" applyNumberFormat="1" applyFont="1" applyFill="1" applyBorder="1" applyAlignment="1" applyProtection="0">
      <alignment horizontal="center" vertical="bottom"/>
    </xf>
    <xf numFmtId="49" fontId="4" fillId="3" borderId="19" applyNumberFormat="1" applyFont="1" applyFill="1" applyBorder="1" applyAlignment="1" applyProtection="0">
      <alignment vertical="bottom"/>
    </xf>
    <xf numFmtId="0" fontId="4" fillId="3" borderId="10" applyNumberFormat="0" applyFont="1" applyFill="1" applyBorder="1" applyAlignment="1" applyProtection="0">
      <alignment vertical="bottom"/>
    </xf>
    <xf numFmtId="0" fontId="5" fillId="3" borderId="10" applyNumberFormat="1" applyFont="1" applyFill="1" applyBorder="1" applyAlignment="1" applyProtection="0">
      <alignment horizontal="right" vertical="bottom"/>
    </xf>
    <xf numFmtId="0" fontId="0" fillId="3" borderId="10" applyNumberFormat="1" applyFont="1" applyFill="1" applyBorder="1" applyAlignment="1" applyProtection="0">
      <alignment vertical="bottom"/>
    </xf>
    <xf numFmtId="0" fontId="5" fillId="3" borderId="10" applyNumberFormat="0" applyFont="1" applyFill="1" applyBorder="1" applyAlignment="1" applyProtection="0">
      <alignment horizontal="right" vertical="bottom"/>
    </xf>
    <xf numFmtId="0" fontId="0" fillId="3" borderId="19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2" fontId="0" fillId="3" borderId="10" applyNumberFormat="1" applyFont="1" applyFill="1" applyBorder="1" applyAlignment="1" applyProtection="0">
      <alignment vertical="bottom"/>
    </xf>
    <xf numFmtId="2" fontId="5" fillId="3" borderId="10" applyNumberFormat="1" applyFont="1" applyFill="1" applyBorder="1" applyAlignment="1" applyProtection="0">
      <alignment horizontal="right" vertical="bottom"/>
    </xf>
    <xf numFmtId="49" fontId="5" fillId="3" borderId="10" applyNumberFormat="1" applyFont="1" applyFill="1" applyBorder="1" applyAlignment="1" applyProtection="0">
      <alignment horizontal="right" vertical="bottom"/>
    </xf>
    <xf numFmtId="0" fontId="5" fillId="3" borderId="19" applyNumberFormat="1" applyFont="1" applyFill="1" applyBorder="1" applyAlignment="1" applyProtection="0">
      <alignment horizontal="right" vertical="bottom"/>
    </xf>
    <xf numFmtId="0" fontId="5" fillId="3" borderId="16" applyNumberFormat="0" applyFont="1" applyFill="1" applyBorder="1" applyAlignment="1" applyProtection="0">
      <alignment horizontal="right" vertical="bottom"/>
    </xf>
    <xf numFmtId="2" fontId="4" fillId="3" borderId="16" applyNumberFormat="1" applyFont="1" applyFill="1" applyBorder="1" applyAlignment="1" applyProtection="0">
      <alignment vertical="bottom"/>
    </xf>
    <xf numFmtId="0" fontId="4" fillId="3" borderId="10" applyNumberFormat="0" applyFont="1" applyFill="1" applyBorder="1" applyAlignment="1" applyProtection="0">
      <alignment horizontal="left" vertical="bottom"/>
    </xf>
    <xf numFmtId="0" fontId="0" fillId="3" borderId="33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5b3d7"/>
      <rgbColor rgb="ffffffff"/>
      <rgbColor rgb="ffaaaaaa"/>
      <rgbColor rgb="ffdbe5f1"/>
      <rgbColor rgb="ffc0c0c0"/>
      <rgbColor rgb="ff99ccff"/>
      <rgbColor rgb="ffeaf1d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2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0.5" style="1" customWidth="1"/>
    <col min="2" max="6" width="9.17188" style="1" customWidth="1"/>
    <col min="7" max="7" width="10.3516" style="1" customWidth="1"/>
    <col min="8" max="8" width="9.17188" style="1" customWidth="1"/>
    <col min="9" max="256" width="8.85156" style="1" customWidth="1"/>
  </cols>
  <sheetData>
    <row r="1" ht="13.5" customHeight="1">
      <c r="A1" t="s" s="2">
        <v>0</v>
      </c>
      <c r="B1" s="3"/>
      <c r="C1" s="4"/>
      <c r="D1" s="5"/>
      <c r="E1" s="6"/>
      <c r="F1" s="7"/>
      <c r="G1" t="s" s="8">
        <v>1</v>
      </c>
      <c r="H1" s="9"/>
    </row>
    <row r="2" ht="13.5" customHeight="1">
      <c r="A2" t="s" s="10">
        <v>2</v>
      </c>
      <c r="B2" s="11">
        <v>100</v>
      </c>
      <c r="C2" s="12"/>
      <c r="D2" s="13"/>
      <c r="E2" s="13"/>
      <c r="F2" s="14"/>
      <c r="G2" t="s" s="15">
        <v>3</v>
      </c>
      <c r="H2" s="16">
        <v>100</v>
      </c>
    </row>
    <row r="3" ht="15" customHeight="1">
      <c r="A3" t="s" s="17">
        <v>4</v>
      </c>
      <c r="B3" s="18">
        <v>0.25</v>
      </c>
      <c r="C3" s="12"/>
      <c r="D3" s="19"/>
      <c r="E3" s="13"/>
      <c r="F3" s="13"/>
      <c r="G3" s="20"/>
      <c r="H3" s="21"/>
    </row>
    <row r="4" ht="15" customHeight="1">
      <c r="A4" t="s" s="17">
        <v>5</v>
      </c>
      <c r="B4" s="22">
        <v>0.23438</v>
      </c>
      <c r="C4" s="12"/>
      <c r="D4" s="19"/>
      <c r="E4" s="13"/>
      <c r="F4" s="13"/>
      <c r="G4" s="13"/>
      <c r="H4" s="23"/>
    </row>
    <row r="5" ht="15" customHeight="1">
      <c r="A5" t="s" s="17">
        <v>6</v>
      </c>
      <c r="B5" s="24">
        <v>3</v>
      </c>
      <c r="C5" s="12"/>
      <c r="D5" s="25"/>
      <c r="E5" s="13"/>
      <c r="F5" s="13"/>
      <c r="G5" s="13"/>
      <c r="H5" s="23"/>
    </row>
    <row r="6" ht="15.75" customHeight="1">
      <c r="A6" t="s" s="26">
        <v>7</v>
      </c>
      <c r="B6" s="27">
        <v>1.01001</v>
      </c>
      <c r="C6" s="12"/>
      <c r="D6" s="25"/>
      <c r="E6" s="13"/>
      <c r="F6" s="13"/>
      <c r="G6" s="13"/>
      <c r="H6" s="23"/>
    </row>
    <row r="7" ht="15.5" customHeight="1">
      <c r="A7" t="s" s="28">
        <v>8</v>
      </c>
      <c r="B7" s="29">
        <v>1.07</v>
      </c>
      <c r="C7" s="12"/>
      <c r="D7" s="13"/>
      <c r="E7" s="13"/>
      <c r="F7" s="13"/>
      <c r="G7" s="13"/>
      <c r="H7" s="23"/>
    </row>
    <row r="8" ht="15" customHeight="1">
      <c r="A8" t="s" s="30">
        <v>9</v>
      </c>
      <c r="B8" s="31">
        <f>1/B7</f>
        <v>0.9345794392523364</v>
      </c>
      <c r="C8" s="12"/>
      <c r="D8" s="13"/>
      <c r="E8" s="13"/>
      <c r="F8" s="13"/>
      <c r="G8" s="32"/>
      <c r="H8" s="23"/>
    </row>
    <row r="9" ht="15" customHeight="1">
      <c r="A9" t="s" s="30">
        <v>10</v>
      </c>
      <c r="B9" s="33">
        <f>(B6-B8)/(B7-B8)</f>
        <v>0.5570096618357491</v>
      </c>
      <c r="C9" s="12"/>
      <c r="D9" s="13"/>
      <c r="E9" s="13"/>
      <c r="F9" s="13"/>
      <c r="G9" s="32"/>
      <c r="H9" s="23"/>
    </row>
    <row r="10" ht="13.5" customHeight="1">
      <c r="A10" t="s" s="34">
        <v>11</v>
      </c>
      <c r="B10" s="35">
        <f>1-B9</f>
        <v>0.4429903381642509</v>
      </c>
      <c r="C10" s="12"/>
      <c r="D10" s="36"/>
      <c r="E10" s="13"/>
      <c r="F10" s="32"/>
      <c r="G10" s="13"/>
      <c r="H10" s="23"/>
    </row>
    <row r="11" ht="15.5" customHeight="1">
      <c r="A11" s="37"/>
      <c r="B11" s="20"/>
      <c r="C11" s="13"/>
      <c r="D11" s="36"/>
      <c r="E11" s="13"/>
      <c r="F11" s="32"/>
      <c r="G11" s="38"/>
      <c r="H11" s="23"/>
    </row>
    <row r="12" ht="13.5" customHeight="1">
      <c r="A12" s="39"/>
      <c r="B12" s="40"/>
      <c r="C12" s="40"/>
      <c r="D12" s="40"/>
      <c r="E12" s="40"/>
      <c r="F12" s="13"/>
      <c r="G12" s="38"/>
      <c r="H12" s="23"/>
    </row>
    <row r="13" ht="13.5" customHeight="1">
      <c r="A13" s="41"/>
      <c r="B13" t="s" s="42">
        <v>12</v>
      </c>
      <c r="C13" s="43"/>
      <c r="D13" s="44"/>
      <c r="E13" s="45"/>
      <c r="F13" s="46"/>
      <c r="G13" s="38"/>
      <c r="H13" s="23"/>
    </row>
    <row r="14" ht="15.5" customHeight="1">
      <c r="A14" s="41"/>
      <c r="B14" s="47"/>
      <c r="C14" s="48"/>
      <c r="D14" s="49"/>
      <c r="E14" s="50">
        <f>B2*(B7^(3))*(B8^(0))</f>
        <v>122.5043</v>
      </c>
      <c r="F14" s="46"/>
      <c r="G14" s="38"/>
      <c r="H14" s="23"/>
    </row>
    <row r="15" ht="15" customHeight="1">
      <c r="A15" s="41"/>
      <c r="B15" s="51"/>
      <c r="C15" s="49"/>
      <c r="D15" s="49">
        <f>B2*(B7^(2))*(B8^(0))</f>
        <v>114.49</v>
      </c>
      <c r="E15" s="50">
        <f>B2*(B7^(2))*(B8^(1))</f>
        <v>107</v>
      </c>
      <c r="F15" s="46"/>
      <c r="G15" s="38"/>
      <c r="H15" s="23"/>
    </row>
    <row r="16" ht="15" customHeight="1">
      <c r="A16" s="41"/>
      <c r="B16" s="51"/>
      <c r="C16" s="49">
        <f>B2*(B7^(1))*(B8^(0))</f>
        <v>107</v>
      </c>
      <c r="D16" s="49">
        <f>B2*(B7^(1))*(B8^(1))</f>
        <v>100</v>
      </c>
      <c r="E16" s="50">
        <f>B2*(B7^(1))*(B8^(2))</f>
        <v>93.45794392523365</v>
      </c>
      <c r="F16" s="46"/>
      <c r="G16" s="38"/>
      <c r="H16" s="23"/>
    </row>
    <row r="17" ht="15" customHeight="1">
      <c r="A17" s="41"/>
      <c r="B17" s="51">
        <f>B2*(B7^(0))*(B8^(0))</f>
        <v>100</v>
      </c>
      <c r="C17" s="49">
        <f>B2*(B7^(0))*(B8^(1))</f>
        <v>93.45794392523365</v>
      </c>
      <c r="D17" s="49">
        <f>B2*(B7^(0))*(B8^(2))</f>
        <v>87.34387282732116</v>
      </c>
      <c r="E17" s="50">
        <f>B2*(B7^(0))*(B8^(3))</f>
        <v>81.62978768908519</v>
      </c>
      <c r="F17" s="46"/>
      <c r="G17" s="52"/>
      <c r="H17" s="23"/>
    </row>
    <row r="18" ht="15" customHeight="1">
      <c r="A18" s="41"/>
      <c r="B18" s="46"/>
      <c r="C18" s="38"/>
      <c r="D18" s="38"/>
      <c r="E18" s="53"/>
      <c r="F18" s="46"/>
      <c r="G18" s="13"/>
      <c r="H18" s="23"/>
    </row>
    <row r="19" ht="13.5" customHeight="1">
      <c r="A19" s="54"/>
      <c r="B19" t="s" s="55">
        <v>13</v>
      </c>
      <c r="C19" t="s" s="56">
        <v>14</v>
      </c>
      <c r="D19" t="s" s="56">
        <v>15</v>
      </c>
      <c r="E19" t="s" s="57">
        <v>16</v>
      </c>
      <c r="F19" s="58"/>
      <c r="G19" s="13"/>
      <c r="H19" s="23"/>
    </row>
    <row r="20" ht="15.5" customHeight="1">
      <c r="A20" s="39"/>
      <c r="B20" s="20"/>
      <c r="C20" s="20"/>
      <c r="D20" s="20"/>
      <c r="E20" s="20"/>
      <c r="F20" s="13"/>
      <c r="G20" s="38"/>
      <c r="H20" s="23"/>
    </row>
    <row r="21" ht="13.5" customHeight="1">
      <c r="A21" s="39"/>
      <c r="B21" s="40"/>
      <c r="C21" s="40"/>
      <c r="D21" s="40"/>
      <c r="E21" s="40"/>
      <c r="F21" s="13"/>
      <c r="G21" s="38"/>
      <c r="H21" s="23"/>
    </row>
    <row r="22" ht="13.5" customHeight="1">
      <c r="A22" s="41"/>
      <c r="B22" t="s" s="42">
        <v>17</v>
      </c>
      <c r="C22" s="43"/>
      <c r="D22" s="44"/>
      <c r="E22" s="45"/>
      <c r="F22" s="46"/>
      <c r="G22" s="38"/>
      <c r="H22" s="23"/>
    </row>
    <row r="23" ht="15.5" customHeight="1">
      <c r="A23" s="41"/>
      <c r="B23" s="47"/>
      <c r="C23" s="48"/>
      <c r="D23" s="49"/>
      <c r="E23" s="50">
        <f>MAX($E$14-$H$2,0)</f>
        <v>22.50430000000001</v>
      </c>
      <c r="F23" s="46"/>
      <c r="G23" s="38"/>
      <c r="H23" s="23"/>
    </row>
    <row r="24" ht="15" customHeight="1">
      <c r="A24" s="41"/>
      <c r="B24" s="51"/>
      <c r="C24" s="49"/>
      <c r="D24" s="49">
        <f>($B$9*$E$23+$B$10*$E$24)/$B$6</f>
        <v>15.48107929624461</v>
      </c>
      <c r="E24" s="50">
        <f>MAX($E$15-$H$2,0)</f>
        <v>7.000000000000014</v>
      </c>
      <c r="F24" s="46"/>
      <c r="G24" s="38"/>
      <c r="H24" s="23"/>
    </row>
    <row r="25" ht="15" customHeight="1">
      <c r="A25" s="41"/>
      <c r="B25" s="51"/>
      <c r="C25" s="49">
        <f>($B$9*$D$24+$B$10*$D$25)/$B$6</f>
        <v>10.23083100440138</v>
      </c>
      <c r="D25" s="49">
        <f>($B$9*$E$24+$B$10*$E$25)/$B$6</f>
        <v>3.860424780794498</v>
      </c>
      <c r="E25" s="50">
        <f>MAX($E$16-$H$2,0)</f>
        <v>0</v>
      </c>
      <c r="F25" s="46"/>
      <c r="G25" s="38"/>
      <c r="H25" s="23"/>
    </row>
    <row r="26" ht="15" customHeight="1">
      <c r="A26" s="41"/>
      <c r="B26" s="51">
        <f>($B$9*$C$25+$B$10*$C$26)/$B$6</f>
        <v>6.5759651107427</v>
      </c>
      <c r="C26" s="49">
        <f>($B$9*$D$25+$B$10*$D$26)/$B$6</f>
        <v>2.128982784024603</v>
      </c>
      <c r="D26" s="49">
        <f>($B$9*$E$25+$B$10*$E$26)/$B$6</f>
        <v>0</v>
      </c>
      <c r="E26" s="50">
        <f>MAX($E$17-$H$2,0)</f>
        <v>0</v>
      </c>
      <c r="F26" s="46"/>
      <c r="G26" s="52"/>
      <c r="H26" s="23"/>
    </row>
    <row r="27" ht="15" customHeight="1">
      <c r="A27" s="41"/>
      <c r="B27" s="51"/>
      <c r="C27" s="49"/>
      <c r="D27" s="49"/>
      <c r="E27" s="50"/>
      <c r="F27" s="46"/>
      <c r="G27" s="13"/>
      <c r="H27" s="23"/>
    </row>
    <row r="28" ht="13.5" customHeight="1">
      <c r="A28" s="59"/>
      <c r="B28" t="s" s="55">
        <v>13</v>
      </c>
      <c r="C28" t="s" s="56">
        <v>14</v>
      </c>
      <c r="D28" t="s" s="56">
        <v>15</v>
      </c>
      <c r="E28" t="s" s="57">
        <v>16</v>
      </c>
      <c r="F28" s="60"/>
      <c r="G28" s="61"/>
      <c r="H28" s="62"/>
    </row>
  </sheetData>
  <mergeCells count="4">
    <mergeCell ref="A1:B1"/>
    <mergeCell ref="B22:C22"/>
    <mergeCell ref="G1:H1"/>
    <mergeCell ref="B13:C1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2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0.5" style="63" customWidth="1"/>
    <col min="2" max="6" width="9.17188" style="63" customWidth="1"/>
    <col min="7" max="7" width="10.3516" style="63" customWidth="1"/>
    <col min="8" max="8" width="9.17188" style="63" customWidth="1"/>
    <col min="9" max="256" width="8.85156" style="63" customWidth="1"/>
  </cols>
  <sheetData>
    <row r="1" ht="13.5" customHeight="1">
      <c r="A1" t="s" s="2">
        <v>0</v>
      </c>
      <c r="B1" s="3"/>
      <c r="C1" s="4"/>
      <c r="D1" s="5"/>
      <c r="E1" s="6"/>
      <c r="F1" s="7"/>
      <c r="G1" t="s" s="8">
        <v>1</v>
      </c>
      <c r="H1" s="9"/>
    </row>
    <row r="2" ht="13.5" customHeight="1">
      <c r="A2" t="s" s="10">
        <v>2</v>
      </c>
      <c r="B2" s="11">
        <v>100</v>
      </c>
      <c r="C2" s="12"/>
      <c r="D2" s="13"/>
      <c r="E2" s="13"/>
      <c r="F2" s="14"/>
      <c r="G2" t="s" s="15">
        <v>3</v>
      </c>
      <c r="H2" s="16">
        <v>100</v>
      </c>
    </row>
    <row r="3" ht="15" customHeight="1">
      <c r="A3" t="s" s="17">
        <v>4</v>
      </c>
      <c r="B3" s="18">
        <v>0.25</v>
      </c>
      <c r="C3" s="12"/>
      <c r="D3" s="19"/>
      <c r="E3" s="13"/>
      <c r="F3" s="13"/>
      <c r="G3" s="20"/>
      <c r="H3" s="21"/>
    </row>
    <row r="4" ht="15" customHeight="1">
      <c r="A4" t="s" s="17">
        <v>5</v>
      </c>
      <c r="B4" s="22">
        <v>0.23438</v>
      </c>
      <c r="C4" s="12"/>
      <c r="D4" s="19"/>
      <c r="E4" s="13"/>
      <c r="F4" s="13"/>
      <c r="G4" s="13"/>
      <c r="H4" s="23"/>
    </row>
    <row r="5" ht="15" customHeight="1">
      <c r="A5" t="s" s="17">
        <v>6</v>
      </c>
      <c r="B5" s="24">
        <v>3</v>
      </c>
      <c r="C5" s="12"/>
      <c r="D5" s="25"/>
      <c r="E5" s="13"/>
      <c r="F5" s="13"/>
      <c r="G5" s="13"/>
      <c r="H5" s="23"/>
    </row>
    <row r="6" ht="15.75" customHeight="1">
      <c r="A6" t="s" s="26">
        <v>7</v>
      </c>
      <c r="B6" s="27">
        <v>1.01001</v>
      </c>
      <c r="C6" s="12"/>
      <c r="D6" s="25"/>
      <c r="E6" s="13"/>
      <c r="F6" s="13"/>
      <c r="G6" s="13"/>
      <c r="H6" s="23"/>
    </row>
    <row r="7" ht="15.5" customHeight="1">
      <c r="A7" t="s" s="28">
        <v>8</v>
      </c>
      <c r="B7" s="29">
        <v>1.07</v>
      </c>
      <c r="C7" s="12"/>
      <c r="D7" s="13"/>
      <c r="E7" s="13"/>
      <c r="F7" s="13"/>
      <c r="G7" s="32"/>
      <c r="H7" s="23"/>
    </row>
    <row r="8" ht="15" customHeight="1">
      <c r="A8" t="s" s="30">
        <v>9</v>
      </c>
      <c r="B8" s="31">
        <f>1/B7</f>
        <v>0.9345794392523364</v>
      </c>
      <c r="C8" s="12"/>
      <c r="D8" s="13"/>
      <c r="E8" s="13"/>
      <c r="F8" s="13"/>
      <c r="G8" s="32"/>
      <c r="H8" s="23"/>
    </row>
    <row r="9" ht="15" customHeight="1">
      <c r="A9" t="s" s="30">
        <v>10</v>
      </c>
      <c r="B9" s="33">
        <f>(B6-B8)/(B7-B8)</f>
        <v>0.5570096618357491</v>
      </c>
      <c r="C9" s="12"/>
      <c r="D9" s="13"/>
      <c r="E9" s="13"/>
      <c r="F9" s="13"/>
      <c r="G9" s="13"/>
      <c r="H9" s="23"/>
    </row>
    <row r="10" ht="13.5" customHeight="1">
      <c r="A10" t="s" s="34">
        <v>11</v>
      </c>
      <c r="B10" s="35">
        <f>1-B9</f>
        <v>0.4429903381642509</v>
      </c>
      <c r="C10" s="12"/>
      <c r="D10" s="36"/>
      <c r="E10" s="13"/>
      <c r="F10" s="32"/>
      <c r="G10" s="38"/>
      <c r="H10" s="23"/>
    </row>
    <row r="11" ht="15.5" customHeight="1">
      <c r="A11" s="37"/>
      <c r="B11" s="20"/>
      <c r="C11" s="13"/>
      <c r="D11" s="36"/>
      <c r="E11" s="13"/>
      <c r="F11" s="32"/>
      <c r="G11" s="38"/>
      <c r="H11" s="23"/>
    </row>
    <row r="12" ht="13.5" customHeight="1">
      <c r="A12" s="39"/>
      <c r="B12" s="40"/>
      <c r="C12" s="40"/>
      <c r="D12" s="40"/>
      <c r="E12" s="40"/>
      <c r="F12" s="13"/>
      <c r="G12" s="38"/>
      <c r="H12" s="23"/>
    </row>
    <row r="13" ht="13.5" customHeight="1">
      <c r="A13" s="41"/>
      <c r="B13" t="s" s="42">
        <v>12</v>
      </c>
      <c r="C13" s="43"/>
      <c r="D13" s="44"/>
      <c r="E13" s="45"/>
      <c r="F13" s="46"/>
      <c r="G13" s="38"/>
      <c r="H13" s="23"/>
    </row>
    <row r="14" ht="15.5" customHeight="1">
      <c r="A14" s="41"/>
      <c r="B14" s="64"/>
      <c r="C14" s="65"/>
      <c r="D14" s="66"/>
      <c r="E14" s="67">
        <f>B2*(B7^(3))*(B8^(0))</f>
        <v>122.5043</v>
      </c>
      <c r="F14" s="46"/>
      <c r="G14" s="38"/>
      <c r="H14" s="23"/>
    </row>
    <row r="15" ht="15" customHeight="1">
      <c r="A15" s="41"/>
      <c r="B15" s="68"/>
      <c r="C15" s="66"/>
      <c r="D15" s="66">
        <f>B2*(B7^(2))*(B8^(0))</f>
        <v>114.49</v>
      </c>
      <c r="E15" s="67">
        <f>B2*(B7^(2))*(B8^(1))</f>
        <v>107</v>
      </c>
      <c r="F15" s="46"/>
      <c r="G15" s="38"/>
      <c r="H15" s="23"/>
    </row>
    <row r="16" ht="15" customHeight="1">
      <c r="A16" s="41"/>
      <c r="B16" s="68"/>
      <c r="C16" s="66">
        <f>B2*(B7^(1))*(B8^(0))</f>
        <v>107</v>
      </c>
      <c r="D16" s="66">
        <f>B2*(B7^(1))*(B8^(1))</f>
        <v>100</v>
      </c>
      <c r="E16" s="67">
        <f>B2*(B7^(1))*(B8^(2))</f>
        <v>93.45794392523365</v>
      </c>
      <c r="F16" s="46"/>
      <c r="G16" s="52"/>
      <c r="H16" s="23"/>
    </row>
    <row r="17" ht="15" customHeight="1">
      <c r="A17" s="41"/>
      <c r="B17" s="68">
        <f>B2*(B7^(0))*(B8^(0))</f>
        <v>100</v>
      </c>
      <c r="C17" s="66">
        <f>B2*(B7^(0))*(B8^(1))</f>
        <v>93.45794392523365</v>
      </c>
      <c r="D17" s="66">
        <f>B2*(B7^(0))*(B8^(2))</f>
        <v>87.34387282732116</v>
      </c>
      <c r="E17" s="67">
        <f>B2*(B7^(0))*(B8^(3))</f>
        <v>81.62978768908519</v>
      </c>
      <c r="F17" s="46"/>
      <c r="G17" s="13"/>
      <c r="H17" s="23"/>
    </row>
    <row r="18" ht="15" customHeight="1">
      <c r="A18" s="41"/>
      <c r="B18" s="46"/>
      <c r="C18" s="38"/>
      <c r="D18" s="38"/>
      <c r="E18" s="53"/>
      <c r="F18" s="46"/>
      <c r="G18" s="13"/>
      <c r="H18" s="23"/>
    </row>
    <row r="19" ht="13.5" customHeight="1">
      <c r="A19" s="54"/>
      <c r="B19" t="s" s="55">
        <v>13</v>
      </c>
      <c r="C19" t="s" s="56">
        <v>14</v>
      </c>
      <c r="D19" t="s" s="56">
        <v>15</v>
      </c>
      <c r="E19" t="s" s="57">
        <v>16</v>
      </c>
      <c r="F19" s="58"/>
      <c r="G19" s="38"/>
      <c r="H19" s="23"/>
    </row>
    <row r="20" ht="15.5" customHeight="1">
      <c r="A20" s="39"/>
      <c r="B20" s="20"/>
      <c r="C20" s="20"/>
      <c r="D20" s="20"/>
      <c r="E20" s="20"/>
      <c r="F20" s="13"/>
      <c r="G20" s="38"/>
      <c r="H20" s="23"/>
    </row>
    <row r="21" ht="13.5" customHeight="1">
      <c r="A21" s="39"/>
      <c r="B21" s="40"/>
      <c r="C21" s="40"/>
      <c r="D21" s="40"/>
      <c r="E21" s="40"/>
      <c r="F21" s="13"/>
      <c r="G21" s="38"/>
      <c r="H21" s="23"/>
    </row>
    <row r="22" ht="13.5" customHeight="1">
      <c r="A22" s="41"/>
      <c r="B22" t="s" s="42">
        <v>17</v>
      </c>
      <c r="C22" s="43"/>
      <c r="D22" s="44"/>
      <c r="E22" s="45"/>
      <c r="F22" s="46"/>
      <c r="G22" s="38"/>
      <c r="H22" s="23"/>
    </row>
    <row r="23" ht="15.5" customHeight="1">
      <c r="A23" s="41"/>
      <c r="B23" s="44"/>
      <c r="C23" s="69"/>
      <c r="D23" s="38"/>
      <c r="E23" s="53">
        <f>MAX($H$2-$E$14,0)</f>
        <v>0</v>
      </c>
      <c r="F23" s="46"/>
      <c r="G23" s="38"/>
      <c r="H23" s="23"/>
    </row>
    <row r="24" ht="15" customHeight="1">
      <c r="A24" s="41"/>
      <c r="B24" s="46"/>
      <c r="C24" s="38"/>
      <c r="D24" s="38">
        <f>MAX(MAX($H$2-$D$15,0),($B$9*$E$23+$B$10*$E$24)/$B$6)</f>
        <v>0</v>
      </c>
      <c r="E24" s="53">
        <f>MAX($H$2-$E$15,0)</f>
        <v>0</v>
      </c>
      <c r="F24" s="46"/>
      <c r="G24" s="38"/>
      <c r="H24" s="23"/>
    </row>
    <row r="25" ht="15" customHeight="1">
      <c r="A25" s="41"/>
      <c r="B25" s="46"/>
      <c r="C25" s="38">
        <f>MAX(MAX($H$2-$C$16,0),($B$9*$D$24+$B$10*$D$25)/$B$6)</f>
        <v>1.258494793626621</v>
      </c>
      <c r="D25" s="38">
        <f>MAX(MAX($H$2-$D$16,0),($B$9*$E$24+$B$10*$E$25)/$B$6)</f>
        <v>2.869345484549893</v>
      </c>
      <c r="E25" s="53">
        <f>MAX($H$2-$E$16,0)</f>
        <v>6.54205607476635</v>
      </c>
      <c r="F25" s="46"/>
      <c r="G25" s="52"/>
      <c r="H25" s="23"/>
    </row>
    <row r="26" ht="15" customHeight="1">
      <c r="A26" s="41"/>
      <c r="B26" s="46">
        <f>MAX(MAX($H$2-$B$17,0),($B$9*$C$25+$B$10*$C$26)/$B$6)</f>
        <v>3.822750862961048</v>
      </c>
      <c r="C26" s="38">
        <f>MAX(MAX($H$2-$C$17,0),($B$9*$D$25+$B$10*$D$26)/$B$6)</f>
        <v>7.133389980409929</v>
      </c>
      <c r="D26" s="70">
        <f>MAX(MAX($H$2-$D$17,0),($B$9*$E$25+$B$10*$E$26)/$B$6)</f>
        <v>12.65612717267884</v>
      </c>
      <c r="E26" s="53">
        <f>MAX($H$2-$E$17,0)</f>
        <v>18.37021231091481</v>
      </c>
      <c r="F26" s="46"/>
      <c r="G26" s="13"/>
      <c r="H26" s="23"/>
    </row>
    <row r="27" ht="15" customHeight="1">
      <c r="A27" s="41"/>
      <c r="B27" s="46"/>
      <c r="C27" s="38"/>
      <c r="D27" s="38"/>
      <c r="E27" s="53"/>
      <c r="F27" s="46"/>
      <c r="G27" s="13"/>
      <c r="H27" s="23"/>
    </row>
    <row r="28" ht="13.5" customHeight="1">
      <c r="A28" s="59"/>
      <c r="B28" t="s" s="55">
        <v>13</v>
      </c>
      <c r="C28" t="s" s="56">
        <v>14</v>
      </c>
      <c r="D28" t="s" s="56">
        <v>15</v>
      </c>
      <c r="E28" t="s" s="57">
        <v>16</v>
      </c>
      <c r="F28" s="60"/>
      <c r="G28" s="61"/>
      <c r="H28" s="62"/>
    </row>
  </sheetData>
  <mergeCells count="4">
    <mergeCell ref="A1:B1"/>
    <mergeCell ref="B22:C22"/>
    <mergeCell ref="G1:H1"/>
    <mergeCell ref="B13:C1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N5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0.5" style="71" customWidth="1"/>
    <col min="2" max="6" width="9.17188" style="71" customWidth="1"/>
    <col min="7" max="7" width="10.3516" style="71" customWidth="1"/>
    <col min="8" max="8" width="9.17188" style="71" customWidth="1"/>
    <col min="9" max="9" width="10.3516" style="71" customWidth="1"/>
    <col min="10" max="14" width="9.17188" style="71" customWidth="1"/>
    <col min="15" max="256" width="8.85156" style="71" customWidth="1"/>
  </cols>
  <sheetData>
    <row r="1" ht="13.5" customHeight="1">
      <c r="A1" t="s" s="2">
        <v>0</v>
      </c>
      <c r="B1" s="3"/>
      <c r="C1" s="4"/>
      <c r="D1" s="7"/>
      <c r="E1" t="s" s="2">
        <v>18</v>
      </c>
      <c r="F1" s="3"/>
      <c r="G1" s="4"/>
      <c r="H1" s="7"/>
      <c r="I1" t="s" s="2">
        <v>1</v>
      </c>
      <c r="J1" s="3"/>
      <c r="K1" s="4"/>
      <c r="L1" s="5"/>
      <c r="M1" s="5"/>
      <c r="N1" s="72"/>
    </row>
    <row r="2" ht="13.5" customHeight="1">
      <c r="A2" t="s" s="10">
        <v>2</v>
      </c>
      <c r="B2" s="11">
        <v>100</v>
      </c>
      <c r="C2" s="12"/>
      <c r="D2" s="14"/>
      <c r="E2" t="s" s="73">
        <v>19</v>
      </c>
      <c r="F2" s="74">
        <v>10</v>
      </c>
      <c r="G2" s="12"/>
      <c r="H2" s="14"/>
      <c r="I2" t="s" s="75">
        <v>20</v>
      </c>
      <c r="J2" s="11">
        <v>-1</v>
      </c>
      <c r="K2" s="12"/>
      <c r="L2" s="13"/>
      <c r="M2" s="13"/>
      <c r="N2" s="23"/>
    </row>
    <row r="3" ht="15" customHeight="1">
      <c r="A3" t="s" s="17">
        <v>4</v>
      </c>
      <c r="B3" s="18">
        <v>0.5</v>
      </c>
      <c r="C3" s="12"/>
      <c r="D3" s="19"/>
      <c r="E3" s="20"/>
      <c r="F3" s="20"/>
      <c r="G3" s="13"/>
      <c r="H3" s="14"/>
      <c r="I3" t="s" s="76">
        <v>3</v>
      </c>
      <c r="J3" s="24">
        <v>100</v>
      </c>
      <c r="K3" s="12"/>
      <c r="L3" s="13"/>
      <c r="M3" s="13"/>
      <c r="N3" s="23"/>
    </row>
    <row r="4" ht="15" customHeight="1">
      <c r="A4" t="s" s="17">
        <v>5</v>
      </c>
      <c r="B4" s="22">
        <v>0.2</v>
      </c>
      <c r="C4" s="12"/>
      <c r="D4" s="19"/>
      <c r="E4" s="13"/>
      <c r="F4" s="13"/>
      <c r="G4" s="13"/>
      <c r="H4" s="14"/>
      <c r="I4" t="s" s="76">
        <v>19</v>
      </c>
      <c r="J4" s="24">
        <v>10</v>
      </c>
      <c r="K4" s="12"/>
      <c r="L4" s="13"/>
      <c r="M4" s="13"/>
      <c r="N4" s="23"/>
    </row>
    <row r="5" ht="13.5" customHeight="1">
      <c r="A5" t="s" s="17">
        <v>6</v>
      </c>
      <c r="B5" s="24">
        <v>10</v>
      </c>
      <c r="C5" s="12"/>
      <c r="D5" s="25"/>
      <c r="E5" s="13"/>
      <c r="F5" s="13"/>
      <c r="G5" s="32"/>
      <c r="H5" s="77"/>
      <c r="I5" t="s" s="78">
        <v>21</v>
      </c>
      <c r="J5" t="s" s="79">
        <v>22</v>
      </c>
      <c r="K5" s="12"/>
      <c r="L5" s="13"/>
      <c r="M5" s="13"/>
      <c r="N5" s="23"/>
    </row>
    <row r="6" ht="15" customHeight="1">
      <c r="A6" t="s" s="17">
        <v>23</v>
      </c>
      <c r="B6" s="80">
        <v>0.02</v>
      </c>
      <c r="C6" s="12"/>
      <c r="D6" s="25"/>
      <c r="E6" s="13"/>
      <c r="F6" s="13"/>
      <c r="G6" s="13"/>
      <c r="H6" s="13"/>
      <c r="I6" s="20"/>
      <c r="J6" s="20"/>
      <c r="K6" s="13"/>
      <c r="L6" s="13"/>
      <c r="M6" s="13"/>
      <c r="N6" s="23"/>
    </row>
    <row r="7" ht="15.75" customHeight="1">
      <c r="A7" t="s" s="26">
        <v>24</v>
      </c>
      <c r="B7" s="81">
        <v>0.01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23"/>
    </row>
    <row r="8" ht="15.5" customHeight="1">
      <c r="A8" t="s" s="28">
        <v>8</v>
      </c>
      <c r="B8" s="29">
        <f>EXP(B4*SQRT(B3/B5))</f>
        <v>1.045736434838407</v>
      </c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23"/>
    </row>
    <row r="9" ht="15" customHeight="1">
      <c r="A9" t="s" s="30">
        <v>9</v>
      </c>
      <c r="B9" s="31">
        <f>1/B8</f>
        <v>0.9562638985171495</v>
      </c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23"/>
    </row>
    <row r="10" ht="15" customHeight="1">
      <c r="A10" t="s" s="30">
        <v>10</v>
      </c>
      <c r="B10" s="33">
        <f>(EXP((B6-B7)*B3/B5)-B9)/(B8-B9)</f>
        <v>0.4944112274279684</v>
      </c>
      <c r="C10" s="12"/>
      <c r="D10" s="36"/>
      <c r="E10" s="13"/>
      <c r="F10" s="32"/>
      <c r="G10" s="32"/>
      <c r="H10" s="13"/>
      <c r="I10" s="13"/>
      <c r="J10" s="13"/>
      <c r="K10" s="13"/>
      <c r="L10" s="13"/>
      <c r="M10" s="13"/>
      <c r="N10" s="23"/>
    </row>
    <row r="11" ht="13.5" customHeight="1">
      <c r="A11" t="s" s="34">
        <v>11</v>
      </c>
      <c r="B11" s="35">
        <f>1-B10</f>
        <v>0.5055887725720316</v>
      </c>
      <c r="C11" s="12"/>
      <c r="D11" s="36"/>
      <c r="E11" s="13"/>
      <c r="F11" s="32"/>
      <c r="G11" s="32"/>
      <c r="H11" s="13"/>
      <c r="I11" s="13"/>
      <c r="J11" s="13"/>
      <c r="K11" s="13"/>
      <c r="L11" s="13"/>
      <c r="M11" s="13"/>
      <c r="N11" s="23"/>
    </row>
    <row r="12" ht="13.5" customHeight="1">
      <c r="A12" s="37"/>
      <c r="B12" s="82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13"/>
      <c r="N12" s="23"/>
    </row>
    <row r="13" ht="13.5" customHeight="1">
      <c r="A13" s="41"/>
      <c r="B13" t="s" s="42">
        <v>12</v>
      </c>
      <c r="C13" s="43"/>
      <c r="D13" s="44"/>
      <c r="E13" s="69"/>
      <c r="F13" s="69"/>
      <c r="G13" s="69"/>
      <c r="H13" s="69"/>
      <c r="I13" s="69"/>
      <c r="J13" s="69"/>
      <c r="K13" s="69"/>
      <c r="L13" s="45"/>
      <c r="M13" s="46"/>
      <c r="N13" s="83"/>
    </row>
    <row r="14" ht="14.15" customHeight="1">
      <c r="A14" s="41"/>
      <c r="B14" s="44"/>
      <c r="C14" s="69"/>
      <c r="D14" s="38"/>
      <c r="E14" s="38"/>
      <c r="F14" s="38"/>
      <c r="G14" s="38"/>
      <c r="H14" s="38"/>
      <c r="I14" s="38"/>
      <c r="J14" s="38"/>
      <c r="K14" s="38"/>
      <c r="L14" s="53">
        <f>B2*(B8^(10))*(B9^(0))</f>
        <v>156.3948315935371</v>
      </c>
      <c r="M14" s="46"/>
      <c r="N14" s="83"/>
    </row>
    <row r="15" ht="13.65" customHeight="1">
      <c r="A15" s="41"/>
      <c r="B15" s="46"/>
      <c r="C15" s="38"/>
      <c r="D15" s="38"/>
      <c r="E15" s="38"/>
      <c r="F15" s="38"/>
      <c r="G15" s="38"/>
      <c r="H15" s="38"/>
      <c r="I15" s="38"/>
      <c r="J15" s="38"/>
      <c r="K15" s="38">
        <f>B2*(B8^(9))*(B9^(0))</f>
        <v>149.5547313675688</v>
      </c>
      <c r="L15" s="53">
        <f>B2*(B8^(9))*(B9^(1))</f>
        <v>143.0137904592364</v>
      </c>
      <c r="M15" s="46"/>
      <c r="N15" s="83"/>
    </row>
    <row r="16" ht="13.65" customHeight="1">
      <c r="A16" s="41"/>
      <c r="B16" s="46"/>
      <c r="C16" s="38"/>
      <c r="D16" s="38"/>
      <c r="E16" s="38"/>
      <c r="F16" s="38"/>
      <c r="G16" s="38"/>
      <c r="H16" s="38"/>
      <c r="I16" s="38"/>
      <c r="J16" s="38">
        <f>B2*(B8^(8))*(B9^(0))</f>
        <v>143.0137904592364</v>
      </c>
      <c r="K16" s="38">
        <f>B2*(B8^(8))*(B9^(1))</f>
        <v>136.7589248062641</v>
      </c>
      <c r="L16" s="53">
        <f>B2*(B8^(8))*(B9^(2))</f>
        <v>130.7776225922518</v>
      </c>
      <c r="M16" s="46"/>
      <c r="N16" s="83"/>
    </row>
    <row r="17" ht="13.65" customHeight="1">
      <c r="A17" s="41"/>
      <c r="B17" s="46"/>
      <c r="C17" s="38"/>
      <c r="D17" s="38"/>
      <c r="E17" s="38"/>
      <c r="F17" s="38"/>
      <c r="G17" s="38"/>
      <c r="H17" s="38"/>
      <c r="I17" s="38">
        <f>B2*(B8^(7))*(B9^(0))</f>
        <v>136.7589248062641</v>
      </c>
      <c r="J17" s="38">
        <f>B2*(B8^(7))*(B9^(1))</f>
        <v>130.7776225922518</v>
      </c>
      <c r="K17" s="38">
        <f>B2*(B8^(7))*(B9^(2))</f>
        <v>125.0579192188712</v>
      </c>
      <c r="L17" s="53">
        <f>B2*(B8^(7))*(B9^(3))</f>
        <v>119.5883733726805</v>
      </c>
      <c r="M17" s="46"/>
      <c r="N17" s="83"/>
    </row>
    <row r="18" ht="13.65" customHeight="1">
      <c r="A18" s="41"/>
      <c r="B18" s="46"/>
      <c r="C18" s="38"/>
      <c r="D18" s="38"/>
      <c r="E18" s="38"/>
      <c r="F18" s="38"/>
      <c r="G18" s="38"/>
      <c r="H18" s="38">
        <f>B2*(B8^(6))*(B9^(0))</f>
        <v>130.7776225922518</v>
      </c>
      <c r="I18" s="38">
        <f>B2*(B8^(6))*(B9^(1))</f>
        <v>125.0579192188712</v>
      </c>
      <c r="J18" s="38">
        <f>B2*(B8^(6))*(B9^(2))</f>
        <v>119.5883733726805</v>
      </c>
      <c r="K18" s="38">
        <f>B2*(B8^(6))*(B9^(3))</f>
        <v>114.358044138684</v>
      </c>
      <c r="L18" s="53">
        <f>B2*(B8^(6))*(B9^(4))</f>
        <v>109.3564691148542</v>
      </c>
      <c r="M18" s="46"/>
      <c r="N18" s="83"/>
    </row>
    <row r="19" ht="13.65" customHeight="1">
      <c r="A19" s="41"/>
      <c r="B19" s="46"/>
      <c r="C19" s="38"/>
      <c r="D19" s="38"/>
      <c r="E19" s="38"/>
      <c r="F19" s="38"/>
      <c r="G19" s="38">
        <f>B2*(B8^(5))*(B9^(0))</f>
        <v>125.0579192188712</v>
      </c>
      <c r="H19" s="38">
        <f>B2*(B8^(5))*(B9^(1))</f>
        <v>119.5883733726805</v>
      </c>
      <c r="I19" s="38">
        <f>B2*(B8^(5))*(B9^(2))</f>
        <v>114.358044138684</v>
      </c>
      <c r="J19" s="38">
        <f>B2*(B8^(5))*(B9^(3))</f>
        <v>109.3564691148542</v>
      </c>
      <c r="K19" s="38">
        <f>B2*(B8^(5))*(B9^(4))</f>
        <v>104.5736434838407</v>
      </c>
      <c r="L19" s="53">
        <f>B2*(B8^(5))*(B9^(5))</f>
        <v>100</v>
      </c>
      <c r="M19" s="46"/>
      <c r="N19" s="83"/>
    </row>
    <row r="20" ht="13.65" customHeight="1">
      <c r="A20" s="41"/>
      <c r="B20" s="46"/>
      <c r="C20" s="38"/>
      <c r="D20" s="38"/>
      <c r="E20" s="38"/>
      <c r="F20" s="38">
        <f>B2*(B8^(4))*(B9^(0))</f>
        <v>119.5883733726805</v>
      </c>
      <c r="G20" s="38">
        <f>B2*(B8^(4))*(B9^(1))</f>
        <v>114.3580441386839</v>
      </c>
      <c r="H20" s="38">
        <f>B2*(B8^(4))*(B9^(2))</f>
        <v>109.3564691148542</v>
      </c>
      <c r="I20" s="38">
        <f>B2*(B8^(4))*(B9^(3))</f>
        <v>104.5736434838407</v>
      </c>
      <c r="J20" s="38">
        <f>B2*(B8^(4))*(B9^(4))</f>
        <v>100</v>
      </c>
      <c r="K20" s="38">
        <f>B2*(B8^(4))*(B9^(5))</f>
        <v>95.62638985171496</v>
      </c>
      <c r="L20" s="53">
        <f>B2*(B8^(4))*(B9^(6))</f>
        <v>91.44406436072174</v>
      </c>
      <c r="M20" s="46"/>
      <c r="N20" s="83"/>
    </row>
    <row r="21" ht="13.65" customHeight="1">
      <c r="A21" s="41"/>
      <c r="B21" s="46"/>
      <c r="C21" s="38"/>
      <c r="D21" s="38"/>
      <c r="E21" s="38">
        <f>B2*(B8^(3))*(B9^(0))</f>
        <v>114.3580441386839</v>
      </c>
      <c r="F21" s="38">
        <f>B2*(B8^(3))*(B9^(1))</f>
        <v>109.3564691148542</v>
      </c>
      <c r="G21" s="38">
        <f>B2*(B8^(3))*(B9^(2))</f>
        <v>104.5736434838407</v>
      </c>
      <c r="H21" s="38">
        <f>B2*(B8^(3))*(B9^(3))</f>
        <v>100</v>
      </c>
      <c r="I21" s="38">
        <f>B2*(B8^(3))*(B9^(4))</f>
        <v>95.62638985171498</v>
      </c>
      <c r="J21" s="38">
        <f>B2*(B8^(3))*(B9^(5))</f>
        <v>91.44406436072175</v>
      </c>
      <c r="K21" s="38">
        <f>B2*(B8^(3))*(B9^(6))</f>
        <v>87.44465748183691</v>
      </c>
      <c r="L21" s="53">
        <f>B2*(B8^(3))*(B9^(7))</f>
        <v>83.6201690680782</v>
      </c>
      <c r="M21" s="46"/>
      <c r="N21" s="83"/>
    </row>
    <row r="22" ht="13.65" customHeight="1">
      <c r="A22" s="41"/>
      <c r="B22" s="46"/>
      <c r="C22" s="38"/>
      <c r="D22" s="38">
        <f>B2*(B8^(2))*(B9^(0))</f>
        <v>109.3564691148541</v>
      </c>
      <c r="E22" s="38">
        <f>B2*(B8^(2))*(B9^(1))</f>
        <v>104.5736434838407</v>
      </c>
      <c r="F22" s="38">
        <f>B2*(B8^(2))*(B9^(2))</f>
        <v>100</v>
      </c>
      <c r="G22" s="38">
        <f>B2*(B8^(2))*(B9^(3))</f>
        <v>95.62638985171496</v>
      </c>
      <c r="H22" s="38">
        <f>B2*(B8^(2))*(B9^(4))</f>
        <v>91.44406436072174</v>
      </c>
      <c r="I22" s="38">
        <f>B2*(B8^(2))*(B9^(5))</f>
        <v>87.4446574818369</v>
      </c>
      <c r="J22" s="38">
        <f>B2*(B8^(2))*(B9^(6))</f>
        <v>83.62016906807818</v>
      </c>
      <c r="K22" s="38">
        <f>B2*(B8^(2))*(B9^(7))</f>
        <v>79.9629488677036</v>
      </c>
      <c r="L22" s="53">
        <f>B2*(B8^(2))*(B9^(8))</f>
        <v>76.46568122115774</v>
      </c>
      <c r="M22" s="46"/>
      <c r="N22" s="83"/>
    </row>
    <row r="23" ht="13.65" customHeight="1">
      <c r="A23" s="41"/>
      <c r="B23" s="46"/>
      <c r="C23" s="38">
        <f>B2*(B8^(1))*(B9^(0))</f>
        <v>104.5736434838407</v>
      </c>
      <c r="D23" s="38">
        <f>B2*(B8^(1))*(B9^(1))</f>
        <v>100</v>
      </c>
      <c r="E23" s="38">
        <f>B2*(B8^(1))*(B9^(2))</f>
        <v>95.62638985171496</v>
      </c>
      <c r="F23" s="38">
        <f>B2*(B8^(1))*(B9^(3))</f>
        <v>91.44406436072174</v>
      </c>
      <c r="G23" s="38">
        <f>B2*(B8^(1))*(B9^(4))</f>
        <v>87.4446574818369</v>
      </c>
      <c r="H23" s="38">
        <f>B2*(B8^(1))*(B9^(5))</f>
        <v>83.62016906807818</v>
      </c>
      <c r="I23" s="38">
        <f>B2*(B8^(1))*(B9^(6))</f>
        <v>79.9629488677036</v>
      </c>
      <c r="J23" s="38">
        <f>B2*(B8^(1))*(B9^(7))</f>
        <v>76.46568122115774</v>
      </c>
      <c r="K23" s="38">
        <f>B2*(B8^(1))*(B9^(8))</f>
        <v>73.12137042731389</v>
      </c>
      <c r="L23" s="53">
        <f>B2*(B8^(1))*(B9^(9))</f>
        <v>69.92332674973979</v>
      </c>
      <c r="M23" s="46"/>
      <c r="N23" s="83"/>
    </row>
    <row r="24" ht="13.65" customHeight="1">
      <c r="A24" s="41"/>
      <c r="B24" s="46">
        <f>B2*(B8^(0))*(B9^(0))</f>
        <v>100</v>
      </c>
      <c r="C24" s="38">
        <f>B2*(B8^(0))*(B9^(1))</f>
        <v>95.62638985171496</v>
      </c>
      <c r="D24" s="38">
        <f>B2*(B8^(0))*(B9^(2))</f>
        <v>91.44406436072174</v>
      </c>
      <c r="E24" s="38">
        <f>B2*(B8^(0))*(B9^(3))</f>
        <v>87.4446574818369</v>
      </c>
      <c r="F24" s="38">
        <f>B2*(B8^(0))*(B9^(4))</f>
        <v>83.62016906807817</v>
      </c>
      <c r="G24" s="38">
        <f>B2*(B8^(0))*(B9^(5))</f>
        <v>79.9629488677036</v>
      </c>
      <c r="H24" s="38">
        <f>B2*(B8^(0))*(B9^(6))</f>
        <v>76.46568122115774</v>
      </c>
      <c r="I24" s="38">
        <f>B2*(B8^(0))*(B9^(7))</f>
        <v>73.12137042731388</v>
      </c>
      <c r="J24" s="38">
        <f>B2*(B8^(0))*(B9^(8))</f>
        <v>69.92332674973979</v>
      </c>
      <c r="K24" s="38">
        <f>B2*(B8^(0))*(B9^(9))</f>
        <v>66.86515303499465</v>
      </c>
      <c r="L24" s="53">
        <f>B2*(B8^(0))*(B9^(10))</f>
        <v>63.9407319161898</v>
      </c>
      <c r="M24" s="46"/>
      <c r="N24" s="83"/>
    </row>
    <row r="25" ht="13.65" customHeight="1">
      <c r="A25" s="41"/>
      <c r="B25" s="46"/>
      <c r="C25" s="38"/>
      <c r="D25" s="38"/>
      <c r="E25" s="38"/>
      <c r="F25" s="38"/>
      <c r="G25" s="38"/>
      <c r="H25" s="38"/>
      <c r="I25" s="38"/>
      <c r="J25" s="38"/>
      <c r="K25" s="38"/>
      <c r="L25" s="53"/>
      <c r="M25" s="46"/>
      <c r="N25" s="83"/>
    </row>
    <row r="26" ht="13.5" customHeight="1">
      <c r="A26" s="54"/>
      <c r="B26" t="s" s="55">
        <v>13</v>
      </c>
      <c r="C26" t="s" s="56">
        <v>14</v>
      </c>
      <c r="D26" t="s" s="56">
        <v>15</v>
      </c>
      <c r="E26" t="s" s="56">
        <v>16</v>
      </c>
      <c r="F26" t="s" s="56">
        <v>25</v>
      </c>
      <c r="G26" t="s" s="56">
        <v>26</v>
      </c>
      <c r="H26" t="s" s="56">
        <v>27</v>
      </c>
      <c r="I26" t="s" s="56">
        <v>28</v>
      </c>
      <c r="J26" t="s" s="56">
        <v>29</v>
      </c>
      <c r="K26" t="s" s="56">
        <v>30</v>
      </c>
      <c r="L26" t="s" s="57">
        <v>31</v>
      </c>
      <c r="M26" s="58"/>
      <c r="N26" s="84"/>
    </row>
    <row r="27" ht="15.5" customHeight="1">
      <c r="A27" s="3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13"/>
      <c r="N27" s="23"/>
    </row>
    <row r="28" ht="13.5" customHeight="1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13"/>
      <c r="N28" s="23"/>
    </row>
    <row r="29" ht="13.5" customHeight="1">
      <c r="A29" s="41"/>
      <c r="B29" t="s" s="42">
        <v>32</v>
      </c>
      <c r="C29" s="43"/>
      <c r="D29" s="44"/>
      <c r="E29" s="69"/>
      <c r="F29" s="69"/>
      <c r="G29" s="69"/>
      <c r="H29" s="69"/>
      <c r="I29" s="69"/>
      <c r="J29" s="69"/>
      <c r="K29" s="69"/>
      <c r="L29" s="45"/>
      <c r="M29" s="46"/>
      <c r="N29" s="83"/>
    </row>
    <row r="30" ht="14.15" customHeight="1">
      <c r="A30" s="41"/>
      <c r="B30" s="44"/>
      <c r="C30" s="69"/>
      <c r="D30" s="38"/>
      <c r="E30" s="38"/>
      <c r="F30" s="38"/>
      <c r="G30" s="38"/>
      <c r="H30" s="38"/>
      <c r="I30" s="38"/>
      <c r="J30" s="38"/>
      <c r="K30" s="38"/>
      <c r="L30" s="53">
        <f>$L$14</f>
        <v>156.3948315935371</v>
      </c>
      <c r="M30" s="46"/>
      <c r="N30" s="83"/>
    </row>
    <row r="31" ht="13.65" customHeight="1">
      <c r="A31" s="41"/>
      <c r="B31" s="46"/>
      <c r="C31" s="38"/>
      <c r="D31" s="38"/>
      <c r="E31" s="38"/>
      <c r="F31" s="38"/>
      <c r="G31" s="38"/>
      <c r="H31" s="38"/>
      <c r="I31" s="38"/>
      <c r="J31" s="38"/>
      <c r="K31" s="38">
        <f>($B$10*$L$30+$B$11*$L$31)</f>
        <v>149.6295274307101</v>
      </c>
      <c r="L31" s="53">
        <f>$L$15</f>
        <v>143.0137904592364</v>
      </c>
      <c r="M31" s="46"/>
      <c r="N31" s="83"/>
    </row>
    <row r="32" ht="13.65" customHeight="1">
      <c r="A32" s="41"/>
      <c r="B32" s="46"/>
      <c r="C32" s="38"/>
      <c r="D32" s="38"/>
      <c r="E32" s="38"/>
      <c r="F32" s="38"/>
      <c r="G32" s="38"/>
      <c r="H32" s="38"/>
      <c r="I32" s="38"/>
      <c r="J32" s="38">
        <f>($B$10*$K$31+$B$11*$K$32)</f>
        <v>143.1568757804324</v>
      </c>
      <c r="K32" s="38">
        <f>($B$10*$L$31+$B$11*$L$32)</f>
        <v>136.8273213663823</v>
      </c>
      <c r="L32" s="53">
        <f>$L$16</f>
        <v>130.7776225922518</v>
      </c>
      <c r="M32" s="46"/>
      <c r="N32" s="83"/>
    </row>
    <row r="33" ht="13.65" customHeight="1">
      <c r="A33" s="41"/>
      <c r="B33" s="46"/>
      <c r="C33" s="38"/>
      <c r="D33" s="38"/>
      <c r="E33" s="38"/>
      <c r="F33" s="38"/>
      <c r="G33" s="38"/>
      <c r="H33" s="38"/>
      <c r="I33" s="38">
        <f>($B$10*$J$32+$B$11*$J$33)</f>
        <v>136.9642171242197</v>
      </c>
      <c r="J33" s="38">
        <f>($B$10*$K$32+$B$11*$K$33)</f>
        <v>130.9084656254571</v>
      </c>
      <c r="K33" s="38">
        <f>($B$10*$L$32+$B$11*$L$33)</f>
        <v>125.1204638133262</v>
      </c>
      <c r="L33" s="53">
        <f>$L$17</f>
        <v>119.5883733726805</v>
      </c>
      <c r="M33" s="46"/>
      <c r="N33" s="83"/>
    </row>
    <row r="34" ht="13.65" customHeight="1">
      <c r="A34" s="41"/>
      <c r="B34" s="46"/>
      <c r="C34" s="38"/>
      <c r="D34" s="38"/>
      <c r="E34" s="38"/>
      <c r="F34" s="38"/>
      <c r="G34" s="38"/>
      <c r="H34" s="38">
        <f>($B$10*$I$33+$B$11*$I$34)</f>
        <v>131.0394395671389</v>
      </c>
      <c r="I34" s="38">
        <f>($B$10*$J$33+$B$11*$J$34)</f>
        <v>125.2456468582301</v>
      </c>
      <c r="J34" s="38">
        <f>($B$10*$K$33+$B$11*$K$34)</f>
        <v>119.7080215601763</v>
      </c>
      <c r="K34" s="38">
        <f>($B$10*$L$33+$B$11*$L$34)</f>
        <v>114.4152374578915</v>
      </c>
      <c r="L34" s="53">
        <f>$L$18</f>
        <v>109.3564691148542</v>
      </c>
      <c r="M34" s="46"/>
      <c r="N34" s="83"/>
    </row>
    <row r="35" ht="13.65" customHeight="1">
      <c r="A35" s="41"/>
      <c r="B35" s="46"/>
      <c r="C35" s="38"/>
      <c r="D35" s="38"/>
      <c r="E35" s="38"/>
      <c r="F35" s="38"/>
      <c r="G35" s="38">
        <f>($B$10*$H$34+$B$11*$H$35)</f>
        <v>125.3709551487912</v>
      </c>
      <c r="H35" s="38">
        <f>($B$10*$I$34+$B$11*$I$35)</f>
        <v>119.8277894557035</v>
      </c>
      <c r="I35" s="38">
        <f>($B$10*$J$34+$B$11*$J$35)</f>
        <v>114.5297099220421</v>
      </c>
      <c r="J35" s="38">
        <f>($B$10*$K$34+$B$11*$K$35)</f>
        <v>109.4658802804342</v>
      </c>
      <c r="K35" s="38">
        <f>($B$10*$L$34+$B$11*$L$35)</f>
        <v>104.6259433794669</v>
      </c>
      <c r="L35" s="53">
        <f>$L$19</f>
        <v>100</v>
      </c>
      <c r="M35" s="46"/>
      <c r="N35" s="83"/>
    </row>
    <row r="36" ht="13.65" customHeight="1">
      <c r="A36" s="41"/>
      <c r="B36" s="46"/>
      <c r="C36" s="38"/>
      <c r="D36" s="38"/>
      <c r="E36" s="38"/>
      <c r="F36" s="38">
        <f>($B$10*$G$35+$B$11*$G$36)</f>
        <v>119.9476771790302</v>
      </c>
      <c r="G36" s="38">
        <f>($B$10*$H$35+$B$11*$H$36)</f>
        <v>114.6442969159122</v>
      </c>
      <c r="H36" s="38">
        <f>($B$10*$I$35+$B$11*$I$36)</f>
        <v>109.5754009119036</v>
      </c>
      <c r="I36" s="38">
        <f>($B$10*$J$35+$B$11*$J$36)</f>
        <v>104.7306216532601</v>
      </c>
      <c r="J36" s="38">
        <f>($B$10*$K$35+$B$11*$K$36)</f>
        <v>100.1000500166708</v>
      </c>
      <c r="K36" s="38">
        <f>($B$10*$L$35+$B$11*$L$36)</f>
        <v>95.67421500193203</v>
      </c>
      <c r="L36" s="53">
        <f>$L$20</f>
        <v>91.44406436072174</v>
      </c>
      <c r="M36" s="46"/>
      <c r="N36" s="83"/>
    </row>
    <row r="37" ht="13.65" customHeight="1">
      <c r="A37" s="41"/>
      <c r="B37" s="46"/>
      <c r="C37" s="38"/>
      <c r="D37" s="38"/>
      <c r="E37" s="38">
        <f>($B$10*$F$36+$B$11*$F$37)</f>
        <v>114.7589985540887</v>
      </c>
      <c r="F37" s="38">
        <f>($B$10*$G$36+$B$11*$G$37)</f>
        <v>109.6850311187831</v>
      </c>
      <c r="G37" s="38">
        <f>($B$10*$H$36+$B$11*$H$37)</f>
        <v>104.8354046576837</v>
      </c>
      <c r="H37" s="38">
        <f>($B$10*$I$36+$B$11*$I$37)</f>
        <v>100.2002001334</v>
      </c>
      <c r="I37" s="38">
        <f>($B$10*$J$36+$B$11*$J$37)</f>
        <v>95.76993706999113</v>
      </c>
      <c r="J37" s="38">
        <f>($B$10*$K$36+$B$11*$K$37)</f>
        <v>91.53555416235912</v>
      </c>
      <c r="K37" s="38">
        <f>($B$10*$L$36+$B$11*$L$37)</f>
        <v>87.48839074298201</v>
      </c>
      <c r="L37" s="53">
        <f>$L$21</f>
        <v>83.6201690680782</v>
      </c>
      <c r="M37" s="46"/>
      <c r="N37" s="83"/>
    </row>
    <row r="38" ht="13.65" customHeight="1">
      <c r="A38" s="41"/>
      <c r="B38" s="46"/>
      <c r="C38" s="38"/>
      <c r="D38" s="38">
        <f>($B$10*$E$37+$B$11*$E$38)</f>
        <v>109.7947710107028</v>
      </c>
      <c r="E38" s="38">
        <f>($B$10*$F$37+$B$11*$F$38)</f>
        <v>104.9402924975206</v>
      </c>
      <c r="F38" s="38">
        <f>($B$10*$G$37+$B$11*$G$38)</f>
        <v>100.3004504503377</v>
      </c>
      <c r="G38" s="38">
        <f>($B$10*$H$37+$B$11*$H$38)</f>
        <v>95.8657549079953</v>
      </c>
      <c r="H38" s="38">
        <f>($B$10*$I$37+$B$11*$I$38)</f>
        <v>91.62713549955829</v>
      </c>
      <c r="I38" s="38">
        <f>($B$10*$J$37+$B$11*$J$38)</f>
        <v>87.57592289250539</v>
      </c>
      <c r="J38" s="38">
        <f>($B$10*$K$37+$B$11*$K$38)</f>
        <v>83.70383106117097</v>
      </c>
      <c r="K38" s="38">
        <f>($B$10*$L$37+$B$11*$L$38)</f>
        <v>80.00294033917217</v>
      </c>
      <c r="L38" s="53">
        <f>$L$22</f>
        <v>76.46568122115774</v>
      </c>
      <c r="M38" s="46"/>
      <c r="N38" s="83"/>
    </row>
    <row r="39" ht="13.65" customHeight="1">
      <c r="A39" s="41"/>
      <c r="B39" s="46"/>
      <c r="C39" s="38">
        <f>($B$10*$D$38+$B$11*$D$39)</f>
        <v>105.0452852776588</v>
      </c>
      <c r="D39" s="38">
        <f>($B$10*$E$38+$B$11*$E$39)</f>
        <v>100.4008010677342</v>
      </c>
      <c r="E39" s="38">
        <f>($B$10*$F$38+$B$11*$F$39)</f>
        <v>95.96166861176236</v>
      </c>
      <c r="F39" s="38">
        <f>($B$10*$G$38+$B$11*$G$39)</f>
        <v>91.7188084639006</v>
      </c>
      <c r="G39" s="38">
        <f>($B$10*$H$38+$B$11*$H$39)</f>
        <v>87.66354261795897</v>
      </c>
      <c r="H39" s="38">
        <f>($B$10*$I$38+$B$11*$I$39)</f>
        <v>83.78757675810181</v>
      </c>
      <c r="I39" s="38">
        <f>($B$10*$J$38+$B$11*$J$39)</f>
        <v>80.08298329431867</v>
      </c>
      <c r="J39" s="38">
        <f>($B$10*$K$38+$B$11*$K$39)</f>
        <v>76.54218514796696</v>
      </c>
      <c r="K39" s="38">
        <f>($B$10*$L$38+$B$11*$L$39)</f>
        <v>73.1579402542224</v>
      </c>
      <c r="L39" s="53">
        <f>$L$23</f>
        <v>69.92332674973979</v>
      </c>
      <c r="M39" s="46"/>
      <c r="N39" s="83"/>
    </row>
    <row r="40" ht="13.65" customHeight="1">
      <c r="A40" s="41"/>
      <c r="B40" s="68">
        <f>($B$10*$C$39+$B$11*$C$40)</f>
        <v>100.5012520859401</v>
      </c>
      <c r="C40" s="38">
        <f>($B$10*$D$39+$B$11*$D$40)</f>
        <v>96.05767827720604</v>
      </c>
      <c r="D40" s="38">
        <f>($B$10*$E$39+$B$11*$E$40)</f>
        <v>91.81057314705902</v>
      </c>
      <c r="E40" s="38">
        <f>($B$10*$F$39+$B$11*$F$40)</f>
        <v>87.75125000696247</v>
      </c>
      <c r="F40" s="38">
        <f>($B$10*$G$39+$B$11*$G$40)</f>
        <v>83.87140624261636</v>
      </c>
      <c r="G40" s="38">
        <f>($B$10*$H$39+$B$11*$H$40)</f>
        <v>80.16310633245513</v>
      </c>
      <c r="H40" s="38">
        <f>($B$10*$I$39+$B$11*$I$40)</f>
        <v>76.61876561696772</v>
      </c>
      <c r="I40" s="38">
        <f>($B$10*$J$39+$B$11*$J$40)</f>
        <v>73.23113478564278</v>
      </c>
      <c r="J40" s="38">
        <f>($B$10*$K$39+$B$11*$K$40)</f>
        <v>69.99328504980969</v>
      </c>
      <c r="K40" s="38">
        <f>($B$10*$L$39+$B$11*$L$40)</f>
        <v>66.89859397104948</v>
      </c>
      <c r="L40" s="53">
        <f>$L$24</f>
        <v>63.9407319161898</v>
      </c>
      <c r="M40" s="46"/>
      <c r="N40" s="83"/>
    </row>
    <row r="41" ht="13.65" customHeight="1">
      <c r="A41" s="41"/>
      <c r="B41" s="46"/>
      <c r="C41" s="38"/>
      <c r="D41" s="38"/>
      <c r="E41" s="38"/>
      <c r="F41" s="38"/>
      <c r="G41" s="38"/>
      <c r="H41" s="38"/>
      <c r="I41" s="38"/>
      <c r="J41" s="38"/>
      <c r="K41" s="38"/>
      <c r="L41" s="53"/>
      <c r="M41" s="46"/>
      <c r="N41" s="83"/>
    </row>
    <row r="42" ht="13.5" customHeight="1">
      <c r="A42" s="54"/>
      <c r="B42" t="s" s="55">
        <v>13</v>
      </c>
      <c r="C42" t="s" s="56">
        <v>14</v>
      </c>
      <c r="D42" t="s" s="56">
        <v>15</v>
      </c>
      <c r="E42" t="s" s="56">
        <v>16</v>
      </c>
      <c r="F42" t="s" s="56">
        <v>25</v>
      </c>
      <c r="G42" t="s" s="56">
        <v>26</v>
      </c>
      <c r="H42" t="s" s="56">
        <v>27</v>
      </c>
      <c r="I42" t="s" s="56">
        <v>28</v>
      </c>
      <c r="J42" t="s" s="56">
        <v>29</v>
      </c>
      <c r="K42" t="s" s="56">
        <v>30</v>
      </c>
      <c r="L42" t="s" s="57">
        <v>31</v>
      </c>
      <c r="M42" s="58"/>
      <c r="N42" s="84"/>
    </row>
    <row r="43" ht="15.5" customHeight="1">
      <c r="A43" s="3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13"/>
      <c r="N43" s="23"/>
    </row>
    <row r="44" ht="13.5" customHeight="1">
      <c r="A44" s="39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13"/>
      <c r="N44" s="23"/>
    </row>
    <row r="45" ht="13.5" customHeight="1">
      <c r="A45" s="41"/>
      <c r="B45" t="s" s="42">
        <v>17</v>
      </c>
      <c r="C45" s="43"/>
      <c r="D45" s="44"/>
      <c r="E45" s="69"/>
      <c r="F45" s="69"/>
      <c r="G45" s="69"/>
      <c r="H45" s="69"/>
      <c r="I45" s="69"/>
      <c r="J45" s="69"/>
      <c r="K45" s="69"/>
      <c r="L45" s="45"/>
      <c r="M45" s="46"/>
      <c r="N45" s="83"/>
    </row>
    <row r="46" ht="14.15" customHeight="1">
      <c r="A46" s="41"/>
      <c r="B46" s="44"/>
      <c r="C46" s="69"/>
      <c r="D46" s="38"/>
      <c r="E46" s="38"/>
      <c r="F46" s="38"/>
      <c r="G46" s="38"/>
      <c r="H46" s="38"/>
      <c r="I46" s="38"/>
      <c r="J46" s="38"/>
      <c r="K46" s="38"/>
      <c r="L46" s="53">
        <f>MAX($J$2*(L30-$J$3),0)</f>
        <v>0</v>
      </c>
      <c r="M46" s="46"/>
      <c r="N46" s="83"/>
    </row>
    <row r="47" ht="13.65" customHeight="1">
      <c r="A47" s="41"/>
      <c r="B47" s="46"/>
      <c r="C47" s="38"/>
      <c r="D47" s="38"/>
      <c r="E47" s="38"/>
      <c r="F47" s="38"/>
      <c r="G47" s="38"/>
      <c r="H47" s="38"/>
      <c r="I47" s="38"/>
      <c r="J47" s="38"/>
      <c r="K47" s="38">
        <f>EXP(-$B$6*$B$3/$B$5)*($B$10*$L$46+$B$11*$L$47)</f>
        <v>0</v>
      </c>
      <c r="L47" s="53">
        <f>MAX($J$2*(L31-$J$3),0)</f>
        <v>0</v>
      </c>
      <c r="M47" s="46"/>
      <c r="N47" s="83"/>
    </row>
    <row r="48" ht="13.65" customHeight="1">
      <c r="A48" s="41"/>
      <c r="B48" s="46"/>
      <c r="C48" s="38"/>
      <c r="D48" s="38"/>
      <c r="E48" s="38"/>
      <c r="F48" s="38"/>
      <c r="G48" s="38"/>
      <c r="H48" s="38"/>
      <c r="I48" s="38"/>
      <c r="J48" s="38">
        <f>EXP(-$B$6*$B$3/$B$5)*($B$10*$K$47+$B$11*$K$48)</f>
        <v>0</v>
      </c>
      <c r="K48" s="38">
        <f>EXP(-$B$6*$B$3/$B$5)*($B$10*$L$47+$B$11*$L$48)</f>
        <v>0</v>
      </c>
      <c r="L48" s="53">
        <f>MAX($J$2*(L32-$J$3),0)</f>
        <v>0</v>
      </c>
      <c r="M48" s="46"/>
      <c r="N48" s="83"/>
    </row>
    <row r="49" ht="13.65" customHeight="1">
      <c r="A49" s="41"/>
      <c r="B49" s="46"/>
      <c r="C49" s="38"/>
      <c r="D49" s="38"/>
      <c r="E49" s="38"/>
      <c r="F49" s="38"/>
      <c r="G49" s="38"/>
      <c r="H49" s="38"/>
      <c r="I49" s="38">
        <f>EXP(-$B$6*$B$3/$B$5)*($B$10*$J$48+$B$11*$J$49)</f>
        <v>0</v>
      </c>
      <c r="J49" s="38">
        <f>EXP(-$B$6*$B$3/$B$5)*($B$10*$K$48+$B$11*$K$49)</f>
        <v>0</v>
      </c>
      <c r="K49" s="38">
        <f>EXP(-$B$6*$B$3/$B$5)*($B$10*$L$48+$B$11*$L$49)</f>
        <v>0</v>
      </c>
      <c r="L49" s="53">
        <f>MAX($J$2*(L33-$J$3),0)</f>
        <v>0</v>
      </c>
      <c r="M49" s="46"/>
      <c r="N49" s="83"/>
    </row>
    <row r="50" ht="13.65" customHeight="1">
      <c r="A50" s="41"/>
      <c r="B50" s="46"/>
      <c r="C50" s="38"/>
      <c r="D50" s="38"/>
      <c r="E50" s="38"/>
      <c r="F50" s="38"/>
      <c r="G50" s="38"/>
      <c r="H50" s="38">
        <f>EXP(-$B$6*$B$3/$B$5)*($B$10*$I$49+$B$11*$I$50)</f>
        <v>0</v>
      </c>
      <c r="I50" s="38">
        <f>EXP(-$B$6*$B$3/$B$5)*($B$10*$J$49+$B$11*$J$50)</f>
        <v>0</v>
      </c>
      <c r="J50" s="38">
        <f>EXP(-$B$6*$B$3/$B$5)*($B$10*$K$49+$B$11*$K$50)</f>
        <v>0</v>
      </c>
      <c r="K50" s="38">
        <f>EXP(-$B$6*$B$3/$B$5)*($B$10*$L$49+$B$11*$L$50)</f>
        <v>0</v>
      </c>
      <c r="L50" s="53">
        <f>MAX($J$2*(L34-$J$3),0)</f>
        <v>0</v>
      </c>
      <c r="M50" s="46"/>
      <c r="N50" s="83"/>
    </row>
    <row r="51" ht="13.65" customHeight="1">
      <c r="A51" s="41"/>
      <c r="B51" s="46"/>
      <c r="C51" s="38"/>
      <c r="D51" s="38"/>
      <c r="E51" s="38"/>
      <c r="F51" s="38"/>
      <c r="G51" s="38">
        <f>EXP(-$B$6*$B$3/$B$5)*($B$10*$H$50+$B$11*$H$51)</f>
        <v>0</v>
      </c>
      <c r="H51" s="38">
        <f>EXP(-$B$6*$B$3/$B$5)*($B$10*$I$50+$B$11*$I$51)</f>
        <v>0</v>
      </c>
      <c r="I51" s="38">
        <f>EXP(-$B$6*$B$3/$B$5)*($B$10*$J$50+$B$11*$J$51)</f>
        <v>0</v>
      </c>
      <c r="J51" s="38">
        <f>EXP(-$B$6*$B$3/$B$5)*($B$10*$K$50+$B$11*$K$51)</f>
        <v>0</v>
      </c>
      <c r="K51" s="38">
        <f>EXP(-$B$6*$B$3/$B$5)*($B$10*$L$50+$B$11*$L$51)</f>
        <v>0</v>
      </c>
      <c r="L51" s="53">
        <f>MAX($J$2*(L35-$J$3),0)</f>
        <v>0</v>
      </c>
      <c r="M51" s="46"/>
      <c r="N51" s="83"/>
    </row>
    <row r="52" ht="13.65" customHeight="1">
      <c r="A52" s="41"/>
      <c r="B52" s="46"/>
      <c r="C52" s="38"/>
      <c r="D52" s="38"/>
      <c r="E52" s="38"/>
      <c r="F52" s="38">
        <f>EXP(-$B$6*$B$3/$B$5)*($B$10*$G$51+$B$11*$G$52)</f>
        <v>0.1420516455627527</v>
      </c>
      <c r="G52" s="38">
        <f>EXP(-$B$6*$B$3/$B$5)*($B$10*$H$51+$B$11*$H$52)</f>
        <v>0.2812439199044141</v>
      </c>
      <c r="H52" s="38">
        <f>EXP(-$B$6*$B$3/$B$5)*($B$10*$I$51+$B$11*$I$52)</f>
        <v>0.5568266539246676</v>
      </c>
      <c r="I52" s="38">
        <f>EXP(-$B$6*$B$3/$B$5)*($B$10*$J$51+$B$11*$J$52)</f>
        <v>1.102444890635573</v>
      </c>
      <c r="J52" s="38">
        <f>EXP(-$B$6*$B$3/$B$5)*($B$10*$K$51+$B$11*$K$52)</f>
        <v>2.182698562150561</v>
      </c>
      <c r="K52" s="38">
        <f>EXP(-$B$6*$B$3/$B$5)*($B$10*$L$51+$B$11*$L$52)</f>
        <v>4.321461375241643</v>
      </c>
      <c r="L52" s="53">
        <f>MAX($J$2*(L36-$J$3),0)</f>
        <v>8.55593563927826</v>
      </c>
      <c r="M52" s="46"/>
      <c r="N52" s="83"/>
    </row>
    <row r="53" ht="13.65" customHeight="1">
      <c r="A53" s="41"/>
      <c r="B53" s="46"/>
      <c r="C53" s="38"/>
      <c r="D53" s="38"/>
      <c r="E53" s="38">
        <f>EXP(-$B$6*$B$3/$B$5)*($B$10*$F$52+$B$11*$F$53)</f>
        <v>0.6284892809261187</v>
      </c>
      <c r="F53" s="38">
        <f>EXP(-$B$6*$B$3/$B$5)*($B$10*$G$52+$B$11*$G$53)</f>
        <v>1.105416469737748</v>
      </c>
      <c r="G53" s="38">
        <f>EXP(-$B$6*$B$3/$B$5)*($B$10*$H$52+$B$11*$H$53)</f>
        <v>1.913555719466796</v>
      </c>
      <c r="H53" s="38">
        <f>EXP(-$B$6*$B$3/$B$5)*($B$10*$I$52+$B$11*$I$53)</f>
        <v>3.244076949153274</v>
      </c>
      <c r="I53" s="38">
        <f>EXP(-$B$6*$B$3/$B$5)*($B$10*$J$52+$B$11*$J$53)</f>
        <v>5.344781497785134</v>
      </c>
      <c r="J53" s="38">
        <f>EXP(-$B$6*$B$3/$B$5)*($B$10*$K$52+$B$11*$K$53)</f>
        <v>8.447533863576998</v>
      </c>
      <c r="K53" s="38">
        <f>EXP(-$B$6*$B$3/$B$5)*($B$10*$L$52+$B$11*$L$53)</f>
        <v>12.49910390148087</v>
      </c>
      <c r="L53" s="53">
        <f>MAX($J$2*(L37-$J$3),0)</f>
        <v>16.3798309319218</v>
      </c>
      <c r="M53" s="46"/>
      <c r="N53" s="83"/>
    </row>
    <row r="54" ht="13.65" customHeight="1">
      <c r="A54" s="41"/>
      <c r="B54" s="46"/>
      <c r="C54" s="38"/>
      <c r="D54" s="38">
        <f>EXP(-$B$6*$B$3/$B$5)*($B$10*$E$53+$B$11*$E$54)</f>
        <v>1.612738181786282</v>
      </c>
      <c r="E54" s="38">
        <f>EXP(-$B$6*$B$3/$B$5)*($B$10*$F$53+$B$11*$F$54)</f>
        <v>2.578418747643937</v>
      </c>
      <c r="F54" s="38">
        <f>EXP(-$B$6*$B$3/$B$5)*($B$10*$G$53+$B$11*$G$54)</f>
        <v>4.023958309158881</v>
      </c>
      <c r="G54" s="38">
        <f>EXP(-$B$6*$B$3/$B$5)*($B$10*$H$53+$B$11*$H$54)</f>
        <v>6.095667101993556</v>
      </c>
      <c r="H54" s="38">
        <f>EXP(-$B$6*$B$3/$B$5)*($B$10*$I$53+$B$11*$I$54)</f>
        <v>8.896276965887006</v>
      </c>
      <c r="I54" s="38">
        <f>EXP(-$B$6*$B$3/$B$5)*($B$10*$J$53+$B$11*$J$54)</f>
        <v>12.38686072865269</v>
      </c>
      <c r="J54" s="38">
        <f>EXP(-$B$6*$B$3/$B$5)*($B$10*$K$53+$B$11*$K$54)</f>
        <v>16.26360917157189</v>
      </c>
      <c r="K54" s="38">
        <f>EXP(-$B$6*$B$3/$B$5)*($B$10*$L$53+$B$11*$L$54)</f>
        <v>19.97707259636483</v>
      </c>
      <c r="L54" s="53">
        <f>MAX($J$2*(L38-$J$3),0)</f>
        <v>23.53431877884226</v>
      </c>
      <c r="M54" s="46"/>
      <c r="N54" s="83"/>
    </row>
    <row r="55" ht="13.65" customHeight="1">
      <c r="A55" s="41"/>
      <c r="B55" s="46"/>
      <c r="C55" s="38">
        <f>EXP(-$B$6*$B$3/$B$5)*($B$10*$D$54+$B$11*$D$55)</f>
        <v>3.151526246794153</v>
      </c>
      <c r="D55" s="38">
        <f>EXP(-$B$6*$B$3/$B$5)*($B$10*$E$54+$B$11*$E$55)</f>
        <v>4.662531316430094</v>
      </c>
      <c r="E55" s="38">
        <f>EXP(-$B$6*$B$3/$B$5)*($B$10*$F$54+$B$11*$F$55)</f>
        <v>6.709794967727895</v>
      </c>
      <c r="F55" s="38">
        <f>EXP(-$B$6*$B$3/$B$5)*($B$10*$G$54+$B$11*$G$55)</f>
        <v>9.349531097999233</v>
      </c>
      <c r="G55" s="38">
        <f>EXP(-$B$6*$B$3/$B$5)*($B$10*$H$54+$B$11*$H$55)</f>
        <v>12.54996035464476</v>
      </c>
      <c r="H55" s="38">
        <f>EXP(-$B$6*$B$3/$B$5)*($B$10*$I$54+$B$11*$I$55)</f>
        <v>16.14770307555685</v>
      </c>
      <c r="I55" s="38">
        <f>EXP(-$B$6*$B$3/$B$5)*($B$10*$J$54+$B$11*$J$55)</f>
        <v>19.8573551925801</v>
      </c>
      <c r="J55" s="38">
        <f>EXP(-$B$6*$B$3/$B$5)*($B$10*$K$54+$B$11*$K$55)</f>
        <v>23.41094610669723</v>
      </c>
      <c r="K55" s="38">
        <f>EXP(-$B$6*$B$3/$B$5)*($B$10*$L$54+$B$11*$L$55)</f>
        <v>26.81523110258914</v>
      </c>
      <c r="L55" s="53">
        <f>MAX($J$2*(L39-$J$3),0)</f>
        <v>30.07667325026021</v>
      </c>
      <c r="M55" s="46"/>
      <c r="N55" s="83"/>
    </row>
    <row r="56" ht="13.65" customHeight="1">
      <c r="A56" s="41"/>
      <c r="B56" s="51">
        <f>EXP(-$B$6*$B$3/$B$5)*($B$10*$C$55+$B$11*$C$56)</f>
        <v>5.212449070103343</v>
      </c>
      <c r="C56" s="38">
        <f>EXP(-$B$6*$B$3/$B$5)*($B$10*$D$55+$B$11*$D$56)</f>
        <v>7.238123876250853</v>
      </c>
      <c r="D56" s="38">
        <f>EXP(-$B$6*$B$3/$B$5)*($B$10*$E$55+$B$11*$E$56)</f>
        <v>9.771098682011031</v>
      </c>
      <c r="E56" s="38">
        <f>EXP(-$B$6*$B$3/$B$5)*($B$10*$F$55+$B$11*$F$56)</f>
        <v>12.78405900749328</v>
      </c>
      <c r="F56" s="38">
        <f>EXP(-$B$6*$B$3/$B$5)*($B$10*$G$55+$B$11*$G$56)</f>
        <v>16.16795458696449</v>
      </c>
      <c r="G56" s="38">
        <f>EXP(-$B$6*$B$3/$B$5)*($B$10*$H$55+$B$11*$H$56)</f>
        <v>19.73795674762549</v>
      </c>
      <c r="H56" s="38">
        <f>EXP(-$B$6*$B$3/$B$5)*($B$10*$I$55+$B$11*$I$56)</f>
        <v>23.28789624622461</v>
      </c>
      <c r="I56" s="38">
        <f>EXP(-$B$6*$B$3/$B$5)*($B$10*$J$55+$B$11*$J$56)</f>
        <v>26.68867895823803</v>
      </c>
      <c r="J56" s="38">
        <f>EXP(-$B$6*$B$3/$B$5)*($B$10*$K$55+$B$11*$K$56)</f>
        <v>29.94676149373088</v>
      </c>
      <c r="K56" s="38">
        <f>EXP(-$B$6*$B$3/$B$5)*($B$10*$L$55+$B$11*$L$56)</f>
        <v>33.06832116810908</v>
      </c>
      <c r="L56" s="53">
        <f>MAX($J$2*(L40-$J$3),0)</f>
        <v>36.0592680838102</v>
      </c>
      <c r="M56" s="46"/>
      <c r="N56" s="83"/>
    </row>
    <row r="57" ht="13.65" customHeight="1">
      <c r="A57" s="41"/>
      <c r="B57" s="46"/>
      <c r="C57" s="38"/>
      <c r="D57" s="38"/>
      <c r="E57" s="38"/>
      <c r="F57" s="38"/>
      <c r="G57" s="38"/>
      <c r="H57" s="38"/>
      <c r="I57" s="38"/>
      <c r="J57" s="38"/>
      <c r="K57" s="38"/>
      <c r="L57" s="53"/>
      <c r="M57" s="46"/>
      <c r="N57" s="83"/>
    </row>
    <row r="58" ht="13.5" customHeight="1">
      <c r="A58" s="59"/>
      <c r="B58" t="s" s="55">
        <v>13</v>
      </c>
      <c r="C58" t="s" s="56">
        <v>14</v>
      </c>
      <c r="D58" t="s" s="56">
        <v>15</v>
      </c>
      <c r="E58" t="s" s="56">
        <v>16</v>
      </c>
      <c r="F58" t="s" s="56">
        <v>25</v>
      </c>
      <c r="G58" t="s" s="56">
        <v>26</v>
      </c>
      <c r="H58" t="s" s="56">
        <v>27</v>
      </c>
      <c r="I58" t="s" s="56">
        <v>28</v>
      </c>
      <c r="J58" t="s" s="56">
        <v>29</v>
      </c>
      <c r="K58" t="s" s="56">
        <v>30</v>
      </c>
      <c r="L58" t="s" s="57">
        <v>31</v>
      </c>
      <c r="M58" s="60"/>
      <c r="N58" s="85"/>
    </row>
  </sheetData>
  <mergeCells count="6">
    <mergeCell ref="B45:C45"/>
    <mergeCell ref="A1:B1"/>
    <mergeCell ref="E1:F1"/>
    <mergeCell ref="B13:C13"/>
    <mergeCell ref="I1:J1"/>
    <mergeCell ref="B29:C29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X53"/>
  <sheetViews>
    <sheetView workbookViewId="0" showGridLines="0" defaultGridColor="1"/>
  </sheetViews>
  <sheetFormatPr defaultColWidth="8.83333" defaultRowHeight="12.75" customHeight="1" outlineLevelRow="0" outlineLevelCol="0"/>
  <cols>
    <col min="1" max="4" width="9.17188" style="86" customWidth="1"/>
    <col min="5" max="5" width="14.9219" style="86" customWidth="1"/>
    <col min="6" max="6" width="9.35156" style="86" customWidth="1"/>
    <col min="7" max="7" width="8.35156" style="86" customWidth="1"/>
    <col min="8" max="24" width="9.17188" style="86" customWidth="1"/>
    <col min="25" max="256" width="8.85156" style="86" customWidth="1"/>
  </cols>
  <sheetData>
    <row r="1" ht="13.5" customHeight="1">
      <c r="A1" t="s" s="2">
        <v>0</v>
      </c>
      <c r="B1" s="3"/>
      <c r="C1" s="4"/>
      <c r="D1" s="5"/>
      <c r="E1" s="7"/>
      <c r="F1" t="s" s="2">
        <v>1</v>
      </c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72"/>
    </row>
    <row r="2" ht="15.5" customHeight="1">
      <c r="A2" t="s" s="10">
        <v>2</v>
      </c>
      <c r="B2" s="11">
        <v>100</v>
      </c>
      <c r="C2" s="12"/>
      <c r="D2" s="13"/>
      <c r="E2" s="14"/>
      <c r="F2" t="s" s="87">
        <v>20</v>
      </c>
      <c r="G2" s="11">
        <v>1</v>
      </c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23"/>
    </row>
    <row r="3" ht="15.75" customHeight="1">
      <c r="A3" t="s" s="17">
        <v>4</v>
      </c>
      <c r="B3" s="18">
        <v>0.25</v>
      </c>
      <c r="C3" s="12"/>
      <c r="D3" s="13"/>
      <c r="E3" s="14"/>
      <c r="F3" t="s" s="88">
        <v>3</v>
      </c>
      <c r="G3" s="89">
        <v>100</v>
      </c>
      <c r="H3" s="12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23"/>
    </row>
    <row r="4" ht="15" customHeight="1">
      <c r="A4" t="s" s="17">
        <v>5</v>
      </c>
      <c r="B4" s="22">
        <v>0.3</v>
      </c>
      <c r="C4" s="12"/>
      <c r="D4" s="13"/>
      <c r="E4" s="13"/>
      <c r="F4" s="20"/>
      <c r="G4" s="20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23"/>
    </row>
    <row r="5" ht="15" customHeight="1">
      <c r="A5" t="s" s="17">
        <v>6</v>
      </c>
      <c r="B5" s="24">
        <v>15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23"/>
    </row>
    <row r="6" ht="15" customHeight="1">
      <c r="A6" t="s" s="17">
        <v>23</v>
      </c>
      <c r="B6" s="80">
        <v>0.02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23"/>
    </row>
    <row r="7" ht="15.75" customHeight="1">
      <c r="A7" t="s" s="26">
        <v>24</v>
      </c>
      <c r="B7" s="81">
        <v>0.01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23"/>
    </row>
    <row r="8" ht="15.5" customHeight="1">
      <c r="A8" t="s" s="28">
        <v>8</v>
      </c>
      <c r="B8" s="29">
        <f>EXP(B4*SQRT(B3/B5))</f>
        <v>1.039489610401338</v>
      </c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23"/>
    </row>
    <row r="9" ht="15" customHeight="1">
      <c r="A9" t="s" s="30">
        <v>9</v>
      </c>
      <c r="B9" s="31">
        <f>1/B8</f>
        <v>0.9620105771080376</v>
      </c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23"/>
    </row>
    <row r="10" ht="15" customHeight="1">
      <c r="A10" t="s" s="30">
        <v>10</v>
      </c>
      <c r="B10" s="33">
        <f>(EXP((B6-B7)*B3/B5)-B9)/(B8-B9)</f>
        <v>0.4924700506245105</v>
      </c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23"/>
    </row>
    <row r="11" ht="13.5" customHeight="1">
      <c r="A11" t="s" s="34">
        <v>11</v>
      </c>
      <c r="B11" s="35">
        <f>1-B10</f>
        <v>0.5075299493754895</v>
      </c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23"/>
    </row>
    <row r="12" ht="15.5" customHeight="1">
      <c r="A12" s="37"/>
      <c r="B12" s="2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23"/>
    </row>
    <row r="13" ht="15" customHeight="1">
      <c r="A13" s="39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23"/>
    </row>
    <row r="14" ht="15" customHeight="1">
      <c r="A14" t="s" s="90">
        <v>33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91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23"/>
    </row>
    <row r="15" ht="15" customHeight="1">
      <c r="A15" s="39"/>
      <c r="B15" s="92">
        <v>0</v>
      </c>
      <c r="C15" s="92">
        <v>1</v>
      </c>
      <c r="D15" s="92">
        <v>2</v>
      </c>
      <c r="E15" s="92">
        <v>3</v>
      </c>
      <c r="F15" s="92">
        <v>4</v>
      </c>
      <c r="G15" s="92">
        <v>5</v>
      </c>
      <c r="H15" s="92">
        <v>6</v>
      </c>
      <c r="I15" s="92">
        <v>7</v>
      </c>
      <c r="J15" s="92">
        <v>8</v>
      </c>
      <c r="K15" s="92">
        <v>9</v>
      </c>
      <c r="L15" s="93">
        <v>10</v>
      </c>
      <c r="M15" s="92">
        <v>11</v>
      </c>
      <c r="N15" s="92">
        <v>12</v>
      </c>
      <c r="O15" s="92">
        <v>13</v>
      </c>
      <c r="P15" s="92">
        <v>14</v>
      </c>
      <c r="Q15" s="92">
        <v>15</v>
      </c>
      <c r="R15" s="94"/>
      <c r="S15" s="94"/>
      <c r="T15" s="94"/>
      <c r="U15" s="94"/>
      <c r="V15" s="94"/>
      <c r="W15" s="94"/>
      <c r="X15" s="23"/>
    </row>
    <row r="16" ht="15" customHeight="1">
      <c r="A16" s="95">
        <v>15</v>
      </c>
      <c r="B16" s="94"/>
      <c r="C16" t="s" s="96">
        <f>IF($A16&lt;C$15,$B$9*OFFSET(C16,0,-1),IF($A16=C$15,$B$8*OFFSET(C16,1,-1),""))</f>
      </c>
      <c r="D16" t="s" s="96">
        <f>IF($A16&lt;D$15,$B$9*OFFSET(D16,0,-1),IF($A16=D$15,$B$8*OFFSET(D16,1,-1),""))</f>
      </c>
      <c r="E16" t="s" s="96">
        <f>IF($A16&lt;E$15,$B$9*OFFSET(E16,0,-1),IF($A16=E$15,$B$8*OFFSET(E16,1,-1),""))</f>
      </c>
      <c r="F16" t="s" s="96">
        <f>IF($A16&lt;F$15,$B$9*OFFSET(F16,0,-1),IF($A16=F$15,$B$8*OFFSET(F16,1,-1),""))</f>
      </c>
      <c r="G16" t="s" s="96">
        <f>IF($A16&lt;G$15,$B$9*OFFSET(G16,0,-1),IF($A16=G$15,$B$8*OFFSET(G16,1,-1),""))</f>
      </c>
      <c r="H16" t="s" s="96">
        <f>IF($A16&lt;H$15,$B$9*OFFSET(H16,0,-1),IF($A16=H$15,$B$8*OFFSET(H16,1,-1),""))</f>
      </c>
      <c r="I16" t="s" s="96">
        <f>IF($A16&lt;I$15,$B$9*OFFSET(I16,0,-1),IF($A16=I$15,$B$8*OFFSET(I16,1,-1),""))</f>
      </c>
      <c r="J16" t="s" s="96">
        <f>IF($A16&lt;J$15,$B$9*OFFSET(J16,0,-1),IF($A16=J$15,$B$8*OFFSET(J16,1,-1),""))</f>
      </c>
      <c r="K16" t="s" s="96">
        <f>IF($A16&lt;K$15,$B$9*OFFSET(K16,0,-1),IF($A16=K$15,$B$8*OFFSET(K16,1,-1),""))</f>
      </c>
      <c r="L16" s="97"/>
      <c r="M16" s="97"/>
      <c r="N16" s="98"/>
      <c r="O16" s="94"/>
      <c r="P16" t="s" s="99">
        <f>IF($A16&lt;P$15,$B$9*OFFSET(P16,0,-1),IF($A16=P$15,$B$8*OFFSET(P16,1,-1),""))</f>
      </c>
      <c r="Q16" s="98">
        <f>IF($A16&lt;Q$15,$B$9*OFFSET(Q16,0,-1),IF($A16=Q$15,$B$8*OFFSET(Q16,1,-1),""))</f>
        <v>178.7731507582369</v>
      </c>
      <c r="R16" s="94"/>
      <c r="S16" s="94"/>
      <c r="T16" s="94"/>
      <c r="U16" s="94"/>
      <c r="V16" s="94"/>
      <c r="W16" s="94"/>
      <c r="X16" s="23"/>
    </row>
    <row r="17" ht="15" customHeight="1">
      <c r="A17" s="95">
        <v>14</v>
      </c>
      <c r="B17" s="94"/>
      <c r="C17" t="s" s="96">
        <f>IF($A17&lt;C$15,$B$9*OFFSET(C17,0,-1),IF($A17=C$15,$B$8*OFFSET(C17,1,-1),""))</f>
      </c>
      <c r="D17" t="s" s="96">
        <f>IF($A17&lt;D$15,$B$9*OFFSET(D17,0,-1),IF($A17=D$15,$B$8*OFFSET(D17,1,-1),""))</f>
      </c>
      <c r="E17" t="s" s="96">
        <f>IF($A17&lt;E$15,$B$9*OFFSET(E17,0,-1),IF($A17=E$15,$B$8*OFFSET(E17,1,-1),""))</f>
      </c>
      <c r="F17" t="s" s="96">
        <f>IF($A17&lt;F$15,$B$9*OFFSET(F17,0,-1),IF($A17=F$15,$B$8*OFFSET(F17,1,-1),""))</f>
      </c>
      <c r="G17" t="s" s="96">
        <f>IF($A17&lt;G$15,$B$9*OFFSET(G17,0,-1),IF($A17=G$15,$B$8*OFFSET(G17,1,-1),""))</f>
      </c>
      <c r="H17" t="s" s="96">
        <f>IF($A17&lt;H$15,$B$9*OFFSET(H17,0,-1),IF($A17=H$15,$B$8*OFFSET(H17,1,-1),""))</f>
      </c>
      <c r="I17" t="s" s="96">
        <f>IF($A17&lt;I$15,$B$9*OFFSET(I17,0,-1),IF($A17=I$15,$B$8*OFFSET(I17,1,-1),""))</f>
      </c>
      <c r="J17" t="s" s="96">
        <f>IF($A17&lt;J$15,$B$9*OFFSET(J17,0,-1),IF($A17=J$15,$B$8*OFFSET(J17,1,-1),""))</f>
      </c>
      <c r="K17" s="97"/>
      <c r="L17" s="97"/>
      <c r="M17" s="97"/>
      <c r="N17" t="s" s="99">
        <f>IF($A17&lt;N$15,$B$9*OFFSET(N17,0,-1),IF($A17=N$15,$B$8*OFFSET(N17,1,-1),""))</f>
      </c>
      <c r="O17" t="s" s="99">
        <f>IF($A17&lt;O$15,$B$9*OFFSET(O17,0,-1),IF($A17=O$15,$B$8*OFFSET(O17,1,-1),""))</f>
      </c>
      <c r="P17" s="98">
        <f>IF($A17&lt;P$15,$B$9*OFFSET(P17,0,-1),IF($A17=P$15,$B$8*OFFSET(P17,1,-1),""))</f>
        <v>171.9816619323537</v>
      </c>
      <c r="Q17" s="98">
        <f>IF($A17&lt;Q$15,$B$9*OFFSET(Q17,0,-1),IF($A17=Q$15,$B$8*OFFSET(Q17,1,-1),""))</f>
        <v>165.448177847543</v>
      </c>
      <c r="R17" s="94"/>
      <c r="S17" s="94"/>
      <c r="T17" s="94"/>
      <c r="U17" s="94"/>
      <c r="V17" s="94"/>
      <c r="W17" s="94"/>
      <c r="X17" s="23"/>
    </row>
    <row r="18" ht="15" customHeight="1">
      <c r="A18" s="95">
        <v>13</v>
      </c>
      <c r="B18" s="94"/>
      <c r="C18" t="s" s="96">
        <f>IF($A18&lt;C$15,$B$9*OFFSET(C18,0,-1),IF($A18=C$15,$B$8*OFFSET(C18,1,-1),""))</f>
      </c>
      <c r="D18" t="s" s="96">
        <f>IF($A18&lt;D$15,$B$9*OFFSET(D18,0,-1),IF($A18=D$15,$B$8*OFFSET(D18,1,-1),""))</f>
      </c>
      <c r="E18" t="s" s="96">
        <f>IF($A18&lt;E$15,$B$9*OFFSET(E18,0,-1),IF($A18=E$15,$B$8*OFFSET(E18,1,-1),""))</f>
      </c>
      <c r="F18" t="s" s="96">
        <f>IF($A18&lt;F$15,$B$9*OFFSET(F18,0,-1),IF($A18=F$15,$B$8*OFFSET(F18,1,-1),""))</f>
      </c>
      <c r="G18" t="s" s="96">
        <f>IF($A18&lt;G$15,$B$9*OFFSET(G18,0,-1),IF($A18=G$15,$B$8*OFFSET(G18,1,-1),""))</f>
      </c>
      <c r="H18" t="s" s="96">
        <f>IF($A18&lt;H$15,$B$9*OFFSET(H18,0,-1),IF($A18=H$15,$B$8*OFFSET(H18,1,-1),""))</f>
      </c>
      <c r="I18" t="s" s="96">
        <f>IF($A18&lt;I$15,$B$9*OFFSET(I18,0,-1),IF($A18=I$15,$B$8*OFFSET(I18,1,-1),""))</f>
      </c>
      <c r="J18" s="97"/>
      <c r="K18" s="97"/>
      <c r="L18" s="97"/>
      <c r="M18" s="97"/>
      <c r="N18" t="s" s="99">
        <f>IF($A18&lt;N$15,$B$9*OFFSET(N18,0,-1),IF($A18=N$15,$B$8*OFFSET(N18,1,-1),""))</f>
      </c>
      <c r="O18" s="98">
        <f>IF($A18&lt;O$15,$B$9*OFFSET(O18,0,-1),IF($A18=O$15,$B$8*OFFSET(O18,1,-1),""))</f>
        <v>165.448177847543</v>
      </c>
      <c r="P18" s="98">
        <f>IF($A18&lt;P$15,$B$9*OFFSET(P18,0,-1),IF($A18=P$15,$B$8*OFFSET(P18,1,-1),""))</f>
        <v>159.1628970525881</v>
      </c>
      <c r="Q18" s="98">
        <f>IF($A18&lt;Q$15,$B$9*OFFSET(Q18,0,-1),IF($A18=Q$15,$B$8*OFFSET(Q18,1,-1),""))</f>
        <v>153.1163904477474</v>
      </c>
      <c r="R18" s="94"/>
      <c r="S18" s="94"/>
      <c r="T18" s="94"/>
      <c r="U18" s="94"/>
      <c r="V18" s="94"/>
      <c r="W18" s="94"/>
      <c r="X18" s="23"/>
    </row>
    <row r="19" ht="15" customHeight="1">
      <c r="A19" s="95">
        <v>12</v>
      </c>
      <c r="B19" s="94"/>
      <c r="C19" t="s" s="96">
        <f>IF($A19&lt;C$15,$B$9*OFFSET(C19,0,-1),IF($A19=C$15,$B$8*OFFSET(C19,1,-1),""))</f>
      </c>
      <c r="D19" t="s" s="96">
        <f>IF($A19&lt;D$15,$B$9*OFFSET(D19,0,-1),IF($A19=D$15,$B$8*OFFSET(D19,1,-1),""))</f>
      </c>
      <c r="E19" t="s" s="96">
        <f>IF($A19&lt;E$15,$B$9*OFFSET(E19,0,-1),IF($A19=E$15,$B$8*OFFSET(E19,1,-1),""))</f>
      </c>
      <c r="F19" t="s" s="96">
        <f>IF($A19&lt;F$15,$B$9*OFFSET(F19,0,-1),IF($A19=F$15,$B$8*OFFSET(F19,1,-1),""))</f>
      </c>
      <c r="G19" t="s" s="96">
        <f>IF($A19&lt;G$15,$B$9*OFFSET(G19,0,-1),IF($A19=G$15,$B$8*OFFSET(G19,1,-1),""))</f>
      </c>
      <c r="H19" t="s" s="96">
        <f>IF($A19&lt;H$15,$B$9*OFFSET(H19,0,-1),IF($A19=H$15,$B$8*OFFSET(H19,1,-1),""))</f>
      </c>
      <c r="I19" s="97"/>
      <c r="J19" s="97"/>
      <c r="K19" s="97"/>
      <c r="L19" s="97"/>
      <c r="M19" s="97"/>
      <c r="N19" s="98">
        <f>IF($A19&lt;N$15,$B$9*OFFSET(N19,0,-1),IF($A19=N$15,$B$8*OFFSET(N19,1,-1),""))</f>
        <v>159.1628970525881</v>
      </c>
      <c r="O19" s="98">
        <f>IF($A19&lt;O$15,$B$9*OFFSET(O19,0,-1),IF($A19=O$15,$B$8*OFFSET(O19,1,-1),""))</f>
        <v>153.1163904477474</v>
      </c>
      <c r="P19" s="98">
        <f>IF($A19&lt;P$15,$B$9*OFFSET(P19,0,-1),IF($A19=P$15,$B$8*OFFSET(P19,1,-1),""))</f>
        <v>147.2995871393371</v>
      </c>
      <c r="Q19" s="98">
        <f>IF($A19&lt;Q$15,$B$9*OFFSET(Q19,0,-1),IF($A19=Q$15,$B$8*OFFSET(Q19,1,-1),""))</f>
        <v>141.7037608316894</v>
      </c>
      <c r="R19" s="94"/>
      <c r="S19" s="94"/>
      <c r="T19" s="94"/>
      <c r="U19" s="94"/>
      <c r="V19" s="94"/>
      <c r="W19" s="94"/>
      <c r="X19" s="23"/>
    </row>
    <row r="20" ht="15" customHeight="1">
      <c r="A20" s="95">
        <v>11</v>
      </c>
      <c r="B20" s="94"/>
      <c r="C20" t="s" s="96">
        <f>IF($A20&lt;C$15,$B$9*OFFSET(C20,0,-1),IF($A20=C$15,$B$8*OFFSET(C20,1,-1),""))</f>
      </c>
      <c r="D20" t="s" s="96">
        <f>IF($A20&lt;D$15,$B$9*OFFSET(D20,0,-1),IF($A20=D$15,$B$8*OFFSET(D20,1,-1),""))</f>
      </c>
      <c r="E20" t="s" s="96">
        <f>IF($A20&lt;E$15,$B$9*OFFSET(E20,0,-1),IF($A20=E$15,$B$8*OFFSET(E20,1,-1),""))</f>
      </c>
      <c r="F20" t="s" s="96">
        <f>IF($A20&lt;F$15,$B$9*OFFSET(F20,0,-1),IF($A20=F$15,$B$8*OFFSET(F20,1,-1),""))</f>
      </c>
      <c r="G20" t="s" s="96">
        <f>IF($A20&lt;G$15,$B$9*OFFSET(G20,0,-1),IF($A20=G$15,$B$8*OFFSET(G20,1,-1),""))</f>
      </c>
      <c r="H20" s="97"/>
      <c r="I20" s="97"/>
      <c r="J20" s="97"/>
      <c r="K20" s="97"/>
      <c r="L20" t="s" s="99">
        <f>IF($A20&lt;L$15,$B$9*OFFSET(L20,0,-1),IF($A20=L$15,$B$8*OFFSET(L20,1,-1),""))</f>
      </c>
      <c r="M20" s="98">
        <f>IF($A20&lt;M$15,$B$9*OFFSET(M20,0,-1),IF($A20=M$15,$B$8*OFFSET(M20,1,-1),""))</f>
        <v>153.1163904477474</v>
      </c>
      <c r="N20" s="98">
        <f>IF($A20&lt;N$15,$B$9*OFFSET(N20,0,-1),IF($A20=N$15,$B$8*OFFSET(N20,1,-1),""))</f>
        <v>147.2995871393371</v>
      </c>
      <c r="O20" s="98">
        <f>IF($A20&lt;O$15,$B$9*OFFSET(O20,0,-1),IF($A20=O$15,$B$8*OFFSET(O20,1,-1),""))</f>
        <v>141.7037608316894</v>
      </c>
      <c r="P20" s="98">
        <f>IF($A20&lt;P$15,$B$9*OFFSET(P20,0,-1),IF($A20=P$15,$B$8*OFFSET(P20,1,-1),""))</f>
        <v>136.3205167360729</v>
      </c>
      <c r="Q20" s="98">
        <f>IF($A20&lt;Q$15,$B$9*OFFSET(Q20,0,-1),IF($A20=Q$15,$B$8*OFFSET(Q20,1,-1),""))</f>
        <v>131.1417789769354</v>
      </c>
      <c r="R20" s="94"/>
      <c r="S20" s="94"/>
      <c r="T20" s="94"/>
      <c r="U20" s="94"/>
      <c r="V20" s="94"/>
      <c r="W20" s="94"/>
      <c r="X20" s="23"/>
    </row>
    <row r="21" ht="15" customHeight="1">
      <c r="A21" s="95">
        <v>10</v>
      </c>
      <c r="B21" s="13"/>
      <c r="C21" t="s" s="96">
        <f>IF($A21&lt;C$15,$B$9*OFFSET(C21,0,-1),IF($A21=C$15,$B$8*OFFSET(C21,1,-1),""))</f>
      </c>
      <c r="D21" t="s" s="96">
        <f>IF($A21&lt;D$15,$B$9*OFFSET(D21,0,-1),IF($A21=D$15,$B$8*OFFSET(D21,1,-1),""))</f>
      </c>
      <c r="E21" t="s" s="96">
        <f>IF($A21&lt;E$15,$B$9*OFFSET(E21,0,-1),IF($A21=E$15,$B$8*OFFSET(E21,1,-1),""))</f>
      </c>
      <c r="F21" t="s" s="96">
        <f>IF($A21&lt;F$15,$B$9*OFFSET(F21,0,-1),IF($A21=F$15,$B$8*OFFSET(F21,1,-1),""))</f>
      </c>
      <c r="G21" s="97"/>
      <c r="H21" s="97"/>
      <c r="I21" s="97"/>
      <c r="J21" s="97"/>
      <c r="K21" t="s" s="99">
        <f>IF($A21&lt;K$15,$B$9*OFFSET(K21,0,-1),IF($A21=K$15,$B$8*OFFSET(K21,1,-1),""))</f>
      </c>
      <c r="L21" s="98">
        <f>IF($A21&lt;L$15,$B$9*OFFSET(L21,0,-1),IF($A21=L$15,$B$8*OFFSET(L21,1,-1),""))</f>
        <v>147.2995871393371</v>
      </c>
      <c r="M21" s="98">
        <f>IF($A21&lt;M$15,$B$9*OFFSET(M21,0,-1),IF($A21=M$15,$B$8*OFFSET(M21,1,-1),""))</f>
        <v>141.7037608316894</v>
      </c>
      <c r="N21" s="98">
        <f>IF($A21&lt;N$15,$B$9*OFFSET(N21,0,-1),IF($A21=N$15,$B$8*OFFSET(N21,1,-1),""))</f>
        <v>136.3205167360729</v>
      </c>
      <c r="O21" s="98">
        <f>IF($A21&lt;O$15,$B$9*OFFSET(O21,0,-1),IF($A21=O$15,$B$8*OFFSET(O21,1,-1),""))</f>
        <v>131.1417789769354</v>
      </c>
      <c r="P21" s="98">
        <f>IF($A21&lt;P$15,$B$9*OFFSET(P21,0,-1),IF($A21=P$15,$B$8*OFFSET(P21,1,-1),""))</f>
        <v>126.1597784765763</v>
      </c>
      <c r="Q21" s="98">
        <f>IF($A21&lt;Q$15,$B$9*OFFSET(Q21,0,-1),IF($A21=Q$15,$B$8*OFFSET(Q21,1,-1),""))</f>
        <v>121.3670413000734</v>
      </c>
      <c r="R21" s="97"/>
      <c r="S21" s="97"/>
      <c r="T21" s="97"/>
      <c r="U21" s="97"/>
      <c r="V21" s="97"/>
      <c r="W21" s="97"/>
      <c r="X21" s="23"/>
    </row>
    <row r="22" ht="15" customHeight="1">
      <c r="A22" s="95">
        <v>9</v>
      </c>
      <c r="B22" s="13"/>
      <c r="C22" t="s" s="96">
        <f>IF($A22&lt;C$15,$B$9*OFFSET(C22,0,-1),IF($A22=C$15,$B$8*OFFSET(C22,1,-1),""))</f>
      </c>
      <c r="D22" t="s" s="96">
        <f>IF($A22&lt;D$15,$B$9*OFFSET(D22,0,-1),IF($A22=D$15,$B$8*OFFSET(D22,1,-1),""))</f>
      </c>
      <c r="E22" t="s" s="96">
        <f>IF($A22&lt;E$15,$B$9*OFFSET(E22,0,-1),IF($A22=E$15,$B$8*OFFSET(E22,1,-1),""))</f>
      </c>
      <c r="F22" s="97"/>
      <c r="G22" s="97"/>
      <c r="H22" s="97"/>
      <c r="I22" s="97"/>
      <c r="J22" s="97"/>
      <c r="K22" s="98">
        <f>IF($A22&lt;K$15,$B$9*OFFSET(K22,0,-1),IF($A22=K$15,$B$8*OFFSET(K22,1,-1),""))</f>
        <v>141.7037608316894</v>
      </c>
      <c r="L22" s="98">
        <f>IF($A22&lt;L$15,$B$9*OFFSET(L22,0,-1),IF($A22=L$15,$B$8*OFFSET(L22,1,-1),""))</f>
        <v>136.3205167360729</v>
      </c>
      <c r="M22" s="98">
        <f>IF($A22&lt;M$15,$B$9*OFFSET(M22,0,-1),IF($A22=M$15,$B$8*OFFSET(M22,1,-1),""))</f>
        <v>131.1417789769354</v>
      </c>
      <c r="N22" s="98">
        <f>IF($A22&lt;N$15,$B$9*OFFSET(N22,0,-1),IF($A22=N$15,$B$8*OFFSET(N22,1,-1),""))</f>
        <v>126.1597784765763</v>
      </c>
      <c r="O22" s="98">
        <f>IF($A22&lt;O$15,$B$9*OFFSET(O22,0,-1),IF($A22=O$15,$B$8*OFFSET(O22,1,-1),""))</f>
        <v>121.3670413000734</v>
      </c>
      <c r="P22" s="98">
        <f>IF($A22&lt;P$15,$B$9*OFFSET(P22,0,-1),IF($A22=P$15,$B$8*OFFSET(P22,1,-1),""))</f>
        <v>116.7563774429786</v>
      </c>
      <c r="Q22" s="98">
        <f>IF($A22&lt;Q$15,$B$9*OFFSET(Q22,0,-1),IF($A22=Q$15,$B$8*OFFSET(Q22,1,-1),""))</f>
        <v>112.3208700449637</v>
      </c>
      <c r="R22" s="97"/>
      <c r="S22" s="97"/>
      <c r="T22" s="97"/>
      <c r="U22" s="97"/>
      <c r="V22" s="97"/>
      <c r="W22" s="97"/>
      <c r="X22" s="23"/>
    </row>
    <row r="23" ht="15" customHeight="1">
      <c r="A23" s="95">
        <v>8</v>
      </c>
      <c r="B23" s="13"/>
      <c r="C23" t="s" s="96">
        <f>IF($A23&lt;C$15,$B$9*OFFSET(C23,0,-1),IF($A23=C$15,$B$8*OFFSET(C23,1,-1),""))</f>
      </c>
      <c r="D23" t="s" s="96">
        <f>IF($A23&lt;D$15,$B$9*OFFSET(D23,0,-1),IF($A23=D$15,$B$8*OFFSET(D23,1,-1),""))</f>
      </c>
      <c r="E23" s="97"/>
      <c r="F23" s="97"/>
      <c r="G23" s="97"/>
      <c r="H23" s="97"/>
      <c r="I23" s="97"/>
      <c r="J23" s="98">
        <f>IF($A23&lt;J$15,$B$9*OFFSET(J23,0,-1),IF($A23=J$15,$B$8*OFFSET(J23,1,-1),""))</f>
        <v>136.3205167360729</v>
      </c>
      <c r="K23" s="98">
        <f>IF($A23&lt;K$15,$B$9*OFFSET(K23,0,-1),IF($A23=K$15,$B$8*OFFSET(K23,1,-1),""))</f>
        <v>131.1417789769354</v>
      </c>
      <c r="L23" s="98">
        <f>IF($A23&lt;L$15,$B$9*OFFSET(L23,0,-1),IF($A23=L$15,$B$8*OFFSET(L23,1,-1),""))</f>
        <v>126.1597784765763</v>
      </c>
      <c r="M23" s="98">
        <f>IF($A23&lt;M$15,$B$9*OFFSET(M23,0,-1),IF($A23=M$15,$B$8*OFFSET(M23,1,-1),""))</f>
        <v>121.3670413000734</v>
      </c>
      <c r="N23" s="98">
        <f>IF($A23&lt;N$15,$B$9*OFFSET(N23,0,-1),IF($A23=N$15,$B$8*OFFSET(N23,1,-1),""))</f>
        <v>116.7563774429786</v>
      </c>
      <c r="O23" s="98">
        <f>IF($A23&lt;O$15,$B$9*OFFSET(O23,0,-1),IF($A23=O$15,$B$8*OFFSET(O23,1,-1),""))</f>
        <v>112.3208700449637</v>
      </c>
      <c r="P23" s="98">
        <f>IF($A23&lt;P$15,$B$9*OFFSET(P23,0,-1),IF($A23=P$15,$B$8*OFFSET(P23,1,-1),""))</f>
        <v>108.0538650132324</v>
      </c>
      <c r="Q23" s="98">
        <f>IF($A23&lt;Q$15,$B$9*OFFSET(Q23,0,-1),IF($A23=Q$15,$B$8*OFFSET(Q23,1,-1),""))</f>
        <v>103.9489610401337</v>
      </c>
      <c r="R23" s="97"/>
      <c r="S23" s="97"/>
      <c r="T23" s="97"/>
      <c r="U23" s="97"/>
      <c r="V23" s="97"/>
      <c r="W23" s="97"/>
      <c r="X23" s="23"/>
    </row>
    <row r="24" ht="15" customHeight="1">
      <c r="A24" s="95">
        <v>7</v>
      </c>
      <c r="B24" s="13"/>
      <c r="C24" t="s" s="96">
        <f>IF($A24&lt;C$15,$B$9*OFFSET(C24,0,-1),IF($A24=C$15,$B$8*OFFSET(C24,1,-1),""))</f>
      </c>
      <c r="D24" s="97"/>
      <c r="E24" s="97"/>
      <c r="F24" s="97"/>
      <c r="G24" s="97"/>
      <c r="H24" s="97"/>
      <c r="I24" s="98">
        <f>IF($A24&lt;I$15,$B$9*OFFSET(I24,0,-1),IF($A24=I$15,$B$8*OFFSET(I24,1,-1),""))</f>
        <v>131.1417789769354</v>
      </c>
      <c r="J24" s="98">
        <f>IF($A24&lt;J$15,$B$9*OFFSET(J24,0,-1),IF($A24=J$15,$B$8*OFFSET(J24,1,-1),""))</f>
        <v>126.1597784765763</v>
      </c>
      <c r="K24" s="98">
        <f>IF($A24&lt;K$15,$B$9*OFFSET(K24,0,-1),IF($A24=K$15,$B$8*OFFSET(K24,1,-1),""))</f>
        <v>121.3670413000734</v>
      </c>
      <c r="L24" s="98">
        <f>IF($A24&lt;L$15,$B$9*OFFSET(L24,0,-1),IF($A24=L$15,$B$8*OFFSET(L24,1,-1),""))</f>
        <v>116.7563774429786</v>
      </c>
      <c r="M24" s="98">
        <f>IF($A24&lt;M$15,$B$9*OFFSET(M24,0,-1),IF($A24=M$15,$B$8*OFFSET(M24,1,-1),""))</f>
        <v>112.3208700449637</v>
      </c>
      <c r="N24" s="98">
        <f>IF($A24&lt;N$15,$B$9*OFFSET(N24,0,-1),IF($A24=N$15,$B$8*OFFSET(N24,1,-1),""))</f>
        <v>108.0538650132324</v>
      </c>
      <c r="O24" s="98">
        <f>IF($A24&lt;O$15,$B$9*OFFSET(O24,0,-1),IF($A24=O$15,$B$8*OFFSET(O24,1,-1),""))</f>
        <v>103.9489610401337</v>
      </c>
      <c r="P24" s="98">
        <f>IF($A24&lt;P$15,$B$9*OFFSET(P24,0,-1),IF($A24=P$15,$B$8*OFFSET(P24,1,-1),""))</f>
        <v>99.99999999999997</v>
      </c>
      <c r="Q24" s="98">
        <f>IF($A24&lt;Q$15,$B$9*OFFSET(Q24,0,-1),IF($A24=Q$15,$B$8*OFFSET(Q24,1,-1),""))</f>
        <v>96.20105771080374</v>
      </c>
      <c r="R24" s="97"/>
      <c r="S24" s="97"/>
      <c r="T24" s="97"/>
      <c r="U24" s="97"/>
      <c r="V24" s="97"/>
      <c r="W24" s="97"/>
      <c r="X24" s="23"/>
    </row>
    <row r="25" ht="15" customHeight="1">
      <c r="A25" s="95">
        <v>6</v>
      </c>
      <c r="B25" s="13"/>
      <c r="C25" s="97"/>
      <c r="D25" s="97"/>
      <c r="E25" s="97"/>
      <c r="F25" s="97"/>
      <c r="G25" s="97"/>
      <c r="H25" s="98">
        <f>IF($A25&lt;H$15,$B$9*OFFSET(H25,0,-1),IF($A25=H$15,$B$8*OFFSET(H25,1,-1),""))</f>
        <v>126.1597784765763</v>
      </c>
      <c r="I25" s="98">
        <f>IF($A25&lt;I$15,$B$9*OFFSET(I25,0,-1),IF($A25=I$15,$B$8*OFFSET(I25,1,-1),""))</f>
        <v>121.3670413000734</v>
      </c>
      <c r="J25" s="98">
        <f>IF($A25&lt;J$15,$B$9*OFFSET(J25,0,-1),IF($A25=J$15,$B$8*OFFSET(J25,1,-1),""))</f>
        <v>116.7563774429786</v>
      </c>
      <c r="K25" s="98">
        <f>IF($A25&lt;K$15,$B$9*OFFSET(K25,0,-1),IF($A25=K$15,$B$8*OFFSET(K25,1,-1),""))</f>
        <v>112.3208700449637</v>
      </c>
      <c r="L25" s="98">
        <f>IF($A25&lt;L$15,$B$9*OFFSET(L25,0,-1),IF($A25=L$15,$B$8*OFFSET(L25,1,-1),""))</f>
        <v>108.0538650132324</v>
      </c>
      <c r="M25" s="98">
        <f>IF($A25&lt;M$15,$B$9*OFFSET(M25,0,-1),IF($A25=M$15,$B$8*OFFSET(M25,1,-1),""))</f>
        <v>103.9489610401337</v>
      </c>
      <c r="N25" s="98">
        <f>IF($A25&lt;N$15,$B$9*OFFSET(N25,0,-1),IF($A25=N$15,$B$8*OFFSET(N25,1,-1),""))</f>
        <v>99.99999999999997</v>
      </c>
      <c r="O25" s="98">
        <f>IF($A25&lt;O$15,$B$9*OFFSET(O25,0,-1),IF($A25=O$15,$B$8*OFFSET(O25,1,-1),""))</f>
        <v>96.20105771080374</v>
      </c>
      <c r="P25" s="98">
        <f>IF($A25&lt;P$15,$B$9*OFFSET(P25,0,-1),IF($A25=P$15,$B$8*OFFSET(P25,1,-1),""))</f>
        <v>92.54643504677394</v>
      </c>
      <c r="Q25" s="98">
        <f>IF($A25&lt;Q$15,$B$9*OFFSET(Q25,0,-1),IF($A25=Q$15,$B$8*OFFSET(Q25,1,-1),""))</f>
        <v>89.03064938863851</v>
      </c>
      <c r="R25" s="97"/>
      <c r="S25" s="97"/>
      <c r="T25" s="97"/>
      <c r="U25" s="97"/>
      <c r="V25" s="97"/>
      <c r="W25" s="97"/>
      <c r="X25" s="23"/>
    </row>
    <row r="26" ht="15" customHeight="1">
      <c r="A26" s="95">
        <v>5</v>
      </c>
      <c r="B26" s="97"/>
      <c r="C26" s="97"/>
      <c r="D26" s="97"/>
      <c r="E26" s="97"/>
      <c r="F26" t="s" s="99">
        <f>IF($A26&lt;F$15,$B$9*OFFSET(F26,0,-1),IF($A26=F$15,$B$8*OFFSET(F26,1,-1),""))</f>
      </c>
      <c r="G26" s="98">
        <f>IF($A26&lt;G$15,$B$9*OFFSET(G26,0,-1),IF($A26=G$15,$B$8*OFFSET(G26,1,-1),""))</f>
        <v>121.3670413000734</v>
      </c>
      <c r="H26" s="98">
        <f>IF($A26&lt;H$15,$B$9*OFFSET(H26,0,-1),IF($A26=H$15,$B$8*OFFSET(H26,1,-1),""))</f>
        <v>116.7563774429786</v>
      </c>
      <c r="I26" s="98">
        <f>IF($A26&lt;I$15,$B$9*OFFSET(I26,0,-1),IF($A26=I$15,$B$8*OFFSET(I26,1,-1),""))</f>
        <v>112.3208700449637</v>
      </c>
      <c r="J26" s="98">
        <f>IF($A26&lt;J$15,$B$9*OFFSET(J26,0,-1),IF($A26=J$15,$B$8*OFFSET(J26,1,-1),""))</f>
        <v>108.0538650132325</v>
      </c>
      <c r="K26" s="98">
        <f>IF($A26&lt;K$15,$B$9*OFFSET(K26,0,-1),IF($A26=K$15,$B$8*OFFSET(K26,1,-1),""))</f>
        <v>103.9489610401338</v>
      </c>
      <c r="L26" s="98">
        <f>IF($A26&lt;L$15,$B$9*OFFSET(L26,0,-1),IF($A26=L$15,$B$8*OFFSET(L26,1,-1),""))</f>
        <v>99.99999999999999</v>
      </c>
      <c r="M26" s="98">
        <f>IF($A26&lt;M$15,$B$9*OFFSET(M26,0,-1),IF($A26=M$15,$B$8*OFFSET(M26,1,-1),""))</f>
        <v>96.20105771080375</v>
      </c>
      <c r="N26" s="98">
        <f>IF($A26&lt;N$15,$B$9*OFFSET(N26,0,-1),IF($A26=N$15,$B$8*OFFSET(N26,1,-1),""))</f>
        <v>92.54643504677395</v>
      </c>
      <c r="O26" s="98">
        <f>IF($A26&lt;O$15,$B$9*OFFSET(O26,0,-1),IF($A26=O$15,$B$8*OFFSET(O26,1,-1),""))</f>
        <v>89.03064938863852</v>
      </c>
      <c r="P26" s="98">
        <f>IF($A26&lt;P$15,$B$9*OFFSET(P26,0,-1),IF($A26=P$15,$B$8*OFFSET(P26,1,-1),""))</f>
        <v>85.6484263986675</v>
      </c>
      <c r="Q26" s="98">
        <f>IF($A26&lt;Q$15,$B$9*OFFSET(Q26,0,-1),IF($A26=Q$15,$B$8*OFFSET(Q26,1,-1),""))</f>
        <v>82.3946921081774</v>
      </c>
      <c r="R26" s="97"/>
      <c r="S26" s="97"/>
      <c r="T26" s="97"/>
      <c r="U26" s="97"/>
      <c r="V26" s="97"/>
      <c r="W26" s="97"/>
      <c r="X26" s="23"/>
    </row>
    <row r="27" ht="15" customHeight="1">
      <c r="A27" s="95">
        <v>4</v>
      </c>
      <c r="B27" s="19"/>
      <c r="C27" s="19"/>
      <c r="D27" s="97"/>
      <c r="E27" t="s" s="99">
        <f>IF($A27&lt;E$15,$B$9*OFFSET(E27,0,-1),IF($A27=E$15,$B$8*OFFSET(E27,1,-1),""))</f>
      </c>
      <c r="F27" s="98">
        <f>IF($A27&lt;F$15,$B$9*OFFSET(F27,0,-1),IF($A27=F$15,$B$8*OFFSET(F27,1,-1),""))</f>
        <v>116.7563774429786</v>
      </c>
      <c r="G27" s="98">
        <f>IF($A27&lt;G$15,$B$9*OFFSET(G27,0,-1),IF($A27=G$15,$B$8*OFFSET(G27,1,-1),""))</f>
        <v>112.3208700449637</v>
      </c>
      <c r="H27" s="98">
        <f>IF($A27&lt;H$15,$B$9*OFFSET(H27,0,-1),IF($A27=H$15,$B$8*OFFSET(H27,1,-1),""))</f>
        <v>108.0538650132325</v>
      </c>
      <c r="I27" s="98">
        <f>IF($A27&lt;I$15,$B$9*OFFSET(I27,0,-1),IF($A27=I$15,$B$8*OFFSET(I27,1,-1),""))</f>
        <v>103.9489610401338</v>
      </c>
      <c r="J27" s="98">
        <f>IF($A27&lt;J$15,$B$9*OFFSET(J27,0,-1),IF($A27=J$15,$B$8*OFFSET(J27,1,-1),""))</f>
        <v>99.99999999999999</v>
      </c>
      <c r="K27" s="98">
        <f>IF($A27&lt;K$15,$B$9*OFFSET(K27,0,-1),IF($A27=K$15,$B$8*OFFSET(K27,1,-1),""))</f>
        <v>96.20105771080375</v>
      </c>
      <c r="L27" s="98">
        <f>IF($A27&lt;L$15,$B$9*OFFSET(L27,0,-1),IF($A27=L$15,$B$8*OFFSET(L27,1,-1),""))</f>
        <v>92.54643504677395</v>
      </c>
      <c r="M27" s="98">
        <f>IF($A27&lt;M$15,$B$9*OFFSET(M27,0,-1),IF($A27=M$15,$B$8*OFFSET(M27,1,-1),""))</f>
        <v>89.03064938863852</v>
      </c>
      <c r="N27" s="98">
        <f>IF($A27&lt;N$15,$B$9*OFFSET(N27,0,-1),IF($A27=N$15,$B$8*OFFSET(N27,1,-1),""))</f>
        <v>85.6484263986675</v>
      </c>
      <c r="O27" s="98">
        <f>IF($A27&lt;O$15,$B$9*OFFSET(O27,0,-1),IF($A27=O$15,$B$8*OFFSET(O27,1,-1),""))</f>
        <v>82.3946921081774</v>
      </c>
      <c r="P27" s="98">
        <f>IF($A27&lt;P$15,$B$9*OFFSET(P27,0,-1),IF($A27=P$15,$B$8*OFFSET(P27,1,-1),""))</f>
        <v>79.2645653056268</v>
      </c>
      <c r="Q27" s="98">
        <f>IF($A27&lt;Q$15,$B$9*OFFSET(Q27,0,-1),IF($A27=Q$15,$B$8*OFFSET(Q27,1,-1),""))</f>
        <v>76.25335021388378</v>
      </c>
      <c r="R27" s="97"/>
      <c r="S27" s="97"/>
      <c r="T27" s="97"/>
      <c r="U27" s="97"/>
      <c r="V27" s="97"/>
      <c r="W27" s="97"/>
      <c r="X27" s="23"/>
    </row>
    <row r="28" ht="15" customHeight="1">
      <c r="A28" s="95">
        <v>3</v>
      </c>
      <c r="B28" s="13"/>
      <c r="C28" s="13"/>
      <c r="D28" s="13"/>
      <c r="E28" s="98">
        <f>IF($A28&lt;E$15,$B$9*OFFSET(E28,0,-1),IF($A28=E$15,$B$8*OFFSET(E28,1,-1),""))</f>
        <v>112.3208700449637</v>
      </c>
      <c r="F28" s="98">
        <f>IF($A28&lt;F$15,$B$9*OFFSET(F28,0,-1),IF($A28=F$15,$B$8*OFFSET(F28,1,-1),""))</f>
        <v>108.0538650132325</v>
      </c>
      <c r="G28" s="98">
        <f>IF($A28&lt;G$15,$B$9*OFFSET(G28,0,-1),IF($A28=G$15,$B$8*OFFSET(G28,1,-1),""))</f>
        <v>103.9489610401338</v>
      </c>
      <c r="H28" s="98">
        <f>IF($A28&lt;H$15,$B$9*OFFSET(H28,0,-1),IF($A28=H$15,$B$8*OFFSET(H28,1,-1),""))</f>
        <v>99.99999999999999</v>
      </c>
      <c r="I28" s="98">
        <f>IF($A28&lt;I$15,$B$9*OFFSET(I28,0,-1),IF($A28=I$15,$B$8*OFFSET(I28,1,-1),""))</f>
        <v>96.20105771080375</v>
      </c>
      <c r="J28" s="98">
        <f>IF($A28&lt;J$15,$B$9*OFFSET(J28,0,-1),IF($A28=J$15,$B$8*OFFSET(J28,1,-1),""))</f>
        <v>92.54643504677395</v>
      </c>
      <c r="K28" s="98">
        <f>IF($A28&lt;K$15,$B$9*OFFSET(K28,0,-1),IF($A28=K$15,$B$8*OFFSET(K28,1,-1),""))</f>
        <v>89.03064938863852</v>
      </c>
      <c r="L28" s="98">
        <f>IF($A28&lt;L$15,$B$9*OFFSET(L28,0,-1),IF($A28=L$15,$B$8*OFFSET(L28,1,-1),""))</f>
        <v>85.6484263986675</v>
      </c>
      <c r="M28" s="98">
        <f>IF($A28&lt;M$15,$B$9*OFFSET(M28,0,-1),IF($A28=M$15,$B$8*OFFSET(M28,1,-1),""))</f>
        <v>82.3946921081774</v>
      </c>
      <c r="N28" s="98">
        <f>IF($A28&lt;N$15,$B$9*OFFSET(N28,0,-1),IF($A28=N$15,$B$8*OFFSET(N28,1,-1),""))</f>
        <v>79.2645653056268</v>
      </c>
      <c r="O28" s="98">
        <f>IF($A28&lt;O$15,$B$9*OFFSET(O28,0,-1),IF($A28=O$15,$B$8*OFFSET(O28,1,-1),""))</f>
        <v>76.25335021388378</v>
      </c>
      <c r="P28" s="98">
        <f>IF($A28&lt;P$15,$B$9*OFFSET(P28,0,-1),IF($A28=P$15,$B$8*OFFSET(P28,1,-1),""))</f>
        <v>73.35652944567964</v>
      </c>
      <c r="Q28" s="98">
        <f>IF($A28&lt;Q$15,$B$9*OFFSET(Q28,0,-1),IF($A28=Q$15,$B$8*OFFSET(Q28,1,-1),""))</f>
        <v>70.56975722668102</v>
      </c>
      <c r="R28" s="13"/>
      <c r="S28" s="13"/>
      <c r="T28" s="13"/>
      <c r="U28" s="13"/>
      <c r="V28" s="13"/>
      <c r="W28" s="13"/>
      <c r="X28" s="23"/>
    </row>
    <row r="29" ht="15" customHeight="1">
      <c r="A29" s="100">
        <v>2</v>
      </c>
      <c r="B29" s="13"/>
      <c r="C29" s="13"/>
      <c r="D29" s="98">
        <f>IF($A29&lt;D$15,$B$9*OFFSET(D29,0,-1),IF($A29=D$15,$B$8*OFFSET(D29,1,-1),""))</f>
        <v>108.0538650132325</v>
      </c>
      <c r="E29" s="98">
        <f>IF($A29&lt;E$15,$B$9*OFFSET(E29,0,-1),IF($A29=E$15,$B$8*OFFSET(E29,1,-1),""))</f>
        <v>103.9489610401338</v>
      </c>
      <c r="F29" s="98">
        <f>IF($A29&lt;F$15,$B$9*OFFSET(F29,0,-1),IF($A29=F$15,$B$8*OFFSET(F29,1,-1),""))</f>
        <v>99.99999999999999</v>
      </c>
      <c r="G29" s="98">
        <f>IF($A29&lt;G$15,$B$9*OFFSET(G29,0,-1),IF($A29=G$15,$B$8*OFFSET(G29,1,-1),""))</f>
        <v>96.20105771080375</v>
      </c>
      <c r="H29" s="98">
        <f>IF($A29&lt;H$15,$B$9*OFFSET(H29,0,-1),IF($A29=H$15,$B$8*OFFSET(H29,1,-1),""))</f>
        <v>92.54643504677395</v>
      </c>
      <c r="I29" s="98">
        <f>IF($A29&lt;I$15,$B$9*OFFSET(I29,0,-1),IF($A29=I$15,$B$8*OFFSET(I29,1,-1),""))</f>
        <v>89.03064938863852</v>
      </c>
      <c r="J29" s="98">
        <f>IF($A29&lt;J$15,$B$9*OFFSET(J29,0,-1),IF($A29=J$15,$B$8*OFFSET(J29,1,-1),""))</f>
        <v>85.6484263986675</v>
      </c>
      <c r="K29" s="98">
        <f>IF($A29&lt;K$15,$B$9*OFFSET(K29,0,-1),IF($A29=K$15,$B$8*OFFSET(K29,1,-1),""))</f>
        <v>82.3946921081774</v>
      </c>
      <c r="L29" s="98">
        <f>IF($A29&lt;L$15,$B$9*OFFSET(L29,0,-1),IF($A29=L$15,$B$8*OFFSET(L29,1,-1),""))</f>
        <v>79.2645653056268</v>
      </c>
      <c r="M29" s="98">
        <f>IF($A29&lt;M$15,$B$9*OFFSET(M29,0,-1),IF($A29=M$15,$B$8*OFFSET(M29,1,-1),""))</f>
        <v>76.25335021388378</v>
      </c>
      <c r="N29" s="98">
        <f>IF($A29&lt;N$15,$B$9*OFFSET(N29,0,-1),IF($A29=N$15,$B$8*OFFSET(N29,1,-1),""))</f>
        <v>73.35652944567964</v>
      </c>
      <c r="O29" s="98">
        <f>IF($A29&lt;O$15,$B$9*OFFSET(O29,0,-1),IF($A29=O$15,$B$8*OFFSET(O29,1,-1),""))</f>
        <v>70.56975722668102</v>
      </c>
      <c r="P29" s="98">
        <f>IF($A29&lt;P$15,$B$9*OFFSET(P29,0,-1),IF($A29=P$15,$B$8*OFFSET(P29,1,-1),""))</f>
        <v>67.88885287601352</v>
      </c>
      <c r="Q29" s="98">
        <f>IF($A29&lt;Q$15,$B$9*OFFSET(Q29,0,-1),IF($A29=Q$15,$B$8*OFFSET(Q29,1,-1),""))</f>
        <v>65.30979453445642</v>
      </c>
      <c r="R29" s="13"/>
      <c r="S29" s="13"/>
      <c r="T29" s="13"/>
      <c r="U29" s="13"/>
      <c r="V29" s="13"/>
      <c r="W29" s="13"/>
      <c r="X29" s="23"/>
    </row>
    <row r="30" ht="13.55" customHeight="1">
      <c r="A30" s="95">
        <v>1</v>
      </c>
      <c r="B30" s="94"/>
      <c r="C30" s="98">
        <f>IF($A30&lt;C$15,$B$9*OFFSET(C30,0,-1),IF($A30=C$15,$B$8*OFFSET(C30,1,-1),""))</f>
        <v>103.9489610401338</v>
      </c>
      <c r="D30" s="98">
        <f>IF($A30&lt;D$15,$B$9*OFFSET(D30,0,-1),IF($A30=D$15,$B$8*OFFSET(D30,1,-1),""))</f>
        <v>99.99999999999999</v>
      </c>
      <c r="E30" s="98">
        <f>IF($A30&lt;E$15,$B$9*OFFSET(E30,0,-1),IF($A30=E$15,$B$8*OFFSET(E30,1,-1),""))</f>
        <v>96.20105771080375</v>
      </c>
      <c r="F30" s="98">
        <f>IF($A30&lt;F$15,$B$9*OFFSET(F30,0,-1),IF($A30=F$15,$B$8*OFFSET(F30,1,-1),""))</f>
        <v>92.54643504677395</v>
      </c>
      <c r="G30" s="98">
        <f>IF($A30&lt;G$15,$B$9*OFFSET(G30,0,-1),IF($A30=G$15,$B$8*OFFSET(G30,1,-1),""))</f>
        <v>89.03064938863852</v>
      </c>
      <c r="H30" s="98">
        <f>IF($A30&lt;H$15,$B$9*OFFSET(H30,0,-1),IF($A30=H$15,$B$8*OFFSET(H30,1,-1),""))</f>
        <v>85.6484263986675</v>
      </c>
      <c r="I30" s="98">
        <f>IF($A30&lt;I$15,$B$9*OFFSET(I30,0,-1),IF($A30=I$15,$B$8*OFFSET(I30,1,-1),""))</f>
        <v>82.3946921081774</v>
      </c>
      <c r="J30" s="98">
        <f>IF($A30&lt;J$15,$B$9*OFFSET(J30,0,-1),IF($A30=J$15,$B$8*OFFSET(J30,1,-1),""))</f>
        <v>79.2645653056268</v>
      </c>
      <c r="K30" s="98">
        <f>IF($A30&lt;K$15,$B$9*OFFSET(K30,0,-1),IF($A30=K$15,$B$8*OFFSET(K30,1,-1),""))</f>
        <v>76.25335021388378</v>
      </c>
      <c r="L30" s="98">
        <f>IF($A30&lt;L$15,$B$9*OFFSET(L30,0,-1),IF($A30=L$15,$B$8*OFFSET(L30,1,-1),""))</f>
        <v>73.35652944567964</v>
      </c>
      <c r="M30" s="98">
        <f>IF($A30&lt;M$15,$B$9*OFFSET(M30,0,-1),IF($A30=M$15,$B$8*OFFSET(M30,1,-1),""))</f>
        <v>70.56975722668102</v>
      </c>
      <c r="N30" s="98">
        <f>IF($A30&lt;N$15,$B$9*OFFSET(N30,0,-1),IF($A30=N$15,$B$8*OFFSET(N30,1,-1),""))</f>
        <v>67.88885287601352</v>
      </c>
      <c r="O30" s="98">
        <f>IF($A30&lt;O$15,$B$9*OFFSET(O30,0,-1),IF($A30=O$15,$B$8*OFFSET(O30,1,-1),""))</f>
        <v>65.30979453445642</v>
      </c>
      <c r="P30" s="98">
        <f>IF($A30&lt;P$15,$B$9*OFFSET(P30,0,-1),IF($A30=P$15,$B$8*OFFSET(P30,1,-1),""))</f>
        <v>62.82871313089978</v>
      </c>
      <c r="Q30" s="98">
        <f>IF($A30&lt;Q$15,$B$9*OFFSET(Q30,0,-1),IF($A30=Q$15,$B$8*OFFSET(Q30,1,-1),""))</f>
        <v>60.44188657801224</v>
      </c>
      <c r="R30" s="94"/>
      <c r="S30" s="94"/>
      <c r="T30" s="94"/>
      <c r="U30" s="94"/>
      <c r="V30" s="94"/>
      <c r="W30" s="94"/>
      <c r="X30" s="101"/>
    </row>
    <row r="31" ht="13.55" customHeight="1">
      <c r="A31" s="100">
        <v>0</v>
      </c>
      <c r="B31" s="98">
        <f>$B$2</f>
        <v>100</v>
      </c>
      <c r="C31" s="98">
        <f>IF($A31&lt;C$15,$B$9*OFFSET(C31,0,-1),IF($A31=C$15,$B$8*OFFSET(C31,1,-1),""))</f>
        <v>96.20105771080377</v>
      </c>
      <c r="D31" s="98">
        <f>IF($A31&lt;D$15,$B$9*OFFSET(D31,0,-1),IF($A31=D$15,$B$8*OFFSET(D31,1,-1),""))</f>
        <v>92.54643504677396</v>
      </c>
      <c r="E31" s="98">
        <f>IF($A31&lt;E$15,$B$9*OFFSET(E31,0,-1),IF($A31=E$15,$B$8*OFFSET(E31,1,-1),""))</f>
        <v>89.03064938863854</v>
      </c>
      <c r="F31" s="98">
        <f>IF($A31&lt;F$15,$B$9*OFFSET(F31,0,-1),IF($A31=F$15,$B$8*OFFSET(F31,1,-1),""))</f>
        <v>85.64842639866751</v>
      </c>
      <c r="G31" s="98">
        <f>IF($A31&lt;G$15,$B$9*OFFSET(G31,0,-1),IF($A31=G$15,$B$8*OFFSET(G31,1,-1),""))</f>
        <v>82.39469210817741</v>
      </c>
      <c r="H31" s="98">
        <f>IF($A31&lt;H$15,$B$9*OFFSET(H31,0,-1),IF($A31=H$15,$B$8*OFFSET(H31,1,-1),""))</f>
        <v>79.26456530562682</v>
      </c>
      <c r="I31" s="98">
        <f>IF($A31&lt;I$15,$B$9*OFFSET(I31,0,-1),IF($A31=I$15,$B$8*OFFSET(I31,1,-1),""))</f>
        <v>76.25335021388379</v>
      </c>
      <c r="J31" s="98">
        <f>IF($A31&lt;J$15,$B$9*OFFSET(J31,0,-1),IF($A31=J$15,$B$8*OFFSET(J31,1,-1),""))</f>
        <v>73.35652944567966</v>
      </c>
      <c r="K31" s="98">
        <f>IF($A31&lt;K$15,$B$9*OFFSET(K31,0,-1),IF($A31=K$15,$B$8*OFFSET(K31,1,-1),""))</f>
        <v>70.56975722668103</v>
      </c>
      <c r="L31" s="98">
        <f>IF($A31&lt;L$15,$B$9*OFFSET(L31,0,-1),IF($A31=L$15,$B$8*OFFSET(L31,1,-1),""))</f>
        <v>67.88885287601353</v>
      </c>
      <c r="M31" s="98">
        <f>IF($A31&lt;M$15,$B$9*OFFSET(M31,0,-1),IF($A31=M$15,$B$8*OFFSET(M31,1,-1),""))</f>
        <v>65.30979453445643</v>
      </c>
      <c r="N31" s="98">
        <f>IF($A31&lt;N$15,$B$9*OFFSET(N31,0,-1),IF($A31=N$15,$B$8*OFFSET(N31,1,-1),""))</f>
        <v>62.82871313089979</v>
      </c>
      <c r="O31" s="98">
        <f>IF($A31&lt;O$15,$B$9*OFFSET(O31,0,-1),IF($A31=O$15,$B$8*OFFSET(O31,1,-1),""))</f>
        <v>60.44188657801225</v>
      </c>
      <c r="P31" s="98">
        <f>IF($A31&lt;P$15,$B$9*OFFSET(P31,0,-1),IF($A31=P$15,$B$8*OFFSET(P31,1,-1),""))</f>
        <v>58.14573418841212</v>
      </c>
      <c r="Q31" s="98">
        <f>IF($A31&lt;Q$15,$B$9*OFFSET(Q31,0,-1),IF($A31=Q$15,$B$8*OFFSET(Q31,1,-1),""))</f>
        <v>55.9368113029649</v>
      </c>
      <c r="R31" s="94"/>
      <c r="S31" s="94"/>
      <c r="T31" s="94"/>
      <c r="U31" s="94"/>
      <c r="V31" s="94"/>
      <c r="W31" s="94"/>
      <c r="X31" s="101"/>
    </row>
    <row r="32" ht="15" customHeight="1">
      <c r="A32" s="39"/>
      <c r="B32" s="94"/>
      <c r="C32" s="94"/>
      <c r="D32" s="94"/>
      <c r="E32" s="94"/>
      <c r="F32" s="94"/>
      <c r="G32" s="94"/>
      <c r="H32" s="94"/>
      <c r="I32" s="94"/>
      <c r="J32" s="94"/>
      <c r="K32" s="98"/>
      <c r="L32" s="97"/>
      <c r="M32" s="13"/>
      <c r="N32" s="13"/>
      <c r="O32" s="94"/>
      <c r="P32" s="94"/>
      <c r="Q32" s="94"/>
      <c r="R32" s="94"/>
      <c r="S32" s="94"/>
      <c r="T32" s="94"/>
      <c r="U32" s="94"/>
      <c r="V32" s="94"/>
      <c r="W32" s="94"/>
      <c r="X32" s="101"/>
    </row>
    <row r="33" ht="15" customHeight="1">
      <c r="A33" s="39"/>
      <c r="B33" s="94"/>
      <c r="C33" s="94"/>
      <c r="D33" s="94"/>
      <c r="E33" s="94"/>
      <c r="F33" s="94"/>
      <c r="G33" s="94"/>
      <c r="H33" s="94"/>
      <c r="I33" s="94"/>
      <c r="J33" s="98"/>
      <c r="K33" s="98"/>
      <c r="L33" s="97"/>
      <c r="M33" s="13"/>
      <c r="N33" s="13"/>
      <c r="O33" s="94"/>
      <c r="P33" s="94"/>
      <c r="Q33" s="94"/>
      <c r="R33" s="94"/>
      <c r="S33" s="94"/>
      <c r="T33" s="94"/>
      <c r="U33" s="94"/>
      <c r="V33" s="94"/>
      <c r="W33" s="94"/>
      <c r="X33" s="101"/>
    </row>
    <row r="34" ht="15" customHeight="1">
      <c r="A34" s="39"/>
      <c r="B34" s="94"/>
      <c r="C34" s="94"/>
      <c r="D34" s="94"/>
      <c r="E34" s="94"/>
      <c r="F34" s="94"/>
      <c r="G34" s="94"/>
      <c r="H34" s="94"/>
      <c r="I34" s="98"/>
      <c r="J34" s="98"/>
      <c r="K34" s="98"/>
      <c r="L34" s="97"/>
      <c r="M34" s="13"/>
      <c r="N34" s="13"/>
      <c r="O34" s="94"/>
      <c r="P34" s="94"/>
      <c r="Q34" s="94"/>
      <c r="R34" s="94"/>
      <c r="S34" s="94"/>
      <c r="T34" s="94"/>
      <c r="U34" s="94"/>
      <c r="V34" s="94"/>
      <c r="W34" s="94"/>
      <c r="X34" s="101"/>
    </row>
    <row r="35" ht="15" customHeight="1">
      <c r="A35" s="39"/>
      <c r="B35" s="94"/>
      <c r="C35" s="94"/>
      <c r="D35" s="94"/>
      <c r="E35" s="92">
        <f>NORMSDIST(-0.76)</f>
        <v>0.2236272924375994</v>
      </c>
      <c r="F35" s="94"/>
      <c r="G35" s="94"/>
      <c r="H35" s="98"/>
      <c r="I35" s="98"/>
      <c r="J35" s="98"/>
      <c r="K35" s="98"/>
      <c r="L35" s="97"/>
      <c r="M35" s="13"/>
      <c r="N35" s="13"/>
      <c r="O35" s="94"/>
      <c r="P35" s="94"/>
      <c r="Q35" s="94"/>
      <c r="R35" s="94"/>
      <c r="S35" s="94"/>
      <c r="T35" s="94"/>
      <c r="U35" s="94"/>
      <c r="V35" s="94"/>
      <c r="W35" s="94"/>
      <c r="X35" s="101"/>
    </row>
    <row r="36" ht="15" customHeight="1">
      <c r="A36" s="39"/>
      <c r="B36" s="94"/>
      <c r="C36" s="94"/>
      <c r="D36" s="94"/>
      <c r="E36" s="94"/>
      <c r="F36" s="94"/>
      <c r="G36" s="98"/>
      <c r="H36" s="98"/>
      <c r="I36" s="98"/>
      <c r="J36" s="98"/>
      <c r="K36" s="98"/>
      <c r="L36" s="97"/>
      <c r="M36" s="13"/>
      <c r="N36" s="13"/>
      <c r="O36" s="13"/>
      <c r="P36" s="97"/>
      <c r="Q36" s="97"/>
      <c r="R36" s="97"/>
      <c r="S36" s="19"/>
      <c r="T36" s="19"/>
      <c r="U36" s="19"/>
      <c r="V36" s="19"/>
      <c r="W36" s="19"/>
      <c r="X36" s="102"/>
    </row>
    <row r="37" ht="15" customHeight="1">
      <c r="A37" s="39"/>
      <c r="B37" s="94"/>
      <c r="C37" s="94"/>
      <c r="D37" s="94"/>
      <c r="E37" s="94"/>
      <c r="F37" s="98"/>
      <c r="G37" s="98"/>
      <c r="H37" s="98"/>
      <c r="I37" s="98"/>
      <c r="J37" s="98"/>
      <c r="K37" s="98"/>
      <c r="L37" s="97"/>
      <c r="M37" s="13"/>
      <c r="N37" s="13"/>
      <c r="O37" s="13"/>
      <c r="P37" s="97"/>
      <c r="Q37" s="97"/>
      <c r="R37" s="19"/>
      <c r="S37" s="19"/>
      <c r="T37" s="19"/>
      <c r="U37" s="19"/>
      <c r="V37" s="19"/>
      <c r="W37" s="19"/>
      <c r="X37" s="102"/>
    </row>
    <row r="38" ht="15" customHeight="1">
      <c r="A38" s="39"/>
      <c r="B38" s="94"/>
      <c r="C38" s="94"/>
      <c r="D38" s="94"/>
      <c r="E38" s="98"/>
      <c r="F38" s="98"/>
      <c r="G38" s="98"/>
      <c r="H38" s="98"/>
      <c r="I38" s="98"/>
      <c r="J38" s="98"/>
      <c r="K38" s="98"/>
      <c r="L38" s="97"/>
      <c r="M38" s="13"/>
      <c r="N38" s="13"/>
      <c r="O38" s="13"/>
      <c r="P38" s="97"/>
      <c r="Q38" s="19"/>
      <c r="R38" s="19"/>
      <c r="S38" s="19"/>
      <c r="T38" s="19"/>
      <c r="U38" s="19"/>
      <c r="V38" s="19"/>
      <c r="W38" s="19"/>
      <c r="X38" s="102"/>
    </row>
    <row r="39" ht="15" customHeight="1">
      <c r="A39" s="39"/>
      <c r="B39" s="94"/>
      <c r="C39" s="94"/>
      <c r="D39" s="98"/>
      <c r="E39" s="98"/>
      <c r="F39" s="98"/>
      <c r="G39" s="98"/>
      <c r="H39" s="98"/>
      <c r="I39" s="98"/>
      <c r="J39" s="98"/>
      <c r="K39" s="98"/>
      <c r="L39" s="97"/>
      <c r="M39" s="13"/>
      <c r="N39" s="13"/>
      <c r="O39" s="13"/>
      <c r="P39" s="19"/>
      <c r="Q39" s="19"/>
      <c r="R39" s="19"/>
      <c r="S39" s="19"/>
      <c r="T39" s="19"/>
      <c r="U39" s="19"/>
      <c r="V39" s="19"/>
      <c r="W39" s="19"/>
      <c r="X39" s="102"/>
    </row>
    <row r="40" ht="15" customHeight="1">
      <c r="A40" s="39"/>
      <c r="B40" s="94"/>
      <c r="C40" s="10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9"/>
      <c r="Q40" s="19"/>
      <c r="R40" s="19"/>
      <c r="S40" s="19"/>
      <c r="T40" s="19"/>
      <c r="U40" s="19"/>
      <c r="V40" s="19"/>
      <c r="W40" s="19"/>
      <c r="X40" s="102"/>
    </row>
    <row r="41" ht="15" customHeight="1">
      <c r="A41" s="39"/>
      <c r="B41" s="98"/>
      <c r="C41" s="1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13"/>
      <c r="O41" s="19"/>
      <c r="P41" s="19"/>
      <c r="Q41" s="19"/>
      <c r="R41" s="19"/>
      <c r="S41" s="19"/>
      <c r="T41" s="19"/>
      <c r="U41" s="19"/>
      <c r="V41" s="19"/>
      <c r="W41" s="19"/>
      <c r="X41" s="102"/>
    </row>
    <row r="42" ht="15" customHeight="1">
      <c r="A42" s="39"/>
      <c r="B42" s="13"/>
      <c r="C42" s="13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7"/>
      <c r="O42" s="13"/>
      <c r="P42" s="13"/>
      <c r="Q42" s="13"/>
      <c r="R42" s="13"/>
      <c r="S42" s="13"/>
      <c r="T42" s="13"/>
      <c r="U42" s="13"/>
      <c r="V42" s="13"/>
      <c r="W42" s="13"/>
      <c r="X42" s="23"/>
    </row>
    <row r="43" ht="15" customHeight="1">
      <c r="A43" s="39"/>
      <c r="B43" s="13"/>
      <c r="C43" s="13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7"/>
      <c r="O43" s="13"/>
      <c r="P43" s="13"/>
      <c r="Q43" s="13"/>
      <c r="R43" s="13"/>
      <c r="S43" s="13"/>
      <c r="T43" s="13"/>
      <c r="U43" s="13"/>
      <c r="V43" s="13"/>
      <c r="W43" s="13"/>
      <c r="X43" s="23"/>
    </row>
    <row r="44" ht="15" customHeight="1">
      <c r="A44" s="39"/>
      <c r="B44" s="13"/>
      <c r="C44" s="13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7"/>
      <c r="O44" s="13"/>
      <c r="P44" s="13"/>
      <c r="Q44" s="13"/>
      <c r="R44" s="13"/>
      <c r="S44" s="13"/>
      <c r="T44" s="13"/>
      <c r="U44" s="13"/>
      <c r="V44" s="13"/>
      <c r="W44" s="13"/>
      <c r="X44" s="23"/>
    </row>
    <row r="45" ht="15" customHeight="1">
      <c r="A45" s="39"/>
      <c r="B45" s="13"/>
      <c r="C45" s="13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7"/>
      <c r="O45" s="13"/>
      <c r="P45" s="13"/>
      <c r="Q45" s="13"/>
      <c r="R45" s="13"/>
      <c r="S45" s="13"/>
      <c r="T45" s="13"/>
      <c r="U45" s="13"/>
      <c r="V45" s="13"/>
      <c r="W45" s="13"/>
      <c r="X45" s="23"/>
    </row>
    <row r="46" ht="15" customHeight="1">
      <c r="A46" s="39"/>
      <c r="B46" s="13"/>
      <c r="C46" s="13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7"/>
      <c r="O46" s="13"/>
      <c r="P46" s="13"/>
      <c r="Q46" s="13"/>
      <c r="R46" s="13"/>
      <c r="S46" s="13"/>
      <c r="T46" s="13"/>
      <c r="U46" s="13"/>
      <c r="V46" s="13"/>
      <c r="W46" s="13"/>
      <c r="X46" s="23"/>
    </row>
    <row r="47" ht="15" customHeight="1">
      <c r="A47" s="39"/>
      <c r="B47" s="13"/>
      <c r="C47" s="13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7"/>
      <c r="O47" s="13"/>
      <c r="P47" s="13"/>
      <c r="Q47" s="13"/>
      <c r="R47" s="13"/>
      <c r="S47" s="13"/>
      <c r="T47" s="13"/>
      <c r="U47" s="13"/>
      <c r="V47" s="13"/>
      <c r="W47" s="13"/>
      <c r="X47" s="23"/>
    </row>
    <row r="48" ht="15" customHeight="1">
      <c r="A48" s="39"/>
      <c r="B48" s="13"/>
      <c r="C48" s="13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7"/>
      <c r="O48" s="13"/>
      <c r="P48" s="13"/>
      <c r="Q48" s="13"/>
      <c r="R48" s="13"/>
      <c r="S48" s="13"/>
      <c r="T48" s="13"/>
      <c r="U48" s="13"/>
      <c r="V48" s="13"/>
      <c r="W48" s="13"/>
      <c r="X48" s="23"/>
    </row>
    <row r="49" ht="15" customHeight="1">
      <c r="A49" s="39"/>
      <c r="B49" s="13"/>
      <c r="C49" s="13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7"/>
      <c r="O49" s="13"/>
      <c r="P49" s="13"/>
      <c r="Q49" s="13"/>
      <c r="R49" s="13"/>
      <c r="S49" s="13"/>
      <c r="T49" s="13"/>
      <c r="U49" s="13"/>
      <c r="V49" s="13"/>
      <c r="W49" s="13"/>
      <c r="X49" s="23"/>
    </row>
    <row r="50" ht="15" customHeight="1">
      <c r="A50" s="39"/>
      <c r="B50" s="13"/>
      <c r="C50" s="13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7"/>
      <c r="O50" s="13"/>
      <c r="P50" s="13"/>
      <c r="Q50" s="13"/>
      <c r="R50" s="13"/>
      <c r="S50" s="13"/>
      <c r="T50" s="13"/>
      <c r="U50" s="13"/>
      <c r="V50" s="13"/>
      <c r="W50" s="13"/>
      <c r="X50" s="23"/>
    </row>
    <row r="51" ht="15" customHeight="1">
      <c r="A51" s="39"/>
      <c r="B51" s="13"/>
      <c r="C51" s="13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7"/>
      <c r="O51" s="13"/>
      <c r="P51" s="13"/>
      <c r="Q51" s="13"/>
      <c r="R51" s="13"/>
      <c r="S51" s="13"/>
      <c r="T51" s="13"/>
      <c r="U51" s="13"/>
      <c r="V51" s="13"/>
      <c r="W51" s="13"/>
      <c r="X51" s="23"/>
    </row>
    <row r="52" ht="15" customHeight="1">
      <c r="A52" s="39"/>
      <c r="B52" s="13"/>
      <c r="C52" s="13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7"/>
      <c r="O52" s="13"/>
      <c r="P52" s="13"/>
      <c r="Q52" s="13"/>
      <c r="R52" s="13"/>
      <c r="S52" s="13"/>
      <c r="T52" s="13"/>
      <c r="U52" s="13"/>
      <c r="V52" s="13"/>
      <c r="W52" s="13"/>
      <c r="X52" s="23"/>
    </row>
    <row r="53" ht="15" customHeight="1">
      <c r="A53" s="104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2"/>
    </row>
  </sheetData>
  <mergeCells count="2">
    <mergeCell ref="A1:B1"/>
    <mergeCell ref="F1:G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