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13_ncr:1_{31EBDE78-168B-6B4B-9044-C595E4CFBF46}" xr6:coauthVersionLast="47" xr6:coauthVersionMax="47" xr10:uidLastSave="{00000000-0000-0000-0000-000000000000}"/>
  <bookViews>
    <workbookView xWindow="0" yWindow="500" windowWidth="25600" windowHeight="14320" activeTab="3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&gt;&gt; DDM" sheetId="5" r:id="rId5"/>
    <sheet name="&gt;&gt; Summary" sheetId="7" r:id="rId6"/>
    <sheet name="&gt;&gt; Segments" sheetId="8" r:id="rId7"/>
    <sheet name="&gt;&gt; Fin Stmts" sheetId="9" r:id="rId8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4" l="1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I18" i="4"/>
  <c r="I17" i="4"/>
  <c r="K43" i="3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I34" i="8"/>
  <c r="K45" i="3"/>
  <c r="H72" i="4"/>
  <c r="I26" i="4"/>
  <c r="O31" i="9"/>
  <c r="N31" i="9"/>
  <c r="N32" i="9" s="1"/>
  <c r="N34" i="9"/>
  <c r="N36" i="9"/>
  <c r="M31" i="9"/>
  <c r="L31" i="9"/>
  <c r="K31" i="9"/>
  <c r="H31" i="9"/>
  <c r="J31" i="9"/>
  <c r="I31" i="9"/>
  <c r="G58" i="8"/>
  <c r="O58" i="8"/>
  <c r="N58" i="8"/>
  <c r="M58" i="8"/>
  <c r="L58" i="8"/>
  <c r="K58" i="8"/>
  <c r="J58" i="8"/>
  <c r="I58" i="8"/>
  <c r="H58" i="8"/>
  <c r="H59" i="8" s="1"/>
  <c r="I91" i="9"/>
  <c r="J91" i="9"/>
  <c r="K91" i="9"/>
  <c r="L91" i="9"/>
  <c r="M91" i="9"/>
  <c r="N91" i="9"/>
  <c r="O91" i="9"/>
  <c r="H91" i="9"/>
  <c r="I90" i="8"/>
  <c r="J90" i="8"/>
  <c r="K90" i="8"/>
  <c r="L90" i="8"/>
  <c r="M90" i="8"/>
  <c r="N90" i="8"/>
  <c r="O90" i="8"/>
  <c r="H90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23" i="8"/>
  <c r="I123" i="8"/>
  <c r="J123" i="8"/>
  <c r="K123" i="8"/>
  <c r="L123" i="8"/>
  <c r="M123" i="8"/>
  <c r="N123" i="8"/>
  <c r="O123" i="8"/>
  <c r="O170" i="8"/>
  <c r="N170" i="8"/>
  <c r="M170" i="8"/>
  <c r="L170" i="8"/>
  <c r="K170" i="8"/>
  <c r="J170" i="8"/>
  <c r="I170" i="8"/>
  <c r="H170" i="8"/>
  <c r="O169" i="8"/>
  <c r="N169" i="8"/>
  <c r="M169" i="8"/>
  <c r="L169" i="8"/>
  <c r="K169" i="8"/>
  <c r="J169" i="8"/>
  <c r="I169" i="8"/>
  <c r="O165" i="8"/>
  <c r="N165" i="8"/>
  <c r="M165" i="8"/>
  <c r="L165" i="8"/>
  <c r="K165" i="8"/>
  <c r="J165" i="8"/>
  <c r="I165" i="8"/>
  <c r="P163" i="8"/>
  <c r="P169" i="8" s="1"/>
  <c r="E28" i="3"/>
  <c r="P58" i="8" l="1"/>
  <c r="Q58" i="8" s="1"/>
  <c r="P44" i="8"/>
  <c r="P170" i="8"/>
  <c r="N37" i="9"/>
  <c r="F49" i="3"/>
  <c r="P22" i="8"/>
  <c r="Q163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11" i="8"/>
  <c r="N111" i="8"/>
  <c r="M111" i="8"/>
  <c r="L111" i="8"/>
  <c r="O159" i="8"/>
  <c r="N159" i="8"/>
  <c r="M159" i="8"/>
  <c r="L159" i="8"/>
  <c r="K159" i="8"/>
  <c r="J159" i="8"/>
  <c r="I159" i="8"/>
  <c r="H159" i="8"/>
  <c r="O135" i="8"/>
  <c r="N135" i="8"/>
  <c r="M135" i="8"/>
  <c r="L135" i="8"/>
  <c r="K135" i="8"/>
  <c r="J135" i="8"/>
  <c r="I135" i="8"/>
  <c r="H135" i="8"/>
  <c r="I147" i="8"/>
  <c r="J147" i="8"/>
  <c r="K147" i="8"/>
  <c r="L147" i="8"/>
  <c r="M147" i="8"/>
  <c r="N147" i="8"/>
  <c r="O147" i="8"/>
  <c r="H147" i="8"/>
  <c r="J89" i="8"/>
  <c r="K89" i="8"/>
  <c r="L89" i="8"/>
  <c r="M89" i="8"/>
  <c r="N89" i="8"/>
  <c r="O89" i="8"/>
  <c r="I89" i="8"/>
  <c r="E104" i="4"/>
  <c r="E103" i="4"/>
  <c r="E84" i="4"/>
  <c r="E83" i="4"/>
  <c r="I59" i="9"/>
  <c r="J59" i="9"/>
  <c r="K59" i="9"/>
  <c r="L59" i="9"/>
  <c r="M59" i="9"/>
  <c r="N59" i="9"/>
  <c r="O59" i="9"/>
  <c r="P59" i="8" l="1"/>
  <c r="Q22" i="8"/>
  <c r="Q44" i="8"/>
  <c r="M77" i="8"/>
  <c r="I77" i="8"/>
  <c r="P135" i="8"/>
  <c r="Q135" i="8" s="1"/>
  <c r="R135" i="8" s="1"/>
  <c r="Q168" i="8"/>
  <c r="Q169" i="8" s="1"/>
  <c r="R163" i="8"/>
  <c r="L77" i="8"/>
  <c r="O77" i="8"/>
  <c r="K77" i="8"/>
  <c r="P123" i="8"/>
  <c r="Q123" i="8" s="1"/>
  <c r="R123" i="8" s="1"/>
  <c r="S123" i="8" s="1"/>
  <c r="N77" i="8"/>
  <c r="J77" i="8"/>
  <c r="O106" i="8"/>
  <c r="N106" i="8"/>
  <c r="M106" i="8"/>
  <c r="O118" i="8"/>
  <c r="N118" i="8"/>
  <c r="M118" i="8"/>
  <c r="L118" i="8"/>
  <c r="K118" i="8"/>
  <c r="J118" i="8"/>
  <c r="I118" i="8"/>
  <c r="O130" i="8"/>
  <c r="N130" i="8"/>
  <c r="M130" i="8"/>
  <c r="L130" i="8"/>
  <c r="K130" i="8"/>
  <c r="J130" i="8"/>
  <c r="I130" i="8"/>
  <c r="O142" i="8"/>
  <c r="N142" i="8"/>
  <c r="M142" i="8"/>
  <c r="L142" i="8"/>
  <c r="K142" i="8"/>
  <c r="J142" i="8"/>
  <c r="I142" i="8"/>
  <c r="O154" i="8"/>
  <c r="J154" i="8"/>
  <c r="K154" i="8"/>
  <c r="L154" i="8"/>
  <c r="M154" i="8"/>
  <c r="N154" i="8"/>
  <c r="I154" i="8"/>
  <c r="O158" i="8"/>
  <c r="N158" i="8"/>
  <c r="M158" i="8"/>
  <c r="L158" i="8"/>
  <c r="K158" i="8"/>
  <c r="J158" i="8"/>
  <c r="I158" i="8"/>
  <c r="O146" i="8"/>
  <c r="N146" i="8"/>
  <c r="M146" i="8"/>
  <c r="L146" i="8"/>
  <c r="K146" i="8"/>
  <c r="J146" i="8"/>
  <c r="I146" i="8"/>
  <c r="O134" i="8"/>
  <c r="N134" i="8"/>
  <c r="M134" i="8"/>
  <c r="L134" i="8"/>
  <c r="K134" i="8"/>
  <c r="J134" i="8"/>
  <c r="I134" i="8"/>
  <c r="O122" i="8"/>
  <c r="N122" i="8"/>
  <c r="M122" i="8"/>
  <c r="L122" i="8"/>
  <c r="K122" i="8"/>
  <c r="J122" i="8"/>
  <c r="J110" i="8"/>
  <c r="K110" i="8"/>
  <c r="L110" i="8"/>
  <c r="M110" i="8"/>
  <c r="N110" i="8"/>
  <c r="O110" i="8"/>
  <c r="I110" i="8"/>
  <c r="H111" i="8"/>
  <c r="I111" i="8"/>
  <c r="J111" i="8"/>
  <c r="K111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R22" i="8" l="1"/>
  <c r="R44" i="8"/>
  <c r="Q130" i="8"/>
  <c r="S135" i="8"/>
  <c r="T135" i="8" s="1"/>
  <c r="U135" i="8" s="1"/>
  <c r="R168" i="8"/>
  <c r="R169" i="8" s="1"/>
  <c r="S163" i="8"/>
  <c r="T123" i="8"/>
  <c r="I106" i="8"/>
  <c r="J106" i="8"/>
  <c r="K106" i="8"/>
  <c r="L106" i="8"/>
  <c r="P118" i="8"/>
  <c r="Q118" i="8" s="1"/>
  <c r="R118" i="8" s="1"/>
  <c r="S22" i="8" l="1"/>
  <c r="S44" i="8"/>
  <c r="V135" i="8"/>
  <c r="W135" i="8" s="1"/>
  <c r="X135" i="8" s="1"/>
  <c r="Y135" i="8" s="1"/>
  <c r="S168" i="8"/>
  <c r="S169" i="8" s="1"/>
  <c r="T163" i="8"/>
  <c r="U123" i="8"/>
  <c r="V123" i="8" s="1"/>
  <c r="W123" i="8" s="1"/>
  <c r="X123" i="8" s="1"/>
  <c r="S118" i="8"/>
  <c r="T118" i="8" s="1"/>
  <c r="T22" i="8" l="1"/>
  <c r="T44" i="8"/>
  <c r="T168" i="8"/>
  <c r="T169" i="8" s="1"/>
  <c r="U163" i="8"/>
  <c r="Y123" i="8"/>
  <c r="U118" i="8"/>
  <c r="U22" i="8" l="1"/>
  <c r="U44" i="8"/>
  <c r="V163" i="8"/>
  <c r="U168" i="8"/>
  <c r="U169" i="8" s="1"/>
  <c r="V118" i="8"/>
  <c r="W118" i="8" s="1"/>
  <c r="V22" i="8" l="1"/>
  <c r="V44" i="8"/>
  <c r="V168" i="8"/>
  <c r="V169" i="8" s="1"/>
  <c r="W163" i="8"/>
  <c r="X118" i="8"/>
  <c r="Y118" i="8" s="1"/>
  <c r="W22" i="8" l="1"/>
  <c r="W44" i="8"/>
  <c r="W168" i="8"/>
  <c r="W169" i="8" s="1"/>
  <c r="X163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22" i="8" l="1"/>
  <c r="X44" i="8"/>
  <c r="X168" i="8"/>
  <c r="X169" i="8" s="1"/>
  <c r="Y163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8" i="8" l="1"/>
  <c r="Y169" i="8" s="1"/>
  <c r="Y22" i="8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U65" i="9" s="1"/>
  <c r="M65" i="9"/>
  <c r="L65" i="9"/>
  <c r="K65" i="9"/>
  <c r="J65" i="9"/>
  <c r="Q65" i="9" s="1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2" i="8"/>
  <c r="P21" i="8" s="1"/>
  <c r="P116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O45" i="8" s="1"/>
  <c r="N39" i="8"/>
  <c r="N45" i="8" s="1"/>
  <c r="M39" i="8"/>
  <c r="M45" i="8" s="1"/>
  <c r="L39" i="8"/>
  <c r="L45" i="8" s="1"/>
  <c r="K39" i="8"/>
  <c r="K45" i="8" s="1"/>
  <c r="J39" i="8"/>
  <c r="J45" i="8" s="1"/>
  <c r="I39" i="8"/>
  <c r="H39" i="8"/>
  <c r="H45" i="8" s="1"/>
  <c r="H63" i="8" s="1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O23" i="8" s="1"/>
  <c r="N17" i="8"/>
  <c r="N23" i="8" s="1"/>
  <c r="M17" i="8"/>
  <c r="M23" i="8" s="1"/>
  <c r="L17" i="8"/>
  <c r="L23" i="8" s="1"/>
  <c r="K17" i="8"/>
  <c r="K23" i="8" s="1"/>
  <c r="J17" i="8"/>
  <c r="J23" i="8" s="1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39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I45" i="8" l="1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X65" i="9" s="1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16" i="8"/>
  <c r="P4" i="9"/>
  <c r="N4" i="9"/>
  <c r="F107" i="9" s="1"/>
  <c r="Q152" i="8"/>
  <c r="Y65" i="9" l="1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21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58" i="8"/>
  <c r="J25" i="8"/>
  <c r="J26" i="8" s="1"/>
  <c r="M5" i="2"/>
  <c r="K25" i="8"/>
  <c r="K26" i="8" s="1"/>
  <c r="R4" i="8"/>
  <c r="Q13" i="8"/>
  <c r="Q12" i="8"/>
  <c r="O7" i="2"/>
  <c r="P6" i="4"/>
  <c r="R116" i="8"/>
  <c r="Q18" i="8"/>
  <c r="Q30" i="8" s="1"/>
  <c r="L11" i="4"/>
  <c r="L6" i="2"/>
  <c r="L45" i="2" s="1"/>
  <c r="K5" i="4"/>
  <c r="L12" i="4"/>
  <c r="J4" i="8"/>
  <c r="K12" i="8"/>
  <c r="K13" i="8"/>
  <c r="R152" i="8"/>
  <c r="Q157" i="8"/>
  <c r="Q21" i="8"/>
  <c r="Q33" i="8" s="1"/>
  <c r="P134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58" i="8"/>
  <c r="O67" i="8"/>
  <c r="P40" i="8"/>
  <c r="P50" i="8" s="1"/>
  <c r="P122" i="8"/>
  <c r="Q121" i="8"/>
  <c r="Q122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57" i="8"/>
  <c r="R158" i="8" s="1"/>
  <c r="R21" i="8"/>
  <c r="R33" i="8" s="1"/>
  <c r="S152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21" i="8"/>
  <c r="S116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L5" i="2"/>
  <c r="R122" i="8" l="1"/>
  <c r="Q40" i="8"/>
  <c r="Q50" i="8" s="1"/>
  <c r="S57" i="9"/>
  <c r="R59" i="9"/>
  <c r="K107" i="9"/>
  <c r="H5" i="9"/>
  <c r="R64" i="9"/>
  <c r="S5" i="9"/>
  <c r="T116" i="8"/>
  <c r="S121" i="8"/>
  <c r="S122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57" i="8"/>
  <c r="S158" i="8" s="1"/>
  <c r="T152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57" i="8"/>
  <c r="T158" i="8" s="1"/>
  <c r="U152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16" i="8"/>
  <c r="T121" i="8"/>
  <c r="T122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7" i="8"/>
  <c r="U158" i="8" s="1"/>
  <c r="V152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21" i="8"/>
  <c r="U122" i="8" s="1"/>
  <c r="V116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2" i="8"/>
  <c r="V157" i="8"/>
  <c r="V158" i="8" s="1"/>
  <c r="V21" i="8"/>
  <c r="V33" i="8" s="1"/>
  <c r="V121" i="8"/>
  <c r="V122" i="8" s="1"/>
  <c r="W116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16" i="8"/>
  <c r="W121" i="8"/>
  <c r="W122" i="8" s="1"/>
  <c r="W18" i="8"/>
  <c r="W30" i="8" s="1"/>
  <c r="W157" i="8"/>
  <c r="W158" i="8" s="1"/>
  <c r="X152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21" i="8"/>
  <c r="X122" i="8" s="1"/>
  <c r="Y116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7" i="8"/>
  <c r="X158" i="8" s="1"/>
  <c r="Y152" i="8"/>
  <c r="X21" i="8"/>
  <c r="X33" i="8" s="1"/>
  <c r="Y57" i="9" l="1"/>
  <c r="Y59" i="9" s="1"/>
  <c r="X59" i="9"/>
  <c r="W43" i="4"/>
  <c r="Y5" i="9"/>
  <c r="Y121" i="8"/>
  <c r="Y122" i="8" s="1"/>
  <c r="Y18" i="8"/>
  <c r="Y30" i="8" s="1"/>
  <c r="Y157" i="8"/>
  <c r="Y158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Q47" i="9"/>
  <c r="S46" i="9"/>
  <c r="R47" i="9"/>
  <c r="T46" i="9" l="1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4" i="8" l="1"/>
  <c r="Q17" i="8" s="1"/>
  <c r="Q29" i="8" s="1"/>
  <c r="P109" i="8"/>
  <c r="P110" i="8" s="1"/>
  <c r="R104" i="8" l="1"/>
  <c r="R109" i="8" s="1"/>
  <c r="Q109" i="8"/>
  <c r="Q39" i="8" s="1"/>
  <c r="Q49" i="8" s="1"/>
  <c r="P39" i="8"/>
  <c r="P49" i="8" s="1"/>
  <c r="S104" i="8" l="1"/>
  <c r="S109" i="8" s="1"/>
  <c r="Q110" i="8"/>
  <c r="R17" i="8"/>
  <c r="R29" i="8" s="1"/>
  <c r="R110" i="8"/>
  <c r="R39" i="8"/>
  <c r="R49" i="8" l="1"/>
  <c r="S17" i="8"/>
  <c r="S29" i="8" s="1"/>
  <c r="T104" i="8"/>
  <c r="T109" i="8" s="1"/>
  <c r="Q28" i="4"/>
  <c r="P42" i="9"/>
  <c r="S110" i="8"/>
  <c r="S39" i="8"/>
  <c r="U104" i="8" l="1"/>
  <c r="V104" i="8" s="1"/>
  <c r="T17" i="8"/>
  <c r="T29" i="8" s="1"/>
  <c r="S49" i="8"/>
  <c r="T39" i="8"/>
  <c r="T110" i="8"/>
  <c r="P48" i="9"/>
  <c r="P43" i="9"/>
  <c r="Q42" i="9"/>
  <c r="R28" i="4"/>
  <c r="T49" i="8" l="1"/>
  <c r="U109" i="8"/>
  <c r="U39" i="8" s="1"/>
  <c r="U17" i="8"/>
  <c r="U29" i="8" s="1"/>
  <c r="V17" i="8"/>
  <c r="W104" i="8"/>
  <c r="V109" i="8"/>
  <c r="Q43" i="9"/>
  <c r="Q48" i="9"/>
  <c r="R42" i="9"/>
  <c r="S28" i="4"/>
  <c r="U49" i="8" l="1"/>
  <c r="U110" i="8"/>
  <c r="V29" i="8"/>
  <c r="V110" i="8"/>
  <c r="V39" i="8"/>
  <c r="V49" i="8" s="1"/>
  <c r="W17" i="8"/>
  <c r="W29" i="8" s="1"/>
  <c r="W109" i="8"/>
  <c r="X104" i="8"/>
  <c r="T28" i="4"/>
  <c r="R48" i="9"/>
  <c r="S42" i="9"/>
  <c r="R43" i="9"/>
  <c r="Y104" i="8" l="1"/>
  <c r="X17" i="8"/>
  <c r="X29" i="8" s="1"/>
  <c r="X109" i="8"/>
  <c r="W39" i="8"/>
  <c r="W49" i="8" s="1"/>
  <c r="W110" i="8"/>
  <c r="U28" i="4"/>
  <c r="S48" i="9"/>
  <c r="S43" i="9"/>
  <c r="T42" i="9"/>
  <c r="V28" i="4" l="1"/>
  <c r="X110" i="8"/>
  <c r="X39" i="8"/>
  <c r="X49" i="8" s="1"/>
  <c r="T43" i="9"/>
  <c r="U42" i="9"/>
  <c r="T48" i="9"/>
  <c r="Y109" i="8"/>
  <c r="Y17" i="8"/>
  <c r="Y29" i="8" s="1"/>
  <c r="U43" i="9" l="1"/>
  <c r="V42" i="9"/>
  <c r="U48" i="9"/>
  <c r="Y110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8" i="8"/>
  <c r="Q19" i="8" s="1"/>
  <c r="P130" i="8"/>
  <c r="S130" i="8" s="1"/>
  <c r="R130" i="8" l="1"/>
  <c r="R128" i="8" s="1"/>
  <c r="R19" i="8" s="1"/>
  <c r="Q133" i="8"/>
  <c r="Q134" i="8" s="1"/>
  <c r="P51" i="8"/>
  <c r="Q31" i="8"/>
  <c r="P31" i="8"/>
  <c r="T130" i="8" l="1"/>
  <c r="U130" i="8"/>
  <c r="S128" i="8"/>
  <c r="R133" i="8"/>
  <c r="R41" i="8" s="1"/>
  <c r="Q41" i="8"/>
  <c r="Q51" i="8" s="1"/>
  <c r="R31" i="8"/>
  <c r="W130" i="8" l="1"/>
  <c r="V130" i="8"/>
  <c r="X130" i="8" s="1"/>
  <c r="T128" i="8"/>
  <c r="T19" i="8" s="1"/>
  <c r="R134" i="8"/>
  <c r="S19" i="8"/>
  <c r="S31" i="8" s="1"/>
  <c r="S133" i="8"/>
  <c r="S41" i="8" s="1"/>
  <c r="R51" i="8"/>
  <c r="T133" i="8"/>
  <c r="U128" i="8"/>
  <c r="Y130" i="8" l="1"/>
  <c r="S134" i="8"/>
  <c r="T41" i="8"/>
  <c r="T134" i="8"/>
  <c r="T31" i="8"/>
  <c r="S51" i="8"/>
  <c r="U19" i="8"/>
  <c r="U133" i="8"/>
  <c r="V128" i="8"/>
  <c r="U31" i="8" l="1"/>
  <c r="U134" i="8"/>
  <c r="U41" i="8"/>
  <c r="V19" i="8"/>
  <c r="V133" i="8"/>
  <c r="W128" i="8"/>
  <c r="T51" i="8"/>
  <c r="V41" i="8" l="1"/>
  <c r="V134" i="8"/>
  <c r="U51" i="8"/>
  <c r="V31" i="8"/>
  <c r="W19" i="8"/>
  <c r="X128" i="8"/>
  <c r="W133" i="8"/>
  <c r="W41" i="8" l="1"/>
  <c r="W134" i="8"/>
  <c r="X133" i="8"/>
  <c r="X19" i="8"/>
  <c r="Y128" i="8"/>
  <c r="W31" i="8"/>
  <c r="V51" i="8"/>
  <c r="X41" i="8" l="1"/>
  <c r="X134" i="8"/>
  <c r="W51" i="8"/>
  <c r="Y19" i="8"/>
  <c r="Y133" i="8"/>
  <c r="X31" i="8"/>
  <c r="Y31" i="8" l="1"/>
  <c r="Y41" i="8"/>
  <c r="Y134" i="8"/>
  <c r="X51" i="8"/>
  <c r="Y51" i="8" l="1"/>
  <c r="I21" i="4"/>
  <c r="I22" i="4" s="1"/>
  <c r="J17" i="4"/>
  <c r="J21" i="4" s="1"/>
  <c r="J22" i="4" s="1"/>
  <c r="K17" i="4"/>
  <c r="K21" i="4" s="1"/>
  <c r="L17" i="4"/>
  <c r="M17" i="4"/>
  <c r="M21" i="4" s="1"/>
  <c r="M22" i="4" s="1"/>
  <c r="N17" i="4"/>
  <c r="N21" i="4" s="1"/>
  <c r="N22" i="4" s="1"/>
  <c r="O17" i="4"/>
  <c r="O21" i="4" s="1"/>
  <c r="L21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I21" i="9" l="1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I23" i="4"/>
  <c r="I30" i="4" s="1"/>
  <c r="M23" i="4"/>
  <c r="M30" i="4" s="1"/>
  <c r="O22" i="4"/>
  <c r="O23" i="4" s="1"/>
  <c r="O30" i="4" s="1"/>
  <c r="K22" i="4"/>
  <c r="K23" i="4" s="1"/>
  <c r="K30" i="4" s="1"/>
  <c r="N23" i="4"/>
  <c r="N30" i="4" s="1"/>
  <c r="L22" i="4"/>
  <c r="L23" i="4" s="1"/>
  <c r="L30" i="4" s="1"/>
  <c r="J23" i="4"/>
  <c r="J30" i="4" s="1"/>
  <c r="J25" i="9" l="1"/>
  <c r="J81" i="8"/>
  <c r="J84" i="8" s="1"/>
  <c r="K81" i="8"/>
  <c r="K25" i="9"/>
  <c r="N25" i="9"/>
  <c r="N81" i="8"/>
  <c r="N84" i="8" s="1"/>
  <c r="O81" i="8"/>
  <c r="O25" i="9"/>
  <c r="L96" i="9"/>
  <c r="L25" i="9"/>
  <c r="L81" i="8"/>
  <c r="L92" i="8" s="1"/>
  <c r="L93" i="8" s="1"/>
  <c r="I96" i="9"/>
  <c r="I25" i="9"/>
  <c r="I81" i="8"/>
  <c r="I84" i="8" s="1"/>
  <c r="M25" i="9"/>
  <c r="M81" i="8"/>
  <c r="M92" i="8" s="1"/>
  <c r="M93" i="8" s="1"/>
  <c r="M96" i="9"/>
  <c r="J96" i="9"/>
  <c r="N96" i="9"/>
  <c r="O96" i="9"/>
  <c r="K96" i="9"/>
  <c r="H17" i="9"/>
  <c r="H92" i="9" s="1"/>
  <c r="M84" i="8" l="1"/>
  <c r="L84" i="8"/>
  <c r="I92" i="8"/>
  <c r="I93" i="8" s="1"/>
  <c r="N92" i="8"/>
  <c r="N93" i="8" s="1"/>
  <c r="J92" i="8"/>
  <c r="J93" i="8" s="1"/>
  <c r="K84" i="8"/>
  <c r="K92" i="8"/>
  <c r="K93" i="8" s="1"/>
  <c r="H21" i="9"/>
  <c r="H24" i="9" s="1"/>
  <c r="O84" i="8"/>
  <c r="O92" i="8"/>
  <c r="O93" i="8" s="1"/>
  <c r="H81" i="8" l="1"/>
  <c r="H25" i="9"/>
  <c r="P92" i="9"/>
  <c r="H96" i="9"/>
  <c r="P96" i="9" s="1"/>
  <c r="P91" i="9"/>
  <c r="H92" i="8" l="1"/>
  <c r="H93" i="8" s="1"/>
  <c r="Z94" i="8" s="1"/>
  <c r="O94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4" i="8" l="1"/>
  <c r="K25" i="5" s="1"/>
  <c r="J108" i="9" l="1"/>
  <c r="K30" i="5"/>
  <c r="K36" i="5" s="1"/>
  <c r="T89" i="8" l="1"/>
  <c r="T94" i="8"/>
  <c r="L25" i="5" l="1"/>
  <c r="T95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89" i="8" l="1"/>
  <c r="U94" i="8"/>
  <c r="U95" i="8" s="1"/>
  <c r="M25" i="5" l="1"/>
  <c r="L108" i="9"/>
  <c r="L110" i="9" s="1"/>
  <c r="M27" i="5" l="1"/>
  <c r="M30" i="5"/>
  <c r="M36" i="5" s="1"/>
  <c r="V89" i="8"/>
  <c r="V94" i="8"/>
  <c r="M108" i="9" l="1"/>
  <c r="M110" i="9" s="1"/>
  <c r="N25" i="5"/>
  <c r="V95" i="8"/>
  <c r="N27" i="5" l="1"/>
  <c r="N30" i="5"/>
  <c r="N36" i="5" s="1"/>
  <c r="Q94" i="8"/>
  <c r="I25" i="5" s="1"/>
  <c r="H108" i="9" l="1"/>
  <c r="I30" i="5"/>
  <c r="I36" i="5" s="1"/>
  <c r="R89" i="8"/>
  <c r="S89" i="8"/>
  <c r="R94" i="8"/>
  <c r="J25" i="5" l="1"/>
  <c r="I108" i="9"/>
  <c r="R95" i="8"/>
  <c r="S95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89" i="8"/>
  <c r="Q89" i="8"/>
  <c r="P94" i="8"/>
  <c r="P95" i="8" s="1"/>
  <c r="H25" i="5" l="1"/>
  <c r="G108" i="9"/>
  <c r="G110" i="9" s="1"/>
  <c r="Q95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40" i="8"/>
  <c r="P142" i="8"/>
  <c r="P145" i="8"/>
  <c r="P42" i="8" s="1"/>
  <c r="P45" i="8" s="1"/>
  <c r="P146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40" i="8"/>
  <c r="Q145" i="8"/>
  <c r="P64" i="8" l="1"/>
  <c r="P67" i="8"/>
  <c r="Q146" i="8"/>
  <c r="Q42" i="8"/>
  <c r="P16" i="4"/>
  <c r="R20" i="8"/>
  <c r="S140" i="8"/>
  <c r="R145" i="8"/>
  <c r="Q32" i="8"/>
  <c r="Q23" i="8"/>
  <c r="S20" i="8" l="1"/>
  <c r="S145" i="8"/>
  <c r="T140" i="8"/>
  <c r="Q45" i="8"/>
  <c r="Q52" i="8"/>
  <c r="Q13" i="9"/>
  <c r="Q14" i="9" s="1"/>
  <c r="Q35" i="8"/>
  <c r="R32" i="8"/>
  <c r="R23" i="8"/>
  <c r="R146" i="8"/>
  <c r="R42" i="8"/>
  <c r="Q16" i="4" l="1"/>
  <c r="S42" i="8"/>
  <c r="S146" i="8"/>
  <c r="Q25" i="8"/>
  <c r="Q26" i="8" s="1"/>
  <c r="Q63" i="8"/>
  <c r="Q46" i="8"/>
  <c r="Q54" i="8"/>
  <c r="Q71" i="8"/>
  <c r="Q72" i="8" s="1"/>
  <c r="R45" i="8"/>
  <c r="R52" i="8"/>
  <c r="T20" i="8"/>
  <c r="T145" i="8"/>
  <c r="U140" i="8"/>
  <c r="R13" i="9"/>
  <c r="R14" i="9" s="1"/>
  <c r="R35" i="8"/>
  <c r="S23" i="8"/>
  <c r="S32" i="8"/>
  <c r="T42" i="8" l="1"/>
  <c r="T146" i="8"/>
  <c r="T32" i="8"/>
  <c r="T23" i="8"/>
  <c r="R16" i="4"/>
  <c r="S45" i="8"/>
  <c r="S52" i="8"/>
  <c r="S13" i="9"/>
  <c r="S14" i="9" s="1"/>
  <c r="S35" i="8"/>
  <c r="U20" i="8"/>
  <c r="V140" i="8"/>
  <c r="U145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40" i="8"/>
  <c r="V20" i="8"/>
  <c r="V145" i="8"/>
  <c r="U32" i="8"/>
  <c r="U23" i="8"/>
  <c r="S25" i="8"/>
  <c r="S26" i="8" s="1"/>
  <c r="S46" i="8"/>
  <c r="S54" i="8"/>
  <c r="S71" i="8"/>
  <c r="S72" i="8" s="1"/>
  <c r="S63" i="8"/>
  <c r="R67" i="8"/>
  <c r="R64" i="8"/>
  <c r="U146" i="8"/>
  <c r="U42" i="8"/>
  <c r="S16" i="4"/>
  <c r="T52" i="8"/>
  <c r="T45" i="8"/>
  <c r="V32" i="8" l="1"/>
  <c r="V23" i="8"/>
  <c r="U13" i="9"/>
  <c r="U14" i="9" s="1"/>
  <c r="U35" i="8"/>
  <c r="W20" i="8"/>
  <c r="W145" i="8"/>
  <c r="X140" i="8"/>
  <c r="S64" i="8"/>
  <c r="S67" i="8"/>
  <c r="U45" i="8"/>
  <c r="U52" i="8"/>
  <c r="T46" i="8"/>
  <c r="T54" i="8"/>
  <c r="T71" i="8"/>
  <c r="T72" i="8" s="1"/>
  <c r="T63" i="8"/>
  <c r="T25" i="8"/>
  <c r="T26" i="8" s="1"/>
  <c r="V146" i="8"/>
  <c r="V42" i="8"/>
  <c r="T16" i="4"/>
  <c r="V45" i="8" l="1"/>
  <c r="V52" i="8"/>
  <c r="T64" i="8"/>
  <c r="T67" i="8"/>
  <c r="X145" i="8"/>
  <c r="X20" i="8"/>
  <c r="Y140" i="8"/>
  <c r="U16" i="4"/>
  <c r="U25" i="8"/>
  <c r="U26" i="8" s="1"/>
  <c r="U63" i="8"/>
  <c r="U46" i="8"/>
  <c r="U54" i="8"/>
  <c r="U71" i="8"/>
  <c r="U72" i="8" s="1"/>
  <c r="W42" i="8"/>
  <c r="W146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45" i="8"/>
  <c r="X23" i="8"/>
  <c r="X32" i="8"/>
  <c r="V16" i="4"/>
  <c r="X42" i="8"/>
  <c r="X146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46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21" i="4" s="1"/>
  <c r="Q22" i="4" s="1"/>
  <c r="Q15" i="9"/>
  <c r="Q17" i="9" s="1"/>
  <c r="Q23" i="4" l="1"/>
  <c r="Q30" i="4" s="1"/>
  <c r="Q34" i="4" s="1"/>
  <c r="Q40" i="4" s="1"/>
  <c r="P34" i="4"/>
  <c r="P40" i="4" s="1"/>
  <c r="R17" i="4"/>
  <c r="R21" i="4" s="1"/>
  <c r="R15" i="9"/>
  <c r="R17" i="9" s="1"/>
  <c r="S17" i="4"/>
  <c r="S21" i="4" s="1"/>
  <c r="S15" i="9"/>
  <c r="S17" i="9" s="1"/>
  <c r="Q49" i="4" l="1"/>
  <c r="Q53" i="4" s="1"/>
  <c r="Q57" i="4" s="1"/>
  <c r="Q63" i="4" s="1"/>
  <c r="R22" i="4"/>
  <c r="R23" i="4" s="1"/>
  <c r="R30" i="4" s="1"/>
  <c r="S22" i="4"/>
  <c r="S23" i="4" s="1"/>
  <c r="S30" i="4" s="1"/>
  <c r="R49" i="4" l="1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21" i="4" s="1"/>
  <c r="T15" i="9"/>
  <c r="T17" i="9" s="1"/>
  <c r="T22" i="4" l="1"/>
  <c r="T23" i="4" s="1"/>
  <c r="T30" i="4" s="1"/>
  <c r="T34" i="4" l="1"/>
  <c r="T40" i="4" s="1"/>
  <c r="T49" i="4"/>
  <c r="T53" i="4" s="1"/>
  <c r="T57" i="4" s="1"/>
  <c r="T63" i="4" s="1"/>
  <c r="U17" i="4"/>
  <c r="U21" i="4" s="1"/>
  <c r="U22" i="4" s="1"/>
  <c r="U15" i="9"/>
  <c r="U17" i="9" s="1"/>
  <c r="U23" i="4" l="1"/>
  <c r="U30" i="4" s="1"/>
  <c r="U34" i="4" l="1"/>
  <c r="U40" i="4" s="1"/>
  <c r="U49" i="4"/>
  <c r="U53" i="4" s="1"/>
  <c r="U57" i="4" s="1"/>
  <c r="U63" i="4" s="1"/>
  <c r="V17" i="4"/>
  <c r="V21" i="4" s="1"/>
  <c r="V15" i="9"/>
  <c r="V17" i="9" s="1"/>
  <c r="W17" i="4"/>
  <c r="W21" i="4" s="1"/>
  <c r="W15" i="9"/>
  <c r="W17" i="9" s="1"/>
  <c r="V22" i="4" l="1"/>
  <c r="V23" i="4" s="1"/>
  <c r="V30" i="4" s="1"/>
  <c r="V49" i="4" s="1"/>
  <c r="V53" i="4" s="1"/>
  <c r="V57" i="4" s="1"/>
  <c r="V63" i="4" s="1"/>
  <c r="W22" i="4"/>
  <c r="W23" i="4" s="1"/>
  <c r="W30" i="4" s="1"/>
  <c r="V34" i="4" l="1"/>
  <c r="V40" i="4" s="1"/>
  <c r="W34" i="4"/>
  <c r="W40" i="4" s="1"/>
  <c r="W49" i="4"/>
  <c r="W53" i="4" s="1"/>
  <c r="W57" i="4" s="1"/>
  <c r="W63" i="4" s="1"/>
  <c r="X17" i="4"/>
  <c r="X21" i="4" s="1"/>
  <c r="X15" i="9"/>
  <c r="X17" i="9" s="1"/>
  <c r="X22" i="4" l="1"/>
  <c r="X23" i="4" s="1"/>
  <c r="X30" i="4" s="1"/>
  <c r="X34" i="4" l="1"/>
  <c r="X40" i="4" s="1"/>
  <c r="X49" i="4"/>
  <c r="X53" i="4" s="1"/>
  <c r="X57" i="4" s="1"/>
  <c r="X63" i="4" s="1"/>
  <c r="Y17" i="4"/>
  <c r="Y21" i="4" s="1"/>
  <c r="Y22" i="4" s="1"/>
  <c r="Y15" i="9"/>
  <c r="Y17" i="9" s="1"/>
  <c r="Y23" i="4" l="1"/>
  <c r="Y30" i="4" s="1"/>
  <c r="Y31" i="4" l="1"/>
  <c r="Y35" i="4" s="1"/>
  <c r="Y41" i="4" s="1"/>
  <c r="Y34" i="4"/>
  <c r="Y40" i="4" s="1"/>
  <c r="Y49" i="4"/>
  <c r="Y53" i="4" s="1"/>
  <c r="Y54" i="4" l="1"/>
  <c r="Y58" i="4" s="1"/>
  <c r="Y64" i="4" s="1"/>
  <c r="Y57" i="4"/>
  <c r="Y63" i="4" s="1"/>
  <c r="H70" i="4"/>
  <c r="H73" i="4" s="1"/>
  <c r="H93" i="4" l="1"/>
  <c r="H96" i="4" s="1"/>
  <c r="H86" i="4"/>
  <c r="H21" i="3" s="1" a="1"/>
  <c r="H21" i="3" s="1"/>
  <c r="H87" i="4"/>
  <c r="H22" i="3" s="1" a="1"/>
  <c r="H22" i="3" s="1"/>
  <c r="H76" i="4"/>
  <c r="H107" i="4" l="1"/>
  <c r="H106" i="4"/>
  <c r="H79" i="4"/>
  <c r="H9" i="3"/>
  <c r="H10" i="3" s="1"/>
  <c r="G6" i="7"/>
  <c r="H11" i="3"/>
  <c r="H12" i="3" s="1"/>
  <c r="H99" i="4"/>
  <c r="G7" i="7"/>
  <c r="H13" i="3"/>
  <c r="H14" i="3"/>
  <c r="H27" i="3"/>
  <c r="H28" i="3"/>
  <c r="H29" i="3"/>
  <c r="O25" i="5"/>
  <c r="P25" i="5"/>
  <c r="Q25" i="5"/>
  <c r="Q26" i="5"/>
  <c r="O27" i="5"/>
  <c r="P27" i="5"/>
  <c r="Q27" i="5"/>
  <c r="O30" i="5"/>
  <c r="P30" i="5"/>
  <c r="Q30" i="5"/>
  <c r="Q31" i="5"/>
  <c r="O36" i="5"/>
  <c r="P36" i="5"/>
  <c r="Q36" i="5"/>
  <c r="Q37" i="5"/>
  <c r="H43" i="5"/>
  <c r="H45" i="5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N108" i="9"/>
  <c r="O108" i="9"/>
  <c r="P108" i="9"/>
  <c r="N110" i="9"/>
  <c r="O110" i="9"/>
  <c r="P110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W88" i="8"/>
  <c r="X88" i="8"/>
  <c r="Y88" i="8"/>
  <c r="W89" i="8"/>
  <c r="X89" i="8"/>
  <c r="Y89" i="8"/>
  <c r="W94" i="8"/>
  <c r="X94" i="8"/>
  <c r="Y94" i="8"/>
  <c r="W95" i="8"/>
  <c r="X95" i="8"/>
  <c r="Y95" i="8"/>
  <c r="P99" i="8"/>
  <c r="Q99" i="8"/>
  <c r="R99" i="8"/>
  <c r="S99" i="8"/>
  <c r="T99" i="8"/>
  <c r="U99" i="8"/>
  <c r="V99" i="8"/>
  <c r="W99" i="8"/>
  <c r="X99" i="8"/>
  <c r="Y99" i="8"/>
  <c r="Q100" i="8"/>
  <c r="R100" i="8"/>
  <c r="S100" i="8"/>
  <c r="T100" i="8"/>
  <c r="U100" i="8"/>
  <c r="V100" i="8"/>
  <c r="W100" i="8"/>
  <c r="X100" i="8"/>
  <c r="Y100" i="8"/>
  <c r="K6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<sst xmlns="http://schemas.openxmlformats.org/spreadsheetml/2006/main" count="763" uniqueCount="305">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</sst>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39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1" xfId="0" applyNumberFormat="1" applyFont="1" applyFill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73" fontId="3" fillId="26" borderId="0" xfId="0" applyNumberFormat="1" applyFont="1" applyFill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25" borderId="65" xfId="0" applyNumberFormat="1" applyFont="1" applyFill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169" fontId="5" fillId="2" borderId="16" xfId="0" applyNumberFormat="1" applyFont="1" applyFill="1" applyBorder="1" applyAlignment="1">
      <alignment vertical="center"/>
    </xf>
    <xf numFmtId="4" fontId="9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4393.93</c:v>
                </c:pt>
                <c:pt idx="1">
                  <c:v>4563.9899999999989</c:v>
                </c:pt>
                <c:pt idx="2">
                  <c:v>4615.1896161605255</c:v>
                </c:pt>
                <c:pt idx="3">
                  <c:v>4676.641303711267</c:v>
                </c:pt>
                <c:pt idx="4">
                  <c:v>4737.9371794382505</c:v>
                </c:pt>
                <c:pt idx="5">
                  <c:v>4803.9610178903249</c:v>
                </c:pt>
                <c:pt idx="6">
                  <c:v>4875.8728243288442</c:v>
                </c:pt>
                <c:pt idx="7">
                  <c:v>4949.0532062895927</c:v>
                </c:pt>
                <c:pt idx="8">
                  <c:v>5009.704984222818</c:v>
                </c:pt>
                <c:pt idx="9">
                  <c:v>5066.7526418929419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8076.6920000000027</c:v>
                </c:pt>
                <c:pt idx="1">
                  <c:v>22711.753199999999</c:v>
                </c:pt>
                <c:pt idx="2">
                  <c:v>1576.7137726821065</c:v>
                </c:pt>
                <c:pt idx="3">
                  <c:v>3337.4383400868574</c:v>
                </c:pt>
                <c:pt idx="4">
                  <c:v>3380.18566777868</c:v>
                </c:pt>
                <c:pt idx="5">
                  <c:v>3426.2687874376379</c:v>
                </c:pt>
                <c:pt idx="6">
                  <c:v>3478.970509974838</c:v>
                </c:pt>
                <c:pt idx="7">
                  <c:v>3529.1837576532139</c:v>
                </c:pt>
                <c:pt idx="8">
                  <c:v>3570.2905727893149</c:v>
                </c:pt>
                <c:pt idx="9">
                  <c:v>3608.7037592981833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3153.8519999999999</c:v>
                </c:pt>
                <c:pt idx="1">
                  <c:v>3275.6471999999994</c:v>
                </c:pt>
                <c:pt idx="2">
                  <c:v>3314.2362236355784</c:v>
                </c:pt>
                <c:pt idx="3">
                  <c:v>3357.6187886721123</c:v>
                </c:pt>
                <c:pt idx="4">
                  <c:v>3401.2736716955401</c:v>
                </c:pt>
                <c:pt idx="5">
                  <c:v>3448.3087805060341</c:v>
                </c:pt>
                <c:pt idx="6">
                  <c:v>3499.5581235230179</c:v>
                </c:pt>
                <c:pt idx="7">
                  <c:v>3551.694483035069</c:v>
                </c:pt>
                <c:pt idx="8">
                  <c:v>3594.7825718723197</c:v>
                </c:pt>
                <c:pt idx="9">
                  <c:v>3635.2466345564035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26" workbookViewId="0">
      <selection activeCell="I37" sqref="I3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40"/>
      <c r="J14" s="2"/>
      <c r="K14" s="2"/>
      <c r="L14" s="2"/>
      <c r="M14" s="385"/>
      <c r="N14" s="386"/>
      <c r="O14" s="386"/>
      <c r="P14" s="386"/>
      <c r="Q14" s="386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2">
        <f>'&gt;&gt; Dash'!K43</f>
        <v>6.5072578063651063E-2</v>
      </c>
      <c r="H15" s="2"/>
      <c r="I15" s="341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2">
        <f>'&gt;&gt; Dash'!F49</f>
        <v>0.10413003999999999</v>
      </c>
      <c r="H16" s="2"/>
      <c r="I16" s="341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60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60">
        <v>42735</v>
      </c>
    </row>
    <row r="19" spans="4:7" ht="15" customHeight="1" x14ac:dyDescent="0.2">
      <c r="D19" s="2"/>
      <c r="E19" s="2" t="s">
        <v>13</v>
      </c>
      <c r="F19" s="16"/>
      <c r="G19" s="260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61">
        <f ca="1">G26</f>
        <v>45659</v>
      </c>
    </row>
    <row r="21" spans="4:7" ht="15" customHeight="1" x14ac:dyDescent="0.2">
      <c r="D21" s="2"/>
      <c r="E21" s="2" t="s">
        <v>15</v>
      </c>
      <c r="F21" s="16" t="s">
        <v>16</v>
      </c>
      <c r="G21" s="181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7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7">
        <f ca="1">TODAY()</f>
        <v>45659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3">
        <f>'&gt;&gt; Fin Stmts'!O64+'&gt;&gt; Fin Stmts'!O53</f>
        <v>2513.14</v>
      </c>
    </row>
    <row r="33" spans="4:25" ht="15" customHeight="1" x14ac:dyDescent="0.2">
      <c r="E33" s="2" t="s">
        <v>26</v>
      </c>
      <c r="F33" s="16" t="s">
        <v>25</v>
      </c>
      <c r="G33" s="263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3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4">
        <f>SUM(G32:G34)</f>
        <v>-15782.699999999999</v>
      </c>
      <c r="H35" s="302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5">
        <f t="array" ref="G38">INDEX( '&gt;&gt; DCF'!$I$16:$AB$16, MATCH( G41, '&gt;&gt; DCF'!$I$5:$AB$5, 0 ) )</f>
        <v>5370.8736198624956</v>
      </c>
    </row>
    <row r="39" spans="4:25" ht="15" customHeight="1" x14ac:dyDescent="0.2">
      <c r="D39" s="2"/>
      <c r="E39" s="2" t="s">
        <v>32</v>
      </c>
      <c r="F39" s="16" t="s">
        <v>7</v>
      </c>
      <c r="G39" s="266">
        <f>'&gt;&gt; Dash'!F43</f>
        <v>0.02</v>
      </c>
    </row>
    <row r="40" spans="4:25" ht="15" customHeight="1" x14ac:dyDescent="0.2">
      <c r="D40" s="2"/>
      <c r="E40" s="2"/>
      <c r="F40" s="16"/>
      <c r="G40" s="32"/>
    </row>
    <row r="41" spans="4:25" ht="15" customHeight="1" x14ac:dyDescent="0.2">
      <c r="D41" s="2"/>
      <c r="E41" s="2" t="s">
        <v>33</v>
      </c>
      <c r="F41" s="16" t="s">
        <v>34</v>
      </c>
      <c r="G41" s="182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5"/>
      <c r="G44" s="35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8">
        <f t="shared" ref="H45:N45" si="2">IF(H6&lt;1,1,MIN(((H9-$G20)/DiY),1))</f>
        <v>1</v>
      </c>
      <c r="I45" s="268">
        <f t="shared" si="2"/>
        <v>1</v>
      </c>
      <c r="J45" s="268">
        <f t="shared" si="2"/>
        <v>1</v>
      </c>
      <c r="K45" s="268">
        <f t="shared" si="2"/>
        <v>1</v>
      </c>
      <c r="L45" s="268">
        <f t="shared" si="2"/>
        <v>1</v>
      </c>
      <c r="M45" s="268">
        <f t="shared" si="2"/>
        <v>1</v>
      </c>
      <c r="N45" s="268">
        <f t="shared" si="2"/>
        <v>1</v>
      </c>
      <c r="O45" s="36">
        <v>1</v>
      </c>
      <c r="P45" s="268">
        <f t="shared" ref="P45:Y45" ca="1" si="3">IF(P6&lt;1,1,MIN(((P9-$G20)/DiY),1))</f>
        <v>-5.4794520547945206E-3</v>
      </c>
      <c r="Q45" s="268">
        <f t="shared" ca="1" si="3"/>
        <v>0.9945205479452055</v>
      </c>
      <c r="R45" s="268">
        <f t="shared" ca="1" si="3"/>
        <v>1</v>
      </c>
      <c r="S45" s="268">
        <f t="shared" ca="1" si="3"/>
        <v>1</v>
      </c>
      <c r="T45" s="268">
        <f t="shared" ca="1" si="3"/>
        <v>1</v>
      </c>
      <c r="U45" s="268">
        <f t="shared" ca="1" si="3"/>
        <v>1</v>
      </c>
      <c r="V45" s="268">
        <f t="shared" ca="1" si="3"/>
        <v>1</v>
      </c>
      <c r="W45" s="268">
        <f t="shared" ca="1" si="3"/>
        <v>1</v>
      </c>
      <c r="X45" s="268">
        <f t="shared" ca="1" si="3"/>
        <v>1</v>
      </c>
      <c r="Y45" s="268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3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">
      <c r="D47" s="2"/>
      <c r="E47" s="2" t="s">
        <v>38</v>
      </c>
      <c r="F47" s="38" t="s">
        <v>39</v>
      </c>
      <c r="G47" s="184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9"/>
      <c r="V48" s="79"/>
      <c r="W48" s="79"/>
      <c r="X48" s="79"/>
      <c r="Y48" s="79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9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9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9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9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34" zoomScale="107" workbookViewId="0">
      <selection activeCell="H59" sqref="H59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9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5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5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5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8"/>
    </row>
    <row r="6" spans="3:27" ht="15" customHeight="1" x14ac:dyDescent="0.2">
      <c r="C6" s="45"/>
      <c r="D6" s="45"/>
      <c r="E6" s="45"/>
      <c r="F6" s="45"/>
      <c r="G6" s="45"/>
      <c r="H6" s="359"/>
    </row>
    <row r="7" spans="3:27" ht="15" customHeight="1" x14ac:dyDescent="0.2">
      <c r="C7" s="46"/>
      <c r="D7" s="46"/>
      <c r="E7" s="46"/>
      <c r="F7" s="46"/>
      <c r="G7" s="46"/>
      <c r="H7" s="360"/>
    </row>
    <row r="8" spans="3:27" ht="15" customHeight="1" x14ac:dyDescent="0.2">
      <c r="D8" s="2"/>
      <c r="E8" s="2" t="s">
        <v>63</v>
      </c>
      <c r="F8" s="24" t="s">
        <v>64</v>
      </c>
      <c r="G8" s="24"/>
      <c r="H8" s="361">
        <f t="array" ref="H8">INDEX( '&gt;&gt; DCF'!$H$71:$H$97, MATCH( '&gt;&gt; Dash'!E8, '&gt;&gt; DCF'!$E$71:$E$97, 0 ) )</f>
        <v>378.75604099999998</v>
      </c>
    </row>
    <row r="9" spans="3:27" ht="15" customHeight="1" x14ac:dyDescent="0.2">
      <c r="D9" s="2"/>
      <c r="E9" s="1" t="s">
        <v>122</v>
      </c>
      <c r="F9" s="24" t="s">
        <v>65</v>
      </c>
      <c r="G9" s="48"/>
      <c r="H9" s="362">
        <f ca="1">'&gt;&gt; DCF'!H76</f>
        <v>145.40500481926966</v>
      </c>
    </row>
    <row r="10" spans="3:27" ht="15" customHeight="1" x14ac:dyDescent="0.2">
      <c r="D10" s="2"/>
      <c r="E10" s="2" t="s">
        <v>67</v>
      </c>
      <c r="F10" s="24" t="s">
        <v>7</v>
      </c>
      <c r="G10" s="48"/>
      <c r="H10" s="363">
        <f ca="1">H9/H16-1</f>
        <v>145.87374224168653</v>
      </c>
    </row>
    <row r="11" spans="3:27" ht="15" customHeight="1" x14ac:dyDescent="0.2">
      <c r="D11" s="2"/>
      <c r="E11" s="1" t="s">
        <v>231</v>
      </c>
      <c r="F11" s="24" t="s">
        <v>65</v>
      </c>
      <c r="G11" s="48"/>
      <c r="H11" s="362">
        <f ca="1">'&gt;&gt; DCF'!H96</f>
        <v>-1786277.0999731405</v>
      </c>
    </row>
    <row r="12" spans="3:27" ht="15" customHeight="1" x14ac:dyDescent="0.2">
      <c r="D12" s="2"/>
      <c r="E12" s="2" t="s">
        <v>67</v>
      </c>
      <c r="F12" s="24" t="s">
        <v>7</v>
      </c>
      <c r="G12" s="48"/>
      <c r="H12" s="363">
        <f ca="1">H11/H16-1</f>
        <v>-1804321.3030031722</v>
      </c>
    </row>
    <row r="13" spans="3:27" ht="15" customHeight="1" x14ac:dyDescent="0.2">
      <c r="D13" s="2"/>
      <c r="E13" s="1" t="s">
        <v>236</v>
      </c>
      <c r="F13" s="24" t="s">
        <v>65</v>
      </c>
      <c r="G13" s="48"/>
      <c r="H13" s="362">
        <f ca="1">'&gt;&gt; DDM'!H43</f>
        <v>80.193772223678849</v>
      </c>
    </row>
    <row r="14" spans="3:27" ht="15" customHeight="1" x14ac:dyDescent="0.2">
      <c r="D14" s="2"/>
      <c r="E14" s="2" t="s">
        <v>67</v>
      </c>
      <c r="F14" s="24" t="s">
        <v>7</v>
      </c>
      <c r="G14" s="48"/>
      <c r="H14" s="363">
        <f ca="1">H13/H16-1</f>
        <v>80.003810326948326</v>
      </c>
    </row>
    <row r="16" spans="3:27" ht="15" customHeight="1" x14ac:dyDescent="0.2">
      <c r="D16" s="2"/>
      <c r="E16" s="2" t="s">
        <v>66</v>
      </c>
      <c r="F16" s="24" t="s">
        <v>65</v>
      </c>
      <c r="G16" s="48"/>
      <c r="H16" s="364">
        <f>'&gt;&gt; Inputs'!G21</f>
        <v>0.99</v>
      </c>
    </row>
    <row r="17" spans="4:27" ht="15" customHeight="1" x14ac:dyDescent="0.2">
      <c r="D17" s="2"/>
      <c r="E17" s="2"/>
      <c r="F17" s="24"/>
      <c r="G17" s="48"/>
      <c r="H17" s="363"/>
    </row>
    <row r="18" spans="4:27" ht="15" customHeight="1" x14ac:dyDescent="0.2">
      <c r="D18" s="2"/>
      <c r="E18" s="2" t="s">
        <v>8</v>
      </c>
      <c r="F18" s="24" t="s">
        <v>7</v>
      </c>
      <c r="G18" s="48"/>
      <c r="H18" s="363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8"/>
      <c r="H19" s="363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65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66">
        <f t="array" aca="1" ref="H21" ca="1">INDEX( '&gt;&gt; DCF'!$H$71:$H$97, MATCH( '&gt;&gt; Dash'!E21, '&gt;&gt; DCF'!$E$71:$E$97, 0 ) )</f>
        <v>12.066859034952422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66">
        <f t="array" aca="1" ref="H22" ca="1">INDEX( '&gt;&gt; DCF'!$H$71:$H$97, MATCH( '&gt;&gt; Dash'!E22, '&gt;&gt; DCF'!$E$71:$E$97, 0 ) )</f>
        <v>12.105264955332004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66">
        <f t="array" ref="H23">INDEX( '&gt;&gt; DCF'!$H$71:$H$97, MATCH( '&gt;&gt; Dash'!E23, '&gt;&gt; DCF'!$E$71:$E$97, 0 ) )</f>
        <v>3.5009760864455894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66">
        <f t="array" ref="H24">INDEX( '&gt;&gt; DCF'!$H$71:$H$97, MATCH( '&gt;&gt; Dash'!E24, '&gt;&gt; DCF'!$E$71:$E$97, 0 ) )</f>
        <v>3.5101666028088103</v>
      </c>
    </row>
    <row r="25" spans="4:27" ht="15" customHeight="1" x14ac:dyDescent="0.2">
      <c r="D25" s="2"/>
      <c r="E25" s="2"/>
      <c r="F25" s="24"/>
      <c r="G25" s="24"/>
      <c r="H25" s="366"/>
    </row>
    <row r="26" spans="4:27" ht="15" customHeight="1" x14ac:dyDescent="0.2">
      <c r="D26" s="1" t="s">
        <v>74</v>
      </c>
      <c r="E26" s="2"/>
      <c r="F26" s="24"/>
      <c r="G26" s="24"/>
      <c r="H26" s="366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63">
        <f ca="1">'&gt;&gt; Summary'!G13</f>
        <v>112.93877628431743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63">
        <f ca="1">'&gt;&gt; DDM'!H25/'&gt;&gt; Summary'!G11</f>
        <v>4.4741730727729738E-2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63">
        <f ca="1">H27 + H28</f>
        <v>112.98351801504516</v>
      </c>
    </row>
    <row r="31" spans="4:27" ht="15" customHeight="1" x14ac:dyDescent="0.2">
      <c r="D31" s="2"/>
      <c r="E31" s="15"/>
      <c r="F31" s="15"/>
      <c r="G31" s="15"/>
      <c r="H31" s="35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5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5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5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67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65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45">
        <v>0.28299999999999997</v>
      </c>
      <c r="H38" s="365" t="s">
        <v>79</v>
      </c>
      <c r="J38" s="16" t="s">
        <v>7</v>
      </c>
      <c r="K38" s="52"/>
      <c r="L38" s="2"/>
      <c r="W38" s="2"/>
      <c r="X38" s="2"/>
    </row>
    <row r="39" spans="4:27" ht="15" customHeight="1" x14ac:dyDescent="0.2">
      <c r="D39" s="2" t="s">
        <v>304</v>
      </c>
      <c r="E39" s="2"/>
      <c r="F39" s="345">
        <v>5.8000000000000003E-2</v>
      </c>
      <c r="H39" s="365" t="s">
        <v>289</v>
      </c>
      <c r="J39" s="16" t="s">
        <v>7</v>
      </c>
      <c r="K39" s="180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65" t="s">
        <v>290</v>
      </c>
      <c r="J40" s="16"/>
      <c r="K40" s="354">
        <v>6.3E-2</v>
      </c>
      <c r="L40" s="2"/>
      <c r="W40" s="2"/>
      <c r="X40" s="2"/>
    </row>
    <row r="41" spans="4:27" ht="15" customHeight="1" x14ac:dyDescent="0.2">
      <c r="D41" s="2"/>
      <c r="E41" s="2"/>
      <c r="H41" s="368" t="s">
        <v>291</v>
      </c>
      <c r="J41" s="16"/>
      <c r="K41" s="354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45">
        <f>F53-F39</f>
        <v>2.9699999999999997E-2</v>
      </c>
      <c r="H42" s="365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5">
        <v>0.02</v>
      </c>
      <c r="H43" s="365" t="s">
        <v>6</v>
      </c>
      <c r="J43" s="16" t="s">
        <v>7</v>
      </c>
      <c r="K43" s="270">
        <f>(F48*F54)+(F47*F39*(1-F38))</f>
        <v>6.5072578063651063E-2</v>
      </c>
      <c r="L43" s="353"/>
      <c r="M43" s="137"/>
      <c r="W43" s="2"/>
      <c r="X43" s="2"/>
    </row>
    <row r="44" spans="4:27" ht="15" customHeight="1" x14ac:dyDescent="0.2">
      <c r="D44" s="2"/>
      <c r="E44" s="2"/>
      <c r="F44" s="55"/>
      <c r="H44" s="365"/>
      <c r="J44" s="2"/>
      <c r="K44" s="2"/>
      <c r="L44" s="2"/>
      <c r="W44" s="2"/>
      <c r="X44" s="2"/>
    </row>
    <row r="45" spans="4:27" ht="15" customHeight="1" x14ac:dyDescent="0.2">
      <c r="D45" s="2" t="s">
        <v>294</v>
      </c>
      <c r="E45" s="2"/>
      <c r="F45" s="346">
        <v>1.5531999999999999</v>
      </c>
      <c r="H45" s="365" t="s">
        <v>32</v>
      </c>
      <c r="J45" s="16" t="s">
        <v>7</v>
      </c>
      <c r="K45" s="271">
        <f>F43</f>
        <v>0.02</v>
      </c>
      <c r="M45" s="2"/>
      <c r="P45" s="24"/>
      <c r="Q45" s="56"/>
      <c r="W45" s="2"/>
      <c r="X45" s="2"/>
    </row>
    <row r="46" spans="4:27" ht="15" customHeight="1" x14ac:dyDescent="0.2">
      <c r="H46" s="368" t="s">
        <v>31</v>
      </c>
      <c r="J46" s="274" t="s">
        <v>7</v>
      </c>
      <c r="K46" s="271">
        <f>'&gt;&gt; Segments'!Y54</f>
        <v>0.21586559807410749</v>
      </c>
      <c r="W46" s="2"/>
      <c r="X46" s="2"/>
    </row>
    <row r="47" spans="4:27" ht="15" customHeight="1" x14ac:dyDescent="0.2">
      <c r="D47" s="2" t="s">
        <v>300</v>
      </c>
      <c r="E47" s="2"/>
      <c r="F47" s="345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301</v>
      </c>
      <c r="E48" s="2"/>
      <c r="F48" s="345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292</v>
      </c>
      <c r="E49" s="2"/>
      <c r="F49" s="347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7"/>
      <c r="W49" s="2"/>
      <c r="X49" s="2"/>
    </row>
    <row r="50" spans="1:27" ht="15" customHeight="1" x14ac:dyDescent="0.2">
      <c r="D50" s="2" t="s">
        <v>293</v>
      </c>
      <c r="E50" s="2"/>
      <c r="F50" s="350">
        <f>(F56/F58)</f>
        <v>0.19846590301864428</v>
      </c>
      <c r="G50" s="289"/>
      <c r="H50" s="370" t="s">
        <v>257</v>
      </c>
      <c r="K50" s="352">
        <v>102.636</v>
      </c>
      <c r="L50" s="351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8"/>
      <c r="W50" s="2"/>
      <c r="X50" s="2"/>
    </row>
    <row r="51" spans="1:27" ht="15" customHeight="1" x14ac:dyDescent="0.2">
      <c r="D51" s="2" t="s">
        <v>288</v>
      </c>
      <c r="E51" s="2"/>
      <c r="F51" s="350">
        <f>F50*(1-F38)</f>
        <v>0.14230005246436797</v>
      </c>
      <c r="G51" s="289"/>
      <c r="L51" s="2"/>
      <c r="M51" s="2"/>
      <c r="N51" s="2"/>
      <c r="O51" s="2"/>
      <c r="P51" s="2"/>
      <c r="Q51" s="2"/>
      <c r="R51" s="2"/>
      <c r="S51" s="2"/>
      <c r="T51" s="16"/>
      <c r="U51" s="2"/>
      <c r="V51" s="58"/>
      <c r="W51" s="2"/>
      <c r="X51" s="2"/>
    </row>
    <row r="52" spans="1:27" ht="15" customHeight="1" x14ac:dyDescent="0.2">
      <c r="D52" s="2" t="s">
        <v>296</v>
      </c>
      <c r="F52" s="345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297</v>
      </c>
      <c r="F53" s="345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295</v>
      </c>
      <c r="F54" s="345">
        <f>F39+F45*(F53-F39)</f>
        <v>0.10413003999999999</v>
      </c>
    </row>
    <row r="55" spans="1:27" ht="15" customHeight="1" x14ac:dyDescent="0.2">
      <c r="D55" s="2" t="s">
        <v>287</v>
      </c>
      <c r="F55" s="345"/>
    </row>
    <row r="56" spans="1:27" ht="15" customHeight="1" x14ac:dyDescent="0.2">
      <c r="D56" s="2" t="s">
        <v>156</v>
      </c>
      <c r="F56" s="349">
        <v>408.55</v>
      </c>
      <c r="M56" s="2"/>
      <c r="N56" s="2"/>
      <c r="O56" s="2"/>
      <c r="P56" s="2"/>
    </row>
    <row r="57" spans="1:27" ht="15" customHeight="1" x14ac:dyDescent="0.2">
      <c r="D57" s="2" t="s">
        <v>298</v>
      </c>
      <c r="F57" s="348">
        <v>1237.8699999999999</v>
      </c>
      <c r="M57" s="2"/>
      <c r="N57" s="2"/>
      <c r="O57" s="2"/>
      <c r="P57" s="2"/>
    </row>
    <row r="58" spans="1:27" ht="15" customHeight="1" x14ac:dyDescent="0.2">
      <c r="D58" s="2" t="s">
        <v>299</v>
      </c>
      <c r="F58" s="348">
        <v>2058.54</v>
      </c>
      <c r="M58" s="2"/>
      <c r="N58" s="2"/>
      <c r="O58" s="2"/>
      <c r="P58" s="2"/>
    </row>
    <row r="59" spans="1:27" ht="15" customHeight="1" x14ac:dyDescent="0.2">
      <c r="A59" s="41"/>
      <c r="B59" s="41" t="s">
        <v>45</v>
      </c>
      <c r="C59" s="42"/>
      <c r="D59" s="42"/>
      <c r="E59" s="42"/>
      <c r="F59" s="42"/>
      <c r="G59" s="42"/>
      <c r="H59" s="371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abSelected="1" topLeftCell="A4" zoomScaleNormal="100" workbookViewId="0">
      <pane xSplit="5" ySplit="6" topLeftCell="F68" activePane="bottomRight" state="frozen"/>
      <selection activeCell="A4" sqref="A4"/>
      <selection pane="topRight" activeCell="F4" sqref="F4"/>
      <selection pane="bottomLeft" activeCell="A10" sqref="A10"/>
      <selection pane="bottomRight" activeCell="I77" sqref="I77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7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3" t="s">
        <v>56</v>
      </c>
      <c r="E2" s="2"/>
      <c r="F2" s="2"/>
      <c r="G2" s="2"/>
      <c r="H2" s="390" t="s">
        <v>85</v>
      </c>
      <c r="I2" s="390"/>
      <c r="J2" s="390"/>
      <c r="K2" s="390"/>
      <c r="L2" s="390"/>
      <c r="M2" s="390"/>
      <c r="N2" s="390"/>
      <c r="O2" s="39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83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0">
        <f>IF( AND( N5 &lt;= '&gt;&gt; Inputs'!$G41, N5 &gt;= 1 ), 1, 0 )</f>
        <v>0</v>
      </c>
      <c r="O11" s="60">
        <f>IF( AND( O5 &lt;= '&gt;&gt; Inputs'!$G41, O5 &gt;= 1 ), 1, 0 )</f>
        <v>0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  <c r="R11" s="60">
        <f>IF( AND( R5 &lt;= '&gt;&gt; Inputs'!$G41, R5 &gt;= 1 ), 1, 0 )</f>
        <v>1</v>
      </c>
      <c r="S11" s="60">
        <f>IF( AND( S5 &lt;= '&gt;&gt; Inputs'!$G41, S5 &gt;= 1 ), 1, 0 )</f>
        <v>1</v>
      </c>
      <c r="T11" s="60">
        <f>IF( AND( T5 &lt;= '&gt;&gt; Inputs'!$G41, T5 &gt;= 1 ), 1, 0 )</f>
        <v>1</v>
      </c>
      <c r="U11" s="60">
        <f>IF( AND( U5 &lt;= '&gt;&gt; Inputs'!$G41, U5 &gt;= 1 ), 1, 0 )</f>
        <v>1</v>
      </c>
      <c r="V11" s="60">
        <f>IF( AND( V5 &lt;= '&gt;&gt; Inputs'!$G41, V5 &gt;= 1 ), 1, 0 )</f>
        <v>1</v>
      </c>
      <c r="W11" s="60">
        <f>IF( AND( W5 &lt;= '&gt;&gt; Inputs'!$G41, W5 &gt;= 1 ), 1, 0 )</f>
        <v>1</v>
      </c>
      <c r="X11" s="60">
        <f>IF( AND( X5 &lt;= '&gt;&gt; Inputs'!$G41, X5 &gt;= 1 ), 1, 0 )</f>
        <v>1</v>
      </c>
      <c r="Y11" s="60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15"/>
      <c r="I13" s="15"/>
      <c r="J13" s="1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3:25" ht="15" customHeight="1" x14ac:dyDescent="0.2">
      <c r="C14" s="63" t="s">
        <v>97</v>
      </c>
      <c r="D14" s="2"/>
      <c r="E14" s="2"/>
      <c r="F14" s="24"/>
      <c r="G14" s="24"/>
      <c r="H14" s="64"/>
      <c r="I14" s="2"/>
      <c r="J14" s="2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27"/>
      <c r="I16" s="27">
        <f>'&gt;&gt; Fin Stmts'!I13</f>
        <v>3112.28</v>
      </c>
      <c r="J16" s="27">
        <f>'&gt;&gt; Fin Stmts'!J13</f>
        <v>3347.59</v>
      </c>
      <c r="K16" s="27">
        <f>'&gt;&gt; Fin Stmts'!K13</f>
        <v>3416.7999999999997</v>
      </c>
      <c r="L16" s="27">
        <f>'&gt;&gt; Fin Stmts'!L13</f>
        <v>3701.4400000000005</v>
      </c>
      <c r="M16" s="27">
        <f>'&gt;&gt; Fin Stmts'!M13</f>
        <v>4178.1099999999997</v>
      </c>
      <c r="N16" s="27">
        <f>'&gt;&gt; Fin Stmts'!N13</f>
        <v>4522.01</v>
      </c>
      <c r="O16" s="27">
        <f>'&gt;&gt; Fin Stmts'!O13</f>
        <v>4703.3799999999992</v>
      </c>
      <c r="P16" s="27">
        <f>'&gt;&gt; Fin Stmts'!P13</f>
        <v>4756.1433168909425</v>
      </c>
      <c r="Q16" s="27">
        <f>'&gt;&gt; Fin Stmts'!Q13</f>
        <v>4819.4718163382258</v>
      </c>
      <c r="R16" s="27">
        <f>'&gt;&gt; Fin Stmts'!R13</f>
        <v>4882.6397452725087</v>
      </c>
      <c r="S16" s="27">
        <f>'&gt;&gt; Fin Stmts'!S13</f>
        <v>4950.6800348653251</v>
      </c>
      <c r="T16" s="27">
        <f>'&gt;&gt; Fin Stmts'!T13</f>
        <v>5024.7881183989884</v>
      </c>
      <c r="U16" s="27">
        <f>'&gt;&gt; Fin Stmts'!U13</f>
        <v>5100.2035213482814</v>
      </c>
      <c r="V16" s="27">
        <f>'&gt;&gt; Fin Stmts'!V13</f>
        <v>5162.7076809313603</v>
      </c>
      <c r="W16" s="27">
        <f>'&gt;&gt; Fin Stmts'!W13</f>
        <v>5221.4976458814381</v>
      </c>
      <c r="X16" s="27">
        <f>'&gt;&gt; Fin Stmts'!X13</f>
        <v>5295.3055326665271</v>
      </c>
      <c r="Y16" s="27">
        <f>'&gt;&gt; Fin Stmts'!Y13</f>
        <v>5370.8736198624956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27"/>
      <c r="I17" s="27">
        <f>'&gt;&gt; Fin Stmts'!I14</f>
        <v>80.430000000000007</v>
      </c>
      <c r="J17" s="27">
        <f>'&gt;&gt; Fin Stmts'!J14</f>
        <v>85.8</v>
      </c>
      <c r="K17" s="27">
        <f>'&gt;&gt; Fin Stmts'!K14</f>
        <v>106.79</v>
      </c>
      <c r="L17" s="27">
        <f>'&gt;&gt; Fin Stmts'!L14</f>
        <v>117.66</v>
      </c>
      <c r="M17" s="27">
        <f>'&gt;&gt; Fin Stmts'!M14</f>
        <v>116.75</v>
      </c>
      <c r="N17" s="27">
        <f>'&gt;&gt; Fin Stmts'!N14</f>
        <v>128.08000000000001</v>
      </c>
      <c r="O17" s="27">
        <f>'&gt;&gt; Fin Stmts'!O14</f>
        <v>139.38999999999999</v>
      </c>
      <c r="P17" s="27">
        <f>'&gt;&gt; Fin Stmts'!P14</f>
        <v>140.95370073041695</v>
      </c>
      <c r="Q17" s="27">
        <f>'&gt;&gt; Fin Stmts'!Q14</f>
        <v>142.83051262695878</v>
      </c>
      <c r="R17" s="27">
        <f>'&gt;&gt; Fin Stmts'!R14</f>
        <v>144.70256583425856</v>
      </c>
      <c r="S17" s="27">
        <f>'&gt;&gt; Fin Stmts'!S14</f>
        <v>146.71901697500047</v>
      </c>
      <c r="T17" s="27">
        <f>'&gt;&gt; Fin Stmts'!T14</f>
        <v>148.91529407014426</v>
      </c>
      <c r="U17" s="27">
        <f>'&gt;&gt; Fin Stmts'!U14</f>
        <v>151.15031505868907</v>
      </c>
      <c r="V17" s="27">
        <f>'&gt;&gt; Fin Stmts'!V14</f>
        <v>153.00269670854203</v>
      </c>
      <c r="W17" s="27">
        <f>'&gt;&gt; Fin Stmts'!W14</f>
        <v>154.74500398849631</v>
      </c>
      <c r="X17" s="27">
        <f>'&gt;&gt; Fin Stmts'!X14</f>
        <v>156.93238441256869</v>
      </c>
      <c r="Y17" s="27">
        <f>'&gt;&gt; Fin Stmts'!Y14</f>
        <v>159.17193037190987</v>
      </c>
    </row>
    <row r="18" spans="4:25" ht="15" customHeight="1" x14ac:dyDescent="0.2">
      <c r="D18" s="2"/>
      <c r="E18" s="65" t="s">
        <v>83</v>
      </c>
      <c r="F18" s="29" t="s">
        <v>25</v>
      </c>
      <c r="G18" s="29"/>
      <c r="H18" s="66"/>
      <c r="I18" s="66">
        <f>I16-I17</f>
        <v>3031.8500000000004</v>
      </c>
      <c r="J18" s="66">
        <f t="shared" ref="J18:Y18" si="7">J16-J17</f>
        <v>3261.79</v>
      </c>
      <c r="K18" s="66">
        <f t="shared" si="7"/>
        <v>3310.0099999999998</v>
      </c>
      <c r="L18" s="66">
        <f t="shared" si="7"/>
        <v>3583.7800000000007</v>
      </c>
      <c r="M18" s="66">
        <f t="shared" si="7"/>
        <v>4061.3599999999997</v>
      </c>
      <c r="N18" s="66">
        <f t="shared" si="7"/>
        <v>4393.93</v>
      </c>
      <c r="O18" s="66">
        <f t="shared" si="7"/>
        <v>4563.9899999999989</v>
      </c>
      <c r="P18" s="66">
        <f t="shared" si="7"/>
        <v>4615.1896161605255</v>
      </c>
      <c r="Q18" s="66">
        <f t="shared" si="7"/>
        <v>4676.641303711267</v>
      </c>
      <c r="R18" s="66">
        <f t="shared" si="7"/>
        <v>4737.9371794382505</v>
      </c>
      <c r="S18" s="66">
        <f t="shared" si="7"/>
        <v>4803.9610178903249</v>
      </c>
      <c r="T18" s="66">
        <f t="shared" si="7"/>
        <v>4875.8728243288442</v>
      </c>
      <c r="U18" s="66">
        <f t="shared" si="7"/>
        <v>4949.0532062895927</v>
      </c>
      <c r="V18" s="66">
        <f t="shared" si="7"/>
        <v>5009.704984222818</v>
      </c>
      <c r="W18" s="66">
        <f t="shared" si="7"/>
        <v>5066.7526418929419</v>
      </c>
      <c r="X18" s="66">
        <f t="shared" si="7"/>
        <v>5138.3731482539588</v>
      </c>
      <c r="Y18" s="66">
        <f t="shared" si="7"/>
        <v>5211.7016894905855</v>
      </c>
    </row>
    <row r="19" spans="4:25" ht="15" customHeight="1" x14ac:dyDescent="0.2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3"/>
      <c r="I20" s="33">
        <f>'&gt;&gt; Segments'!I58</f>
        <v>8.41</v>
      </c>
      <c r="J20" s="33">
        <f>'&gt;&gt; Segments'!J58</f>
        <v>9.120000000000001</v>
      </c>
      <c r="K20" s="33">
        <f>'&gt;&gt; Segments'!K58</f>
        <v>12.8</v>
      </c>
      <c r="L20" s="33">
        <f>'&gt;&gt; Segments'!L58</f>
        <v>17.420000000000002</v>
      </c>
      <c r="M20" s="33">
        <f>'&gt;&gt; Segments'!M58</f>
        <v>13.79</v>
      </c>
      <c r="N20" s="33">
        <f>'&gt;&gt; Segments'!N58</f>
        <v>13.58</v>
      </c>
      <c r="O20" s="33">
        <f>'&gt;&gt; Segments'!O58</f>
        <v>14.48</v>
      </c>
      <c r="P20" s="33">
        <f>'&gt;&gt; Segments'!P58</f>
        <v>12.083750000000002</v>
      </c>
      <c r="Q20" s="33">
        <f>'&gt;&gt; Segments'!Q58</f>
        <v>13.281875000000001</v>
      </c>
      <c r="R20" s="33">
        <f>'&gt;&gt; Segments'!R58</f>
        <v>13.945968750000002</v>
      </c>
      <c r="S20" s="33">
        <f>'&gt;&gt; Segments'!S58</f>
        <v>14.643267187500003</v>
      </c>
      <c r="T20" s="33">
        <f>'&gt;&gt; Segments'!T58</f>
        <v>15.375430546875004</v>
      </c>
      <c r="U20" s="33">
        <f>'&gt;&gt; Segments'!U58</f>
        <v>16.144202074218754</v>
      </c>
      <c r="V20" s="33">
        <f>'&gt;&gt; Segments'!V58</f>
        <v>16.951412177929694</v>
      </c>
      <c r="W20" s="33">
        <f>'&gt;&gt; Segments'!W58</f>
        <v>17.79898278682618</v>
      </c>
      <c r="X20" s="33">
        <f>'&gt;&gt; Segments'!X58</f>
        <v>18.688931926167491</v>
      </c>
      <c r="Y20" s="33">
        <f>'&gt;&gt; Segments'!Y58</f>
        <v>19.623378522475868</v>
      </c>
    </row>
    <row r="21" spans="4:25" ht="15" customHeight="1" x14ac:dyDescent="0.2">
      <c r="D21" s="24" t="s">
        <v>61</v>
      </c>
      <c r="E21" s="65" t="s">
        <v>100</v>
      </c>
      <c r="F21" s="29" t="s">
        <v>25</v>
      </c>
      <c r="G21" s="29"/>
      <c r="H21" s="67"/>
      <c r="I21" s="67">
        <f>I18 - I20</f>
        <v>3023.4400000000005</v>
      </c>
      <c r="J21" s="67">
        <f t="shared" ref="J21:Y21" si="8">J18 - J20</f>
        <v>3252.67</v>
      </c>
      <c r="K21" s="67">
        <f t="shared" si="8"/>
        <v>3297.2099999999996</v>
      </c>
      <c r="L21" s="67">
        <f t="shared" si="8"/>
        <v>3566.3600000000006</v>
      </c>
      <c r="M21" s="67">
        <f t="shared" si="8"/>
        <v>4047.5699999999997</v>
      </c>
      <c r="N21" s="67">
        <f t="shared" si="8"/>
        <v>4380.3500000000004</v>
      </c>
      <c r="O21" s="67">
        <f t="shared" si="8"/>
        <v>4549.5099999999993</v>
      </c>
      <c r="P21" s="67">
        <f t="shared" si="8"/>
        <v>4603.1058661605257</v>
      </c>
      <c r="Q21" s="67">
        <f t="shared" si="8"/>
        <v>4663.3594287112674</v>
      </c>
      <c r="R21" s="67">
        <f t="shared" si="8"/>
        <v>4723.9912106882502</v>
      </c>
      <c r="S21" s="67">
        <f t="shared" si="8"/>
        <v>4789.3177507028249</v>
      </c>
      <c r="T21" s="67">
        <f t="shared" si="8"/>
        <v>4860.4973937819695</v>
      </c>
      <c r="U21" s="67">
        <f t="shared" si="8"/>
        <v>4932.9090042153739</v>
      </c>
      <c r="V21" s="67">
        <f t="shared" si="8"/>
        <v>4992.7535720448886</v>
      </c>
      <c r="W21" s="67">
        <f t="shared" si="8"/>
        <v>5048.953659106116</v>
      </c>
      <c r="X21" s="67">
        <f t="shared" si="8"/>
        <v>5119.6842163277915</v>
      </c>
      <c r="Y21" s="67">
        <f t="shared" si="8"/>
        <v>5192.0783109681097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3"/>
      <c r="I22" s="33">
        <f>0 - ( '&gt;&gt; Inputs'!$G$46 * I21 )</f>
        <v>-846.56320000000028</v>
      </c>
      <c r="J22" s="33">
        <f>0 - ( '&gt;&gt; Inputs'!$G$46 * J21 )</f>
        <v>-910.74760000000015</v>
      </c>
      <c r="K22" s="33">
        <f>0 - ( '&gt;&gt; Inputs'!$G$46 * K21 )</f>
        <v>-923.21879999999999</v>
      </c>
      <c r="L22" s="33">
        <f>0 - ( '&gt;&gt; Inputs'!$G$46 * L21 )</f>
        <v>-998.58080000000029</v>
      </c>
      <c r="M22" s="33">
        <f>0 - ( '&gt;&gt; Inputs'!$G$46 * M21 )</f>
        <v>-1133.3196</v>
      </c>
      <c r="N22" s="33">
        <f>0 - ( '&gt;&gt; Inputs'!$G$46 * N21 )</f>
        <v>-1226.4980000000003</v>
      </c>
      <c r="O22" s="33">
        <f>0 - ( '&gt;&gt; Inputs'!$G$46 * O21 )</f>
        <v>-1273.8627999999999</v>
      </c>
      <c r="P22" s="33">
        <f>0 - ( '&gt;&gt; Inputs'!$G$46 * P21 )</f>
        <v>-1288.8696425249473</v>
      </c>
      <c r="Q22" s="33">
        <f>0 - ( '&gt;&gt; Inputs'!$G$46 * Q21 )</f>
        <v>-1305.7406400391551</v>
      </c>
      <c r="R22" s="33">
        <f>0 - ( '&gt;&gt; Inputs'!$G$46 * R21 )</f>
        <v>-1322.7175389927102</v>
      </c>
      <c r="S22" s="33">
        <f>0 - ( '&gt;&gt; Inputs'!$G$46 * S21 )</f>
        <v>-1341.0089701967911</v>
      </c>
      <c r="T22" s="33">
        <f>0 - ( '&gt;&gt; Inputs'!$G$46 * T21 )</f>
        <v>-1360.9392702589516</v>
      </c>
      <c r="U22" s="33">
        <f>0 - ( '&gt;&gt; Inputs'!$G$46 * U21 )</f>
        <v>-1381.2145211803049</v>
      </c>
      <c r="V22" s="33">
        <f>0 - ( '&gt;&gt; Inputs'!$G$46 * V21 )</f>
        <v>-1397.9710001725689</v>
      </c>
      <c r="W22" s="33">
        <f>0 - ( '&gt;&gt; Inputs'!$G$46 * W21 )</f>
        <v>-1413.7070245497125</v>
      </c>
      <c r="X22" s="33">
        <f>0 - ( '&gt;&gt; Inputs'!$G$46 * X21 )</f>
        <v>-1433.5115805717817</v>
      </c>
      <c r="Y22" s="33">
        <f>0 - ( '&gt;&gt; Inputs'!$G$46 * Y21 )</f>
        <v>-1453.7819270710709</v>
      </c>
    </row>
    <row r="23" spans="4:25" ht="15" customHeight="1" x14ac:dyDescent="0.2">
      <c r="D23" s="54" t="s">
        <v>61</v>
      </c>
      <c r="E23" s="65" t="s">
        <v>102</v>
      </c>
      <c r="F23" s="29" t="s">
        <v>25</v>
      </c>
      <c r="G23" s="29"/>
      <c r="H23" s="67"/>
      <c r="I23" s="67">
        <f>SUM(I21:I22)</f>
        <v>2176.8768</v>
      </c>
      <c r="J23" s="67">
        <f t="shared" ref="J23:Y23" si="9">SUM(J21:J22)</f>
        <v>2341.9223999999999</v>
      </c>
      <c r="K23" s="67">
        <f t="shared" si="9"/>
        <v>2373.9911999999995</v>
      </c>
      <c r="L23" s="67">
        <f t="shared" si="9"/>
        <v>2567.7792000000004</v>
      </c>
      <c r="M23" s="67">
        <f t="shared" si="9"/>
        <v>2914.2503999999999</v>
      </c>
      <c r="N23" s="67">
        <f t="shared" si="9"/>
        <v>3153.8519999999999</v>
      </c>
      <c r="O23" s="67">
        <f t="shared" si="9"/>
        <v>3275.6471999999994</v>
      </c>
      <c r="P23" s="67">
        <f t="shared" si="9"/>
        <v>3314.2362236355784</v>
      </c>
      <c r="Q23" s="67">
        <f t="shared" si="9"/>
        <v>3357.6187886721123</v>
      </c>
      <c r="R23" s="67">
        <f t="shared" si="9"/>
        <v>3401.2736716955401</v>
      </c>
      <c r="S23" s="67">
        <f t="shared" si="9"/>
        <v>3448.3087805060341</v>
      </c>
      <c r="T23" s="67">
        <f t="shared" si="9"/>
        <v>3499.5581235230179</v>
      </c>
      <c r="U23" s="67">
        <f t="shared" si="9"/>
        <v>3551.694483035069</v>
      </c>
      <c r="V23" s="67">
        <f t="shared" si="9"/>
        <v>3594.7825718723197</v>
      </c>
      <c r="W23" s="67">
        <f t="shared" si="9"/>
        <v>3635.2466345564035</v>
      </c>
      <c r="X23" s="67">
        <f t="shared" si="9"/>
        <v>3686.1726357560101</v>
      </c>
      <c r="Y23" s="67">
        <f t="shared" si="9"/>
        <v>3738.296383897039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3"/>
      <c r="I25" s="33">
        <f t="shared" ref="I25:Y25" si="10" xml:space="preserve"> I20</f>
        <v>8.41</v>
      </c>
      <c r="J25" s="33">
        <f t="shared" si="10"/>
        <v>9.120000000000001</v>
      </c>
      <c r="K25" s="33">
        <f t="shared" si="10"/>
        <v>12.8</v>
      </c>
      <c r="L25" s="33">
        <f t="shared" si="10"/>
        <v>17.420000000000002</v>
      </c>
      <c r="M25" s="33">
        <f t="shared" si="10"/>
        <v>13.79</v>
      </c>
      <c r="N25" s="33">
        <f t="shared" si="10"/>
        <v>13.58</v>
      </c>
      <c r="O25" s="33">
        <f t="shared" si="10"/>
        <v>14.48</v>
      </c>
      <c r="P25" s="33">
        <f t="shared" si="10"/>
        <v>12.083750000000002</v>
      </c>
      <c r="Q25" s="33">
        <f t="shared" si="10"/>
        <v>13.281875000000001</v>
      </c>
      <c r="R25" s="33">
        <f t="shared" si="10"/>
        <v>13.945968750000002</v>
      </c>
      <c r="S25" s="33">
        <f t="shared" si="10"/>
        <v>14.643267187500003</v>
      </c>
      <c r="T25" s="33">
        <f t="shared" si="10"/>
        <v>15.375430546875004</v>
      </c>
      <c r="U25" s="33">
        <f t="shared" si="10"/>
        <v>16.144202074218754</v>
      </c>
      <c r="V25" s="33">
        <f t="shared" si="10"/>
        <v>16.951412177929694</v>
      </c>
      <c r="W25" s="33">
        <f t="shared" si="10"/>
        <v>17.79898278682618</v>
      </c>
      <c r="X25" s="33">
        <f t="shared" si="10"/>
        <v>18.688931926167491</v>
      </c>
      <c r="Y25" s="33">
        <f t="shared" si="10"/>
        <v>19.623378522475868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27"/>
      <c r="I26" s="27">
        <f>'&gt;&gt; Fin Stmts'!I75</f>
        <v>2871.5570000000007</v>
      </c>
      <c r="J26" s="27">
        <f>-'&gt;&gt; Fin Stmts'!J75</f>
        <v>835.6339999999982</v>
      </c>
      <c r="K26" s="27">
        <f>-'&gt;&gt; Fin Stmts'!K75</f>
        <v>12819.185000000005</v>
      </c>
      <c r="L26" s="27">
        <f>-'&gt;&gt; Fin Stmts'!L75</f>
        <v>-14344.169000000002</v>
      </c>
      <c r="M26" s="27">
        <f>-'&gt;&gt; Fin Stmts'!M75</f>
        <v>44287.587</v>
      </c>
      <c r="N26" s="27">
        <f>-'&gt;&gt; Fin Stmts'!N75</f>
        <v>-7909.8700000000026</v>
      </c>
      <c r="O26" s="27">
        <f>-'&gt;&gt; Fin Stmts'!O75</f>
        <v>-20978.716</v>
      </c>
      <c r="P26" s="27">
        <f>-'&gt;&gt; Fin Stmts'!P75</f>
        <v>255.11170095347188</v>
      </c>
      <c r="Q26" s="27">
        <f>-'&gt;&gt; Fin Stmts'!Q75</f>
        <v>2.4930985852552112</v>
      </c>
      <c r="R26" s="27">
        <f>-'&gt;&gt; Fin Stmts'!R75</f>
        <v>2.516286416859657</v>
      </c>
      <c r="S26" s="27">
        <f>-'&gt;&gt; Fin Stmts'!S75</f>
        <v>2.5396896933962125</v>
      </c>
      <c r="T26" s="27">
        <f>-'&gt;&gt; Fin Stmts'!T75</f>
        <v>0.11229500443005236</v>
      </c>
      <c r="U26" s="27">
        <f>-'&gt;&gt; Fin Stmts'!U75</f>
        <v>1.0116409109177766</v>
      </c>
      <c r="V26" s="27">
        <f>-'&gt;&gt; Fin Stmts'!V75</f>
        <v>1.9179603885204415</v>
      </c>
      <c r="W26" s="27">
        <f>-'&gt;&gt; Fin Stmts'!W75</f>
        <v>2.8401346290120273</v>
      </c>
      <c r="X26" s="27">
        <f>-'&gt;&gt; Fin Stmts'!X75</f>
        <v>3.7872555321737309</v>
      </c>
      <c r="Y26" s="27">
        <f>-'&gt;&gt; Fin Stmts'!Y75</f>
        <v>4.7687742328926106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3"/>
      <c r="I27" s="33">
        <f>'&gt;&gt; Fin Stmts'!I81</f>
        <v>8.84</v>
      </c>
      <c r="J27" s="33">
        <f>'&gt;&gt; Fin Stmts'!J81</f>
        <v>4.51</v>
      </c>
      <c r="K27" s="33">
        <f>'&gt;&gt; Fin Stmts'!K81</f>
        <v>6.62</v>
      </c>
      <c r="L27" s="33">
        <f>'&gt;&gt; Fin Stmts'!L81</f>
        <v>7.56</v>
      </c>
      <c r="M27" s="33">
        <f>'&gt;&gt; Fin Stmts'!M81</f>
        <v>9.81</v>
      </c>
      <c r="N27" s="33">
        <f>'&gt;&gt; Fin Stmts'!N81</f>
        <v>28.61</v>
      </c>
      <c r="O27" s="33">
        <f>'&gt;&gt; Fin Stmts'!O81</f>
        <v>28.09</v>
      </c>
      <c r="P27" s="33">
        <f>'&gt;&gt; Fin Stmts'!P81</f>
        <v>29.494500000000002</v>
      </c>
      <c r="Q27" s="33">
        <f>'&gt;&gt; Fin Stmts'!Q81</f>
        <v>30.969225000000005</v>
      </c>
      <c r="R27" s="33">
        <f>'&gt;&gt; Fin Stmts'!R81</f>
        <v>32.517686250000004</v>
      </c>
      <c r="S27" s="33">
        <f>'&gt;&gt; Fin Stmts'!S81</f>
        <v>34.143570562500003</v>
      </c>
      <c r="T27" s="33">
        <f>'&gt;&gt; Fin Stmts'!T81</f>
        <v>35.850749090625001</v>
      </c>
      <c r="U27" s="33">
        <f>'&gt;&gt; Fin Stmts'!U81</f>
        <v>37.643286545156251</v>
      </c>
      <c r="V27" s="33">
        <f>'&gt;&gt; Fin Stmts'!V81</f>
        <v>39.525450872414062</v>
      </c>
      <c r="W27" s="33">
        <f>'&gt;&gt; Fin Stmts'!W81</f>
        <v>41.501723416034764</v>
      </c>
      <c r="X27" s="33">
        <f>'&gt;&gt; Fin Stmts'!X81</f>
        <v>43.576809586836504</v>
      </c>
      <c r="Y27" s="33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3"/>
      <c r="I28" s="33">
        <f>'&gt;&gt; Fin Stmts'!H80</f>
        <v>-342</v>
      </c>
      <c r="J28" s="33">
        <f>'&gt;&gt; Fin Stmts'!I80</f>
        <v>-2100</v>
      </c>
      <c r="K28" s="33">
        <f>'&gt;&gt; Fin Stmts'!J80</f>
        <v>-4182</v>
      </c>
      <c r="L28" s="33">
        <f>'&gt;&gt; Fin Stmts'!K80</f>
        <v>-4576</v>
      </c>
      <c r="M28" s="33">
        <f>'&gt;&gt; Fin Stmts'!L80</f>
        <v>-3800</v>
      </c>
      <c r="N28" s="33">
        <f>'&gt;&gt; Fin Stmts'!M80</f>
        <v>-2972</v>
      </c>
      <c r="O28" s="33">
        <f>'&gt;&gt; Fin Stmts'!N80</f>
        <v>-1529</v>
      </c>
      <c r="P28" s="33">
        <f>'&gt;&gt; Fin Stmts'!O80</f>
        <v>-1465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">
      <c r="D30" s="19"/>
      <c r="E30" s="65" t="s">
        <v>107</v>
      </c>
      <c r="F30" s="29" t="s">
        <v>25</v>
      </c>
      <c r="G30" s="29"/>
      <c r="H30" s="66"/>
      <c r="I30" s="66">
        <f xml:space="preserve"> I23+I25-I26-I27+I28</f>
        <v>-1037.110200000001</v>
      </c>
      <c r="J30" s="66">
        <f t="shared" ref="J30:Y30" si="11" xml:space="preserve"> J23+J25-J26-J27+J28</f>
        <v>-589.10159999999837</v>
      </c>
      <c r="K30" s="66">
        <f t="shared" si="11"/>
        <v>-14621.013800000006</v>
      </c>
      <c r="L30" s="66">
        <f t="shared" si="11"/>
        <v>12345.808199999999</v>
      </c>
      <c r="M30" s="66">
        <f t="shared" si="11"/>
        <v>-45169.356599999999</v>
      </c>
      <c r="N30" s="66">
        <f t="shared" si="11"/>
        <v>8076.6920000000027</v>
      </c>
      <c r="O30" s="66">
        <f t="shared" si="11"/>
        <v>22711.753199999999</v>
      </c>
      <c r="P30" s="66">
        <f t="shared" si="11"/>
        <v>1576.7137726821065</v>
      </c>
      <c r="Q30" s="66">
        <f t="shared" si="11"/>
        <v>3337.4383400868574</v>
      </c>
      <c r="R30" s="66">
        <f t="shared" si="11"/>
        <v>3380.18566777868</v>
      </c>
      <c r="S30" s="66">
        <f t="shared" si="11"/>
        <v>3426.2687874376379</v>
      </c>
      <c r="T30" s="66">
        <f t="shared" si="11"/>
        <v>3478.970509974838</v>
      </c>
      <c r="U30" s="66">
        <f t="shared" si="11"/>
        <v>3529.1837576532139</v>
      </c>
      <c r="V30" s="66">
        <f t="shared" si="11"/>
        <v>3570.2905727893149</v>
      </c>
      <c r="W30" s="66">
        <f t="shared" si="11"/>
        <v>3608.7037592981833</v>
      </c>
      <c r="X30" s="66">
        <f t="shared" si="11"/>
        <v>3657.4975025631675</v>
      </c>
      <c r="Y30" s="66">
        <f t="shared" si="11"/>
        <v>3707.3953381204437</v>
      </c>
    </row>
    <row r="31" spans="4:25" ht="15" customHeight="1" x14ac:dyDescent="0.2">
      <c r="D31" s="19"/>
      <c r="E31" s="185" t="s">
        <v>113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69">
        <f>(Y30*(1+'&gt;&gt; Dash'!$F$43))/('&gt;&gt; Dash'!$K$43-'&gt;&gt; Dash'!$F$43)</f>
        <v>83898.978211155219</v>
      </c>
    </row>
    <row r="32" spans="4:25" ht="15" customHeight="1" x14ac:dyDescent="0.2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28"/>
      <c r="I33" s="294"/>
      <c r="J33" s="28"/>
      <c r="K33" s="21"/>
      <c r="L33" s="21"/>
      <c r="M33" s="21"/>
      <c r="N33" s="21"/>
      <c r="O33" s="21"/>
      <c r="P33" s="21">
        <f ca="1">P11 * '&gt;&gt; Inputs'!P45</f>
        <v>-5.4794520547945206E-3</v>
      </c>
      <c r="Q33" s="21">
        <f ca="1">Q11 * '&gt;&gt; Inputs'!Q45</f>
        <v>0.9945205479452055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-8.639527521545789</v>
      </c>
      <c r="Q34" s="33">
        <f t="shared" ref="Q34:Y34" ca="1" si="12">( Q33 * Q30 )</f>
        <v>3319.1510067165186</v>
      </c>
      <c r="R34" s="33">
        <f t="shared" ca="1" si="12"/>
        <v>3380.18566777868</v>
      </c>
      <c r="S34" s="33">
        <f t="shared" ca="1" si="12"/>
        <v>3426.2687874376379</v>
      </c>
      <c r="T34" s="33">
        <f t="shared" ca="1" si="12"/>
        <v>3478.970509974838</v>
      </c>
      <c r="U34" s="33">
        <f t="shared" ca="1" si="12"/>
        <v>3529.1837576532139</v>
      </c>
      <c r="V34" s="33">
        <f t="shared" ca="1" si="12"/>
        <v>3570.2905727893149</v>
      </c>
      <c r="W34" s="33">
        <f t="shared" ca="1" si="12"/>
        <v>3608.7037592981833</v>
      </c>
      <c r="X34" s="33">
        <f t="shared" ca="1" si="12"/>
        <v>3657.4975025631675</v>
      </c>
      <c r="Y34" s="33">
        <f t="shared" ca="1" si="12"/>
        <v>3707.3953381204437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83898.978211155219</v>
      </c>
    </row>
    <row r="36" spans="4:25" ht="15" customHeight="1" x14ac:dyDescent="0.2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27"/>
      <c r="I37" s="27"/>
      <c r="J37" s="27"/>
      <c r="K37" s="60"/>
      <c r="L37" s="60"/>
      <c r="M37" s="60"/>
      <c r="N37" s="60"/>
      <c r="O37" s="60"/>
      <c r="P37" s="60">
        <f ca="1">IF( P11 = 1, ( P8 - '&gt;&gt; Inputs'!$G$26 ) / DiY, 0 )</f>
        <v>-5.4794520547945206E-3</v>
      </c>
      <c r="Q37" s="60">
        <f ca="1">IF( Q11 = 1, ( Q8 - '&gt;&gt; Inputs'!$G$26 ) / DiY, 0 )</f>
        <v>0.9945205479452055</v>
      </c>
      <c r="R37" s="60">
        <f ca="1">IF( R11 = 1, ( R8 - '&gt;&gt; Inputs'!$G$26 ) / DiY, 0 )</f>
        <v>1.9945205479452055</v>
      </c>
      <c r="S37" s="60">
        <f ca="1">IF( S11 = 1, ( S8 - '&gt;&gt; Inputs'!$G$26 ) / DiY, 0 )</f>
        <v>2.9945205479452053</v>
      </c>
      <c r="T37" s="60">
        <f ca="1">IF( T11 = 1, ( T8 - '&gt;&gt; Inputs'!$G$26 ) / DiY, 0 )</f>
        <v>3.9972602739726026</v>
      </c>
      <c r="U37" s="60">
        <f ca="1">IF( U11 = 1, ( U8 - '&gt;&gt; Inputs'!$G$26 ) / DiY, 0 )</f>
        <v>4.9972602739726026</v>
      </c>
      <c r="V37" s="60">
        <f ca="1">IF( V11 = 1, ( V8 - '&gt;&gt; Inputs'!$G$26 ) / DiY, 0 )</f>
        <v>5.9972602739726026</v>
      </c>
      <c r="W37" s="60">
        <f ca="1">IF( W11 = 1, ( W8 - '&gt;&gt; Inputs'!$G$26 ) / DiY, 0 )</f>
        <v>6.9972602739726026</v>
      </c>
      <c r="X37" s="60">
        <f ca="1">IF( X11 = 1, ( X8 - '&gt;&gt; Inputs'!$G$26 ) / DiY, 0 )</f>
        <v>8</v>
      </c>
      <c r="Y37" s="60">
        <f ca="1">IF( Y11 = 1, ( Y8 - '&gt;&gt; Inputs'!$G$26 ) / DiY, 0 )</f>
        <v>9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Dash'!$K$43 ) ^ P$37 )</f>
        <v>1.0003455004674657</v>
      </c>
      <c r="Q38" s="22">
        <f ca="1">Q11 * ( 1 / ( 1 +'&gt;&gt; Dash'!$K$43 ) ^ Q$37 )</f>
        <v>0.93922754286486088</v>
      </c>
      <c r="R38" s="22">
        <f ca="1">R11 * ( 1 / ( 1 +'&gt;&gt; Dash'!$K$43 ) ^ R$37 )</f>
        <v>0.88184369986542888</v>
      </c>
      <c r="S38" s="22">
        <f ca="1">S11 * ( 1 / ( 1 +'&gt;&gt; Dash'!$K$43 ) ^ S$37 )</f>
        <v>0.82796582883455683</v>
      </c>
      <c r="T38" s="22">
        <f ca="1">T11 * ( 1 / ( 1 +'&gt;&gt; Dash'!$K$43 ) ^ T$37 )</f>
        <v>0.77724546819286888</v>
      </c>
      <c r="U38" s="22">
        <f ca="1">U11 * ( 1 / ( 1 +'&gt;&gt; Dash'!$K$43 ) ^ U$37 )</f>
        <v>0.72975821948766684</v>
      </c>
      <c r="V38" s="22">
        <f ca="1">V11 * ( 1 / ( 1 +'&gt;&gt; Dash'!$K$43 ) ^ V$37 )</f>
        <v>0.68517229202764696</v>
      </c>
      <c r="W38" s="22">
        <f ca="1">W11 * ( 1 / ( 1 +'&gt;&gt; Dash'!$K$43 ) ^ W$37 )</f>
        <v>0.64331042422791562</v>
      </c>
      <c r="X38" s="22">
        <f ca="1">X11 * ( 1 / ( 1 +'&gt;&gt; Dash'!$K$43 ) ^ X$37 )</f>
        <v>0.60390186944815449</v>
      </c>
      <c r="Y38" s="22">
        <f ca="1">Y11 * ( 1 / ( 1 +'&gt;&gt; Dash'!$K$43 ) ^ Y$37 )</f>
        <v>0.56700536835346449</v>
      </c>
    </row>
    <row r="40" spans="4:25" ht="15" customHeight="1" x14ac:dyDescent="0.2">
      <c r="D40" s="19"/>
      <c r="E40" s="188" t="s">
        <v>112</v>
      </c>
      <c r="F40" s="189" t="s">
        <v>25</v>
      </c>
      <c r="G40" s="189"/>
      <c r="H40" s="190"/>
      <c r="I40" s="190"/>
      <c r="J40" s="190"/>
      <c r="K40" s="191"/>
      <c r="L40" s="191"/>
      <c r="M40" s="191"/>
      <c r="N40" s="191"/>
      <c r="O40" s="191"/>
      <c r="P40" s="192">
        <f ca="1">P34 * P38</f>
        <v>-8.6425124823431663</v>
      </c>
      <c r="Q40" s="192">
        <f ca="1">Q34 * Q38</f>
        <v>3117.4380444357853</v>
      </c>
      <c r="R40" s="192">
        <f t="shared" ref="R40:X40" ca="1" si="13">R34 * R38</f>
        <v>2980.7954355060465</v>
      </c>
      <c r="S40" s="192">
        <f t="shared" ca="1" si="13"/>
        <v>2836.8334764007759</v>
      </c>
      <c r="T40" s="192">
        <f t="shared" ca="1" si="13"/>
        <v>2704.0140628545769</v>
      </c>
      <c r="U40" s="192">
        <f t="shared" ca="1" si="13"/>
        <v>2575.450855229803</v>
      </c>
      <c r="V40" s="192">
        <f t="shared" ca="1" si="13"/>
        <v>2446.2641749627555</v>
      </c>
      <c r="W40" s="192">
        <f t="shared" ca="1" si="13"/>
        <v>2321.5167463069884</v>
      </c>
      <c r="X40" s="192">
        <f t="shared" ca="1" si="13"/>
        <v>2208.7695792998529</v>
      </c>
      <c r="Y40" s="192">
        <f ca="1">Y34 * Y38</f>
        <v>2102.1130593228991</v>
      </c>
    </row>
    <row r="41" spans="4:25" ht="15" customHeight="1" x14ac:dyDescent="0.2">
      <c r="D41" s="19"/>
      <c r="E41" s="185" t="s">
        <v>238</v>
      </c>
      <c r="F41" s="78" t="s">
        <v>25</v>
      </c>
      <c r="G41" s="78"/>
      <c r="H41" s="79"/>
      <c r="I41" s="79"/>
      <c r="J41" s="79"/>
      <c r="K41" s="79"/>
      <c r="L41" s="204"/>
      <c r="M41" s="79"/>
      <c r="N41" s="79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205">
        <f ca="1">Y35 * Y38</f>
        <v>47571.171045095354</v>
      </c>
    </row>
    <row r="42" spans="4:25" ht="15" customHeight="1" x14ac:dyDescent="0.2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71">
        <f>'&gt;&gt; Fin Stmts'!H64+'&gt;&gt; Fin Stmts'!H53</f>
        <v>3.4289999999999998</v>
      </c>
      <c r="I43" s="71">
        <f>'&gt;&gt; Fin Stmts'!I64+'&gt;&gt; Fin Stmts'!I53</f>
        <v>789.81799999999998</v>
      </c>
      <c r="J43" s="71">
        <f>'&gt;&gt; Fin Stmts'!J64+'&gt;&gt; Fin Stmts'!J53</f>
        <v>846.62599999999998</v>
      </c>
      <c r="K43" s="71">
        <f>'&gt;&gt; Fin Stmts'!K64+'&gt;&gt; Fin Stmts'!K53</f>
        <v>1124.789</v>
      </c>
      <c r="L43" s="71">
        <f>'&gt;&gt; Fin Stmts'!L64+'&gt;&gt; Fin Stmts'!L53</f>
        <v>1729.5</v>
      </c>
      <c r="M43" s="71">
        <f>'&gt;&gt; Fin Stmts'!M64+'&gt;&gt; Fin Stmts'!M53</f>
        <v>2883.3979999999997</v>
      </c>
      <c r="N43" s="71">
        <f>'&gt;&gt; Fin Stmts'!N64+'&gt;&gt; Fin Stmts'!N53</f>
        <v>2672.4830000000002</v>
      </c>
      <c r="O43" s="71">
        <f>'&gt;&gt; Fin Stmts'!O64+'&gt;&gt; Fin Stmts'!O53</f>
        <v>2513.14</v>
      </c>
      <c r="P43" s="71">
        <f>'&gt;&gt; Fin Stmts'!P64+'&gt;&gt; Fin Stmts'!P53</f>
        <v>60672.43164653235</v>
      </c>
      <c r="Q43" s="71">
        <f>'&gt;&gt; Fin Stmts'!Q64+'&gt;&gt; Fin Stmts'!Q53</f>
        <v>73382.776492988298</v>
      </c>
      <c r="R43" s="71">
        <f>'&gt;&gt; Fin Stmts'!R64+'&gt;&gt; Fin Stmts'!R53</f>
        <v>91236.887287452875</v>
      </c>
      <c r="S43" s="71">
        <f>'&gt;&gt; Fin Stmts'!S64+'&gt;&gt; Fin Stmts'!S53</f>
        <v>113003.29665601919</v>
      </c>
      <c r="T43" s="71">
        <f>'&gt;&gt; Fin Stmts'!T64+'&gt;&gt; Fin Stmts'!T53</f>
        <v>127172.75393750081</v>
      </c>
      <c r="U43" s="71">
        <f>'&gt;&gt; Fin Stmts'!U64+'&gt;&gt; Fin Stmts'!U53</f>
        <v>109172.3336108128</v>
      </c>
      <c r="V43" s="71">
        <f>'&gt;&gt; Fin Stmts'!V64+'&gt;&gt; Fin Stmts'!V53</f>
        <v>87222.701366936744</v>
      </c>
      <c r="W43" s="71">
        <f>'&gt;&gt; Fin Stmts'!W64+'&gt;&gt; Fin Stmts'!W53</f>
        <v>1415363.0265426054</v>
      </c>
      <c r="X43" s="71">
        <f>'&gt;&gt; Fin Stmts'!X64+'&gt;&gt; Fin Stmts'!X53</f>
        <v>15981042.606318686</v>
      </c>
      <c r="Y43" s="71">
        <f>'&gt;&gt; Fin Stmts'!Y64+'&gt;&gt; Fin Stmts'!Y53</f>
        <v>140358694.21207812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71">
        <f>'&gt;&gt; Fin Stmts'!H55+'&gt;&gt; Fin Stmts'!H62</f>
        <v>3709.76</v>
      </c>
      <c r="I44" s="71">
        <f>'&gt;&gt; Fin Stmts'!I55+'&gt;&gt; Fin Stmts'!I62</f>
        <v>2643.25</v>
      </c>
      <c r="J44" s="71">
        <f>'&gt;&gt; Fin Stmts'!J55+'&gt;&gt; Fin Stmts'!J62</f>
        <v>10056.57</v>
      </c>
      <c r="K44" s="71">
        <f>'&gt;&gt; Fin Stmts'!K55+'&gt;&gt; Fin Stmts'!K62</f>
        <v>2345.59</v>
      </c>
      <c r="L44" s="71">
        <f>'&gt;&gt; Fin Stmts'!L55+'&gt;&gt; Fin Stmts'!L62</f>
        <v>5085.3</v>
      </c>
      <c r="M44" s="71">
        <f>'&gt;&gt; Fin Stmts'!M55+'&gt;&gt; Fin Stmts'!M62</f>
        <v>40297.449999999997</v>
      </c>
      <c r="N44" s="71">
        <f>'&gt;&gt; Fin Stmts'!N55+'&gt;&gt; Fin Stmts'!N62</f>
        <v>-5992.34</v>
      </c>
      <c r="O44" s="71">
        <f>'&gt;&gt; Fin Stmts'!O55+'&gt;&gt; Fin Stmts'!O62</f>
        <v>-18925.46</v>
      </c>
      <c r="P44" s="71">
        <f>'&gt;&gt; Fin Stmts'!P55+'&gt;&gt; Fin Stmts'!P62</f>
        <v>-18925.46</v>
      </c>
      <c r="Q44" s="71">
        <f>'&gt;&gt; Fin Stmts'!Q55+'&gt;&gt; Fin Stmts'!Q62</f>
        <v>-18925.46</v>
      </c>
      <c r="R44" s="71">
        <f>'&gt;&gt; Fin Stmts'!R55+'&gt;&gt; Fin Stmts'!R62</f>
        <v>-18925.46</v>
      </c>
      <c r="S44" s="71">
        <f>'&gt;&gt; Fin Stmts'!S55+'&gt;&gt; Fin Stmts'!S62</f>
        <v>-18925.46</v>
      </c>
      <c r="T44" s="71">
        <f>'&gt;&gt; Fin Stmts'!T55+'&gt;&gt; Fin Stmts'!T62</f>
        <v>-18925.46</v>
      </c>
      <c r="U44" s="71">
        <f>'&gt;&gt; Fin Stmts'!U55+'&gt;&gt; Fin Stmts'!U62</f>
        <v>-18925.46</v>
      </c>
      <c r="V44" s="71">
        <f>'&gt;&gt; Fin Stmts'!V55+'&gt;&gt; Fin Stmts'!V62</f>
        <v>-18925.46</v>
      </c>
      <c r="W44" s="71">
        <f>'&gt;&gt; Fin Stmts'!W55+'&gt;&gt; Fin Stmts'!W62</f>
        <v>-18925.46</v>
      </c>
      <c r="X44" s="71">
        <f>'&gt;&gt; Fin Stmts'!X55+'&gt;&gt; Fin Stmts'!X62</f>
        <v>-18925.46</v>
      </c>
      <c r="Y44" s="71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71">
        <f>'&gt;&gt; Fin Stmts'!H29</f>
        <v>57.04</v>
      </c>
      <c r="I45" s="71">
        <f>'&gt;&gt; Fin Stmts'!I29</f>
        <v>49.59</v>
      </c>
      <c r="J45" s="71">
        <f>'&gt;&gt; Fin Stmts'!J29</f>
        <v>74.495999999999995</v>
      </c>
      <c r="K45" s="71">
        <f>'&gt;&gt; Fin Stmts'!K29</f>
        <v>147.18</v>
      </c>
      <c r="L45" s="71">
        <f>'&gt;&gt; Fin Stmts'!L29</f>
        <v>182.33</v>
      </c>
      <c r="M45" s="71">
        <f>'&gt;&gt; Fin Stmts'!M29</f>
        <v>310.76</v>
      </c>
      <c r="N45" s="71">
        <f>'&gt;&gt; Fin Stmts'!N29</f>
        <v>311.5</v>
      </c>
      <c r="O45" s="71">
        <f>'&gt;&gt; Fin Stmts'!O29</f>
        <v>629.62</v>
      </c>
      <c r="P45" s="71">
        <f>'&gt;&gt; Fin Stmts'!P29</f>
        <v>13343.204704315522</v>
      </c>
      <c r="Q45" s="71">
        <f>'&gt;&gt; Fin Stmts'!Q29</f>
        <v>13467.449182014496</v>
      </c>
      <c r="R45" s="71">
        <f>'&gt;&gt; Fin Stmts'!R29</f>
        <v>13592.849233762608</v>
      </c>
      <c r="S45" s="71">
        <f>'&gt;&gt; Fin Stmts'!S29</f>
        <v>13719.415596336059</v>
      </c>
      <c r="T45" s="71">
        <f>'&gt;&gt; Fin Stmts'!T29</f>
        <v>13725.011858857029</v>
      </c>
      <c r="U45" s="71">
        <f>'&gt;&gt; Fin Stmts'!U29</f>
        <v>13775.42735278864</v>
      </c>
      <c r="V45" s="71">
        <f>'&gt;&gt; Fin Stmts'!V29</f>
        <v>13871.009608592136</v>
      </c>
      <c r="W45" s="71">
        <f>'&gt;&gt; Fin Stmts'!W29</f>
        <v>14012.548754161086</v>
      </c>
      <c r="X45" s="71">
        <f>'&gt;&gt; Fin Stmts'!X29</f>
        <v>14201.288015532662</v>
      </c>
      <c r="Y45" s="71">
        <f>'&gt;&gt; Fin Stmts'!Y29</f>
        <v>14438.941619499232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71">
        <f t="shared" ref="H46:N46" si="14">SUM(H43:H45)</f>
        <v>3770.2290000000003</v>
      </c>
      <c r="I46" s="71">
        <f t="shared" si="14"/>
        <v>3482.6580000000004</v>
      </c>
      <c r="J46" s="71">
        <f t="shared" si="14"/>
        <v>10977.691999999999</v>
      </c>
      <c r="K46" s="71">
        <f t="shared" si="14"/>
        <v>3617.5589999999997</v>
      </c>
      <c r="L46" s="71">
        <f t="shared" si="14"/>
        <v>6997.13</v>
      </c>
      <c r="M46" s="71">
        <f t="shared" si="14"/>
        <v>43491.608</v>
      </c>
      <c r="N46" s="71">
        <f t="shared" si="14"/>
        <v>-3008.357</v>
      </c>
      <c r="O46" s="71">
        <f>SUM(O43:O45)</f>
        <v>-15782.699999999999</v>
      </c>
      <c r="P46" s="71">
        <f>SUM(P43:P45)</f>
        <v>55090.176350847876</v>
      </c>
      <c r="Q46" s="71">
        <f t="shared" ref="Q46:Y46" si="15">SUM(Q43:Q45)</f>
        <v>67924.765675002796</v>
      </c>
      <c r="R46" s="71">
        <f t="shared" si="15"/>
        <v>85904.276521215492</v>
      </c>
      <c r="S46" s="71">
        <f t="shared" si="15"/>
        <v>107797.25225235523</v>
      </c>
      <c r="T46" s="71">
        <f t="shared" si="15"/>
        <v>121972.30579635783</v>
      </c>
      <c r="U46" s="71">
        <f t="shared" si="15"/>
        <v>104022.30096360143</v>
      </c>
      <c r="V46" s="71">
        <f t="shared" si="15"/>
        <v>82168.250975528877</v>
      </c>
      <c r="W46" s="71">
        <f t="shared" si="15"/>
        <v>1410450.1152967664</v>
      </c>
      <c r="X46" s="71">
        <f t="shared" si="15"/>
        <v>15976318.434334219</v>
      </c>
      <c r="Y46" s="71">
        <f t="shared" si="15"/>
        <v>140354207.6936976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71">
        <f t="shared" ref="H47:O47" si="16">G46-H46</f>
        <v>-3770.2290000000003</v>
      </c>
      <c r="I47" s="71">
        <f t="shared" si="16"/>
        <v>287.57099999999991</v>
      </c>
      <c r="J47" s="71">
        <f t="shared" si="16"/>
        <v>-7495.0339999999987</v>
      </c>
      <c r="K47" s="71">
        <f t="shared" si="16"/>
        <v>7360.1329999999998</v>
      </c>
      <c r="L47" s="71">
        <f t="shared" si="16"/>
        <v>-3379.5710000000004</v>
      </c>
      <c r="M47" s="71">
        <f t="shared" si="16"/>
        <v>-36494.478000000003</v>
      </c>
      <c r="N47" s="71">
        <f t="shared" si="16"/>
        <v>46499.964999999997</v>
      </c>
      <c r="O47" s="71">
        <f t="shared" si="16"/>
        <v>12774.342999999999</v>
      </c>
      <c r="P47" s="71">
        <f>O46-P46</f>
        <v>-70872.876350847873</v>
      </c>
      <c r="Q47" s="71">
        <f t="shared" ref="Q47:Y47" si="17">P46-Q46</f>
        <v>-12834.58932415492</v>
      </c>
      <c r="R47" s="71">
        <f t="shared" si="17"/>
        <v>-17979.510846212695</v>
      </c>
      <c r="S47" s="71">
        <f t="shared" si="17"/>
        <v>-21892.975731139741</v>
      </c>
      <c r="T47" s="71">
        <f t="shared" si="17"/>
        <v>-14175.0535440026</v>
      </c>
      <c r="U47" s="71">
        <f t="shared" si="17"/>
        <v>17950.0048327564</v>
      </c>
      <c r="V47" s="71">
        <f t="shared" si="17"/>
        <v>21854.049988072555</v>
      </c>
      <c r="W47" s="71">
        <f t="shared" si="17"/>
        <v>-1328281.8643212374</v>
      </c>
      <c r="X47" s="71">
        <f t="shared" si="17"/>
        <v>-14565868.319037452</v>
      </c>
      <c r="Y47" s="71">
        <f t="shared" si="17"/>
        <v>-124377889.25936338</v>
      </c>
    </row>
    <row r="48" spans="4:25" ht="15" customHeight="1" x14ac:dyDescent="0.2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spans="4:25" ht="15" customHeight="1" x14ac:dyDescent="0.2">
      <c r="E49" s="2" t="s">
        <v>115</v>
      </c>
      <c r="F49" s="24" t="s">
        <v>25</v>
      </c>
      <c r="O49" s="73"/>
      <c r="P49" s="73">
        <f t="shared" ref="P49:Y49" ca="1" si="18">P30*P33</f>
        <v>-8.639527521545789</v>
      </c>
      <c r="Q49" s="73">
        <f t="shared" ca="1" si="18"/>
        <v>3319.1510067165186</v>
      </c>
      <c r="R49" s="73">
        <f t="shared" ca="1" si="18"/>
        <v>3380.18566777868</v>
      </c>
      <c r="S49" s="73">
        <f t="shared" ca="1" si="18"/>
        <v>3426.2687874376379</v>
      </c>
      <c r="T49" s="73">
        <f t="shared" ca="1" si="18"/>
        <v>3478.970509974838</v>
      </c>
      <c r="U49" s="73">
        <f t="shared" ca="1" si="18"/>
        <v>3529.1837576532139</v>
      </c>
      <c r="V49" s="73">
        <f t="shared" ca="1" si="18"/>
        <v>3570.2905727893149</v>
      </c>
      <c r="W49" s="73">
        <f t="shared" ca="1" si="18"/>
        <v>3608.7037592981833</v>
      </c>
      <c r="X49" s="73">
        <f t="shared" ca="1" si="18"/>
        <v>3657.4975025631675</v>
      </c>
      <c r="Y49" s="73">
        <f t="shared" ca="1" si="18"/>
        <v>3707.3953381204437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3"/>
      <c r="H50" s="327">
        <v>0</v>
      </c>
      <c r="I50" s="328">
        <v>-0.2</v>
      </c>
      <c r="J50" s="328">
        <v>-0.5</v>
      </c>
      <c r="K50" s="328">
        <v>-1.2</v>
      </c>
      <c r="L50" s="328">
        <v>-0.9</v>
      </c>
      <c r="M50" s="328">
        <v>-2.8</v>
      </c>
      <c r="N50" s="328">
        <v>-1.9</v>
      </c>
      <c r="O50" s="329">
        <v>0</v>
      </c>
      <c r="P50" s="71">
        <f>P46*P51</f>
        <v>3.0534675855555679E-2</v>
      </c>
      <c r="Q50" s="71">
        <f t="shared" ref="Q50:Y50" si="19">Q46*Q51</f>
        <v>3.764846729191608E-2</v>
      </c>
      <c r="R50" s="71">
        <f t="shared" si="19"/>
        <v>4.7613919793541674E-2</v>
      </c>
      <c r="S50" s="71">
        <f t="shared" si="19"/>
        <v>5.9748477381568174E-2</v>
      </c>
      <c r="T50" s="71">
        <f t="shared" si="19"/>
        <v>6.7605244120609545E-2</v>
      </c>
      <c r="U50" s="71">
        <f t="shared" si="19"/>
        <v>5.7656145833407585E-2</v>
      </c>
      <c r="V50" s="71">
        <f t="shared" si="19"/>
        <v>4.5543163506629548E-2</v>
      </c>
      <c r="W50" s="71">
        <f t="shared" si="19"/>
        <v>0.78176618652909891</v>
      </c>
      <c r="X50" s="71">
        <f t="shared" si="19"/>
        <v>8.8551487228997789</v>
      </c>
      <c r="Y50" s="71">
        <f t="shared" si="19"/>
        <v>77.793728769293295</v>
      </c>
    </row>
    <row r="51" spans="4:25" ht="15" customHeight="1" x14ac:dyDescent="0.2">
      <c r="D51" s="19"/>
      <c r="E51" s="18" t="s">
        <v>84</v>
      </c>
      <c r="F51" s="24" t="s">
        <v>7</v>
      </c>
      <c r="G51" s="37"/>
      <c r="H51" s="305"/>
      <c r="I51" s="305">
        <f>I50/I46</f>
        <v>-5.7427401714437645E-5</v>
      </c>
      <c r="J51" s="305">
        <f t="shared" ref="J51:O51" si="20">J50/J46</f>
        <v>-4.5546914597348879E-5</v>
      </c>
      <c r="K51" s="305">
        <f t="shared" si="20"/>
        <v>-3.3171539151123728E-4</v>
      </c>
      <c r="L51" s="305">
        <f t="shared" si="20"/>
        <v>-1.2862416447886492E-4</v>
      </c>
      <c r="M51" s="305">
        <f t="shared" si="20"/>
        <v>-6.438023629754043E-5</v>
      </c>
      <c r="N51" s="305">
        <f t="shared" si="20"/>
        <v>6.3157397875318654E-4</v>
      </c>
      <c r="O51" s="330">
        <f t="shared" si="20"/>
        <v>0</v>
      </c>
      <c r="P51" s="331">
        <f>AVERAGE(I51:O51)</f>
        <v>5.5426716482249433E-7</v>
      </c>
      <c r="Q51" s="332">
        <f>P51</f>
        <v>5.5426716482249433E-7</v>
      </c>
      <c r="R51" s="332">
        <f t="shared" ref="R51:Y51" si="21">Q51</f>
        <v>5.5426716482249433E-7</v>
      </c>
      <c r="S51" s="332">
        <f t="shared" si="21"/>
        <v>5.5426716482249433E-7</v>
      </c>
      <c r="T51" s="332">
        <f t="shared" si="21"/>
        <v>5.5426716482249433E-7</v>
      </c>
      <c r="U51" s="332">
        <f t="shared" si="21"/>
        <v>5.5426716482249433E-7</v>
      </c>
      <c r="V51" s="332">
        <f t="shared" si="21"/>
        <v>5.5426716482249433E-7</v>
      </c>
      <c r="W51" s="332">
        <f t="shared" si="21"/>
        <v>5.5426716482249433E-7</v>
      </c>
      <c r="X51" s="332">
        <f t="shared" si="21"/>
        <v>5.5426716482249433E-7</v>
      </c>
      <c r="Y51" s="333">
        <f t="shared" si="21"/>
        <v>5.5426716482249433E-7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1"/>
      <c r="P52" s="73">
        <f t="shared" ref="P52:Y52" si="22">P47</f>
        <v>-70872.876350847873</v>
      </c>
      <c r="Q52" s="73">
        <f t="shared" si="22"/>
        <v>-12834.58932415492</v>
      </c>
      <c r="R52" s="73">
        <f t="shared" si="22"/>
        <v>-17979.510846212695</v>
      </c>
      <c r="S52" s="73">
        <f t="shared" si="22"/>
        <v>-21892.975731139741</v>
      </c>
      <c r="T52" s="73">
        <f t="shared" si="22"/>
        <v>-14175.0535440026</v>
      </c>
      <c r="U52" s="73">
        <f t="shared" si="22"/>
        <v>17950.0048327564</v>
      </c>
      <c r="V52" s="73">
        <f t="shared" si="22"/>
        <v>21854.049988072555</v>
      </c>
      <c r="W52" s="73">
        <f t="shared" si="22"/>
        <v>-1328281.8643212374</v>
      </c>
      <c r="X52" s="73">
        <f t="shared" si="22"/>
        <v>-14565868.319037452</v>
      </c>
      <c r="Y52" s="73">
        <f t="shared" si="22"/>
        <v>-124377889.25936338</v>
      </c>
    </row>
    <row r="53" spans="4:25" ht="15" customHeight="1" x14ac:dyDescent="0.2">
      <c r="D53" s="19"/>
      <c r="E53" s="188" t="s">
        <v>117</v>
      </c>
      <c r="F53" s="189" t="s">
        <v>25</v>
      </c>
      <c r="G53" s="189"/>
      <c r="H53" s="194"/>
      <c r="I53" s="194"/>
      <c r="J53" s="194"/>
      <c r="K53" s="194"/>
      <c r="L53" s="194"/>
      <c r="M53" s="194"/>
      <c r="N53" s="194"/>
      <c r="O53" s="208"/>
      <c r="P53" s="209">
        <f ca="1">SUM(P49:P50,P52)</f>
        <v>-70881.485343693566</v>
      </c>
      <c r="Q53" s="209">
        <f t="shared" ref="Q53:Y53" ca="1" si="23">SUM(Q49:Q50,Q52)</f>
        <v>-9515.4006689711096</v>
      </c>
      <c r="R53" s="209">
        <f t="shared" ca="1" si="23"/>
        <v>-14599.277564514221</v>
      </c>
      <c r="S53" s="209">
        <f t="shared" ca="1" si="23"/>
        <v>-18466.647195224723</v>
      </c>
      <c r="T53" s="209">
        <f t="shared" ca="1" si="23"/>
        <v>-10696.015428783641</v>
      </c>
      <c r="U53" s="209">
        <f t="shared" ca="1" si="23"/>
        <v>21479.246246555449</v>
      </c>
      <c r="V53" s="209">
        <f t="shared" ca="1" si="23"/>
        <v>25424.386104025376</v>
      </c>
      <c r="W53" s="209">
        <f t="shared" ca="1" si="23"/>
        <v>-1324672.3787957528</v>
      </c>
      <c r="X53" s="209">
        <f t="shared" ca="1" si="23"/>
        <v>-14562201.966386165</v>
      </c>
      <c r="Y53" s="209">
        <f t="shared" ca="1" si="23"/>
        <v>-124374104.0702965</v>
      </c>
    </row>
    <row r="54" spans="4:25" ht="15" customHeight="1" x14ac:dyDescent="0.2">
      <c r="D54" s="19"/>
      <c r="E54" s="185" t="s">
        <v>119</v>
      </c>
      <c r="F54" s="78" t="s">
        <v>25</v>
      </c>
      <c r="G54" s="78"/>
      <c r="H54" s="79"/>
      <c r="I54" s="79"/>
      <c r="J54" s="79"/>
      <c r="K54" s="79"/>
      <c r="L54" s="79"/>
      <c r="M54" s="79"/>
      <c r="N54" s="79"/>
      <c r="O54" s="193"/>
      <c r="P54" s="210"/>
      <c r="Q54" s="210"/>
      <c r="R54" s="210"/>
      <c r="S54" s="210"/>
      <c r="T54" s="210"/>
      <c r="U54" s="210"/>
      <c r="V54" s="210"/>
      <c r="W54" s="210"/>
      <c r="X54" s="210"/>
      <c r="Y54" s="211">
        <f ca="1">(Y53*(1+'&gt;&gt; Dash'!F43))/('&gt;&gt; Dash'!$F$49-'&gt;&gt; Dash'!$F$43)</f>
        <v>-1507922570.2460434</v>
      </c>
    </row>
    <row r="55" spans="4:25" ht="15" customHeight="1" x14ac:dyDescent="0.2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1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-5.4794520547945206E-3</v>
      </c>
      <c r="Q56" s="21">
        <f ca="1">Q11 * '&gt;&gt; Inputs'!Q45</f>
        <v>0.9945205479452055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388.39170051338942</v>
      </c>
      <c r="Q57" s="33">
        <f t="shared" ref="Q57:Y57" ca="1" si="24">( Q56 * Q53 )</f>
        <v>-9463.2614872233225</v>
      </c>
      <c r="R57" s="33">
        <f t="shared" ca="1" si="24"/>
        <v>-14599.277564514221</v>
      </c>
      <c r="S57" s="33">
        <f t="shared" ca="1" si="24"/>
        <v>-18466.647195224723</v>
      </c>
      <c r="T57" s="33">
        <f t="shared" ca="1" si="24"/>
        <v>-10696.015428783641</v>
      </c>
      <c r="U57" s="33">
        <f t="shared" ca="1" si="24"/>
        <v>21479.246246555449</v>
      </c>
      <c r="V57" s="33">
        <f t="shared" ca="1" si="24"/>
        <v>25424.386104025376</v>
      </c>
      <c r="W57" s="33">
        <f t="shared" ca="1" si="24"/>
        <v>-1324672.3787957528</v>
      </c>
      <c r="X57" s="33">
        <f t="shared" ca="1" si="24"/>
        <v>-14562201.966386165</v>
      </c>
      <c r="Y57" s="33">
        <f t="shared" ca="1" si="24"/>
        <v>-124374104.0702965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-1507922570.2460434</v>
      </c>
    </row>
    <row r="59" spans="4:25" ht="15" customHeight="1" x14ac:dyDescent="0.2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27"/>
      <c r="I60" s="27"/>
      <c r="J60" s="27"/>
      <c r="K60" s="60"/>
      <c r="L60" s="60"/>
      <c r="M60" s="60"/>
      <c r="N60" s="60"/>
      <c r="O60" s="60"/>
      <c r="P60" s="60">
        <f ca="1">IF( P11 = 1, ( P8 - '&gt;&gt; Inputs'!$G$26 ) / DiY, 0 )</f>
        <v>-5.4794520547945206E-3</v>
      </c>
      <c r="Q60" s="60">
        <f ca="1">IF( Q11 = 1, ( Q8 - '&gt;&gt; Inputs'!$G$26 ) / DiY, 0 )</f>
        <v>0.9945205479452055</v>
      </c>
      <c r="R60" s="60">
        <f ca="1">IF( R11 = 1, ( R8 - '&gt;&gt; Inputs'!$G$26 ) / DiY, 0 )</f>
        <v>1.9945205479452055</v>
      </c>
      <c r="S60" s="60">
        <f ca="1">IF( S11 = 1, ( S8 - '&gt;&gt; Inputs'!$G$26 ) / DiY, 0 )</f>
        <v>2.9945205479452053</v>
      </c>
      <c r="T60" s="60">
        <f ca="1">IF( T11 = 1, ( T8 - '&gt;&gt; Inputs'!$G$26 ) / DiY, 0 )</f>
        <v>3.9972602739726026</v>
      </c>
      <c r="U60" s="60">
        <f ca="1">IF( U11 = 1, ( U8 - '&gt;&gt; Inputs'!$G$26 ) / DiY, 0 )</f>
        <v>4.9972602739726026</v>
      </c>
      <c r="V60" s="60">
        <f ca="1">IF( V11 = 1, ( V8 - '&gt;&gt; Inputs'!$G$26 ) / DiY, 0 )</f>
        <v>5.9972602739726026</v>
      </c>
      <c r="W60" s="60">
        <f ca="1">IF( W11 = 1, ( W8 - '&gt;&gt; Inputs'!$G$26 ) / DiY, 0 )</f>
        <v>6.9972602739726026</v>
      </c>
      <c r="X60" s="60">
        <f ca="1">IF( X11 = 1, ( X8 - '&gt;&gt; Inputs'!$G$26 ) / DiY, 0 )</f>
        <v>8</v>
      </c>
      <c r="Y60" s="60">
        <f ca="1">IF( Y11 = 1, ( Y8 - '&gt;&gt; Inputs'!$G$26 ) / DiY, 0 )</f>
        <v>9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Dash'!$F$49 ) ^ '&gt;&gt; DCF'!P$60 )</f>
        <v>1.0005429294192811</v>
      </c>
      <c r="Q61" s="22">
        <f ca="1">Q11 * ( 1 / ( 1 + '&gt;&gt; Dash'!$F$49 ) ^ '&gt;&gt; DCF'!Q$60 )</f>
        <v>0.90618214627987204</v>
      </c>
      <c r="R61" s="22">
        <f ca="1">R11 * ( 1 / ( 1 + '&gt;&gt; Dash'!$F$49 ) ^ '&gt;&gt; DCF'!R$60 )</f>
        <v>0.82072048893794425</v>
      </c>
      <c r="S61" s="22">
        <f ca="1">S11 * ( 1 / ( 1 + '&gt;&gt; Dash'!$F$49 ) ^ '&gt;&gt; DCF'!S$60 )</f>
        <v>0.7433186845798927</v>
      </c>
      <c r="T61" s="22">
        <f ca="1">T11 * ( 1 / ( 1 + '&gt;&gt; Dash'!$F$49 ) ^ '&gt;&gt; DCF'!T$60 )</f>
        <v>0.67303393168981218</v>
      </c>
      <c r="U61" s="22">
        <f ca="1">U11 * ( 1 / ( 1 + '&gt;&gt; Dash'!$F$49 ) ^ '&gt;&gt; DCF'!U$60 )</f>
        <v>0.60956038447229655</v>
      </c>
      <c r="V61" s="22">
        <f ca="1">V11 * ( 1 / ( 1 + '&gt;&gt; Dash'!$F$49 ) ^ '&gt;&gt; DCF'!V$60 )</f>
        <v>0.55207300081455668</v>
      </c>
      <c r="W61" s="22">
        <f ca="1">W11 * ( 1 / ( 1 + '&gt;&gt; Dash'!$F$49 ) ^ '&gt;&gt; DCF'!W$60 )</f>
        <v>0.50000722814729026</v>
      </c>
      <c r="X61" s="22">
        <f ca="1">X11 * ( 1 / ( 1 + '&gt;&gt; Dash'!$F$49 ) ^ '&gt;&gt; DCF'!X$60 )</f>
        <v>0.45272887338152984</v>
      </c>
      <c r="Y61" s="22">
        <f ca="1">Y11 * ( 1 / ( 1 + '&gt;&gt; Dash'!$F$49 ) ^ '&gt;&gt; DCF'!Y$60 )</f>
        <v>0.41003220361754655</v>
      </c>
    </row>
    <row r="62" spans="4:25" ht="15" customHeight="1" x14ac:dyDescent="0.2">
      <c r="D62" s="19"/>
      <c r="E62" s="70"/>
      <c r="F62" s="24"/>
      <c r="G62" s="24"/>
      <c r="H62" s="2"/>
      <c r="I62" s="2"/>
      <c r="J62" s="2"/>
      <c r="K62" s="2"/>
      <c r="L62" s="2"/>
      <c r="M62" s="2"/>
      <c r="N62" s="2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</row>
    <row r="63" spans="4:25" ht="15" customHeight="1" x14ac:dyDescent="0.2">
      <c r="D63" s="19"/>
      <c r="E63" s="188" t="s">
        <v>118</v>
      </c>
      <c r="F63" s="189" t="s">
        <v>25</v>
      </c>
      <c r="G63" s="189"/>
      <c r="H63" s="194"/>
      <c r="I63" s="194"/>
      <c r="J63" s="194"/>
      <c r="K63" s="194"/>
      <c r="L63" s="194"/>
      <c r="M63" s="194"/>
      <c r="N63" s="194"/>
      <c r="O63" s="195"/>
      <c r="P63" s="196">
        <f ca="1">P61*P57</f>
        <v>388.60256979380279</v>
      </c>
      <c r="Q63" s="196">
        <f t="shared" ref="Q63:Y63" ca="1" si="26">Q61*Q57</f>
        <v>-8575.4386052996852</v>
      </c>
      <c r="R63" s="196">
        <f t="shared" ca="1" si="26"/>
        <v>-11981.926220888872</v>
      </c>
      <c r="S63" s="196">
        <f t="shared" ca="1" si="26"/>
        <v>-13726.603901755407</v>
      </c>
      <c r="T63" s="196">
        <f t="shared" ca="1" si="26"/>
        <v>-7198.7813174491466</v>
      </c>
      <c r="U63" s="196">
        <f t="shared" ca="1" si="26"/>
        <v>13092.897600225471</v>
      </c>
      <c r="V63" s="196">
        <f t="shared" ca="1" si="26"/>
        <v>14036.117130317205</v>
      </c>
      <c r="W63" s="196">
        <f t="shared" ca="1" si="26"/>
        <v>-662345.76432494167</v>
      </c>
      <c r="X63" s="196">
        <f t="shared" ca="1" si="26"/>
        <v>-6592729.290196307</v>
      </c>
      <c r="Y63" s="196">
        <f t="shared" ca="1" si="26"/>
        <v>-50997387.964901738</v>
      </c>
    </row>
    <row r="64" spans="4:25" ht="15" customHeight="1" x14ac:dyDescent="0.2">
      <c r="E64" s="185" t="s">
        <v>239</v>
      </c>
      <c r="F64" s="78" t="s">
        <v>25</v>
      </c>
      <c r="G64" s="78"/>
      <c r="H64" s="79"/>
      <c r="I64" s="79"/>
      <c r="J64" s="79"/>
      <c r="K64" s="79"/>
      <c r="L64" s="79"/>
      <c r="M64" s="79"/>
      <c r="N64" s="79"/>
      <c r="O64" s="186"/>
      <c r="P64" s="187"/>
      <c r="Q64" s="187"/>
      <c r="R64" s="187"/>
      <c r="S64" s="187"/>
      <c r="T64" s="187"/>
      <c r="U64" s="187"/>
      <c r="V64" s="187"/>
      <c r="W64" s="187"/>
      <c r="X64" s="187"/>
      <c r="Y64" s="205">
        <f ca="1">Y58 * Y61</f>
        <v>-618296814.36261988</v>
      </c>
    </row>
    <row r="65" spans="5:25" ht="15" customHeight="1" x14ac:dyDescent="0.2">
      <c r="E65" s="70"/>
      <c r="F65" s="24"/>
      <c r="G65" s="24"/>
      <c r="H65" s="2"/>
      <c r="I65" s="2"/>
      <c r="J65" s="2"/>
      <c r="K65" s="2"/>
      <c r="L65" s="2"/>
      <c r="M65" s="2"/>
      <c r="N65" s="2"/>
      <c r="O65" s="34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5:25" ht="15" customHeight="1" x14ac:dyDescent="0.2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5"/>
    </row>
    <row r="67" spans="5:25" ht="15" customHeight="1" x14ac:dyDescent="0.2">
      <c r="E67" s="387" t="s">
        <v>120</v>
      </c>
      <c r="F67" s="388"/>
      <c r="G67" s="388"/>
      <c r="H67" s="389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6" t="s">
        <v>121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47">
        <f ca="1">SUM(P40:Y41)</f>
        <v>70855.723966932492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303</v>
      </c>
      <c r="F71" s="24" t="s">
        <v>25</v>
      </c>
      <c r="G71" s="24"/>
      <c r="H71" s="384">
        <v>0</v>
      </c>
      <c r="I71" s="77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27">
        <f>'&gt;&gt; Inputs'!$G$35</f>
        <v>-15782.699999999999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26">
        <f ca="1">H70 + H71 + H72</f>
        <v>55073.023966932495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8" t="s">
        <v>65</v>
      </c>
      <c r="G76" s="48"/>
      <c r="H76" s="49">
        <f ca="1">H73 / H75</f>
        <v>145.40500481926966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66</v>
      </c>
      <c r="F78" s="16" t="s">
        <v>65</v>
      </c>
      <c r="G78" s="16"/>
      <c r="H78" s="50">
        <f>'&gt;&gt; Inputs'!G21</f>
        <v>0.99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28">
        <f ca="1">H76 / H78 - 1</f>
        <v>145.87374224168653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28">
        <f>'&gt;&gt; Dash'!$K$43</f>
        <v>6.5072578063651063E-2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4"/>
      <c r="G82" s="274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4" t="s">
        <v>25</v>
      </c>
      <c r="G83" s="274"/>
      <c r="H83" s="47">
        <f>P18</f>
        <v>4615.1896161605255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4" t="s">
        <v>25</v>
      </c>
      <c r="G84" s="274"/>
      <c r="H84" s="47">
        <f>P21</f>
        <v>4603.1058661605257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1">
        <f ca="1">H73 / '&gt;&gt; Fin Stmts'!O15</f>
        <v>12.066859034952422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1">
        <f ca="1">H73/ '&gt;&gt; Fin Stmts'!O17</f>
        <v>12.105264955332004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1">
        <f>( ( H75 * H78 ) + ( 0 - H72 ) ) / H83</f>
        <v>3.5009760864455894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1">
        <f>( ( H75 * H78 ) + ( 0 - H72 ) ) / H84</f>
        <v>3.5101666028088103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387" t="s">
        <v>123</v>
      </c>
      <c r="F91" s="388"/>
      <c r="G91" s="388"/>
      <c r="H91" s="389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9"/>
    </row>
    <row r="93" spans="5:25" ht="15" customHeight="1" x14ac:dyDescent="0.2">
      <c r="E93" s="2" t="s">
        <v>62</v>
      </c>
      <c r="F93" s="24" t="s">
        <v>25</v>
      </c>
      <c r="G93" s="24"/>
      <c r="H93" s="47">
        <f ca="1">SUM(P63:Y64)</f>
        <v>-676563242.51478791</v>
      </c>
    </row>
    <row r="95" spans="5:25" ht="15" customHeight="1" x14ac:dyDescent="0.2">
      <c r="E95" s="2" t="s">
        <v>63</v>
      </c>
      <c r="F95" s="16" t="s">
        <v>64</v>
      </c>
      <c r="G95" s="16"/>
      <c r="H95" s="27">
        <f>'&gt;&gt; Inputs'!$G$47</f>
        <v>378.75604099999998</v>
      </c>
    </row>
    <row r="96" spans="5:25" ht="15" customHeight="1" x14ac:dyDescent="0.2">
      <c r="E96" s="1" t="s">
        <v>231</v>
      </c>
      <c r="F96" s="48" t="s">
        <v>65</v>
      </c>
      <c r="G96" s="48"/>
      <c r="H96" s="49">
        <f ca="1">H93 / H95</f>
        <v>-1786277.0999731405</v>
      </c>
    </row>
    <row r="98" spans="1:27" ht="15" customHeight="1" x14ac:dyDescent="0.2">
      <c r="E98" s="2" t="s">
        <v>66</v>
      </c>
      <c r="F98" s="16" t="s">
        <v>65</v>
      </c>
      <c r="G98" s="16"/>
      <c r="H98" s="50">
        <f>'&gt;&gt; Inputs'!G21</f>
        <v>0.99</v>
      </c>
    </row>
    <row r="99" spans="1:27" ht="15" customHeight="1" x14ac:dyDescent="0.2">
      <c r="E99" s="2" t="s">
        <v>67</v>
      </c>
      <c r="F99" s="16" t="s">
        <v>7</v>
      </c>
      <c r="G99" s="16"/>
      <c r="H99" s="28">
        <f ca="1">H96 / H98 - 1</f>
        <v>-1804321.3030031722</v>
      </c>
    </row>
    <row r="100" spans="1:27" ht="15" customHeight="1" x14ac:dyDescent="0.2">
      <c r="E100" s="2"/>
      <c r="F100" s="16"/>
      <c r="G100" s="16"/>
      <c r="H100" s="51"/>
    </row>
    <row r="101" spans="1:27" ht="15" customHeight="1" x14ac:dyDescent="0.2">
      <c r="E101" s="2" t="s">
        <v>8</v>
      </c>
      <c r="F101" s="16" t="s">
        <v>7</v>
      </c>
      <c r="G101" s="16"/>
      <c r="H101" s="28">
        <f>'&gt;&gt; Inputs'!G16</f>
        <v>0.10413003999999999</v>
      </c>
    </row>
    <row r="102" spans="1:27" ht="15" customHeight="1" x14ac:dyDescent="0.2">
      <c r="E102" s="2"/>
      <c r="F102" s="274"/>
      <c r="G102" s="274"/>
      <c r="H102" s="2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4" t="s">
        <v>25</v>
      </c>
      <c r="G103" s="274"/>
      <c r="H103" s="47">
        <f>P18</f>
        <v>4615.1896161605255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4" t="s">
        <v>25</v>
      </c>
      <c r="G104" s="274"/>
      <c r="H104" s="47">
        <f>P21</f>
        <v>4603.1058661605257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1">
        <f ca="1">H93 / '&gt;&gt; Fin Stmts'!O15</f>
        <v>-148239.4226356298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1">
        <f ca="1">H93 / '&gt;&gt; Fin Stmts'!O17</f>
        <v>-148711.23319100036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1">
        <f>( ( H98 * H95 )  ) / H103</f>
        <v>8.1246603449837071E-2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1">
        <f>( ( H98 * H95 )  ) / H104</f>
        <v>8.1459886322962874E-2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workbookViewId="0">
      <selection activeCell="G6" sqref="G6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3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9">
        <f>'&gt;&gt; DCF'!O7</f>
        <v>44927</v>
      </c>
      <c r="H7" s="59">
        <f t="shared" ref="H7:Q7" si="3">G8 + 1</f>
        <v>45292</v>
      </c>
      <c r="I7" s="59">
        <f t="shared" si="3"/>
        <v>45658</v>
      </c>
      <c r="J7" s="59">
        <f t="shared" si="3"/>
        <v>46023</v>
      </c>
      <c r="K7" s="59">
        <f t="shared" si="3"/>
        <v>46388</v>
      </c>
      <c r="L7" s="59">
        <f t="shared" si="3"/>
        <v>46753</v>
      </c>
      <c r="M7" s="59">
        <f t="shared" si="3"/>
        <v>47119</v>
      </c>
      <c r="N7" s="59">
        <f t="shared" si="3"/>
        <v>47484</v>
      </c>
      <c r="O7" s="59">
        <f t="shared" si="3"/>
        <v>47849</v>
      </c>
      <c r="P7" s="59">
        <f t="shared" si="3"/>
        <v>48214</v>
      </c>
      <c r="Q7" s="59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60">
        <f>IF( AND( G5 &lt;= '&gt;&gt; Inputs'!$G41, G5 &gt;= 1 ), 1, 0 )</f>
        <v>0</v>
      </c>
      <c r="H11" s="60">
        <f>IF( AND( H5 &lt;= '&gt;&gt; Inputs'!$G41, H5 &gt;= 1 ), 1, 0 )</f>
        <v>1</v>
      </c>
      <c r="I11" s="60">
        <f>IF( AND( I5 &lt;= '&gt;&gt; Inputs'!$G41, I5 &gt;= 1 ), 1, 0 )</f>
        <v>1</v>
      </c>
      <c r="J11" s="60">
        <f>IF( AND( J5 &lt;= '&gt;&gt; Inputs'!$G41, J5 &gt;= 1 ), 1, 0 )</f>
        <v>1</v>
      </c>
      <c r="K11" s="60">
        <f>IF( AND( K5 &lt;= '&gt;&gt; Inputs'!$G41, K5 &gt;= 1 ), 1, 0 )</f>
        <v>1</v>
      </c>
      <c r="L11" s="60">
        <f>IF( AND( L5 &lt;= '&gt;&gt; Inputs'!$G41, L5 &gt;= 1 ), 1, 0 )</f>
        <v>1</v>
      </c>
      <c r="M11" s="60">
        <f>IF( AND( M5 &lt;= '&gt;&gt; Inputs'!$G41, M5 &gt;= 1 ), 1, 0 )</f>
        <v>1</v>
      </c>
      <c r="N11" s="60">
        <f>IF( AND( N5 &lt;= '&gt;&gt; Inputs'!$G41, N5 &gt;= 1 ), 1, 0 )</f>
        <v>1</v>
      </c>
      <c r="O11" s="60">
        <f>IF( AND( O5 &lt;= '&gt;&gt; Inputs'!$G41, O5 &gt;= 1 ), 1, 0 )</f>
        <v>1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</row>
    <row r="12" spans="3:26" ht="15" customHeight="1" x14ac:dyDescent="0.2">
      <c r="C12" s="2"/>
      <c r="D12" s="2"/>
      <c r="E12" s="79" t="s">
        <v>96</v>
      </c>
      <c r="F12" s="78" t="s">
        <v>10</v>
      </c>
      <c r="G12" s="212">
        <f>IF( G5 = '&gt;&gt; Inputs'!$G41, 1, 0 )</f>
        <v>0</v>
      </c>
      <c r="H12" s="212">
        <f>IF( H5 = '&gt;&gt; Inputs'!$G41, 1, 0 )</f>
        <v>0</v>
      </c>
      <c r="I12" s="212">
        <f>IF( I5 = '&gt;&gt; Inputs'!$G41, 1, 0 )</f>
        <v>0</v>
      </c>
      <c r="J12" s="212">
        <f>IF( J5 = '&gt;&gt; Inputs'!$G41, 1, 0 )</f>
        <v>0</v>
      </c>
      <c r="K12" s="212">
        <f>IF( K5 = '&gt;&gt; Inputs'!$G41, 1, 0 )</f>
        <v>0</v>
      </c>
      <c r="L12" s="212">
        <f>IF( L5 = '&gt;&gt; Inputs'!$G41, 1, 0 )</f>
        <v>0</v>
      </c>
      <c r="M12" s="212">
        <f>IF( M5 = '&gt;&gt; Inputs'!$G41, 1, 0 )</f>
        <v>0</v>
      </c>
      <c r="N12" s="212">
        <f>IF( N5 = '&gt;&gt; Inputs'!$G41, 1, 0 )</f>
        <v>0</v>
      </c>
      <c r="O12" s="212">
        <f>IF( O5 = '&gt;&gt; Inputs'!$G41, 1, 0 )</f>
        <v>0</v>
      </c>
      <c r="P12" s="212">
        <f>IF( P5 = '&gt;&gt; Inputs'!$G41, 1, 0 )</f>
        <v>0</v>
      </c>
      <c r="Q12" s="212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5"/>
      <c r="D15" s="45"/>
      <c r="E15" s="45"/>
      <c r="F15" s="45"/>
      <c r="G15" s="45"/>
    </row>
    <row r="16" spans="3:26" ht="15" customHeight="1" x14ac:dyDescent="0.2">
      <c r="C16" s="46"/>
      <c r="D16" s="46"/>
      <c r="E16" s="46"/>
      <c r="F16" s="46"/>
      <c r="G16" s="46"/>
    </row>
    <row r="17" spans="3:26" ht="15" customHeight="1" x14ac:dyDescent="0.2">
      <c r="E17" s="2" t="s">
        <v>8</v>
      </c>
      <c r="F17" s="24" t="s">
        <v>7</v>
      </c>
      <c r="G17" s="228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8">
        <f>'&gt;&gt; Dash'!F43</f>
        <v>0.02</v>
      </c>
    </row>
    <row r="19" spans="3:26" ht="15" customHeight="1" x14ac:dyDescent="0.2">
      <c r="C19" s="224"/>
      <c r="D19" s="224"/>
      <c r="E19" s="224"/>
      <c r="F19" s="224"/>
      <c r="G19" s="224"/>
    </row>
    <row r="21" spans="3:26" ht="15" customHeight="1" x14ac:dyDescent="0.2">
      <c r="C21" s="63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3"/>
      <c r="F23" s="213"/>
      <c r="G23" s="198"/>
      <c r="H23" s="391" t="s">
        <v>237</v>
      </c>
      <c r="I23" s="392"/>
      <c r="J23" s="392"/>
      <c r="K23" s="392"/>
      <c r="L23" s="392"/>
      <c r="M23" s="392"/>
      <c r="N23" s="392"/>
      <c r="O23" s="392"/>
      <c r="P23" s="392"/>
      <c r="Q23" s="392"/>
      <c r="R23" s="226"/>
      <c r="S23" s="200"/>
      <c r="T23" s="200"/>
    </row>
    <row r="24" spans="3:26" ht="15" customHeight="1" x14ac:dyDescent="0.2">
      <c r="E24" s="197"/>
      <c r="F24" s="197"/>
      <c r="G24" s="199"/>
      <c r="H24" s="321">
        <f>EOMONTH('&gt;&gt; Inputs'!$G$17,12)</f>
        <v>46022</v>
      </c>
      <c r="I24" s="322">
        <f>EOMONTH(H24,12)</f>
        <v>46387</v>
      </c>
      <c r="J24" s="322">
        <f t="shared" ref="J24:Q24" si="5">EOMONTH(I24,12)</f>
        <v>46752</v>
      </c>
      <c r="K24" s="322">
        <f t="shared" si="5"/>
        <v>47118</v>
      </c>
      <c r="L24" s="322">
        <f t="shared" si="5"/>
        <v>47483</v>
      </c>
      <c r="M24" s="322">
        <f t="shared" si="5"/>
        <v>47848</v>
      </c>
      <c r="N24" s="322">
        <f t="shared" si="5"/>
        <v>48213</v>
      </c>
      <c r="O24" s="322">
        <f t="shared" si="5"/>
        <v>48579</v>
      </c>
      <c r="P24" s="322">
        <f t="shared" si="5"/>
        <v>48944</v>
      </c>
      <c r="Q24" s="323">
        <f t="shared" si="5"/>
        <v>49309</v>
      </c>
      <c r="R24" s="225"/>
      <c r="S24" s="201"/>
      <c r="T24" s="201"/>
    </row>
    <row r="25" spans="3:26" ht="15" customHeight="1" x14ac:dyDescent="0.2">
      <c r="E25" s="80" t="s">
        <v>124</v>
      </c>
      <c r="F25" s="24" t="s">
        <v>159</v>
      </c>
      <c r="G25" s="80"/>
      <c r="H25" s="81">
        <f>'&gt;&gt; Segments'!P94</f>
        <v>5.0468398674803696</v>
      </c>
      <c r="I25" s="81">
        <f>'&gt;&gt; Segments'!Q94</f>
        <v>5.04933986748037</v>
      </c>
      <c r="J25" s="81">
        <f>'&gt;&gt; Segments'!R94</f>
        <v>5.0518398674803695</v>
      </c>
      <c r="K25" s="81">
        <f>'&gt;&gt; Segments'!S94</f>
        <v>5.0543398674803699</v>
      </c>
      <c r="L25" s="81">
        <f>'&gt;&gt; Segments'!T94</f>
        <v>4.9443398674803696</v>
      </c>
      <c r="M25" s="81">
        <f>'&gt;&gt; Segments'!U94</f>
        <v>4.9443398674803696</v>
      </c>
      <c r="N25" s="81">
        <f>'&gt;&gt; Segments'!V94</f>
        <v>4.9443398674803696</v>
      </c>
      <c r="O25" s="81">
        <f ca="1">'&gt;&gt; Segments'!W94</f>
        <v>9.146468019036913</v>
      </c>
      <c r="P25" s="81">
        <f ca="1">'&gt;&gt; Segments'!X94</f>
        <v>9.2136959912497787</v>
      </c>
      <c r="Q25" s="81">
        <f ca="1">'&gt;&gt; Segments'!Y94</f>
        <v>9.2825051223245083</v>
      </c>
      <c r="S25" s="81"/>
      <c r="T25" s="81"/>
    </row>
    <row r="26" spans="3:26" ht="15" customHeight="1" x14ac:dyDescent="0.2">
      <c r="E26" s="202" t="s">
        <v>242</v>
      </c>
      <c r="F26" s="24" t="s">
        <v>159</v>
      </c>
      <c r="G26" s="80"/>
      <c r="H26" s="81"/>
      <c r="I26" s="81"/>
      <c r="J26" s="81"/>
      <c r="K26" s="81"/>
      <c r="L26" s="81"/>
      <c r="M26" s="81"/>
      <c r="N26" s="81"/>
      <c r="O26" s="81"/>
      <c r="P26" s="81"/>
      <c r="Q26" s="81">
        <f ca="1">(Q25*(1+G18))/(G17-G18)</f>
        <v>112.54190803630904</v>
      </c>
      <c r="R26" s="81"/>
      <c r="S26" s="81"/>
      <c r="T26" s="81"/>
    </row>
    <row r="27" spans="3:26" ht="15" customHeight="1" x14ac:dyDescent="0.2">
      <c r="E27" s="82" t="s">
        <v>125</v>
      </c>
      <c r="F27" s="215" t="s">
        <v>7</v>
      </c>
      <c r="I27" s="83">
        <f>I25/H25-1</f>
        <v>4.9535948546908237E-4</v>
      </c>
      <c r="J27" s="83">
        <f t="shared" ref="J27:Q27" si="6">J25/I25-1</f>
        <v>4.9511422594084031E-4</v>
      </c>
      <c r="K27" s="83">
        <f t="shared" si="6"/>
        <v>4.9486920915553512E-4</v>
      </c>
      <c r="L27" s="83">
        <f t="shared" si="6"/>
        <v>-2.1763475129114362E-2</v>
      </c>
      <c r="M27" s="83">
        <f t="shared" si="6"/>
        <v>0</v>
      </c>
      <c r="N27" s="83">
        <f t="shared" si="6"/>
        <v>0</v>
      </c>
      <c r="O27" s="83">
        <f t="shared" ca="1" si="6"/>
        <v>0.84988659036053349</v>
      </c>
      <c r="P27" s="83">
        <f t="shared" ca="1" si="6"/>
        <v>7.3501565930085278E-3</v>
      </c>
      <c r="Q27" s="83">
        <f t="shared" ca="1" si="6"/>
        <v>7.4681356037877844E-3</v>
      </c>
      <c r="S27" s="83"/>
      <c r="T27" s="83"/>
    </row>
    <row r="28" spans="3:26" ht="15" customHeight="1" x14ac:dyDescent="0.2">
      <c r="E28" s="82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</row>
    <row r="29" spans="3:26" ht="15" customHeight="1" x14ac:dyDescent="0.2">
      <c r="E29" s="2" t="s">
        <v>36</v>
      </c>
      <c r="F29" s="24" t="s">
        <v>7</v>
      </c>
      <c r="H29" s="214">
        <f ca="1">H11 * '&gt;&gt; Inputs'!P45</f>
        <v>-5.4794520547945206E-3</v>
      </c>
      <c r="I29" s="214">
        <f ca="1">I11 * '&gt;&gt; Inputs'!Q45</f>
        <v>0.9945205479452055</v>
      </c>
      <c r="J29" s="214">
        <f ca="1">J11 * '&gt;&gt; Inputs'!R45</f>
        <v>1</v>
      </c>
      <c r="K29" s="214">
        <f ca="1">K11 * '&gt;&gt; Inputs'!S45</f>
        <v>1</v>
      </c>
      <c r="L29" s="214">
        <f ca="1">L11 * '&gt;&gt; Inputs'!T45</f>
        <v>1</v>
      </c>
      <c r="M29" s="214">
        <f ca="1">M11 * '&gt;&gt; Inputs'!U45</f>
        <v>1</v>
      </c>
      <c r="N29" s="214">
        <f ca="1">N11 * '&gt;&gt; Inputs'!V45</f>
        <v>1</v>
      </c>
      <c r="O29" s="214">
        <f ca="1">O11 * '&gt;&gt; Inputs'!W45</f>
        <v>1</v>
      </c>
      <c r="P29" s="214">
        <f ca="1">P11 * '&gt;&gt; Inputs'!X45</f>
        <v>1</v>
      </c>
      <c r="Q29" s="214">
        <f ca="1">Q11 * '&gt;&gt; Inputs'!Y45</f>
        <v>1</v>
      </c>
      <c r="R29" s="214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-2.7653917082084218E-2</v>
      </c>
      <c r="I30" s="22">
        <f t="shared" ca="1" si="7"/>
        <v>5.0216722517681491</v>
      </c>
      <c r="J30" s="22">
        <f t="shared" ca="1" si="7"/>
        <v>5.0518398674803695</v>
      </c>
      <c r="K30" s="22">
        <f t="shared" ca="1" si="7"/>
        <v>5.0543398674803699</v>
      </c>
      <c r="L30" s="22">
        <f t="shared" ca="1" si="7"/>
        <v>4.9443398674803696</v>
      </c>
      <c r="M30" s="22">
        <f t="shared" ca="1" si="7"/>
        <v>4.9443398674803696</v>
      </c>
      <c r="N30" s="22">
        <f t="shared" ca="1" si="7"/>
        <v>4.9443398674803696</v>
      </c>
      <c r="O30" s="22">
        <f t="shared" ca="1" si="7"/>
        <v>9.146468019036913</v>
      </c>
      <c r="P30" s="22">
        <f t="shared" ca="1" si="7"/>
        <v>9.2136959912497787</v>
      </c>
      <c r="Q30" s="22">
        <f t="shared" ca="1" si="7"/>
        <v>9.2825051223245083</v>
      </c>
      <c r="R30" s="22"/>
      <c r="S30" s="60"/>
      <c r="T30" s="60"/>
      <c r="U30" s="60"/>
      <c r="V30" s="60"/>
      <c r="W30" s="60"/>
      <c r="X30" s="60"/>
      <c r="Y30" s="60"/>
      <c r="Z30" s="60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112.54190803630904</v>
      </c>
      <c r="R31" s="22"/>
      <c r="S31" s="33"/>
      <c r="T31" s="33"/>
      <c r="U31" s="33"/>
      <c r="V31" s="33"/>
      <c r="W31" s="33"/>
      <c r="X31" s="33"/>
      <c r="Y31" s="33"/>
      <c r="Z31" s="60"/>
    </row>
    <row r="32" spans="3:26" ht="15" customHeight="1" x14ac:dyDescent="0.2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">
      <c r="E33" s="2" t="s">
        <v>110</v>
      </c>
      <c r="F33" s="16" t="s">
        <v>10</v>
      </c>
      <c r="H33" s="60">
        <f ca="1">IF( H11 = 1, ( H8 - '&gt;&gt; Inputs'!$G$26 ) / DiY, 0 )</f>
        <v>-5.4794520547945206E-3</v>
      </c>
      <c r="I33" s="60">
        <f ca="1">IF( I11 = 1, ( I8 - '&gt;&gt; Inputs'!$G$26 ) / DiY, 0 )</f>
        <v>0.9945205479452055</v>
      </c>
      <c r="J33" s="60">
        <f ca="1">IF( J11 = 1, ( J8 - '&gt;&gt; Inputs'!$G$26 ) / DiY, 0 )</f>
        <v>1.9945205479452055</v>
      </c>
      <c r="K33" s="60">
        <f ca="1">IF( K11 = 1, ( K8 - '&gt;&gt; Inputs'!$G$26 ) / DiY, 0 )</f>
        <v>2.9945205479452053</v>
      </c>
      <c r="L33" s="60">
        <f ca="1">IF( L11 = 1, ( L8 - '&gt;&gt; Inputs'!$G$26 ) / DiY, 0 )</f>
        <v>3.9972602739726026</v>
      </c>
      <c r="M33" s="60">
        <f ca="1">IF( M11 = 1, ( M8 - '&gt;&gt; Inputs'!$G$26 ) / DiY, 0 )</f>
        <v>4.9972602739726026</v>
      </c>
      <c r="N33" s="60">
        <f ca="1">IF( N11 = 1, ( N8 - '&gt;&gt; Inputs'!$G$26 ) / DiY, 0 )</f>
        <v>5.9972602739726026</v>
      </c>
      <c r="O33" s="60">
        <f ca="1">IF( O11 = 1, ( O8 - '&gt;&gt; Inputs'!$G$26 ) / DiY, 0 )</f>
        <v>6.9972602739726026</v>
      </c>
      <c r="P33" s="60">
        <f ca="1">IF( P11 = 1, ( P8 - '&gt;&gt; Inputs'!$G$26 ) / DiY, 0 )</f>
        <v>8</v>
      </c>
      <c r="Q33" s="60">
        <f ca="1">IF( Q11 = 1, ( Q8 - '&gt;&gt; Inputs'!$G$26 ) / DiY, 0 )</f>
        <v>9</v>
      </c>
      <c r="R33" s="60"/>
      <c r="S33" s="60"/>
      <c r="T33" s="60"/>
      <c r="U33" s="60"/>
      <c r="V33" s="60"/>
      <c r="W33" s="60"/>
      <c r="X33" s="60"/>
      <c r="Y33" s="60"/>
      <c r="Z33" s="60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1.0005429294192811</v>
      </c>
      <c r="I34" s="22">
        <f ca="1">I11 * ( 1 / ( 1 +'&gt;&gt; Dash'!$F$49 ) ^ I$33 )</f>
        <v>0.90618214627987204</v>
      </c>
      <c r="J34" s="22">
        <f ca="1">J11 * ( 1 / ( 1 +'&gt;&gt; Dash'!$F$49 ) ^ J$33 )</f>
        <v>0.82072048893794425</v>
      </c>
      <c r="K34" s="22">
        <f ca="1">K11 * ( 1 / ( 1 +'&gt;&gt; Dash'!$F$49 ) ^ K$33 )</f>
        <v>0.7433186845798927</v>
      </c>
      <c r="L34" s="22">
        <f ca="1">L11 * ( 1 / ( 1 +'&gt;&gt; Dash'!$F$49 ) ^ L$33 )</f>
        <v>0.67303393168981218</v>
      </c>
      <c r="M34" s="22">
        <f ca="1">M11 * ( 1 / ( 1 +'&gt;&gt; Dash'!$F$49 ) ^ M$33 )</f>
        <v>0.60956038447229655</v>
      </c>
      <c r="N34" s="22">
        <f ca="1">N11 * ( 1 / ( 1 +'&gt;&gt; Dash'!$F$49 ) ^ N$33 )</f>
        <v>0.55207300081455668</v>
      </c>
      <c r="O34" s="22">
        <f ca="1">O11 * ( 1 / ( 1 +'&gt;&gt; Dash'!$F$49 ) ^ O$33 )</f>
        <v>0.50000722814729026</v>
      </c>
      <c r="P34" s="22">
        <f ca="1">P11 * ( 1 / ( 1 +'&gt;&gt; Dash'!$F$49 ) ^ P$33 )</f>
        <v>0.45272887338152984</v>
      </c>
      <c r="Q34" s="22">
        <f ca="1">Q11 * ( 1 / ( 1 +'&gt;&gt; Dash'!$F$49 ) ^ Q$33 )</f>
        <v>0.41003220361754655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2"/>
      <c r="F35" s="215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</row>
    <row r="36" spans="1:27" ht="15" customHeight="1" x14ac:dyDescent="0.2">
      <c r="E36" s="216" t="s">
        <v>243</v>
      </c>
      <c r="F36" s="217" t="s">
        <v>159</v>
      </c>
      <c r="G36" s="218"/>
      <c r="H36" s="219">
        <f ca="1">H30*H34</f>
        <v>-2.7668931207226442E-2</v>
      </c>
      <c r="I36" s="219">
        <f t="shared" ref="I36:Q36" ca="1" si="8">I30*I34</f>
        <v>4.5505497390213394</v>
      </c>
      <c r="J36" s="219">
        <f t="shared" ca="1" si="8"/>
        <v>4.1461484860746882</v>
      </c>
      <c r="K36" s="219">
        <f t="shared" ca="1" si="8"/>
        <v>3.7569852617152177</v>
      </c>
      <c r="L36" s="219">
        <f t="shared" ca="1" si="8"/>
        <v>3.3277085006209979</v>
      </c>
      <c r="M36" s="219">
        <f t="shared" ca="1" si="8"/>
        <v>3.013873710583038</v>
      </c>
      <c r="N36" s="219">
        <f t="shared" ca="1" si="8"/>
        <v>2.7296365476869351</v>
      </c>
      <c r="O36" s="219">
        <f t="shared" ca="1" si="8"/>
        <v>4.5733001215364837</v>
      </c>
      <c r="P36" s="219">
        <f t="shared" ca="1" si="8"/>
        <v>4.1713062057984303</v>
      </c>
      <c r="Q36" s="219">
        <f t="shared" ca="1" si="8"/>
        <v>3.8061260303978819</v>
      </c>
      <c r="R36" s="83"/>
      <c r="S36" s="83"/>
      <c r="T36" s="83"/>
    </row>
    <row r="37" spans="1:27" ht="15" customHeight="1" x14ac:dyDescent="0.2">
      <c r="E37" s="220" t="s">
        <v>244</v>
      </c>
      <c r="F37" s="221" t="s">
        <v>159</v>
      </c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3">
        <f ca="1">Q31*Q34</f>
        <v>46.145806551451066</v>
      </c>
      <c r="R37" s="83"/>
      <c r="S37" s="83"/>
      <c r="T37" s="83"/>
    </row>
    <row r="38" spans="1:27" ht="15" customHeight="1" x14ac:dyDescent="0.2">
      <c r="E38" s="82"/>
      <c r="F38" s="8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</row>
    <row r="39" spans="1:27" ht="15" customHeight="1" x14ac:dyDescent="0.2">
      <c r="E39" s="82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</row>
    <row r="40" spans="1:27" ht="15" customHeight="1" x14ac:dyDescent="0.2">
      <c r="E40" s="387" t="s">
        <v>245</v>
      </c>
      <c r="F40" s="388"/>
      <c r="G40" s="388"/>
      <c r="H40" s="389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378.75604099999998</v>
      </c>
    </row>
    <row r="43" spans="1:27" ht="15" customHeight="1" x14ac:dyDescent="0.2">
      <c r="E43" s="1" t="s">
        <v>126</v>
      </c>
      <c r="F43" s="16" t="s">
        <v>65</v>
      </c>
      <c r="H43" s="49">
        <f ca="1">SUM(H36:Q37)</f>
        <v>80.193772223678849</v>
      </c>
    </row>
    <row r="44" spans="1:27" ht="15" customHeight="1" x14ac:dyDescent="0.2">
      <c r="E44" s="2" t="s">
        <v>66</v>
      </c>
      <c r="F44" s="16" t="s">
        <v>65</v>
      </c>
      <c r="H44" s="84">
        <f>'&gt;&gt; Inputs'!G21</f>
        <v>0.99</v>
      </c>
      <c r="J44" s="203"/>
    </row>
    <row r="45" spans="1:27" ht="15" customHeight="1" x14ac:dyDescent="0.2">
      <c r="E45" s="2" t="s">
        <v>67</v>
      </c>
      <c r="F45" s="16" t="s">
        <v>7</v>
      </c>
      <c r="H45" s="51">
        <f ca="1">H43/H44-1</f>
        <v>80.003810326948326</v>
      </c>
    </row>
    <row r="48" spans="1:27" ht="15" customHeight="1" x14ac:dyDescent="0.2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6"/>
      <c r="E5" s="235" t="s">
        <v>129</v>
      </c>
      <c r="F5" s="235"/>
      <c r="G5" s="236" t="s">
        <v>130</v>
      </c>
      <c r="H5" s="236" t="s">
        <v>131</v>
      </c>
      <c r="I5" s="86"/>
      <c r="J5" s="393" t="s">
        <v>132</v>
      </c>
      <c r="K5" s="393"/>
      <c r="L5" s="236" t="s">
        <v>133</v>
      </c>
    </row>
    <row r="6" spans="3:12" ht="15" customHeight="1" x14ac:dyDescent="0.2">
      <c r="D6" s="86"/>
      <c r="E6" s="233" t="s">
        <v>249</v>
      </c>
      <c r="F6" s="234" t="s">
        <v>65</v>
      </c>
      <c r="G6" s="240">
        <f ca="1">'&gt;&gt; DCF'!H76</f>
        <v>145.40500481926966</v>
      </c>
      <c r="H6" s="242">
        <v>0.5</v>
      </c>
      <c r="I6" s="86"/>
      <c r="J6" s="233" t="s">
        <v>135</v>
      </c>
      <c r="K6" s="240">
        <f ca="1">K7*(1+L6)</f>
        <v>118.43935794754798</v>
      </c>
      <c r="L6" s="247">
        <v>0.05</v>
      </c>
    </row>
    <row r="7" spans="3:12" ht="15" customHeight="1" x14ac:dyDescent="0.2">
      <c r="D7" s="86"/>
      <c r="E7" s="86" t="s">
        <v>248</v>
      </c>
      <c r="F7" s="16" t="s">
        <v>65</v>
      </c>
      <c r="G7" s="241">
        <f ca="1">'&gt;&gt; DCF'!H96</f>
        <v>-1786277.0999731405</v>
      </c>
      <c r="H7" s="243">
        <v>0</v>
      </c>
      <c r="I7" s="86"/>
      <c r="J7" s="86" t="s">
        <v>136</v>
      </c>
      <c r="K7" s="241">
        <f ca="1">G11</f>
        <v>112.79938852147426</v>
      </c>
      <c r="L7" s="246">
        <v>0</v>
      </c>
    </row>
    <row r="8" spans="3:12" ht="15" customHeight="1" x14ac:dyDescent="0.2">
      <c r="D8" s="86"/>
      <c r="E8" s="233" t="s">
        <v>134</v>
      </c>
      <c r="F8" s="234" t="s">
        <v>65</v>
      </c>
      <c r="G8" s="240">
        <f ca="1">'&gt;&gt; DDM'!H43</f>
        <v>80.193772223678849</v>
      </c>
      <c r="H8" s="242">
        <v>0.5</v>
      </c>
      <c r="I8" s="86"/>
      <c r="J8" s="233" t="s">
        <v>137</v>
      </c>
      <c r="K8" s="240">
        <f ca="1">K7*(1+L8)</f>
        <v>107.15941909540054</v>
      </c>
      <c r="L8" s="247">
        <v>-0.05</v>
      </c>
    </row>
    <row r="9" spans="3:12" ht="15" customHeight="1" x14ac:dyDescent="0.2">
      <c r="D9" s="86"/>
      <c r="E9" s="86"/>
      <c r="F9" s="86"/>
      <c r="G9" s="227"/>
      <c r="H9" s="243">
        <f>SUM(H6:H8)</f>
        <v>1</v>
      </c>
      <c r="I9" s="86"/>
      <c r="J9" s="86"/>
      <c r="K9" s="86"/>
      <c r="L9" s="86"/>
    </row>
    <row r="10" spans="3:12" ht="15" customHeight="1" x14ac:dyDescent="0.2">
      <c r="D10" s="86"/>
      <c r="E10" s="86"/>
      <c r="F10" s="86"/>
      <c r="G10" s="86"/>
      <c r="H10" s="87"/>
      <c r="I10" s="86"/>
      <c r="J10" s="86"/>
      <c r="K10" s="86"/>
      <c r="L10" s="86"/>
    </row>
    <row r="11" spans="3:12" ht="15" customHeight="1" x14ac:dyDescent="0.2">
      <c r="D11" s="86"/>
      <c r="E11" s="237" t="s">
        <v>250</v>
      </c>
      <c r="F11" s="238" t="s">
        <v>65</v>
      </c>
      <c r="G11" s="239">
        <f ca="1">SUMPRODUCT(G6:G8,H6:H8)</f>
        <v>112.79938852147426</v>
      </c>
      <c r="H11" s="86"/>
      <c r="I11" s="86"/>
      <c r="J11" s="86"/>
      <c r="K11" s="86"/>
      <c r="L11" s="86"/>
    </row>
    <row r="12" spans="3:12" ht="15" customHeight="1" x14ac:dyDescent="0.2">
      <c r="D12" s="86"/>
      <c r="E12" s="86" t="s">
        <v>138</v>
      </c>
      <c r="F12" s="16" t="s">
        <v>65</v>
      </c>
      <c r="G12" s="241">
        <f>'&gt;&gt; Inputs'!G21</f>
        <v>0.99</v>
      </c>
      <c r="H12" s="86"/>
      <c r="I12" s="86"/>
      <c r="J12" s="86"/>
      <c r="K12" s="86"/>
      <c r="L12" s="86"/>
    </row>
    <row r="13" spans="3:12" ht="15" customHeight="1" x14ac:dyDescent="0.2">
      <c r="D13" s="86"/>
      <c r="E13" s="244" t="s">
        <v>261</v>
      </c>
      <c r="F13" s="248" t="s">
        <v>7</v>
      </c>
      <c r="G13" s="245">
        <f ca="1">G11/G12-1</f>
        <v>112.93877628431743</v>
      </c>
      <c r="H13" s="86"/>
      <c r="I13" s="86"/>
      <c r="J13" s="86"/>
      <c r="K13" s="86"/>
      <c r="L13" s="86"/>
    </row>
    <row r="15" spans="3:12" ht="15" customHeight="1" x14ac:dyDescent="0.2">
      <c r="E15" s="4" t="s">
        <v>139</v>
      </c>
      <c r="F15" s="4"/>
      <c r="G15" s="236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72"/>
  <sheetViews>
    <sheetView showGridLines="0" topLeftCell="A2" zoomScale="90" zoomScaleNormal="90" workbookViewId="0">
      <pane xSplit="5" ySplit="3" topLeftCell="F5" activePane="bottomRight" state="frozen"/>
      <selection activeCell="A2" sqref="A2"/>
      <selection pane="topRight" activeCell="F2" sqref="F2"/>
      <selection pane="bottomLeft" activeCell="A5" sqref="A5"/>
      <selection pane="bottomRight" activeCell="S17" sqref="S17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394" t="s">
        <v>85</v>
      </c>
      <c r="I2" s="395"/>
      <c r="J2" s="395"/>
      <c r="K2" s="395"/>
      <c r="L2" s="395"/>
      <c r="M2" s="395"/>
      <c r="N2" s="395"/>
      <c r="O2" s="39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8"/>
      <c r="I10" s="88"/>
      <c r="J10" s="88"/>
      <c r="K10" s="88"/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0">
        <f>IF( AND( K5 &lt;= '&gt;&gt; Inputs'!$G41, K5 &gt;= 1 ), 1, 0 )</f>
        <v>0</v>
      </c>
      <c r="L12" s="60">
        <f>IF( AND( L5 &lt;= '&gt;&gt; Inputs'!$G41, L5 &gt;= 1 ), 1, 0 )</f>
        <v>0</v>
      </c>
      <c r="M12" s="60">
        <f>IF( AND( M5 &lt;= '&gt;&gt; Inputs'!$G41, M5 &gt;= 1 ), 1, 0 )</f>
        <v>0</v>
      </c>
      <c r="N12" s="60">
        <f>IF( AND( N5 &lt;= '&gt;&gt; Inputs'!$G41, N5 &gt;= 1 ), 1, 0 )</f>
        <v>0</v>
      </c>
      <c r="O12" s="60">
        <f>IF( AND( O5 &lt;= '&gt;&gt; Inputs'!$G41, O5 &gt;= 1 ), 1, 0 )</f>
        <v>0</v>
      </c>
      <c r="P12" s="60">
        <f>IF( AND( P5 &lt;= '&gt;&gt; Inputs'!$G41, P5 &gt;= 1 ), 1, 0 )</f>
        <v>1</v>
      </c>
      <c r="Q12" s="60">
        <f>IF( AND( Q5 &lt;= '&gt;&gt; Inputs'!$G41, Q5 &gt;= 1 ), 1, 0 )</f>
        <v>1</v>
      </c>
      <c r="R12" s="60">
        <f>IF( AND( R5 &lt;= '&gt;&gt; Inputs'!$G41, R5 &gt;= 1 ), 1, 0 )</f>
        <v>1</v>
      </c>
      <c r="S12" s="60">
        <f>IF( AND( S5 &lt;= '&gt;&gt; Inputs'!$G41, S5 &gt;= 1 ), 1, 0 )</f>
        <v>1</v>
      </c>
      <c r="T12" s="60">
        <f>IF( AND( T5 &lt;= '&gt;&gt; Inputs'!$G41, T5 &gt;= 1 ), 1, 0 )</f>
        <v>1</v>
      </c>
      <c r="U12" s="60">
        <f>IF( AND( U5 &lt;= '&gt;&gt; Inputs'!$G41, U5 &gt;= 1 ), 1, 0 )</f>
        <v>1</v>
      </c>
      <c r="V12" s="60">
        <f>IF( AND( V5 &lt;= '&gt;&gt; Inputs'!$G41, V5 &gt;= 1 ), 1, 0 )</f>
        <v>1</v>
      </c>
      <c r="W12" s="60">
        <f>IF( AND( W5 &lt;= '&gt;&gt; Inputs'!$G41, W5 &gt;= 1 ), 1, 0 )</f>
        <v>1</v>
      </c>
      <c r="X12" s="60">
        <f>IF( AND( X5 &lt;= '&gt;&gt; Inputs'!$G41, X5 &gt;= 1 ), 1, 0 )</f>
        <v>1</v>
      </c>
      <c r="Y12" s="60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">
      <c r="C15" s="89" t="s">
        <v>141</v>
      </c>
      <c r="D15" s="90"/>
      <c r="E15" s="90"/>
      <c r="F15" s="91"/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7" spans="5:25" ht="15" customHeight="1" x14ac:dyDescent="0.2">
      <c r="E17" s="2" t="s">
        <v>142</v>
      </c>
      <c r="F17" s="24" t="s">
        <v>25</v>
      </c>
      <c r="G17" s="24"/>
      <c r="H17" s="47">
        <f t="shared" ref="H17:Y17" si="7">H104</f>
        <v>1894.5</v>
      </c>
      <c r="I17" s="47">
        <f t="shared" si="7"/>
        <v>0</v>
      </c>
      <c r="J17" s="47">
        <f t="shared" si="7"/>
        <v>0</v>
      </c>
      <c r="K17" s="47" t="str">
        <f t="shared" si="7"/>
        <v>-</v>
      </c>
      <c r="L17" s="47" t="str">
        <f t="shared" si="7"/>
        <v>-</v>
      </c>
      <c r="M17" s="47" t="str">
        <f t="shared" si="7"/>
        <v>-</v>
      </c>
      <c r="N17" s="47" t="str">
        <f t="shared" si="7"/>
        <v>-</v>
      </c>
      <c r="O17" s="47" t="str">
        <f t="shared" si="7"/>
        <v>-</v>
      </c>
      <c r="P17" s="47">
        <f t="shared" si="7"/>
        <v>0</v>
      </c>
      <c r="Q17" s="47">
        <f t="shared" si="7"/>
        <v>0</v>
      </c>
      <c r="R17" s="47">
        <f t="shared" si="7"/>
        <v>0</v>
      </c>
      <c r="S17" s="47">
        <f t="shared" si="7"/>
        <v>0</v>
      </c>
      <c r="T17" s="47">
        <f t="shared" si="7"/>
        <v>0</v>
      </c>
      <c r="U17" s="47">
        <f t="shared" si="7"/>
        <v>0</v>
      </c>
      <c r="V17" s="47">
        <f t="shared" si="7"/>
        <v>0</v>
      </c>
      <c r="W17" s="47">
        <f t="shared" si="7"/>
        <v>0</v>
      </c>
      <c r="X17" s="47">
        <f t="shared" si="7"/>
        <v>0</v>
      </c>
      <c r="Y17" s="47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7">
        <f>H116</f>
        <v>999.89099999999996</v>
      </c>
      <c r="I18" s="47">
        <f t="shared" ref="I18:Y18" si="8">I116</f>
        <v>1048.24</v>
      </c>
      <c r="J18" s="47">
        <f t="shared" si="8"/>
        <v>1096.77</v>
      </c>
      <c r="K18" s="47">
        <f t="shared" si="8"/>
        <v>1126.6300000000001</v>
      </c>
      <c r="L18" s="47">
        <f t="shared" si="8"/>
        <v>1225.71</v>
      </c>
      <c r="M18" s="47">
        <f t="shared" si="8"/>
        <v>1387.25</v>
      </c>
      <c r="N18" s="47">
        <f t="shared" si="8"/>
        <v>1356.91</v>
      </c>
      <c r="O18" s="47">
        <f t="shared" si="8"/>
        <v>1306.6099999999999</v>
      </c>
      <c r="P18" s="47">
        <f t="shared" si="8"/>
        <v>1359.3733168909432</v>
      </c>
      <c r="Q18" s="47">
        <f t="shared" si="8"/>
        <v>1414.2673136399421</v>
      </c>
      <c r="R18" s="47">
        <f t="shared" si="8"/>
        <v>1469.9686376435413</v>
      </c>
      <c r="S18" s="47">
        <f t="shared" si="8"/>
        <v>1526.5938384854717</v>
      </c>
      <c r="T18" s="47">
        <f t="shared" si="8"/>
        <v>1587.5558639251406</v>
      </c>
      <c r="U18" s="47">
        <f t="shared" si="8"/>
        <v>1641.4249233626847</v>
      </c>
      <c r="V18" s="47">
        <f t="shared" si="8"/>
        <v>1677.042950421552</v>
      </c>
      <c r="W18" s="47">
        <f t="shared" si="8"/>
        <v>1722.5674776072667</v>
      </c>
      <c r="X18" s="47">
        <f t="shared" si="8"/>
        <v>1783.1546842437083</v>
      </c>
      <c r="Y18" s="47">
        <f t="shared" si="8"/>
        <v>1844.7117951172818</v>
      </c>
    </row>
    <row r="19" spans="5:25" ht="15" customHeight="1" x14ac:dyDescent="0.2">
      <c r="E19" s="2" t="s">
        <v>144</v>
      </c>
      <c r="F19" s="24" t="s">
        <v>25</v>
      </c>
      <c r="G19" s="24"/>
      <c r="H19" s="47">
        <f>H128</f>
        <v>675.43899999999996</v>
      </c>
      <c r="I19" s="47">
        <f t="shared" ref="I19:Y19" si="9">I128</f>
        <v>654.92999999999995</v>
      </c>
      <c r="J19" s="47">
        <f t="shared" si="9"/>
        <v>650.75</v>
      </c>
      <c r="K19" s="47">
        <f t="shared" si="9"/>
        <v>604.94000000000005</v>
      </c>
      <c r="L19" s="47">
        <f t="shared" si="9"/>
        <v>586.32000000000005</v>
      </c>
      <c r="M19" s="47">
        <f t="shared" si="9"/>
        <v>687.23</v>
      </c>
      <c r="N19" s="47">
        <f t="shared" si="9"/>
        <v>712.6</v>
      </c>
      <c r="O19" s="47">
        <f t="shared" si="9"/>
        <v>720.34</v>
      </c>
      <c r="P19" s="47">
        <f t="shared" si="9"/>
        <v>720.34</v>
      </c>
      <c r="Q19" s="47">
        <f t="shared" si="9"/>
        <v>728.77450269828432</v>
      </c>
      <c r="R19" s="47">
        <f t="shared" si="9"/>
        <v>736.24110762896737</v>
      </c>
      <c r="S19" s="47">
        <f t="shared" si="9"/>
        <v>747.65619637985253</v>
      </c>
      <c r="T19" s="47">
        <f t="shared" si="9"/>
        <v>760.80225447384839</v>
      </c>
      <c r="U19" s="47">
        <f t="shared" si="9"/>
        <v>782.34859798559717</v>
      </c>
      <c r="V19" s="47">
        <f t="shared" si="9"/>
        <v>809.23473050980863</v>
      </c>
      <c r="W19" s="47">
        <f t="shared" si="9"/>
        <v>822.50016827417062</v>
      </c>
      <c r="X19" s="47">
        <f t="shared" si="9"/>
        <v>835.72084842281959</v>
      </c>
      <c r="Y19" s="47">
        <f t="shared" si="9"/>
        <v>849.73182474521366</v>
      </c>
    </row>
    <row r="20" spans="5:25" ht="15" customHeight="1" x14ac:dyDescent="0.2">
      <c r="E20" s="2" t="s">
        <v>145</v>
      </c>
      <c r="F20" s="24" t="s">
        <v>25</v>
      </c>
      <c r="G20" s="24"/>
      <c r="H20" s="47">
        <f>H140</f>
        <v>0</v>
      </c>
      <c r="I20" s="47">
        <f t="shared" ref="I20:Y20" si="10">I140</f>
        <v>0</v>
      </c>
      <c r="J20" s="47">
        <f t="shared" si="10"/>
        <v>0</v>
      </c>
      <c r="K20" s="47">
        <f t="shared" si="10"/>
        <v>0</v>
      </c>
      <c r="L20" s="47">
        <f t="shared" si="10"/>
        <v>0</v>
      </c>
      <c r="M20" s="47">
        <f t="shared" si="10"/>
        <v>0</v>
      </c>
      <c r="N20" s="47">
        <f t="shared" si="10"/>
        <v>0</v>
      </c>
      <c r="O20" s="47">
        <f t="shared" si="10"/>
        <v>0</v>
      </c>
      <c r="P20" s="47">
        <f t="shared" si="10"/>
        <v>0</v>
      </c>
      <c r="Q20" s="47">
        <f t="shared" si="10"/>
        <v>0</v>
      </c>
      <c r="R20" s="47">
        <f t="shared" si="10"/>
        <v>0</v>
      </c>
      <c r="S20" s="47">
        <f t="shared" si="10"/>
        <v>0</v>
      </c>
      <c r="T20" s="47">
        <f t="shared" si="10"/>
        <v>0</v>
      </c>
      <c r="U20" s="47">
        <f t="shared" si="10"/>
        <v>0</v>
      </c>
      <c r="V20" s="47">
        <f t="shared" si="10"/>
        <v>0</v>
      </c>
      <c r="W20" s="47">
        <f t="shared" si="10"/>
        <v>0</v>
      </c>
      <c r="X20" s="47">
        <f t="shared" si="10"/>
        <v>0</v>
      </c>
      <c r="Y20" s="47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7">
        <f>H152</f>
        <v>0</v>
      </c>
      <c r="I21" s="47">
        <f t="shared" ref="I21:Y21" si="11">I152</f>
        <v>955.09</v>
      </c>
      <c r="J21" s="47">
        <f t="shared" si="11"/>
        <v>1089.77</v>
      </c>
      <c r="K21" s="47">
        <f t="shared" si="11"/>
        <v>1125.3</v>
      </c>
      <c r="L21" s="47">
        <f t="shared" si="11"/>
        <v>1287.9000000000001</v>
      </c>
      <c r="M21" s="47">
        <f t="shared" si="11"/>
        <v>1382.37</v>
      </c>
      <c r="N21" s="47">
        <f t="shared" si="11"/>
        <v>1563.9</v>
      </c>
      <c r="O21" s="47">
        <f t="shared" si="11"/>
        <v>1608.28</v>
      </c>
      <c r="P21" s="47">
        <f t="shared" si="11"/>
        <v>1608.28</v>
      </c>
      <c r="Q21" s="47">
        <f t="shared" si="11"/>
        <v>1608.28</v>
      </c>
      <c r="R21" s="47">
        <f t="shared" si="11"/>
        <v>1608.28</v>
      </c>
      <c r="S21" s="47">
        <f t="shared" si="11"/>
        <v>1608.28</v>
      </c>
      <c r="T21" s="47">
        <f t="shared" si="11"/>
        <v>1608.28</v>
      </c>
      <c r="U21" s="47">
        <f t="shared" si="11"/>
        <v>1608.28</v>
      </c>
      <c r="V21" s="47">
        <f t="shared" si="11"/>
        <v>1608.28</v>
      </c>
      <c r="W21" s="47">
        <f t="shared" si="11"/>
        <v>1608.28</v>
      </c>
      <c r="X21" s="47">
        <f t="shared" si="11"/>
        <v>1608.28</v>
      </c>
      <c r="Y21" s="47">
        <f t="shared" si="11"/>
        <v>1608.28</v>
      </c>
    </row>
    <row r="22" spans="5:25" ht="15" customHeight="1" x14ac:dyDescent="0.2">
      <c r="E22" s="2" t="s">
        <v>286</v>
      </c>
      <c r="F22" s="24" t="s">
        <v>25</v>
      </c>
      <c r="G22" s="24"/>
      <c r="H22" s="47">
        <f>H163</f>
        <v>0</v>
      </c>
      <c r="I22" s="47">
        <f t="shared" ref="I22:Y22" si="12">I163</f>
        <v>454.02</v>
      </c>
      <c r="J22" s="47">
        <f t="shared" si="12"/>
        <v>510.3</v>
      </c>
      <c r="K22" s="47">
        <f t="shared" si="12"/>
        <v>559.92999999999995</v>
      </c>
      <c r="L22" s="47">
        <f t="shared" si="12"/>
        <v>601.51</v>
      </c>
      <c r="M22" s="47">
        <f t="shared" si="12"/>
        <v>721.26</v>
      </c>
      <c r="N22" s="47">
        <f t="shared" si="12"/>
        <v>888.6</v>
      </c>
      <c r="O22" s="47">
        <f t="shared" si="12"/>
        <v>1068.1500000000001</v>
      </c>
      <c r="P22" s="47">
        <f t="shared" si="12"/>
        <v>1068.1500000000001</v>
      </c>
      <c r="Q22" s="47">
        <f t="shared" si="12"/>
        <v>1068.1500000000001</v>
      </c>
      <c r="R22" s="47">
        <f t="shared" si="12"/>
        <v>1068.1500000000001</v>
      </c>
      <c r="S22" s="47">
        <f t="shared" si="12"/>
        <v>1068.1500000000001</v>
      </c>
      <c r="T22" s="47">
        <f t="shared" si="12"/>
        <v>1068.1500000000001</v>
      </c>
      <c r="U22" s="47">
        <f>U163</f>
        <v>1068.1500000000001</v>
      </c>
      <c r="V22" s="47">
        <f t="shared" si="12"/>
        <v>1068.1500000000001</v>
      </c>
      <c r="W22" s="47">
        <f>W163</f>
        <v>1068.1500000000001</v>
      </c>
      <c r="X22" s="47">
        <f t="shared" si="12"/>
        <v>1068.1500000000001</v>
      </c>
      <c r="Y22" s="47">
        <f t="shared" si="12"/>
        <v>1068.1500000000001</v>
      </c>
    </row>
    <row r="23" spans="5:25" ht="15" customHeight="1" x14ac:dyDescent="0.2">
      <c r="E23" s="1" t="s">
        <v>253</v>
      </c>
      <c r="F23" s="93" t="s">
        <v>25</v>
      </c>
      <c r="G23" s="93"/>
      <c r="H23" s="94">
        <f>SUM(H17:H22)</f>
        <v>3569.83</v>
      </c>
      <c r="I23" s="94">
        <f t="shared" ref="I23:Y23" si="13">SUM(I17:I22)</f>
        <v>3112.28</v>
      </c>
      <c r="J23" s="94">
        <f t="shared" si="13"/>
        <v>3347.59</v>
      </c>
      <c r="K23" s="94">
        <f t="shared" si="13"/>
        <v>3416.7999999999997</v>
      </c>
      <c r="L23" s="94">
        <f t="shared" si="13"/>
        <v>3701.4400000000005</v>
      </c>
      <c r="M23" s="94">
        <f t="shared" si="13"/>
        <v>4178.1099999999997</v>
      </c>
      <c r="N23" s="94">
        <f t="shared" si="13"/>
        <v>4522.01</v>
      </c>
      <c r="O23" s="94">
        <f t="shared" si="13"/>
        <v>4703.3799999999992</v>
      </c>
      <c r="P23" s="94">
        <f t="shared" si="13"/>
        <v>4756.1433168909425</v>
      </c>
      <c r="Q23" s="94">
        <f t="shared" si="13"/>
        <v>4819.4718163382258</v>
      </c>
      <c r="R23" s="94">
        <f t="shared" si="13"/>
        <v>4882.6397452725087</v>
      </c>
      <c r="S23" s="94">
        <f t="shared" si="13"/>
        <v>4950.6800348653251</v>
      </c>
      <c r="T23" s="94">
        <f t="shared" si="13"/>
        <v>5024.7881183989884</v>
      </c>
      <c r="U23" s="94">
        <f t="shared" si="13"/>
        <v>5100.2035213482814</v>
      </c>
      <c r="V23" s="94">
        <f t="shared" si="13"/>
        <v>5162.7076809313603</v>
      </c>
      <c r="W23" s="94">
        <f t="shared" si="13"/>
        <v>5221.4976458814381</v>
      </c>
      <c r="X23" s="94">
        <f t="shared" si="13"/>
        <v>5295.3055326665271</v>
      </c>
      <c r="Y23" s="94">
        <f t="shared" si="13"/>
        <v>5370.8736198624956</v>
      </c>
    </row>
    <row r="24" spans="5:25" ht="15" customHeight="1" x14ac:dyDescent="0.2">
      <c r="E24" s="1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5:25" s="97" customFormat="1" ht="15" customHeight="1" x14ac:dyDescent="0.2">
      <c r="E25" s="1" t="s">
        <v>147</v>
      </c>
      <c r="F25" s="93" t="s">
        <v>25</v>
      </c>
      <c r="G25" s="93"/>
      <c r="H25" s="68"/>
      <c r="I25" s="96">
        <f t="shared" ref="I25:Y25" si="14">I45-I23</f>
        <v>-2529.3290000000002</v>
      </c>
      <c r="J25" s="96">
        <f t="shared" si="14"/>
        <v>-2716.26</v>
      </c>
      <c r="K25" s="96">
        <f t="shared" si="14"/>
        <v>-2723.8329999999996</v>
      </c>
      <c r="L25" s="96">
        <f t="shared" si="14"/>
        <v>-2942.8760000000007</v>
      </c>
      <c r="M25" s="96">
        <f t="shared" si="14"/>
        <v>-3326.8499999999995</v>
      </c>
      <c r="N25" s="96">
        <f t="shared" si="14"/>
        <v>-3513.6260000000002</v>
      </c>
      <c r="O25" s="96">
        <f t="shared" si="14"/>
        <v>-3501.5649999999991</v>
      </c>
      <c r="P25" s="96">
        <f t="shared" si="14"/>
        <v>-3463.6290480680718</v>
      </c>
      <c r="Q25" s="96">
        <f t="shared" si="14"/>
        <v>-3675.6659408285873</v>
      </c>
      <c r="R25" s="96">
        <f t="shared" si="14"/>
        <v>-3738.6925322648085</v>
      </c>
      <c r="S25" s="96">
        <f t="shared" si="14"/>
        <v>-3804.6355517804509</v>
      </c>
      <c r="T25" s="96">
        <f t="shared" si="14"/>
        <v>-3876.66235630951</v>
      </c>
      <c r="U25" s="96">
        <f t="shared" si="14"/>
        <v>-3952.8231095322358</v>
      </c>
      <c r="V25" s="96">
        <f t="shared" si="14"/>
        <v>-4011.2453820691953</v>
      </c>
      <c r="W25" s="96">
        <f t="shared" si="14"/>
        <v>-4066.9495629284525</v>
      </c>
      <c r="X25" s="96">
        <f t="shared" si="14"/>
        <v>-4137.9533441762469</v>
      </c>
      <c r="Y25" s="96">
        <f t="shared" si="14"/>
        <v>-4211.4867737304312</v>
      </c>
    </row>
    <row r="26" spans="5:25" s="97" customFormat="1" ht="15" customHeight="1" x14ac:dyDescent="0.2">
      <c r="E26" s="18" t="s">
        <v>127</v>
      </c>
      <c r="F26" s="16" t="s">
        <v>7</v>
      </c>
      <c r="G26" s="16"/>
      <c r="H26" s="277"/>
      <c r="I26" s="278">
        <f>IFERROR(I25/I23,"NA")</f>
        <v>-0.81269326667266439</v>
      </c>
      <c r="J26" s="278">
        <f t="shared" ref="J26:Y26" si="15">IFERROR(J25/J23,"NA")</f>
        <v>-0.811407609653512</v>
      </c>
      <c r="K26" s="278">
        <f t="shared" si="15"/>
        <v>-0.79718830484664005</v>
      </c>
      <c r="L26" s="278">
        <f t="shared" si="15"/>
        <v>-0.79506246217688259</v>
      </c>
      <c r="M26" s="278">
        <f t="shared" si="15"/>
        <v>-0.79625715933759511</v>
      </c>
      <c r="N26" s="278">
        <f t="shared" si="15"/>
        <v>-0.77700535823671335</v>
      </c>
      <c r="O26" s="278">
        <f t="shared" si="15"/>
        <v>-0.74447843890989029</v>
      </c>
      <c r="P26" s="278">
        <f t="shared" si="15"/>
        <v>-0.7282432040614415</v>
      </c>
      <c r="Q26" s="278">
        <f t="shared" si="15"/>
        <v>-0.7626698694176226</v>
      </c>
      <c r="R26" s="278">
        <f t="shared" si="15"/>
        <v>-0.76571132160317623</v>
      </c>
      <c r="S26" s="278">
        <f t="shared" si="15"/>
        <v>-0.76850766460085917</v>
      </c>
      <c r="T26" s="278">
        <f t="shared" si="15"/>
        <v>-0.77150762678222196</v>
      </c>
      <c r="U26" s="278">
        <f t="shared" si="15"/>
        <v>-0.77503242625252611</v>
      </c>
      <c r="V26" s="278">
        <f t="shared" si="15"/>
        <v>-0.77696542782867006</v>
      </c>
      <c r="W26" s="278">
        <f t="shared" si="15"/>
        <v>-0.77888564522026382</v>
      </c>
      <c r="X26" s="278">
        <f t="shared" si="15"/>
        <v>-0.78143807163710932</v>
      </c>
      <c r="Y26" s="278">
        <f t="shared" si="15"/>
        <v>-0.78413440192589245</v>
      </c>
    </row>
    <row r="27" spans="5:25" ht="15" customHeight="1" x14ac:dyDescent="0.2">
      <c r="E27" s="2"/>
      <c r="F27" s="24"/>
      <c r="G27" s="24"/>
      <c r="H27" s="34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</row>
    <row r="28" spans="5:25" ht="15" customHeight="1" x14ac:dyDescent="0.2">
      <c r="E28" s="99" t="s">
        <v>254</v>
      </c>
      <c r="F28" s="93"/>
      <c r="G28" s="37"/>
      <c r="H28" s="96"/>
      <c r="I28" s="96"/>
      <c r="J28" s="96"/>
      <c r="K28" s="96"/>
      <c r="L28" s="96"/>
      <c r="M28" s="96"/>
      <c r="N28" s="96"/>
      <c r="P28" s="98"/>
      <c r="Q28" s="96"/>
      <c r="R28" s="96"/>
      <c r="S28" s="96"/>
      <c r="T28" s="96"/>
      <c r="U28" s="96"/>
      <c r="V28" s="96"/>
      <c r="W28" s="96"/>
      <c r="X28" s="96"/>
      <c r="Y28" s="96"/>
    </row>
    <row r="29" spans="5:25" ht="15" customHeight="1" x14ac:dyDescent="0.2">
      <c r="E29" s="2" t="s">
        <v>142</v>
      </c>
      <c r="F29" s="24" t="s">
        <v>7</v>
      </c>
      <c r="G29" s="37"/>
      <c r="H29" s="229"/>
      <c r="I29" s="229">
        <f>IFERROR(I17/H17-1,"NA")</f>
        <v>-1</v>
      </c>
      <c r="J29" s="229" t="str">
        <f t="shared" ref="J29:Y29" si="16">IFERROR(J17/I17-1,"NA")</f>
        <v>NA</v>
      </c>
      <c r="K29" s="229" t="str">
        <f t="shared" si="16"/>
        <v>NA</v>
      </c>
      <c r="L29" s="229" t="str">
        <f t="shared" si="16"/>
        <v>NA</v>
      </c>
      <c r="M29" s="229" t="str">
        <f t="shared" si="16"/>
        <v>NA</v>
      </c>
      <c r="N29" s="229" t="str">
        <f t="shared" si="16"/>
        <v>NA</v>
      </c>
      <c r="O29" s="229" t="str">
        <f t="shared" si="16"/>
        <v>NA</v>
      </c>
      <c r="P29" s="229" t="str">
        <f t="shared" si="16"/>
        <v>NA</v>
      </c>
      <c r="Q29" s="229" t="str">
        <f t="shared" si="16"/>
        <v>NA</v>
      </c>
      <c r="R29" s="229" t="str">
        <f t="shared" si="16"/>
        <v>NA</v>
      </c>
      <c r="S29" s="229" t="str">
        <f t="shared" si="16"/>
        <v>NA</v>
      </c>
      <c r="T29" s="229" t="str">
        <f t="shared" si="16"/>
        <v>NA</v>
      </c>
      <c r="U29" s="229" t="str">
        <f t="shared" si="16"/>
        <v>NA</v>
      </c>
      <c r="V29" s="229" t="str">
        <f t="shared" si="16"/>
        <v>NA</v>
      </c>
      <c r="W29" s="229" t="str">
        <f t="shared" si="16"/>
        <v>NA</v>
      </c>
      <c r="X29" s="229" t="str">
        <f t="shared" si="16"/>
        <v>NA</v>
      </c>
      <c r="Y29" s="229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7"/>
      <c r="H30" s="229"/>
      <c r="I30" s="229">
        <f t="shared" ref="I30:Y30" si="17">IFERROR(I18/H18-1,"NA")</f>
        <v>4.835427061549713E-2</v>
      </c>
      <c r="J30" s="229">
        <f t="shared" si="17"/>
        <v>4.6296649622223907E-2</v>
      </c>
      <c r="K30" s="229">
        <f t="shared" si="17"/>
        <v>2.722539821475789E-2</v>
      </c>
      <c r="L30" s="229">
        <f t="shared" si="17"/>
        <v>8.794369047513384E-2</v>
      </c>
      <c r="M30" s="229">
        <f t="shared" si="17"/>
        <v>0.13179300160723173</v>
      </c>
      <c r="N30" s="229">
        <f t="shared" si="17"/>
        <v>-2.1870607316633595E-2</v>
      </c>
      <c r="O30" s="229">
        <f t="shared" si="17"/>
        <v>-3.7069518243656674E-2</v>
      </c>
      <c r="P30" s="229">
        <f t="shared" si="17"/>
        <v>4.0381840710650652E-2</v>
      </c>
      <c r="Q30" s="229">
        <f t="shared" si="17"/>
        <v>4.0381840710650652E-2</v>
      </c>
      <c r="R30" s="229">
        <f t="shared" si="17"/>
        <v>3.9385286972544842E-2</v>
      </c>
      <c r="S30" s="229">
        <f t="shared" si="17"/>
        <v>3.8521366641334875E-2</v>
      </c>
      <c r="T30" s="229">
        <f t="shared" si="17"/>
        <v>3.9933362694656971E-2</v>
      </c>
      <c r="U30" s="229">
        <f t="shared" si="17"/>
        <v>3.3932071722097445E-2</v>
      </c>
      <c r="V30" s="229">
        <f t="shared" si="17"/>
        <v>2.1699455486455577E-2</v>
      </c>
      <c r="W30" s="229">
        <f t="shared" si="17"/>
        <v>2.7145713336841792E-2</v>
      </c>
      <c r="X30" s="229">
        <f t="shared" si="17"/>
        <v>3.5172617284404017E-2</v>
      </c>
      <c r="Y30" s="229">
        <f t="shared" si="17"/>
        <v>3.4521464356123355E-2</v>
      </c>
    </row>
    <row r="31" spans="5:25" ht="15" customHeight="1" x14ac:dyDescent="0.2">
      <c r="E31" s="2" t="s">
        <v>144</v>
      </c>
      <c r="F31" s="24" t="s">
        <v>7</v>
      </c>
      <c r="G31" s="37"/>
      <c r="H31" s="229"/>
      <c r="I31" s="229">
        <f t="shared" ref="I31:Y31" si="18">IFERROR(I19/H19-1,"NA")</f>
        <v>-3.0363955886467897E-2</v>
      </c>
      <c r="J31" s="229">
        <f t="shared" si="18"/>
        <v>-6.3823614737451573E-3</v>
      </c>
      <c r="K31" s="229">
        <f t="shared" si="18"/>
        <v>-7.0395697272377933E-2</v>
      </c>
      <c r="L31" s="229">
        <f t="shared" si="18"/>
        <v>-3.0779912057394165E-2</v>
      </c>
      <c r="M31" s="229">
        <f t="shared" si="18"/>
        <v>0.17210738163460215</v>
      </c>
      <c r="N31" s="229">
        <f t="shared" si="18"/>
        <v>3.6916316226008661E-2</v>
      </c>
      <c r="O31" s="229">
        <f t="shared" si="18"/>
        <v>1.0861633454953612E-2</v>
      </c>
      <c r="P31" s="229">
        <f t="shared" si="18"/>
        <v>0</v>
      </c>
      <c r="Q31" s="229">
        <f t="shared" si="18"/>
        <v>1.1709057803654277E-2</v>
      </c>
      <c r="R31" s="229">
        <f t="shared" si="18"/>
        <v>1.0245425578197409E-2</v>
      </c>
      <c r="S31" s="229">
        <f t="shared" si="18"/>
        <v>1.550455228946257E-2</v>
      </c>
      <c r="T31" s="229">
        <f t="shared" si="18"/>
        <v>1.7583025670955488E-2</v>
      </c>
      <c r="U31" s="229">
        <f t="shared" si="18"/>
        <v>2.8320556866185509E-2</v>
      </c>
      <c r="V31" s="229">
        <f t="shared" si="18"/>
        <v>3.436592408222916E-2</v>
      </c>
      <c r="W31" s="229">
        <f t="shared" si="18"/>
        <v>1.6392570986177191E-2</v>
      </c>
      <c r="X31" s="229">
        <f t="shared" si="18"/>
        <v>1.6073771968204698E-2</v>
      </c>
      <c r="Y31" s="229">
        <f t="shared" si="18"/>
        <v>1.6765139159607756E-2</v>
      </c>
    </row>
    <row r="32" spans="5:25" ht="15" customHeight="1" x14ac:dyDescent="0.2">
      <c r="E32" s="2" t="s">
        <v>145</v>
      </c>
      <c r="F32" s="24" t="s">
        <v>7</v>
      </c>
      <c r="G32" s="37"/>
      <c r="H32" s="229"/>
      <c r="I32" s="229" t="str">
        <f t="shared" ref="I32:Y32" si="19">IFERROR(I20/H20-1,"NA")</f>
        <v>NA</v>
      </c>
      <c r="J32" s="229" t="str">
        <f t="shared" si="19"/>
        <v>NA</v>
      </c>
      <c r="K32" s="229" t="str">
        <f t="shared" si="19"/>
        <v>NA</v>
      </c>
      <c r="L32" s="229" t="str">
        <f t="shared" si="19"/>
        <v>NA</v>
      </c>
      <c r="M32" s="229" t="str">
        <f t="shared" si="19"/>
        <v>NA</v>
      </c>
      <c r="N32" s="229" t="str">
        <f t="shared" si="19"/>
        <v>NA</v>
      </c>
      <c r="O32" s="229" t="str">
        <f t="shared" si="19"/>
        <v>NA</v>
      </c>
      <c r="P32" s="229" t="str">
        <f t="shared" si="19"/>
        <v>NA</v>
      </c>
      <c r="Q32" s="229" t="str">
        <f t="shared" si="19"/>
        <v>NA</v>
      </c>
      <c r="R32" s="229" t="str">
        <f t="shared" si="19"/>
        <v>NA</v>
      </c>
      <c r="S32" s="229" t="str">
        <f t="shared" si="19"/>
        <v>NA</v>
      </c>
      <c r="T32" s="229" t="str">
        <f t="shared" si="19"/>
        <v>NA</v>
      </c>
      <c r="U32" s="229" t="str">
        <f t="shared" si="19"/>
        <v>NA</v>
      </c>
      <c r="V32" s="229" t="str">
        <f t="shared" si="19"/>
        <v>NA</v>
      </c>
      <c r="W32" s="229" t="str">
        <f t="shared" si="19"/>
        <v>NA</v>
      </c>
      <c r="X32" s="229" t="str">
        <f t="shared" si="19"/>
        <v>NA</v>
      </c>
      <c r="Y32" s="229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7"/>
      <c r="H33" s="229"/>
      <c r="I33" s="229" t="str">
        <f t="shared" ref="I33:Y33" si="20">IFERROR(I21/H21-1,"NA")</f>
        <v>NA</v>
      </c>
      <c r="J33" s="229">
        <f t="shared" si="20"/>
        <v>0.14101288883770113</v>
      </c>
      <c r="K33" s="229">
        <f t="shared" si="20"/>
        <v>3.2603209851620019E-2</v>
      </c>
      <c r="L33" s="229">
        <f t="shared" si="20"/>
        <v>0.14449480138629722</v>
      </c>
      <c r="M33" s="229">
        <f t="shared" si="20"/>
        <v>7.335196832052171E-2</v>
      </c>
      <c r="N33" s="229">
        <f t="shared" si="20"/>
        <v>0.13131795394865353</v>
      </c>
      <c r="O33" s="229">
        <f t="shared" si="20"/>
        <v>2.8377773514930649E-2</v>
      </c>
      <c r="P33" s="229">
        <f t="shared" si="20"/>
        <v>0</v>
      </c>
      <c r="Q33" s="229">
        <f t="shared" si="20"/>
        <v>0</v>
      </c>
      <c r="R33" s="229">
        <f t="shared" si="20"/>
        <v>0</v>
      </c>
      <c r="S33" s="229">
        <f t="shared" si="20"/>
        <v>0</v>
      </c>
      <c r="T33" s="229">
        <f t="shared" si="20"/>
        <v>0</v>
      </c>
      <c r="U33" s="229">
        <f t="shared" si="20"/>
        <v>0</v>
      </c>
      <c r="V33" s="229">
        <f t="shared" si="20"/>
        <v>0</v>
      </c>
      <c r="W33" s="229">
        <f t="shared" si="20"/>
        <v>0</v>
      </c>
      <c r="X33" s="229">
        <f t="shared" si="20"/>
        <v>0</v>
      </c>
      <c r="Y33" s="229">
        <f t="shared" si="20"/>
        <v>0</v>
      </c>
    </row>
    <row r="34" spans="3:25" ht="15" customHeight="1" x14ac:dyDescent="0.2">
      <c r="C34" s="1"/>
      <c r="D34" s="1"/>
      <c r="E34" s="2" t="s">
        <v>286</v>
      </c>
      <c r="F34" s="24"/>
      <c r="G34" s="37"/>
      <c r="H34" s="229"/>
      <c r="I34" s="229" t="str">
        <f>IFERROR(I22/H22-1,"NA")</f>
        <v>NA</v>
      </c>
      <c r="J34" s="229">
        <f t="shared" ref="J34:Y34" si="21">IFERROR(J22/I22-1,"NA")</f>
        <v>0.12395929694727115</v>
      </c>
      <c r="K34" s="229">
        <f t="shared" si="21"/>
        <v>9.7256515775034247E-2</v>
      </c>
      <c r="L34" s="229">
        <f t="shared" si="21"/>
        <v>7.4259282410301442E-2</v>
      </c>
      <c r="M34" s="229">
        <f t="shared" si="21"/>
        <v>0.19908230952103878</v>
      </c>
      <c r="N34" s="229">
        <f t="shared" si="21"/>
        <v>0.23201064803260962</v>
      </c>
      <c r="O34" s="229">
        <f t="shared" si="21"/>
        <v>0.20205941931127613</v>
      </c>
      <c r="P34" s="229">
        <f t="shared" si="21"/>
        <v>0</v>
      </c>
      <c r="Q34" s="229">
        <f t="shared" si="21"/>
        <v>0</v>
      </c>
      <c r="R34" s="229">
        <f t="shared" si="21"/>
        <v>0</v>
      </c>
      <c r="S34" s="229">
        <f t="shared" si="21"/>
        <v>0</v>
      </c>
      <c r="T34" s="229">
        <f t="shared" si="21"/>
        <v>0</v>
      </c>
      <c r="U34" s="229">
        <f t="shared" si="21"/>
        <v>0</v>
      </c>
      <c r="V34" s="229">
        <f t="shared" si="21"/>
        <v>0</v>
      </c>
      <c r="W34" s="229">
        <f t="shared" si="21"/>
        <v>0</v>
      </c>
      <c r="X34" s="229">
        <f t="shared" si="21"/>
        <v>0</v>
      </c>
      <c r="Y34" s="229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100"/>
      <c r="H35" s="272"/>
      <c r="I35" s="272">
        <f>IFERROR(I23/H23-1,"NA")</f>
        <v>-0.12817136950499031</v>
      </c>
      <c r="J35" s="272">
        <f t="shared" ref="J35:Y35" si="22">IFERROR(J23/I23-1,"NA")</f>
        <v>7.5606950531443173E-2</v>
      </c>
      <c r="K35" s="272">
        <f t="shared" si="22"/>
        <v>2.0674574843394744E-2</v>
      </c>
      <c r="L35" s="272">
        <f t="shared" si="22"/>
        <v>8.3306017326153281E-2</v>
      </c>
      <c r="M35" s="272">
        <f t="shared" si="22"/>
        <v>0.12877961009769145</v>
      </c>
      <c r="N35" s="272">
        <f t="shared" si="22"/>
        <v>8.2309943969881338E-2</v>
      </c>
      <c r="O35" s="272">
        <f t="shared" si="22"/>
        <v>4.0108270437261062E-2</v>
      </c>
      <c r="P35" s="272">
        <f t="shared" si="22"/>
        <v>1.1218170101276792E-2</v>
      </c>
      <c r="Q35" s="272">
        <f t="shared" si="22"/>
        <v>1.3315094863180166E-2</v>
      </c>
      <c r="R35" s="272">
        <f t="shared" si="22"/>
        <v>1.3106815713734621E-2</v>
      </c>
      <c r="S35" s="272">
        <f t="shared" si="22"/>
        <v>1.3935144336359118E-2</v>
      </c>
      <c r="T35" s="272">
        <f t="shared" si="22"/>
        <v>1.4969273516315829E-2</v>
      </c>
      <c r="U35" s="272">
        <f t="shared" si="22"/>
        <v>1.5008673236021286E-2</v>
      </c>
      <c r="V35" s="272">
        <f t="shared" si="22"/>
        <v>1.2255228506362625E-2</v>
      </c>
      <c r="W35" s="272">
        <f t="shared" si="22"/>
        <v>1.1387428571100422E-2</v>
      </c>
      <c r="X35" s="272">
        <f t="shared" si="22"/>
        <v>1.4135386394994676E-2</v>
      </c>
      <c r="Y35" s="272">
        <f t="shared" si="22"/>
        <v>1.427076997347787E-2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1"/>
      <c r="L36" s="61"/>
      <c r="M36" s="61"/>
      <c r="N36" s="101"/>
      <c r="O36" s="10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spans="3:25" ht="15" customHeight="1" x14ac:dyDescent="0.2">
      <c r="C37" s="89" t="s">
        <v>265</v>
      </c>
      <c r="D37" s="90"/>
      <c r="E37" s="90"/>
      <c r="F37" s="91"/>
      <c r="G37" s="91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spans="3:25" ht="15" customHeight="1" x14ac:dyDescent="0.2">
      <c r="C38" s="1"/>
      <c r="D38" s="2"/>
      <c r="E38" s="2"/>
      <c r="F38" s="24"/>
      <c r="G38" s="24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7">
        <f t="shared" ref="H39:Y39" si="23">H109</f>
        <v>86.1</v>
      </c>
      <c r="I39" s="47">
        <f t="shared" si="23"/>
        <v>0</v>
      </c>
      <c r="J39" s="47">
        <f t="shared" si="23"/>
        <v>0</v>
      </c>
      <c r="K39" s="47" t="str">
        <f t="shared" si="23"/>
        <v>-</v>
      </c>
      <c r="L39" s="47" t="str">
        <f t="shared" si="23"/>
        <v>-</v>
      </c>
      <c r="M39" s="47" t="str">
        <f t="shared" si="23"/>
        <v>-</v>
      </c>
      <c r="N39" s="47" t="str">
        <f t="shared" si="23"/>
        <v>-</v>
      </c>
      <c r="O39" s="47" t="str">
        <f t="shared" si="23"/>
        <v>-</v>
      </c>
      <c r="P39" s="47">
        <f t="shared" si="23"/>
        <v>0</v>
      </c>
      <c r="Q39" s="47">
        <f t="shared" si="23"/>
        <v>0</v>
      </c>
      <c r="R39" s="47">
        <f t="shared" si="23"/>
        <v>0</v>
      </c>
      <c r="S39" s="47">
        <f t="shared" si="23"/>
        <v>0</v>
      </c>
      <c r="T39" s="47">
        <f t="shared" si="23"/>
        <v>0</v>
      </c>
      <c r="U39" s="47">
        <f t="shared" si="23"/>
        <v>0</v>
      </c>
      <c r="V39" s="47">
        <f t="shared" si="23"/>
        <v>0</v>
      </c>
      <c r="W39" s="47">
        <f t="shared" si="23"/>
        <v>0</v>
      </c>
      <c r="X39" s="47">
        <f t="shared" si="23"/>
        <v>0</v>
      </c>
      <c r="Y39" s="47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7">
        <f>H121</f>
        <v>37.466999999999999</v>
      </c>
      <c r="I40" s="47">
        <f t="shared" ref="I40:Y40" si="24">I121</f>
        <v>47.1</v>
      </c>
      <c r="J40" s="47">
        <f t="shared" si="24"/>
        <v>54.93</v>
      </c>
      <c r="K40" s="47">
        <f t="shared" si="24"/>
        <v>57.85</v>
      </c>
      <c r="L40" s="47">
        <f t="shared" si="24"/>
        <v>63.62</v>
      </c>
      <c r="M40" s="47">
        <f t="shared" si="24"/>
        <v>28.6</v>
      </c>
      <c r="N40" s="47">
        <f t="shared" si="24"/>
        <v>33.9</v>
      </c>
      <c r="O40" s="47">
        <f t="shared" si="24"/>
        <v>35.200000000000003</v>
      </c>
      <c r="P40" s="47">
        <f t="shared" si="24"/>
        <v>46.613268822870573</v>
      </c>
      <c r="Q40" s="47">
        <f t="shared" si="24"/>
        <v>47.986418417099344</v>
      </c>
      <c r="R40" s="47">
        <f t="shared" si="24"/>
        <v>48.395115140966148</v>
      </c>
      <c r="S40" s="47">
        <f t="shared" si="24"/>
        <v>48.195128631910812</v>
      </c>
      <c r="T40" s="47">
        <f t="shared" si="24"/>
        <v>47.817509862656777</v>
      </c>
      <c r="U40" s="47">
        <f t="shared" si="24"/>
        <v>46.975595418531363</v>
      </c>
      <c r="V40" s="47">
        <f t="shared" si="24"/>
        <v>50.442415202737223</v>
      </c>
      <c r="W40" s="47">
        <f t="shared" si="24"/>
        <v>53.167037881134277</v>
      </c>
      <c r="X40" s="47">
        <f t="shared" si="24"/>
        <v>56.057992484034315</v>
      </c>
      <c r="Y40" s="47">
        <f t="shared" si="24"/>
        <v>57.396321664083203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7">
        <f>H133</f>
        <v>28.416</v>
      </c>
      <c r="I41" s="47">
        <f t="shared" ref="I41:Y41" si="25">I133</f>
        <v>29.631</v>
      </c>
      <c r="J41" s="47">
        <f t="shared" si="25"/>
        <v>16.100000000000001</v>
      </c>
      <c r="K41" s="47">
        <f t="shared" si="25"/>
        <v>16.216999999999999</v>
      </c>
      <c r="L41" s="47">
        <f t="shared" si="25"/>
        <v>31.053999999999998</v>
      </c>
      <c r="M41" s="47">
        <f t="shared" si="25"/>
        <v>32.200000000000003</v>
      </c>
      <c r="N41" s="47">
        <f t="shared" si="25"/>
        <v>30.238</v>
      </c>
      <c r="O41" s="47">
        <f t="shared" si="25"/>
        <v>34.234999999999999</v>
      </c>
      <c r="P41" s="47">
        <f t="shared" si="25"/>
        <v>113.74</v>
      </c>
      <c r="Q41" s="47">
        <f t="shared" si="25"/>
        <v>27.669457092539059</v>
      </c>
      <c r="R41" s="47">
        <f t="shared" si="25"/>
        <v>27.402097866734049</v>
      </c>
      <c r="S41" s="47">
        <f t="shared" si="25"/>
        <v>29.699354452963256</v>
      </c>
      <c r="T41" s="47">
        <f t="shared" si="25"/>
        <v>32.158252226821368</v>
      </c>
      <c r="U41" s="47">
        <f t="shared" si="25"/>
        <v>32.254816397514105</v>
      </c>
      <c r="V41" s="47">
        <f t="shared" si="25"/>
        <v>32.869883659427451</v>
      </c>
      <c r="W41" s="47">
        <f t="shared" si="25"/>
        <v>33.231045071851135</v>
      </c>
      <c r="X41" s="47">
        <f t="shared" si="25"/>
        <v>33.144196006245878</v>
      </c>
      <c r="Y41" s="47">
        <f t="shared" si="25"/>
        <v>33.84052446798087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7">
        <f>H145</f>
        <v>0</v>
      </c>
      <c r="I42" s="47">
        <f t="shared" ref="I42:Y42" si="26">I145</f>
        <v>0</v>
      </c>
      <c r="J42" s="47">
        <f t="shared" si="26"/>
        <v>0</v>
      </c>
      <c r="K42" s="47">
        <f t="shared" si="26"/>
        <v>0</v>
      </c>
      <c r="L42" s="47">
        <f t="shared" si="26"/>
        <v>0</v>
      </c>
      <c r="M42" s="47">
        <f t="shared" si="26"/>
        <v>0</v>
      </c>
      <c r="N42" s="47" t="str">
        <f t="shared" si="26"/>
        <v>-</v>
      </c>
      <c r="O42" s="47" t="str">
        <f t="shared" si="26"/>
        <v>-</v>
      </c>
      <c r="P42" s="47">
        <f t="shared" si="26"/>
        <v>0</v>
      </c>
      <c r="Q42" s="47">
        <f t="shared" si="26"/>
        <v>0</v>
      </c>
      <c r="R42" s="47">
        <f t="shared" si="26"/>
        <v>0</v>
      </c>
      <c r="S42" s="47">
        <f t="shared" si="26"/>
        <v>0</v>
      </c>
      <c r="T42" s="47">
        <f t="shared" si="26"/>
        <v>0</v>
      </c>
      <c r="U42" s="47">
        <f t="shared" si="26"/>
        <v>0</v>
      </c>
      <c r="V42" s="47">
        <f t="shared" si="26"/>
        <v>0</v>
      </c>
      <c r="W42" s="47">
        <f t="shared" si="26"/>
        <v>0</v>
      </c>
      <c r="X42" s="47">
        <f t="shared" si="26"/>
        <v>0</v>
      </c>
      <c r="Y42" s="47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7">
        <f t="shared" ref="H43:Y43" si="27">H157</f>
        <v>50.8</v>
      </c>
      <c r="I43" s="47">
        <f t="shared" si="27"/>
        <v>52.2</v>
      </c>
      <c r="J43" s="47">
        <f t="shared" si="27"/>
        <v>50</v>
      </c>
      <c r="K43" s="47">
        <f t="shared" si="27"/>
        <v>58.97</v>
      </c>
      <c r="L43" s="47">
        <f t="shared" si="27"/>
        <v>62.38</v>
      </c>
      <c r="M43" s="47">
        <f t="shared" si="27"/>
        <v>69.2</v>
      </c>
      <c r="N43" s="47">
        <f t="shared" si="27"/>
        <v>55.646000000000001</v>
      </c>
      <c r="O43" s="47">
        <f t="shared" si="27"/>
        <v>64.23</v>
      </c>
      <c r="P43" s="47">
        <f t="shared" si="27"/>
        <v>64.010999999999996</v>
      </c>
      <c r="Q43" s="47">
        <f t="shared" si="27"/>
        <v>0</v>
      </c>
      <c r="R43" s="47">
        <f t="shared" si="27"/>
        <v>0</v>
      </c>
      <c r="S43" s="47">
        <f t="shared" si="27"/>
        <v>0</v>
      </c>
      <c r="T43" s="47">
        <f t="shared" si="27"/>
        <v>0</v>
      </c>
      <c r="U43" s="47">
        <f t="shared" si="27"/>
        <v>0</v>
      </c>
      <c r="V43" s="47">
        <f t="shared" si="27"/>
        <v>0</v>
      </c>
      <c r="W43" s="47">
        <f t="shared" si="27"/>
        <v>0</v>
      </c>
      <c r="X43" s="47">
        <f t="shared" si="27"/>
        <v>0</v>
      </c>
      <c r="Y43" s="47">
        <f t="shared" si="27"/>
        <v>0</v>
      </c>
    </row>
    <row r="44" spans="3:25" ht="15" customHeight="1" x14ac:dyDescent="0.2">
      <c r="C44" s="2"/>
      <c r="D44" s="2"/>
      <c r="E44" s="2" t="s">
        <v>286</v>
      </c>
      <c r="F44" s="24"/>
      <c r="G44" s="24"/>
      <c r="H44" s="47">
        <f>H163</f>
        <v>0</v>
      </c>
      <c r="I44" s="47">
        <f t="shared" ref="I44:Y44" si="28">I163</f>
        <v>454.02</v>
      </c>
      <c r="J44" s="47">
        <f t="shared" si="28"/>
        <v>510.3</v>
      </c>
      <c r="K44" s="47">
        <f t="shared" si="28"/>
        <v>559.92999999999995</v>
      </c>
      <c r="L44" s="47">
        <f t="shared" si="28"/>
        <v>601.51</v>
      </c>
      <c r="M44" s="47">
        <f t="shared" si="28"/>
        <v>721.26</v>
      </c>
      <c r="N44" s="47">
        <f t="shared" si="28"/>
        <v>888.6</v>
      </c>
      <c r="O44" s="47">
        <f t="shared" si="28"/>
        <v>1068.1500000000001</v>
      </c>
      <c r="P44" s="47">
        <f t="shared" si="28"/>
        <v>1068.1500000000001</v>
      </c>
      <c r="Q44" s="47">
        <f t="shared" si="28"/>
        <v>1068.1500000000001</v>
      </c>
      <c r="R44" s="47">
        <f t="shared" si="28"/>
        <v>1068.1500000000001</v>
      </c>
      <c r="S44" s="47">
        <f t="shared" si="28"/>
        <v>1068.1500000000001</v>
      </c>
      <c r="T44" s="47">
        <f t="shared" si="28"/>
        <v>1068.1500000000001</v>
      </c>
      <c r="U44" s="47">
        <f t="shared" si="28"/>
        <v>1068.1500000000001</v>
      </c>
      <c r="V44" s="47">
        <f t="shared" si="28"/>
        <v>1068.1500000000001</v>
      </c>
      <c r="W44" s="47">
        <f t="shared" si="28"/>
        <v>1068.1500000000001</v>
      </c>
      <c r="X44" s="47">
        <f t="shared" si="28"/>
        <v>1068.1500000000001</v>
      </c>
      <c r="Y44" s="47">
        <f t="shared" si="28"/>
        <v>1068.1500000000001</v>
      </c>
    </row>
    <row r="45" spans="3:25" ht="15" customHeight="1" x14ac:dyDescent="0.2">
      <c r="C45" s="1"/>
      <c r="D45" s="1"/>
      <c r="E45" s="1" t="s">
        <v>149</v>
      </c>
      <c r="F45" s="93" t="s">
        <v>25</v>
      </c>
      <c r="G45" s="93"/>
      <c r="H45" s="94">
        <f>SUM(H39:H44)</f>
        <v>202.78300000000002</v>
      </c>
      <c r="I45" s="94">
        <f t="shared" ref="I45:Y45" si="29">SUM(I39:I44)</f>
        <v>582.95100000000002</v>
      </c>
      <c r="J45" s="94">
        <f t="shared" si="29"/>
        <v>631.33000000000004</v>
      </c>
      <c r="K45" s="94">
        <f t="shared" si="29"/>
        <v>692.96699999999998</v>
      </c>
      <c r="L45" s="94">
        <f t="shared" si="29"/>
        <v>758.56399999999996</v>
      </c>
      <c r="M45" s="94">
        <f t="shared" si="29"/>
        <v>851.26</v>
      </c>
      <c r="N45" s="94">
        <f t="shared" si="29"/>
        <v>1008.384</v>
      </c>
      <c r="O45" s="94">
        <f t="shared" si="29"/>
        <v>1201.8150000000001</v>
      </c>
      <c r="P45" s="94">
        <f t="shared" si="29"/>
        <v>1292.5142688228707</v>
      </c>
      <c r="Q45" s="94">
        <f t="shared" si="29"/>
        <v>1143.8058755096386</v>
      </c>
      <c r="R45" s="94">
        <f t="shared" si="29"/>
        <v>1143.9472130077004</v>
      </c>
      <c r="S45" s="94">
        <f t="shared" si="29"/>
        <v>1146.0444830848742</v>
      </c>
      <c r="T45" s="94">
        <f t="shared" si="29"/>
        <v>1148.1257620894783</v>
      </c>
      <c r="U45" s="94">
        <f t="shared" si="29"/>
        <v>1147.3804118160456</v>
      </c>
      <c r="V45" s="94">
        <f t="shared" si="29"/>
        <v>1151.4622988621647</v>
      </c>
      <c r="W45" s="94">
        <f t="shared" si="29"/>
        <v>1154.5480829529856</v>
      </c>
      <c r="X45" s="94">
        <f t="shared" si="29"/>
        <v>1157.3521884902802</v>
      </c>
      <c r="Y45" s="94">
        <f t="shared" si="29"/>
        <v>1159.3868461320642</v>
      </c>
    </row>
    <row r="46" spans="3:25" ht="15" customHeight="1" x14ac:dyDescent="0.2">
      <c r="C46" s="1"/>
      <c r="D46" s="1"/>
      <c r="E46" s="18" t="s">
        <v>127</v>
      </c>
      <c r="F46" s="93" t="s">
        <v>7</v>
      </c>
      <c r="G46" s="93"/>
      <c r="H46" s="95"/>
      <c r="I46" s="106">
        <f>IFERROR((I45/H45)-1,"NA")</f>
        <v>1.8747528145850487</v>
      </c>
      <c r="J46" s="106">
        <f t="shared" ref="J46" si="30">IFERROR((J45/I45)-1,"NA")</f>
        <v>8.2989822472214758E-2</v>
      </c>
      <c r="K46" s="106">
        <f t="shared" ref="K46" si="31">IFERROR((K45/J45)-1,"NA")</f>
        <v>9.7630399315730143E-2</v>
      </c>
      <c r="L46" s="106">
        <f t="shared" ref="L46" si="32">IFERROR((L45/K45)-1,"NA")</f>
        <v>9.4661073326724132E-2</v>
      </c>
      <c r="M46" s="106">
        <f t="shared" ref="M46" si="33">IFERROR((M45/L45)-1,"NA")</f>
        <v>0.12219931343960444</v>
      </c>
      <c r="N46" s="106">
        <f t="shared" ref="N46" si="34">IFERROR((N45/M45)-1,"NA")</f>
        <v>0.18457815473533357</v>
      </c>
      <c r="O46" s="106">
        <f t="shared" ref="O46" si="35">IFERROR((O45/N45)-1,"NA")</f>
        <v>0.19182275799695359</v>
      </c>
      <c r="P46" s="106">
        <f t="shared" ref="P46" si="36">IFERROR((P45/O45)-1,"NA")</f>
        <v>7.5468577795143599E-2</v>
      </c>
      <c r="Q46" s="106">
        <f t="shared" ref="Q46" si="37">IFERROR((Q45/P45)-1,"NA")</f>
        <v>-0.11505357960083884</v>
      </c>
      <c r="R46" s="106">
        <f t="shared" ref="R46" si="38">IFERROR((R45/Q45)-1,"NA")</f>
        <v>1.2356773215449479E-4</v>
      </c>
      <c r="S46" s="106">
        <f t="shared" ref="S46" si="39">IFERROR((S45/R45)-1,"NA")</f>
        <v>1.8333626353785881E-3</v>
      </c>
      <c r="T46" s="106">
        <f t="shared" ref="T46" si="40">IFERROR((T45/S45)-1,"NA")</f>
        <v>1.8160542939849034E-3</v>
      </c>
      <c r="U46" s="106">
        <f t="shared" ref="U46" si="41">IFERROR((U45/T45)-1,"NA")</f>
        <v>-6.49188702182113E-4</v>
      </c>
      <c r="V46" s="106">
        <f t="shared" ref="V46" si="42">IFERROR((V45/U45)-1,"NA")</f>
        <v>3.5575707969934811E-3</v>
      </c>
      <c r="W46" s="106">
        <f t="shared" ref="W46" si="43">IFERROR((W45/V45)-1,"NA")</f>
        <v>2.6798828705638655E-3</v>
      </c>
      <c r="X46" s="106">
        <f t="shared" ref="X46" si="44">IFERROR((X45/W45)-1,"NA")</f>
        <v>2.428747298356404E-3</v>
      </c>
      <c r="Y46" s="106">
        <f t="shared" ref="Y46" si="45">IFERROR((Y45/X45)-1,"NA")</f>
        <v>1.7580280765165934E-3</v>
      </c>
    </row>
    <row r="47" spans="3:25" ht="15" customHeight="1" x14ac:dyDescent="0.2">
      <c r="C47" s="2"/>
      <c r="D47" s="2"/>
      <c r="E47" s="2"/>
      <c r="F47" s="24"/>
      <c r="G47" s="24"/>
      <c r="H47" s="27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9" t="s">
        <v>84</v>
      </c>
      <c r="F48" s="93"/>
      <c r="G48" s="37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7"/>
      <c r="H49" s="229">
        <f t="shared" ref="H49:Y49" si="46">IFERROR(H39/H17,"NA")</f>
        <v>4.5447347585114803E-2</v>
      </c>
      <c r="I49" s="229" t="str">
        <f t="shared" si="46"/>
        <v>NA</v>
      </c>
      <c r="J49" s="229" t="str">
        <f t="shared" si="46"/>
        <v>NA</v>
      </c>
      <c r="K49" s="229" t="str">
        <f t="shared" si="46"/>
        <v>NA</v>
      </c>
      <c r="L49" s="229" t="str">
        <f t="shared" si="46"/>
        <v>NA</v>
      </c>
      <c r="M49" s="229" t="str">
        <f t="shared" si="46"/>
        <v>NA</v>
      </c>
      <c r="N49" s="229" t="str">
        <f t="shared" si="46"/>
        <v>NA</v>
      </c>
      <c r="O49" s="229" t="str">
        <f t="shared" si="46"/>
        <v>NA</v>
      </c>
      <c r="P49" s="229" t="str">
        <f t="shared" si="46"/>
        <v>NA</v>
      </c>
      <c r="Q49" s="229" t="str">
        <f t="shared" si="46"/>
        <v>NA</v>
      </c>
      <c r="R49" s="229" t="str">
        <f t="shared" si="46"/>
        <v>NA</v>
      </c>
      <c r="S49" s="229" t="str">
        <f t="shared" si="46"/>
        <v>NA</v>
      </c>
      <c r="T49" s="229" t="str">
        <f t="shared" si="46"/>
        <v>NA</v>
      </c>
      <c r="U49" s="229" t="str">
        <f t="shared" si="46"/>
        <v>NA</v>
      </c>
      <c r="V49" s="229" t="str">
        <f t="shared" si="46"/>
        <v>NA</v>
      </c>
      <c r="W49" s="229" t="str">
        <f t="shared" si="46"/>
        <v>NA</v>
      </c>
      <c r="X49" s="229" t="str">
        <f t="shared" si="46"/>
        <v>NA</v>
      </c>
      <c r="Y49" s="229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7"/>
      <c r="H50" s="229">
        <f t="shared" ref="H50:Y50" si="47">IFERROR(H40/H18,"NA")</f>
        <v>3.7471084348193955E-2</v>
      </c>
      <c r="I50" s="229">
        <f t="shared" si="47"/>
        <v>4.4932458215675798E-2</v>
      </c>
      <c r="J50" s="229">
        <f t="shared" si="47"/>
        <v>5.0083426789573018E-2</v>
      </c>
      <c r="K50" s="229">
        <f t="shared" si="47"/>
        <v>5.1347824929213672E-2</v>
      </c>
      <c r="L50" s="229">
        <f t="shared" si="47"/>
        <v>5.1904610389080612E-2</v>
      </c>
      <c r="M50" s="229">
        <f t="shared" si="47"/>
        <v>2.0616327266174087E-2</v>
      </c>
      <c r="N50" s="229">
        <f t="shared" si="47"/>
        <v>2.4983233965406693E-2</v>
      </c>
      <c r="O50" s="229">
        <f t="shared" si="47"/>
        <v>2.6939943824094415E-2</v>
      </c>
      <c r="P50" s="229">
        <f t="shared" si="47"/>
        <v>3.4290263199722761E-2</v>
      </c>
      <c r="Q50" s="229">
        <f t="shared" si="47"/>
        <v>3.3930232251210883E-2</v>
      </c>
      <c r="R50" s="229">
        <f t="shared" si="47"/>
        <v>3.2922549435168071E-2</v>
      </c>
      <c r="S50" s="229">
        <f t="shared" si="47"/>
        <v>3.1570367583642962E-2</v>
      </c>
      <c r="T50" s="229">
        <f t="shared" si="47"/>
        <v>3.0120206128955194E-2</v>
      </c>
      <c r="U50" s="229">
        <f t="shared" si="47"/>
        <v>2.8618790143807124E-2</v>
      </c>
      <c r="V50" s="229">
        <f t="shared" si="47"/>
        <v>3.0078189225897705E-2</v>
      </c>
      <c r="W50" s="229">
        <f t="shared" si="47"/>
        <v>3.0864995753307721E-2</v>
      </c>
      <c r="X50" s="229">
        <f t="shared" si="47"/>
        <v>3.1437537628885105E-2</v>
      </c>
      <c r="Y50" s="229">
        <f t="shared" si="47"/>
        <v>3.1113977704270112E-2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7"/>
      <c r="H51" s="229">
        <f t="shared" ref="H51:Y51" si="48">IFERROR(H41/H19,"NA")</f>
        <v>4.2070416425465516E-2</v>
      </c>
      <c r="I51" s="229">
        <f t="shared" si="48"/>
        <v>4.5243003069030278E-2</v>
      </c>
      <c r="J51" s="229">
        <f t="shared" si="48"/>
        <v>2.474068382635421E-2</v>
      </c>
      <c r="K51" s="229">
        <f t="shared" si="48"/>
        <v>2.6807617284358775E-2</v>
      </c>
      <c r="L51" s="229">
        <f t="shared" si="48"/>
        <v>5.2964251603220075E-2</v>
      </c>
      <c r="M51" s="229">
        <f t="shared" si="48"/>
        <v>4.6854764780350104E-2</v>
      </c>
      <c r="N51" s="229">
        <f t="shared" si="48"/>
        <v>4.2433342688745435E-2</v>
      </c>
      <c r="O51" s="229">
        <f t="shared" si="48"/>
        <v>4.7526168198350774E-2</v>
      </c>
      <c r="P51" s="229">
        <f t="shared" si="48"/>
        <v>0.15789765943859843</v>
      </c>
      <c r="Q51" s="229">
        <f t="shared" si="48"/>
        <v>3.7967103665253132E-2</v>
      </c>
      <c r="R51" s="229">
        <f t="shared" si="48"/>
        <v>3.7218918616187188E-2</v>
      </c>
      <c r="S51" s="229">
        <f t="shared" si="48"/>
        <v>3.9723277352300933E-2</v>
      </c>
      <c r="T51" s="229">
        <f t="shared" si="48"/>
        <v>4.226887083695776E-2</v>
      </c>
      <c r="U51" s="229">
        <f t="shared" si="48"/>
        <v>4.122818968496178E-2</v>
      </c>
      <c r="V51" s="229">
        <f t="shared" si="48"/>
        <v>4.061847869371573E-2</v>
      </c>
      <c r="W51" s="229">
        <f t="shared" si="48"/>
        <v>4.0402478143656696E-2</v>
      </c>
      <c r="X51" s="229">
        <f t="shared" si="48"/>
        <v>3.9659410278917805E-2</v>
      </c>
      <c r="Y51" s="229">
        <f t="shared" si="48"/>
        <v>3.9824946509597572E-2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7"/>
      <c r="H52" s="229" t="str">
        <f t="shared" ref="H52:Y52" si="49">IFERROR(H42/H20,"NA")</f>
        <v>NA</v>
      </c>
      <c r="I52" s="229" t="str">
        <f t="shared" si="49"/>
        <v>NA</v>
      </c>
      <c r="J52" s="229" t="str">
        <f t="shared" si="49"/>
        <v>NA</v>
      </c>
      <c r="K52" s="229" t="str">
        <f t="shared" si="49"/>
        <v>NA</v>
      </c>
      <c r="L52" s="229" t="str">
        <f t="shared" si="49"/>
        <v>NA</v>
      </c>
      <c r="M52" s="229" t="str">
        <f t="shared" si="49"/>
        <v>NA</v>
      </c>
      <c r="N52" s="229" t="str">
        <f t="shared" si="49"/>
        <v>NA</v>
      </c>
      <c r="O52" s="229" t="str">
        <f t="shared" si="49"/>
        <v>NA</v>
      </c>
      <c r="P52" s="229" t="str">
        <f t="shared" si="49"/>
        <v>NA</v>
      </c>
      <c r="Q52" s="229" t="str">
        <f t="shared" si="49"/>
        <v>NA</v>
      </c>
      <c r="R52" s="229" t="str">
        <f t="shared" si="49"/>
        <v>NA</v>
      </c>
      <c r="S52" s="229" t="str">
        <f t="shared" si="49"/>
        <v>NA</v>
      </c>
      <c r="T52" s="229" t="str">
        <f t="shared" si="49"/>
        <v>NA</v>
      </c>
      <c r="U52" s="229" t="str">
        <f t="shared" si="49"/>
        <v>NA</v>
      </c>
      <c r="V52" s="229" t="str">
        <f t="shared" si="49"/>
        <v>NA</v>
      </c>
      <c r="W52" s="229" t="str">
        <f t="shared" si="49"/>
        <v>NA</v>
      </c>
      <c r="X52" s="229" t="str">
        <f t="shared" si="49"/>
        <v>NA</v>
      </c>
      <c r="Y52" s="229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7"/>
      <c r="H53" s="229" t="str">
        <f t="shared" ref="H53:Y53" si="50">IFERROR(H43/H21,"NA")</f>
        <v>NA</v>
      </c>
      <c r="I53" s="229">
        <f t="shared" si="50"/>
        <v>5.4654535174695582E-2</v>
      </c>
      <c r="J53" s="229">
        <f t="shared" si="50"/>
        <v>4.5881240995806455E-2</v>
      </c>
      <c r="K53" s="229">
        <f t="shared" si="50"/>
        <v>5.2403803430196391E-2</v>
      </c>
      <c r="L53" s="229">
        <f t="shared" si="50"/>
        <v>4.8435437533970026E-2</v>
      </c>
      <c r="M53" s="229">
        <f t="shared" si="50"/>
        <v>5.0058956719257516E-2</v>
      </c>
      <c r="N53" s="229">
        <f t="shared" si="50"/>
        <v>3.5581558923204804E-2</v>
      </c>
      <c r="O53" s="229">
        <f t="shared" si="50"/>
        <v>3.9937075633596143E-2</v>
      </c>
      <c r="P53" s="229">
        <f t="shared" si="50"/>
        <v>3.9800905314994903E-2</v>
      </c>
      <c r="Q53" s="229">
        <f t="shared" si="50"/>
        <v>0</v>
      </c>
      <c r="R53" s="229">
        <f t="shared" si="50"/>
        <v>0</v>
      </c>
      <c r="S53" s="229">
        <f t="shared" si="50"/>
        <v>0</v>
      </c>
      <c r="T53" s="229">
        <f t="shared" si="50"/>
        <v>0</v>
      </c>
      <c r="U53" s="229">
        <f t="shared" si="50"/>
        <v>0</v>
      </c>
      <c r="V53" s="229">
        <f t="shared" si="50"/>
        <v>0</v>
      </c>
      <c r="W53" s="229">
        <f t="shared" si="50"/>
        <v>0</v>
      </c>
      <c r="X53" s="229">
        <f t="shared" si="50"/>
        <v>0</v>
      </c>
      <c r="Y53" s="229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100"/>
      <c r="H54" s="272">
        <f t="shared" ref="H54:Y54" si="51">IFERROR(H45/H23,"NA")</f>
        <v>5.680466576839794E-2</v>
      </c>
      <c r="I54" s="272">
        <f t="shared" si="51"/>
        <v>0.18730673332733558</v>
      </c>
      <c r="J54" s="272">
        <f t="shared" si="51"/>
        <v>0.18859239034648809</v>
      </c>
      <c r="K54" s="272">
        <f t="shared" si="51"/>
        <v>0.20281169515335989</v>
      </c>
      <c r="L54" s="272">
        <f t="shared" si="51"/>
        <v>0.20493753782311744</v>
      </c>
      <c r="M54" s="272">
        <f t="shared" si="51"/>
        <v>0.20374284066240478</v>
      </c>
      <c r="N54" s="272">
        <f t="shared" si="51"/>
        <v>0.22299464176328668</v>
      </c>
      <c r="O54" s="272">
        <f t="shared" si="51"/>
        <v>0.25552156109010971</v>
      </c>
      <c r="P54" s="272">
        <f t="shared" si="51"/>
        <v>0.2717567959385585</v>
      </c>
      <c r="Q54" s="272">
        <f t="shared" si="51"/>
        <v>0.23733013058237737</v>
      </c>
      <c r="R54" s="272">
        <f t="shared" si="51"/>
        <v>0.2342886783968238</v>
      </c>
      <c r="S54" s="272">
        <f t="shared" si="51"/>
        <v>0.23149233539914085</v>
      </c>
      <c r="T54" s="272">
        <f t="shared" si="51"/>
        <v>0.22849237321777802</v>
      </c>
      <c r="U54" s="272">
        <f t="shared" si="51"/>
        <v>0.22496757374747389</v>
      </c>
      <c r="V54" s="272">
        <f t="shared" si="51"/>
        <v>0.22303457217132991</v>
      </c>
      <c r="W54" s="272">
        <f t="shared" si="51"/>
        <v>0.22111435477973618</v>
      </c>
      <c r="X54" s="272">
        <f t="shared" si="51"/>
        <v>0.21856192836289068</v>
      </c>
      <c r="Y54" s="272">
        <f t="shared" si="51"/>
        <v>0.21586559807410749</v>
      </c>
    </row>
    <row r="55" spans="3:26" ht="15" customHeight="1" x14ac:dyDescent="0.2">
      <c r="C55" s="1"/>
      <c r="D55" s="1"/>
      <c r="E55" s="1"/>
      <c r="F55" s="24"/>
      <c r="G55" s="100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</row>
    <row r="56" spans="3:26" ht="15" customHeight="1" x14ac:dyDescent="0.2">
      <c r="C56" s="89" t="s">
        <v>151</v>
      </c>
      <c r="D56" s="90"/>
      <c r="E56" s="90"/>
      <c r="F56" s="91"/>
      <c r="G56" s="91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spans="3:26" ht="15" customHeight="1" x14ac:dyDescent="0.2">
      <c r="C57" s="1"/>
      <c r="D57" s="1"/>
      <c r="E57" s="1"/>
      <c r="F57" s="24"/>
      <c r="G57" s="100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</row>
    <row r="58" spans="3:26" ht="15" customHeight="1" x14ac:dyDescent="0.2">
      <c r="C58" s="1"/>
      <c r="D58" s="1"/>
      <c r="E58" s="1" t="s">
        <v>152</v>
      </c>
      <c r="F58" s="379" t="s">
        <v>25</v>
      </c>
      <c r="G58" s="378">
        <f>6.78+1.07</f>
        <v>7.8500000000000005</v>
      </c>
      <c r="H58" s="275">
        <f>6.06+1.01</f>
        <v>7.0699999999999994</v>
      </c>
      <c r="I58" s="275">
        <f>5.16+3.25</f>
        <v>8.41</v>
      </c>
      <c r="J58" s="275">
        <f>5.23+3.89</f>
        <v>9.120000000000001</v>
      </c>
      <c r="K58" s="275">
        <f>8.34+4.46</f>
        <v>12.8</v>
      </c>
      <c r="L58" s="275">
        <f>8.11+9.31</f>
        <v>17.420000000000002</v>
      </c>
      <c r="M58" s="275">
        <f>7.87+5.92</f>
        <v>13.79</v>
      </c>
      <c r="N58" s="275">
        <f>7.9+5.68</f>
        <v>13.58</v>
      </c>
      <c r="O58" s="275">
        <f>8.96+5.52</f>
        <v>14.48</v>
      </c>
      <c r="P58" s="275">
        <f>AVERAGE(H58:O58)</f>
        <v>12.083750000000002</v>
      </c>
      <c r="Q58" s="288">
        <f>AVERAGE(O58:P58)</f>
        <v>13.281875000000001</v>
      </c>
      <c r="R58" s="288">
        <f t="shared" ref="R58:Y58" si="52">Q58*(1+R59)</f>
        <v>13.945968750000002</v>
      </c>
      <c r="S58" s="288">
        <f t="shared" si="52"/>
        <v>14.643267187500003</v>
      </c>
      <c r="T58" s="288">
        <f t="shared" si="52"/>
        <v>15.375430546875004</v>
      </c>
      <c r="U58" s="288">
        <f t="shared" si="52"/>
        <v>16.144202074218754</v>
      </c>
      <c r="V58" s="288">
        <f t="shared" si="52"/>
        <v>16.951412177929694</v>
      </c>
      <c r="W58" s="288">
        <f t="shared" si="52"/>
        <v>17.79898278682618</v>
      </c>
      <c r="X58" s="288">
        <f t="shared" si="52"/>
        <v>18.688931926167491</v>
      </c>
      <c r="Y58" s="288">
        <f t="shared" si="52"/>
        <v>19.623378522475868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100"/>
      <c r="H59" s="106">
        <f>IFERROR((H58/G58)-1,"NA")</f>
        <v>-9.9363057324840853E-2</v>
      </c>
      <c r="I59" s="106">
        <f>IFERROR((I58/H58)-1,"NA")</f>
        <v>0.18953323903818964</v>
      </c>
      <c r="J59" s="106">
        <f t="shared" ref="J59" si="53">IFERROR((J58/I58)-1,"NA")</f>
        <v>8.4423305588585018E-2</v>
      </c>
      <c r="K59" s="106">
        <f t="shared" ref="K59" si="54">IFERROR((K58/J58)-1,"NA")</f>
        <v>0.40350877192982448</v>
      </c>
      <c r="L59" s="106">
        <f t="shared" ref="L59" si="55">IFERROR((L58/K58)-1,"NA")</f>
        <v>0.36093750000000013</v>
      </c>
      <c r="M59" s="106">
        <f t="shared" ref="M59" si="56">IFERROR((M58/L58)-1,"NA")</f>
        <v>-0.20838117106773835</v>
      </c>
      <c r="N59" s="106">
        <f t="shared" ref="N59" si="57">IFERROR((N58/M58)-1,"NA")</f>
        <v>-1.5228426395939021E-2</v>
      </c>
      <c r="O59" s="106">
        <f t="shared" ref="O59" si="58">IFERROR((O58/N58)-1,"NA")</f>
        <v>6.6273932253313683E-2</v>
      </c>
      <c r="P59" s="106">
        <f t="shared" ref="P59" si="59">IFERROR((P58/O58)-1,"NA")</f>
        <v>-0.16548687845303856</v>
      </c>
      <c r="Q59" s="279">
        <v>0.05</v>
      </c>
      <c r="R59" s="279">
        <v>0.05</v>
      </c>
      <c r="S59" s="279">
        <v>0.05</v>
      </c>
      <c r="T59" s="279">
        <v>0.05</v>
      </c>
      <c r="U59" s="279">
        <v>0.05</v>
      </c>
      <c r="V59" s="279">
        <v>0.05</v>
      </c>
      <c r="W59" s="279">
        <v>0.05</v>
      </c>
      <c r="X59" s="279">
        <v>0.05</v>
      </c>
      <c r="Y59" s="279">
        <v>0.05</v>
      </c>
      <c r="Z59" s="280"/>
    </row>
    <row r="60" spans="3:26" ht="15" customHeight="1" x14ac:dyDescent="0.2">
      <c r="C60" s="1"/>
      <c r="D60" s="1"/>
      <c r="E60" s="30"/>
      <c r="F60" s="24"/>
      <c r="G60" s="100"/>
      <c r="H60" s="103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</row>
    <row r="61" spans="3:26" ht="15" customHeight="1" x14ac:dyDescent="0.2">
      <c r="C61" s="89" t="s">
        <v>264</v>
      </c>
      <c r="D61" s="90"/>
      <c r="E61" s="90"/>
      <c r="F61" s="91"/>
      <c r="G61" s="91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spans="3:26" ht="15" customHeight="1" x14ac:dyDescent="0.2">
      <c r="C62" s="1"/>
      <c r="D62" s="2"/>
      <c r="E62" s="2"/>
      <c r="F62" s="24"/>
      <c r="G62" s="24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 spans="3:26" ht="15" customHeight="1" x14ac:dyDescent="0.2">
      <c r="C63" s="1"/>
      <c r="D63" s="1"/>
      <c r="E63" s="1" t="s">
        <v>150</v>
      </c>
      <c r="F63" s="93" t="s">
        <v>25</v>
      </c>
      <c r="G63" s="93"/>
      <c r="H63" s="380">
        <f>H45-H58</f>
        <v>195.71300000000002</v>
      </c>
      <c r="I63" s="94">
        <f>I45-I58</f>
        <v>574.54100000000005</v>
      </c>
      <c r="J63" s="94">
        <f t="shared" ref="J63:Y63" si="60">J45-J58</f>
        <v>622.21</v>
      </c>
      <c r="K63" s="94">
        <f t="shared" si="60"/>
        <v>680.16700000000003</v>
      </c>
      <c r="L63" s="94">
        <f t="shared" si="60"/>
        <v>741.14400000000001</v>
      </c>
      <c r="M63" s="94">
        <f t="shared" si="60"/>
        <v>837.47</v>
      </c>
      <c r="N63" s="94">
        <f t="shared" si="60"/>
        <v>994.80399999999997</v>
      </c>
      <c r="O63" s="94">
        <f t="shared" si="60"/>
        <v>1187.335</v>
      </c>
      <c r="P63" s="94">
        <f t="shared" si="60"/>
        <v>1280.4305188228707</v>
      </c>
      <c r="Q63" s="94">
        <f t="shared" si="60"/>
        <v>1130.5240005096387</v>
      </c>
      <c r="R63" s="94">
        <f t="shared" si="60"/>
        <v>1130.0012442577004</v>
      </c>
      <c r="S63" s="94">
        <f t="shared" si="60"/>
        <v>1131.4012158973742</v>
      </c>
      <c r="T63" s="94">
        <f t="shared" si="60"/>
        <v>1132.7503315426034</v>
      </c>
      <c r="U63" s="94">
        <f t="shared" si="60"/>
        <v>1131.2362097418268</v>
      </c>
      <c r="V63" s="94">
        <f t="shared" si="60"/>
        <v>1134.5108866842349</v>
      </c>
      <c r="W63" s="94">
        <f t="shared" si="60"/>
        <v>1136.7491001661595</v>
      </c>
      <c r="X63" s="94">
        <f t="shared" si="60"/>
        <v>1138.6632565641128</v>
      </c>
      <c r="Y63" s="94">
        <f t="shared" si="60"/>
        <v>1139.7634676095884</v>
      </c>
    </row>
    <row r="64" spans="3:26" ht="15" customHeight="1" x14ac:dyDescent="0.2">
      <c r="C64" s="2"/>
      <c r="D64" s="2"/>
      <c r="E64" s="276" t="s">
        <v>127</v>
      </c>
      <c r="F64" s="104" t="s">
        <v>7</v>
      </c>
      <c r="G64" s="104"/>
      <c r="H64" s="72"/>
      <c r="I64" s="106">
        <f>IFERROR((I63/H63)-1,"NA")</f>
        <v>1.9356302340672311</v>
      </c>
      <c r="J64" s="106">
        <f t="shared" ref="J64" si="61">IFERROR((J63/I63)-1,"NA")</f>
        <v>8.2968839473597233E-2</v>
      </c>
      <c r="K64" s="106">
        <f t="shared" ref="K64" si="62">IFERROR((K63/J63)-1,"NA")</f>
        <v>9.3147008244804708E-2</v>
      </c>
      <c r="L64" s="106">
        <f t="shared" ref="L64" si="63">IFERROR((L63/K63)-1,"NA")</f>
        <v>8.9650041827962879E-2</v>
      </c>
      <c r="M64" s="106">
        <f t="shared" ref="M64" si="64">IFERROR((M63/L63)-1,"NA")</f>
        <v>0.12996934468875154</v>
      </c>
      <c r="N64" s="106">
        <f t="shared" ref="N64" si="65">IFERROR((N63/M63)-1,"NA")</f>
        <v>0.18786822214527077</v>
      </c>
      <c r="O64" s="106">
        <f t="shared" ref="O64" si="66">IFERROR((O63/N63)-1,"NA")</f>
        <v>0.19353661625807694</v>
      </c>
      <c r="P64" s="106">
        <f t="shared" ref="P64" si="67">IFERROR((P63/O63)-1,"NA")</f>
        <v>7.8407120840260358E-2</v>
      </c>
      <c r="Q64" s="106">
        <f t="shared" ref="Q64" si="68">IFERROR((Q63/P63)-1,"NA")</f>
        <v>-0.11707509006505445</v>
      </c>
      <c r="R64" s="106">
        <f t="shared" ref="R64" si="69">IFERROR((R63/Q63)-1,"NA")</f>
        <v>-4.6240172849287831E-4</v>
      </c>
      <c r="S64" s="106">
        <f t="shared" ref="S64" si="70">IFERROR((S63/R63)-1,"NA")</f>
        <v>1.238911591281866E-3</v>
      </c>
      <c r="T64" s="106">
        <f t="shared" ref="T64" si="71">IFERROR((T63/S63)-1,"NA")</f>
        <v>1.1924290218825462E-3</v>
      </c>
      <c r="U64" s="106">
        <f t="shared" ref="U64" si="72">IFERROR((U63/T63)-1,"NA")</f>
        <v>-1.3366774289217398E-3</v>
      </c>
      <c r="V64" s="106">
        <f t="shared" ref="V64" si="73">IFERROR((V63/U63)-1,"NA")</f>
        <v>2.8947773366938545E-3</v>
      </c>
      <c r="W64" s="106">
        <f t="shared" ref="W64" si="74">IFERROR((W63/V63)-1,"NA")</f>
        <v>1.9728444285500579E-3</v>
      </c>
      <c r="X64" s="106">
        <f t="shared" ref="X64" si="75">IFERROR((X63/W63)-1,"NA")</f>
        <v>1.6838864422004107E-3</v>
      </c>
      <c r="Y64" s="106">
        <f t="shared" ref="Y64" si="76">IFERROR((Y63/X63)-1,"NA")</f>
        <v>9.662303926407656E-4</v>
      </c>
    </row>
    <row r="66" spans="3:32" ht="15" customHeight="1" x14ac:dyDescent="0.2">
      <c r="C66" s="1"/>
      <c r="D66" s="1"/>
      <c r="E66" s="99" t="s">
        <v>84</v>
      </c>
      <c r="F66" s="93"/>
      <c r="G66" s="37"/>
      <c r="H66" s="96"/>
      <c r="I66" s="96"/>
      <c r="J66" s="96"/>
      <c r="K66" s="98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100"/>
      <c r="H67" s="272">
        <f t="shared" ref="H67:Y67" si="77">H63 / H23</f>
        <v>5.4824179302655873E-2</v>
      </c>
      <c r="I67" s="272">
        <f t="shared" si="77"/>
        <v>0.18460453429640009</v>
      </c>
      <c r="J67" s="272">
        <f t="shared" si="77"/>
        <v>0.18586804238272908</v>
      </c>
      <c r="K67" s="272">
        <f t="shared" si="77"/>
        <v>0.19906549988293143</v>
      </c>
      <c r="L67" s="272">
        <f t="shared" si="77"/>
        <v>0.20023126134693522</v>
      </c>
      <c r="M67" s="272">
        <f t="shared" si="77"/>
        <v>0.20044230525285359</v>
      </c>
      <c r="N67" s="272">
        <f t="shared" si="77"/>
        <v>0.21999155242911889</v>
      </c>
      <c r="O67" s="272">
        <f t="shared" si="77"/>
        <v>0.25244292402485025</v>
      </c>
      <c r="P67" s="272">
        <f t="shared" si="77"/>
        <v>0.26921613448349135</v>
      </c>
      <c r="Q67" s="272">
        <f t="shared" si="77"/>
        <v>0.23457425286254638</v>
      </c>
      <c r="R67" s="272">
        <f t="shared" si="77"/>
        <v>0.23143244294273302</v>
      </c>
      <c r="S67" s="272">
        <f t="shared" si="77"/>
        <v>0.22853450595260538</v>
      </c>
      <c r="T67" s="272">
        <f t="shared" si="77"/>
        <v>0.22543245702139642</v>
      </c>
      <c r="U67" s="272">
        <f t="shared" si="77"/>
        <v>0.2218021702480561</v>
      </c>
      <c r="V67" s="272">
        <f t="shared" si="77"/>
        <v>0.21975113773622904</v>
      </c>
      <c r="W67" s="272">
        <f t="shared" si="77"/>
        <v>0.21770556596205559</v>
      </c>
      <c r="X67" s="272">
        <f t="shared" si="77"/>
        <v>0.21503258868440073</v>
      </c>
      <c r="Y67" s="272">
        <f t="shared" si="77"/>
        <v>0.21221193203923655</v>
      </c>
    </row>
    <row r="68" spans="3:32" ht="15" customHeight="1" x14ac:dyDescent="0.2">
      <c r="C68" s="1"/>
      <c r="D68" s="1"/>
      <c r="E68" s="30"/>
      <c r="F68" s="24"/>
      <c r="G68" s="100"/>
      <c r="H68" s="103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</row>
    <row r="69" spans="3:32" ht="15" customHeight="1" x14ac:dyDescent="0.2">
      <c r="C69" s="89" t="s">
        <v>153</v>
      </c>
      <c r="D69" s="90"/>
      <c r="E69" s="90"/>
      <c r="F69" s="91"/>
      <c r="G69" s="91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spans="3:32" ht="15" customHeight="1" x14ac:dyDescent="0.2">
      <c r="C70" s="1"/>
      <c r="D70" s="1"/>
      <c r="E70" s="1"/>
      <c r="F70" s="24"/>
      <c r="G70" s="100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</row>
    <row r="71" spans="3:32" ht="15" customHeight="1" x14ac:dyDescent="0.2">
      <c r="C71" s="1"/>
      <c r="D71" s="1"/>
      <c r="E71" s="1" t="s">
        <v>154</v>
      </c>
      <c r="F71" s="93" t="s">
        <v>25</v>
      </c>
      <c r="G71" s="93"/>
      <c r="H71" s="94">
        <f>SUM(H45,H58)*'&gt;&gt; Dash'!$F$38</f>
        <v>59.388399</v>
      </c>
      <c r="I71" s="94">
        <f>SUM(I45,I58)*'&gt;&gt; Dash'!$F$38</f>
        <v>167.35516299999998</v>
      </c>
      <c r="J71" s="94">
        <f>SUM(J45,J58)*'&gt;&gt; Dash'!$F$38</f>
        <v>181.24734999999998</v>
      </c>
      <c r="K71" s="94">
        <f>SUM(K45,K58)*'&gt;&gt; Dash'!$F$38</f>
        <v>199.73206099999996</v>
      </c>
      <c r="L71" s="94">
        <f>SUM(L45,L58)*'&gt;&gt; Dash'!$F$38</f>
        <v>219.60347199999995</v>
      </c>
      <c r="M71" s="94">
        <f>SUM(M45,M58)*'&gt;&gt; Dash'!$F$38</f>
        <v>244.80914999999996</v>
      </c>
      <c r="N71" s="94">
        <f>SUM(N45,N58)*'&gt;&gt; Dash'!$F$38</f>
        <v>289.21581199999997</v>
      </c>
      <c r="O71" s="94">
        <f>SUM(O45,O58)*'&gt;&gt; Dash'!$F$38</f>
        <v>344.21148499999998</v>
      </c>
      <c r="P71" s="94">
        <f>SUM(P45,P58)*'&gt;&gt; Dash'!$F$38</f>
        <v>369.20123932687238</v>
      </c>
      <c r="Q71" s="94">
        <f>SUM(Q45,Q58)*'&gt;&gt; Dash'!$F$38</f>
        <v>327.45583339422762</v>
      </c>
      <c r="R71" s="94">
        <f>SUM(R45,R58)*'&gt;&gt; Dash'!$F$38</f>
        <v>327.68377043742919</v>
      </c>
      <c r="S71" s="94">
        <f>SUM(S45,S58)*'&gt;&gt; Dash'!$F$38</f>
        <v>328.47463332708185</v>
      </c>
      <c r="T71" s="94">
        <f>SUM(T45,T58)*'&gt;&gt; Dash'!$F$38</f>
        <v>329.27083751608791</v>
      </c>
      <c r="U71" s="94">
        <f>SUM(U45,U58)*'&gt;&gt; Dash'!$F$38</f>
        <v>329.27746573094481</v>
      </c>
      <c r="V71" s="94">
        <f>SUM(V45,V58)*'&gt;&gt; Dash'!$F$38</f>
        <v>330.66108022434673</v>
      </c>
      <c r="W71" s="94">
        <f>SUM(W45,W58)*'&gt;&gt; Dash'!$F$38</f>
        <v>331.77421960436669</v>
      </c>
      <c r="X71" s="94">
        <f>SUM(X45,X58)*'&gt;&gt; Dash'!$F$38</f>
        <v>332.81963707785468</v>
      </c>
      <c r="Y71" s="94">
        <f>SUM(Y45,Y58)*'&gt;&gt; Dash'!$F$38</f>
        <v>333.65989357723481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100"/>
      <c r="H72" s="103"/>
      <c r="I72" s="106">
        <f>IFERROR((I71/H71)-1,"NA")</f>
        <v>1.8179773460469946</v>
      </c>
      <c r="J72" s="106">
        <f t="shared" ref="J72" si="78">IFERROR((J71/I71)-1,"NA")</f>
        <v>8.3010208654273887E-2</v>
      </c>
      <c r="K72" s="106">
        <f t="shared" ref="K72" si="79">IFERROR((K71/J71)-1,"NA")</f>
        <v>0.10198610352096171</v>
      </c>
      <c r="L72" s="106">
        <f t="shared" ref="L72" si="80">IFERROR((L71/K71)-1,"NA")</f>
        <v>9.9490341713341701E-2</v>
      </c>
      <c r="M72" s="106">
        <f t="shared" ref="M72" si="81">IFERROR((M71/L71)-1,"NA")</f>
        <v>0.11477813975545903</v>
      </c>
      <c r="N72" s="106">
        <f t="shared" ref="N72" si="82">IFERROR((N71/M71)-1,"NA")</f>
        <v>0.18139298306456286</v>
      </c>
      <c r="O72" s="106">
        <f t="shared" ref="O72" si="83">IFERROR((O71/N71)-1,"NA")</f>
        <v>0.19015444771048684</v>
      </c>
      <c r="P72" s="106">
        <f t="shared" ref="P72" si="84">IFERROR((P71/O71)-1,"NA")</f>
        <v>7.26000014987076E-2</v>
      </c>
      <c r="Q72" s="106">
        <f t="shared" ref="Q72" si="85">IFERROR((Q71/P71)-1,"NA")</f>
        <v>-0.11306951734169413</v>
      </c>
      <c r="R72" s="106">
        <f t="shared" ref="R72" si="86">IFERROR((R71/Q71)-1,"NA")</f>
        <v>6.9608484551619831E-4</v>
      </c>
      <c r="S72" s="106">
        <f t="shared" ref="S72" si="87">IFERROR((S71/R71)-1,"NA")</f>
        <v>2.4134942313345231E-3</v>
      </c>
      <c r="T72" s="106">
        <f t="shared" ref="T72" si="88">IFERROR((T71/S71)-1,"NA")</f>
        <v>2.4239442204148087E-3</v>
      </c>
      <c r="U72" s="106">
        <f t="shared" ref="U72" si="89">IFERROR((U71/T71)-1,"NA")</f>
        <v>2.0129978430150075E-5</v>
      </c>
      <c r="V72" s="106">
        <f t="shared" ref="V72" si="90">IFERROR((V71/U71)-1,"NA")</f>
        <v>4.2019713991983121E-3</v>
      </c>
      <c r="W72" s="106">
        <f t="shared" ref="W72" si="91">IFERROR((W71/V71)-1,"NA")</f>
        <v>3.3664058051969814E-3</v>
      </c>
      <c r="X72" s="106">
        <f t="shared" ref="X72" si="92">IFERROR((X71/W71)-1,"NA")</f>
        <v>3.1509906789461972E-3</v>
      </c>
      <c r="Y72" s="106">
        <f t="shared" ref="Y72" si="93">IFERROR((Y71/X71)-1,"NA")</f>
        <v>2.5246602236501658E-3</v>
      </c>
    </row>
    <row r="73" spans="3:32" ht="15" customHeight="1" x14ac:dyDescent="0.2">
      <c r="C73" s="1"/>
      <c r="D73" s="1"/>
      <c r="E73" s="30"/>
      <c r="F73" s="24"/>
      <c r="G73" s="100"/>
      <c r="H73" s="103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3:32" ht="15" customHeight="1" x14ac:dyDescent="0.2">
      <c r="C74" s="89" t="s">
        <v>155</v>
      </c>
      <c r="D74" s="90"/>
      <c r="E74" s="90"/>
      <c r="F74" s="91"/>
      <c r="G74" s="91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spans="3:32" ht="15" customHeight="1" x14ac:dyDescent="0.2">
      <c r="C75" s="1"/>
      <c r="D75" s="1"/>
      <c r="E75" s="1"/>
      <c r="F75" s="24"/>
      <c r="G75" s="100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100"/>
      <c r="H76" s="282">
        <f>'&gt;&gt; Fin Stmts'!H18</f>
        <v>115.17</v>
      </c>
      <c r="I76" s="282">
        <f>'&gt;&gt; Fin Stmts'!I18</f>
        <v>125.48</v>
      </c>
      <c r="J76" s="282">
        <f>'&gt;&gt; Fin Stmts'!J18</f>
        <v>135.72999999999999</v>
      </c>
      <c r="K76" s="282">
        <f>'&gt;&gt; Fin Stmts'!K18</f>
        <v>130.13</v>
      </c>
      <c r="L76" s="282">
        <f>'&gt;&gt; Fin Stmts'!L18</f>
        <v>94.42</v>
      </c>
      <c r="M76" s="282">
        <f>'&gt;&gt; Fin Stmts'!M18</f>
        <v>91.96</v>
      </c>
      <c r="N76" s="282">
        <f>'&gt;&gt; Fin Stmts'!N18</f>
        <v>265.83</v>
      </c>
      <c r="O76" s="282">
        <f>'&gt;&gt; Fin Stmts'!O18</f>
        <v>408.55</v>
      </c>
      <c r="P76" s="281">
        <f t="shared" ref="P76:Y76" ca="1" si="94">O76*(1+P77)</f>
        <v>627.89415227777158</v>
      </c>
      <c r="Q76" s="281">
        <f t="shared" ca="1" si="94"/>
        <v>627.89415227777158</v>
      </c>
      <c r="R76" s="281">
        <f t="shared" ca="1" si="94"/>
        <v>627.89415227777158</v>
      </c>
      <c r="S76" s="281">
        <f t="shared" ca="1" si="94"/>
        <v>627.89415227777158</v>
      </c>
      <c r="T76" s="281">
        <f t="shared" ca="1" si="94"/>
        <v>627.89415227777158</v>
      </c>
      <c r="U76" s="281">
        <f t="shared" ca="1" si="94"/>
        <v>627.89415227777158</v>
      </c>
      <c r="V76" s="281">
        <f t="shared" ca="1" si="94"/>
        <v>627.89415227777158</v>
      </c>
      <c r="W76" s="281">
        <f t="shared" ca="1" si="94"/>
        <v>627.89415227777158</v>
      </c>
      <c r="X76" s="281">
        <f t="shared" ca="1" si="94"/>
        <v>627.89415227777158</v>
      </c>
      <c r="Y76" s="281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100"/>
      <c r="H77" s="106"/>
      <c r="I77" s="106">
        <f>IFERROR((I76/H76)-1,"NA")</f>
        <v>8.9519840236172543E-2</v>
      </c>
      <c r="J77" s="106">
        <f t="shared" ref="J77:P77" si="95">IFERROR((J76/I76)-1,"NA")</f>
        <v>8.1686324513866593E-2</v>
      </c>
      <c r="K77" s="106">
        <f t="shared" si="95"/>
        <v>-4.1258380608561129E-2</v>
      </c>
      <c r="L77" s="106">
        <f t="shared" si="95"/>
        <v>-0.27441788980250514</v>
      </c>
      <c r="M77" s="106">
        <f t="shared" si="95"/>
        <v>-2.6053802160559303E-2</v>
      </c>
      <c r="N77" s="106">
        <f t="shared" si="95"/>
        <v>1.8907133536320138</v>
      </c>
      <c r="O77" s="106">
        <f t="shared" si="95"/>
        <v>0.53688447504043957</v>
      </c>
      <c r="P77" s="106">
        <f t="shared" ca="1" si="95"/>
        <v>0.53688447504043957</v>
      </c>
      <c r="Q77" s="306">
        <v>0</v>
      </c>
      <c r="R77" s="306">
        <v>0</v>
      </c>
      <c r="S77" s="306">
        <v>0</v>
      </c>
      <c r="T77" s="306">
        <v>0</v>
      </c>
      <c r="U77" s="306">
        <v>0</v>
      </c>
      <c r="V77" s="306">
        <v>0</v>
      </c>
      <c r="W77" s="306">
        <v>0</v>
      </c>
      <c r="X77" s="306">
        <v>0</v>
      </c>
      <c r="Y77" s="307">
        <v>0</v>
      </c>
    </row>
    <row r="79" spans="3:32" ht="15" customHeight="1" x14ac:dyDescent="0.2">
      <c r="C79" s="89" t="s">
        <v>157</v>
      </c>
      <c r="D79" s="90"/>
      <c r="E79" s="90"/>
      <c r="F79" s="91"/>
      <c r="G79" s="91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spans="3:32" ht="15" customHeight="1" x14ac:dyDescent="0.2">
      <c r="C80" s="1"/>
      <c r="D80" s="1"/>
      <c r="E80" s="1"/>
      <c r="F80" s="24"/>
      <c r="G80" s="100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AE80" s="97"/>
      <c r="AF80" s="97"/>
    </row>
    <row r="81" spans="3:27" ht="15" customHeight="1" x14ac:dyDescent="0.2">
      <c r="C81" s="1"/>
      <c r="D81" s="308"/>
      <c r="E81" s="1" t="s">
        <v>180</v>
      </c>
      <c r="F81" s="93" t="s">
        <v>25</v>
      </c>
      <c r="G81" s="100"/>
      <c r="H81" s="325">
        <f>'&gt;&gt; Fin Stmts'!H24</f>
        <v>-2369.8451999999997</v>
      </c>
      <c r="I81" s="325">
        <f>'&gt;&gt; Fin Stmts'!I24</f>
        <v>-2019.0212000000004</v>
      </c>
      <c r="J81" s="325">
        <f>'&gt;&gt; Fin Stmts'!J24</f>
        <v>-2170.5768000000003</v>
      </c>
      <c r="K81" s="325">
        <f>'&gt;&gt; Fin Stmts'!K24</f>
        <v>-2208.3275999999996</v>
      </c>
      <c r="L81" s="325">
        <f>'&gt;&gt; Fin Stmts'!L24</f>
        <v>-2412.7667999999999</v>
      </c>
      <c r="M81" s="325">
        <f>'&gt;&gt; Fin Stmts'!M24</f>
        <v>-2752.9091999999996</v>
      </c>
      <c r="N81" s="325">
        <f>'&gt;&gt; Fin Stmts'!N24</f>
        <v>-2866.5844000000002</v>
      </c>
      <c r="O81" s="325">
        <f>'&gt;&gt; Fin Stmts'!O24</f>
        <v>-2906.9411999999993</v>
      </c>
      <c r="P81" s="325">
        <f ca="1">'&gt;&gt; Fin Stmts'!P24</f>
        <v>2862.1524339955831</v>
      </c>
      <c r="Q81" s="325">
        <f ca="1">'&gt;&gt; Fin Stmts'!Q24</f>
        <v>2905.534999032117</v>
      </c>
      <c r="R81" s="325">
        <f ca="1">'&gt;&gt; Fin Stmts'!R24</f>
        <v>2949.1898820555448</v>
      </c>
      <c r="S81" s="325">
        <f ca="1">'&gt;&gt; Fin Stmts'!S24</f>
        <v>2996.2249908660388</v>
      </c>
      <c r="T81" s="325">
        <f ca="1">'&gt;&gt; Fin Stmts'!T24</f>
        <v>3047.4743338830226</v>
      </c>
      <c r="U81" s="325">
        <f ca="1">'&gt;&gt; Fin Stmts'!U24</f>
        <v>3099.6106933950737</v>
      </c>
      <c r="V81" s="325">
        <f ca="1">'&gt;&gt; Fin Stmts'!V24</f>
        <v>3142.6987822323244</v>
      </c>
      <c r="W81" s="325">
        <f ca="1">'&gt;&gt; Fin Stmts'!W24</f>
        <v>3183.1628449164082</v>
      </c>
      <c r="X81" s="325">
        <f ca="1">'&gt;&gt; Fin Stmts'!X24</f>
        <v>3234.0888461160143</v>
      </c>
      <c r="Y81" s="325">
        <f ca="1">'&gt;&gt; Fin Stmts'!Y24</f>
        <v>3286.2125942570437</v>
      </c>
    </row>
    <row r="82" spans="3:27" ht="15" customHeight="1" x14ac:dyDescent="0.2">
      <c r="C82" s="1"/>
      <c r="D82" s="1"/>
      <c r="E82" s="1"/>
      <c r="F82" s="93"/>
      <c r="G82" s="100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</row>
    <row r="83" spans="3:27" ht="15" customHeight="1" x14ac:dyDescent="0.2">
      <c r="C83" s="1"/>
      <c r="D83" s="1"/>
      <c r="E83" s="99" t="s">
        <v>84</v>
      </c>
      <c r="F83" s="93"/>
      <c r="G83" s="100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100"/>
      <c r="H84" s="272">
        <f t="shared" ref="H84:Y84" si="96">H81/H23</f>
        <v>-0.66385379695951907</v>
      </c>
      <c r="I84" s="272">
        <f t="shared" si="96"/>
        <v>-0.64872736386186336</v>
      </c>
      <c r="J84" s="272">
        <f t="shared" si="96"/>
        <v>-0.64839983391036538</v>
      </c>
      <c r="K84" s="272">
        <f t="shared" si="96"/>
        <v>-0.64631456333411375</v>
      </c>
      <c r="L84" s="272">
        <f t="shared" si="96"/>
        <v>-0.65184544393533317</v>
      </c>
      <c r="M84" s="272">
        <f t="shared" si="96"/>
        <v>-0.65888863624940464</v>
      </c>
      <c r="N84" s="272">
        <f t="shared" si="96"/>
        <v>-0.63391819124681281</v>
      </c>
      <c r="O84" s="272">
        <f t="shared" si="96"/>
        <v>-0.61805365503106269</v>
      </c>
      <c r="P84" s="272">
        <f t="shared" ca="1" si="96"/>
        <v>0.60178010696838125</v>
      </c>
      <c r="Q84" s="272">
        <f t="shared" ca="1" si="96"/>
        <v>0.60287415504375874</v>
      </c>
      <c r="R84" s="272">
        <f t="shared" ca="1" si="96"/>
        <v>0.60401545801346956</v>
      </c>
      <c r="S84" s="272">
        <f t="shared" ca="1" si="96"/>
        <v>0.60521483306637203</v>
      </c>
      <c r="T84" s="272">
        <f t="shared" ca="1" si="96"/>
        <v>0.6064881268772816</v>
      </c>
      <c r="U84" s="272">
        <f t="shared" ca="1" si="96"/>
        <v>0.60774254996311705</v>
      </c>
      <c r="V84" s="272">
        <f t="shared" ca="1" si="96"/>
        <v>0.60873072357747293</v>
      </c>
      <c r="W84" s="272">
        <f t="shared" ca="1" si="96"/>
        <v>0.609626406214545</v>
      </c>
      <c r="X84" s="272">
        <f t="shared" ca="1" si="96"/>
        <v>0.61074641041296862</v>
      </c>
      <c r="Y84" s="272">
        <f t="shared" ca="1" si="96"/>
        <v>0.61185811226389963</v>
      </c>
      <c r="Z84" s="107"/>
      <c r="AA84" s="108"/>
    </row>
    <row r="85" spans="3:27" ht="15" customHeight="1" x14ac:dyDescent="0.2">
      <c r="D85" s="1"/>
      <c r="E85" s="1"/>
      <c r="F85" s="24"/>
      <c r="G85" s="100"/>
      <c r="Z85" s="108"/>
      <c r="AA85" s="108"/>
    </row>
    <row r="86" spans="3:27" ht="15" customHeight="1" x14ac:dyDescent="0.2">
      <c r="C86" s="89" t="s">
        <v>158</v>
      </c>
      <c r="D86" s="90"/>
      <c r="E86" s="90"/>
      <c r="F86" s="91"/>
      <c r="G86" s="91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108"/>
      <c r="AA86" s="108"/>
    </row>
    <row r="87" spans="3:27" ht="15" customHeight="1" x14ac:dyDescent="0.2">
      <c r="C87" s="1"/>
      <c r="D87" s="1"/>
      <c r="E87" s="1"/>
      <c r="F87" s="24"/>
      <c r="G87" s="100"/>
      <c r="O87" s="289"/>
      <c r="Q87" s="309"/>
      <c r="Z87" s="108"/>
      <c r="AA87" s="108"/>
    </row>
    <row r="88" spans="3:27" ht="15" customHeight="1" x14ac:dyDescent="0.2">
      <c r="C88" s="1"/>
      <c r="D88" s="1"/>
      <c r="E88" s="2" t="s">
        <v>268</v>
      </c>
      <c r="F88" s="24" t="s">
        <v>159</v>
      </c>
      <c r="G88" s="100"/>
      <c r="H88" s="310">
        <v>0.08</v>
      </c>
      <c r="I88" s="311">
        <v>0.09</v>
      </c>
      <c r="J88" s="311">
        <v>0.09</v>
      </c>
      <c r="K88" s="311">
        <v>0.11</v>
      </c>
      <c r="L88" s="311">
        <v>0.06</v>
      </c>
      <c r="M88" s="311">
        <v>0.12</v>
      </c>
      <c r="N88" s="311">
        <v>0.11</v>
      </c>
      <c r="O88" s="312">
        <v>0.1</v>
      </c>
      <c r="P88" s="373">
        <v>0.10249999999999999</v>
      </c>
      <c r="Q88" s="374">
        <v>0.105</v>
      </c>
      <c r="R88" s="374">
        <v>0.1075</v>
      </c>
      <c r="S88" s="373">
        <v>0.11</v>
      </c>
      <c r="T88" s="109"/>
      <c r="U88" s="109"/>
      <c r="V88" s="109"/>
      <c r="W88" s="109">
        <f ca="1">(W81*W90)/'&gt;&gt; Inputs'!$G$47</f>
        <v>4.2021281515565425</v>
      </c>
      <c r="X88" s="109">
        <f ca="1">(X81*X90)/'&gt;&gt; Inputs'!$G$47</f>
        <v>4.2693561237694091</v>
      </c>
      <c r="Y88" s="109">
        <f ca="1">(Y81*Y90)/'&gt;&gt; Inputs'!$G$47</f>
        <v>4.3381652548441387</v>
      </c>
      <c r="Z88" s="108"/>
      <c r="AA88" s="108"/>
    </row>
    <row r="89" spans="3:27" ht="15" customHeight="1" thickBot="1" x14ac:dyDescent="0.25">
      <c r="C89" s="1"/>
      <c r="D89" s="1"/>
      <c r="E89" s="30" t="s">
        <v>127</v>
      </c>
      <c r="F89" s="24" t="s">
        <v>7</v>
      </c>
      <c r="G89" s="100"/>
      <c r="H89" s="106"/>
      <c r="I89" s="106">
        <f>IFERROR((I88/H88-1),"NA")</f>
        <v>0.125</v>
      </c>
      <c r="J89" s="106">
        <f t="shared" ref="J89:P89" si="97">IFERROR((J88/I88-1),"NA")</f>
        <v>0</v>
      </c>
      <c r="K89" s="106">
        <f t="shared" si="97"/>
        <v>0.22222222222222232</v>
      </c>
      <c r="L89" s="106">
        <f t="shared" si="97"/>
        <v>-0.45454545454545459</v>
      </c>
      <c r="M89" s="106">
        <f t="shared" si="97"/>
        <v>1</v>
      </c>
      <c r="N89" s="106">
        <f t="shared" si="97"/>
        <v>-8.3333333333333259E-2</v>
      </c>
      <c r="O89" s="106">
        <f t="shared" si="97"/>
        <v>-9.0909090909090828E-2</v>
      </c>
      <c r="P89" s="106">
        <f t="shared" si="97"/>
        <v>2.4999999999999911E-2</v>
      </c>
      <c r="Q89" s="106">
        <f t="shared" ref="Q89" si="98">IFERROR((Q88/P88-1),"NA")</f>
        <v>2.4390243902439046E-2</v>
      </c>
      <c r="R89" s="106">
        <f t="shared" ref="R89" si="99">IFERROR((R88/Q88-1),"NA")</f>
        <v>2.3809523809523725E-2</v>
      </c>
      <c r="S89" s="106">
        <f t="shared" ref="S89" si="100">IFERROR((S88/R88-1),"NA")</f>
        <v>2.3255813953488413E-2</v>
      </c>
      <c r="T89" s="106">
        <f t="shared" ref="T89" si="101">IFERROR((T88/S88-1),"NA")</f>
        <v>-1</v>
      </c>
      <c r="U89" s="106" t="str">
        <f t="shared" ref="U89" si="102">IFERROR((U88/T88-1),"NA")</f>
        <v>NA</v>
      </c>
      <c r="V89" s="106" t="str">
        <f t="shared" ref="V89:W89" si="103">IFERROR((V88/U88-1),"NA")</f>
        <v>NA</v>
      </c>
      <c r="W89" s="106" t="str">
        <f t="shared" ca="1" si="103"/>
        <v>NA</v>
      </c>
      <c r="X89" s="106">
        <f t="shared" ref="X89" ca="1" si="104">IFERROR((X88/W88-1),"NA")</f>
        <v>1.5998553539583016E-2</v>
      </c>
      <c r="Y89" s="106">
        <f t="shared" ref="Y89" ca="1" si="105">IFERROR((Y88/X88-1),"NA")</f>
        <v>1.6116980893591482E-2</v>
      </c>
      <c r="Z89" s="108"/>
      <c r="AA89" s="108"/>
    </row>
    <row r="90" spans="3:27" ht="15" customHeight="1" thickBot="1" x14ac:dyDescent="0.25">
      <c r="C90" s="1"/>
      <c r="D90" s="1"/>
      <c r="E90" s="2" t="s">
        <v>160</v>
      </c>
      <c r="F90" s="24" t="s">
        <v>7</v>
      </c>
      <c r="G90" s="100"/>
      <c r="H90" s="335">
        <f>H88/H99</f>
        <v>0.66666666666666674</v>
      </c>
      <c r="I90" s="335">
        <f t="shared" ref="I90:O90" si="106">I88/I99</f>
        <v>0.69230769230769229</v>
      </c>
      <c r="J90" s="335">
        <f t="shared" si="106"/>
        <v>0.69230769230769229</v>
      </c>
      <c r="K90" s="335">
        <f t="shared" si="106"/>
        <v>0.91666666666666674</v>
      </c>
      <c r="L90" s="335">
        <f t="shared" si="106"/>
        <v>0.4</v>
      </c>
      <c r="M90" s="335">
        <f t="shared" si="106"/>
        <v>0.75</v>
      </c>
      <c r="N90" s="335">
        <f t="shared" si="106"/>
        <v>0.7857142857142857</v>
      </c>
      <c r="O90" s="335">
        <f t="shared" si="106"/>
        <v>1</v>
      </c>
      <c r="P90" s="313">
        <v>0.5</v>
      </c>
      <c r="Q90" s="313">
        <v>0.5</v>
      </c>
      <c r="R90" s="313">
        <v>0.5</v>
      </c>
      <c r="S90" s="313">
        <v>0.5</v>
      </c>
      <c r="T90" s="313">
        <v>0.5</v>
      </c>
      <c r="U90" s="313">
        <v>0.5</v>
      </c>
      <c r="V90" s="313">
        <v>0.5</v>
      </c>
      <c r="W90" s="313">
        <v>0.5</v>
      </c>
      <c r="X90" s="313">
        <v>0.5</v>
      </c>
      <c r="Y90" s="313">
        <v>0.5</v>
      </c>
      <c r="Z90" s="334">
        <v>0</v>
      </c>
      <c r="AA90" s="18" t="s">
        <v>161</v>
      </c>
    </row>
    <row r="91" spans="3:27" ht="15" customHeight="1" x14ac:dyDescent="0.2">
      <c r="C91" s="1"/>
      <c r="D91" s="1"/>
      <c r="E91" s="1"/>
      <c r="F91" s="24"/>
      <c r="G91" s="100"/>
      <c r="O91" s="110"/>
      <c r="Q91" s="111"/>
      <c r="Z91" s="108"/>
      <c r="AA91" s="108"/>
    </row>
    <row r="92" spans="3:27" ht="15" customHeight="1" x14ac:dyDescent="0.2">
      <c r="C92" s="1"/>
      <c r="D92" s="1"/>
      <c r="E92" s="2" t="s">
        <v>162</v>
      </c>
      <c r="F92" s="24" t="s">
        <v>159</v>
      </c>
      <c r="G92" s="100"/>
      <c r="H92" s="324">
        <f>(H81*H90)/'&gt;&gt; Inputs'!$G$47</f>
        <v>-4.1712781552704001</v>
      </c>
      <c r="I92" s="324">
        <f>(I81*I90)/'&gt;&gt; Inputs'!$G$47</f>
        <v>-3.6904597059411861</v>
      </c>
      <c r="J92" s="324">
        <f>(J81*J90)/'&gt;&gt; Inputs'!$G$47</f>
        <v>-3.9674799942916699</v>
      </c>
      <c r="K92" s="324">
        <f>(K81*K90)/'&gt;&gt; Inputs'!$G$47</f>
        <v>-5.3446020152058775</v>
      </c>
      <c r="L92" s="324">
        <f>(L81*L90)/'&gt;&gt; Inputs'!$G$47</f>
        <v>-2.5480959127461151</v>
      </c>
      <c r="M92" s="324">
        <f>(M81*M90)/'&gt;&gt; Inputs'!$G$47</f>
        <v>-5.4512184005007054</v>
      </c>
      <c r="N92" s="324">
        <f>(N81*N90)/'&gt;&gt; Inputs'!$G$47</f>
        <v>-5.9466148931620983</v>
      </c>
      <c r="O92" s="324">
        <f>(O81*O90)/'&gt;&gt; Inputs'!$G$47</f>
        <v>-7.6749698627249074</v>
      </c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108"/>
      <c r="AA92" s="108"/>
    </row>
    <row r="93" spans="3:27" ht="15" customHeight="1" thickBot="1" x14ac:dyDescent="0.25">
      <c r="C93" s="1"/>
      <c r="D93" s="1"/>
      <c r="E93" s="2" t="s">
        <v>163</v>
      </c>
      <c r="F93" s="24" t="s">
        <v>159</v>
      </c>
      <c r="G93" s="100"/>
      <c r="H93" s="324">
        <f>H88-H92</f>
        <v>4.2512781552704002</v>
      </c>
      <c r="I93" s="324">
        <f t="shared" ref="I93:O93" si="107">I88-I92</f>
        <v>3.780459705941186</v>
      </c>
      <c r="J93" s="324">
        <f t="shared" si="107"/>
        <v>4.0574799942916702</v>
      </c>
      <c r="K93" s="324">
        <f t="shared" si="107"/>
        <v>5.4546020152058778</v>
      </c>
      <c r="L93" s="324">
        <f t="shared" si="107"/>
        <v>2.6080959127461152</v>
      </c>
      <c r="M93" s="324">
        <f t="shared" si="107"/>
        <v>5.5712184005007055</v>
      </c>
      <c r="N93" s="324">
        <f t="shared" si="107"/>
        <v>6.0566148931620987</v>
      </c>
      <c r="O93" s="324">
        <f t="shared" si="107"/>
        <v>7.7749698627249071</v>
      </c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1"/>
      <c r="AA93" s="1"/>
    </row>
    <row r="94" spans="3:27" ht="15" customHeight="1" thickBot="1" x14ac:dyDescent="0.25">
      <c r="C94" s="1"/>
      <c r="D94" s="1"/>
      <c r="E94" s="1" t="s">
        <v>164</v>
      </c>
      <c r="F94" s="24" t="s">
        <v>159</v>
      </c>
      <c r="G94" s="100"/>
      <c r="H94" s="314"/>
      <c r="I94" s="207"/>
      <c r="J94" s="207"/>
      <c r="K94" s="207"/>
      <c r="L94" s="207"/>
      <c r="M94" s="207"/>
      <c r="N94" s="315"/>
      <c r="O94" s="316">
        <f t="shared" ref="O94:X94" si="108">O88+$Z$94</f>
        <v>5.0443398674803692</v>
      </c>
      <c r="P94" s="316">
        <f t="shared" si="108"/>
        <v>5.0468398674803696</v>
      </c>
      <c r="Q94" s="316">
        <f t="shared" si="108"/>
        <v>5.04933986748037</v>
      </c>
      <c r="R94" s="316">
        <f t="shared" si="108"/>
        <v>5.0518398674803695</v>
      </c>
      <c r="S94" s="316">
        <f t="shared" si="108"/>
        <v>5.0543398674803699</v>
      </c>
      <c r="T94" s="316">
        <f t="shared" si="108"/>
        <v>4.9443398674803696</v>
      </c>
      <c r="U94" s="316">
        <f t="shared" si="108"/>
        <v>4.9443398674803696</v>
      </c>
      <c r="V94" s="316">
        <f t="shared" si="108"/>
        <v>4.9443398674803696</v>
      </c>
      <c r="W94" s="316">
        <f t="shared" ca="1" si="108"/>
        <v>9.146468019036913</v>
      </c>
      <c r="X94" s="316">
        <f t="shared" ca="1" si="108"/>
        <v>9.2136959912497787</v>
      </c>
      <c r="Y94" s="317">
        <f ca="1">Y88+$Z$94</f>
        <v>9.2825051223245083</v>
      </c>
      <c r="Z94" s="377">
        <f>AVERAGE(H93:O93)</f>
        <v>4.9443398674803696</v>
      </c>
      <c r="AA94" s="18" t="s">
        <v>165</v>
      </c>
    </row>
    <row r="95" spans="3:27" ht="15" customHeight="1" x14ac:dyDescent="0.2">
      <c r="C95" s="1"/>
      <c r="D95" s="1"/>
      <c r="E95" s="18" t="s">
        <v>127</v>
      </c>
      <c r="F95" s="24" t="s">
        <v>7</v>
      </c>
      <c r="G95" s="100"/>
      <c r="H95" s="206"/>
      <c r="I95" s="206"/>
      <c r="J95" s="206"/>
      <c r="K95" s="206"/>
      <c r="L95" s="206"/>
      <c r="M95" s="206"/>
      <c r="N95" s="206"/>
      <c r="O95" s="206"/>
      <c r="P95" s="106">
        <f t="shared" ref="P95:Y95" si="109">P94/O94-1</f>
        <v>4.9560498810108378E-4</v>
      </c>
      <c r="Q95" s="106">
        <f t="shared" si="109"/>
        <v>4.9535948546908237E-4</v>
      </c>
      <c r="R95" s="106">
        <f t="shared" si="109"/>
        <v>4.9511422594084031E-4</v>
      </c>
      <c r="S95" s="106">
        <f t="shared" si="109"/>
        <v>4.9486920915553512E-4</v>
      </c>
      <c r="T95" s="106">
        <f t="shared" si="109"/>
        <v>-2.1763475129114362E-2</v>
      </c>
      <c r="U95" s="106">
        <f t="shared" si="109"/>
        <v>0</v>
      </c>
      <c r="V95" s="106">
        <f t="shared" si="109"/>
        <v>0</v>
      </c>
      <c r="W95" s="106">
        <f t="shared" ca="1" si="109"/>
        <v>0.84988659036053349</v>
      </c>
      <c r="X95" s="106">
        <f t="shared" ca="1" si="109"/>
        <v>7.3501565930085278E-3</v>
      </c>
      <c r="Y95" s="106">
        <f t="shared" ca="1" si="109"/>
        <v>7.4681356037877844E-3</v>
      </c>
      <c r="Z95" s="112"/>
      <c r="AA95" s="108"/>
    </row>
    <row r="96" spans="3:27" ht="15" customHeight="1" x14ac:dyDescent="0.2">
      <c r="C96" s="1"/>
      <c r="D96" s="1"/>
      <c r="E96" s="18"/>
      <c r="F96" s="24"/>
      <c r="G96" s="100"/>
      <c r="H96" s="206"/>
      <c r="I96" s="206"/>
      <c r="J96" s="206"/>
      <c r="K96" s="206"/>
      <c r="L96" s="206"/>
      <c r="M96" s="206"/>
      <c r="N96" s="206"/>
      <c r="O96" s="206"/>
      <c r="P96" s="1"/>
      <c r="Q96" s="106"/>
      <c r="R96" s="106"/>
      <c r="S96" s="106"/>
      <c r="T96" s="106"/>
      <c r="U96" s="106"/>
      <c r="V96" s="106"/>
      <c r="W96" s="106"/>
      <c r="X96" s="106"/>
      <c r="Y96" s="106"/>
      <c r="Z96" s="112"/>
      <c r="AA96" s="108"/>
    </row>
    <row r="97" spans="3:27" ht="15" customHeight="1" x14ac:dyDescent="0.2">
      <c r="C97" s="89" t="s">
        <v>166</v>
      </c>
      <c r="D97" s="90"/>
      <c r="E97" s="90"/>
      <c r="F97" s="91"/>
      <c r="G97" s="91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108"/>
      <c r="AA97" s="108"/>
    </row>
    <row r="98" spans="3:27" ht="15" customHeight="1" x14ac:dyDescent="0.2">
      <c r="C98" s="1"/>
      <c r="D98" s="1"/>
      <c r="E98" s="1"/>
      <c r="F98" s="24"/>
      <c r="G98" s="100"/>
      <c r="H98" s="206"/>
      <c r="I98" s="206"/>
      <c r="J98" s="206"/>
      <c r="K98" s="206"/>
      <c r="L98" s="206"/>
      <c r="M98" s="206"/>
      <c r="N98" s="206"/>
      <c r="O98" s="206"/>
      <c r="P98" s="1"/>
      <c r="Q98" s="1"/>
      <c r="R98" s="1"/>
      <c r="S98" s="1"/>
      <c r="T98" s="1"/>
      <c r="U98" s="1"/>
      <c r="V98" s="1"/>
      <c r="W98" s="1"/>
      <c r="X98" s="1"/>
      <c r="Y98" s="1"/>
      <c r="Z98" s="108"/>
      <c r="AA98" s="108"/>
    </row>
    <row r="99" spans="3:27" ht="15" customHeight="1" x14ac:dyDescent="0.2">
      <c r="C99" s="1"/>
      <c r="D99" s="1"/>
      <c r="E99" s="2" t="s">
        <v>267</v>
      </c>
      <c r="F99" s="24" t="s">
        <v>263</v>
      </c>
      <c r="G99" s="100"/>
      <c r="H99" s="207">
        <v>0.12</v>
      </c>
      <c r="I99" s="207">
        <v>0.13</v>
      </c>
      <c r="J99" s="207">
        <v>0.13</v>
      </c>
      <c r="K99" s="207">
        <v>0.12</v>
      </c>
      <c r="L99" s="207">
        <v>0.15</v>
      </c>
      <c r="M99" s="207">
        <v>0.16</v>
      </c>
      <c r="N99" s="207">
        <v>0.14000000000000001</v>
      </c>
      <c r="O99" s="113">
        <v>0.1</v>
      </c>
      <c r="P99" s="326">
        <f ca="1">'&gt;&gt; Fin Stmts'!P25</f>
        <v>755.67175811608593</v>
      </c>
      <c r="Q99" s="326">
        <f ca="1">'&gt;&gt; Fin Stmts'!Q25</f>
        <v>767.12571801121896</v>
      </c>
      <c r="R99" s="326">
        <f ca="1">'&gt;&gt; Fin Stmts'!R25</f>
        <v>778.65157589804483</v>
      </c>
      <c r="S99" s="326">
        <f ca="1">'&gt;&gt; Fin Stmts'!S25</f>
        <v>791.06988840503766</v>
      </c>
      <c r="T99" s="326">
        <f ca="1">'&gt;&gt; Fin Stmts'!T25</f>
        <v>804.60085226284809</v>
      </c>
      <c r="U99" s="326">
        <f ca="1">'&gt;&gt; Fin Stmts'!U25</f>
        <v>818.36600815960946</v>
      </c>
      <c r="V99" s="326">
        <f ca="1">'&gt;&gt; Fin Stmts'!V25</f>
        <v>829.74221980325444</v>
      </c>
      <c r="W99" s="326">
        <f ca="1">'&gt;&gt; Fin Stmts'!W25</f>
        <v>840.42563031130851</v>
      </c>
      <c r="X99" s="326">
        <f ca="1">'&gt;&gt; Fin Stmts'!X25</f>
        <v>853.87122475388185</v>
      </c>
      <c r="Y99" s="326">
        <f ca="1">'&gt;&gt; Fin Stmts'!Y25</f>
        <v>867.63305096882777</v>
      </c>
      <c r="Z99" s="108"/>
      <c r="AA99" s="108"/>
    </row>
    <row r="100" spans="3:27" ht="15" customHeight="1" x14ac:dyDescent="0.2">
      <c r="C100" s="1"/>
      <c r="D100" s="1"/>
      <c r="E100" s="18" t="s">
        <v>127</v>
      </c>
      <c r="F100" s="24" t="s">
        <v>7</v>
      </c>
      <c r="G100" s="100"/>
      <c r="H100" s="206"/>
      <c r="I100" s="206"/>
      <c r="J100" s="206"/>
      <c r="K100" s="206"/>
      <c r="L100" s="206"/>
      <c r="M100" s="206"/>
      <c r="N100" s="206"/>
      <c r="O100" s="206"/>
      <c r="P100" s="106"/>
      <c r="Q100" s="106">
        <f t="shared" ref="Q100:Y100" ca="1" si="110">Q99/P99-1</f>
        <v>1.5157321644106547E-2</v>
      </c>
      <c r="R100" s="106">
        <f t="shared" ca="1" si="110"/>
        <v>1.5024731430862248E-2</v>
      </c>
      <c r="S100" s="106">
        <f t="shared" ca="1" si="110"/>
        <v>1.5948484394538553E-2</v>
      </c>
      <c r="T100" s="106">
        <f t="shared" ca="1" si="110"/>
        <v>1.7104637726878646E-2</v>
      </c>
      <c r="U100" s="106">
        <f t="shared" ca="1" si="110"/>
        <v>1.7108055327120786E-2</v>
      </c>
      <c r="V100" s="106">
        <f t="shared" ca="1" si="110"/>
        <v>1.3901129238283572E-2</v>
      </c>
      <c r="W100" s="106">
        <f t="shared" ca="1" si="110"/>
        <v>1.2875577803654892E-2</v>
      </c>
      <c r="X100" s="106">
        <f t="shared" ca="1" si="110"/>
        <v>1.5998553539583016E-2</v>
      </c>
      <c r="Y100" s="106">
        <f t="shared" ca="1" si="110"/>
        <v>1.6116980893591482E-2</v>
      </c>
    </row>
    <row r="101" spans="3:27" ht="15" customHeight="1" x14ac:dyDescent="0.2">
      <c r="C101" s="1"/>
      <c r="D101" s="1"/>
      <c r="E101" s="1"/>
      <c r="F101" s="24"/>
      <c r="G101" s="100" t="s">
        <v>7</v>
      </c>
      <c r="H101" s="206"/>
      <c r="I101" s="206"/>
      <c r="J101" s="206"/>
      <c r="K101" s="206"/>
      <c r="L101" s="206"/>
      <c r="M101" s="206"/>
      <c r="N101" s="206"/>
      <c r="O101" s="206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7" ht="15" customHeight="1" x14ac:dyDescent="0.2">
      <c r="C102" s="114" t="s">
        <v>284</v>
      </c>
      <c r="D102" s="115"/>
      <c r="E102" s="116"/>
      <c r="F102" s="116"/>
      <c r="G102" s="116"/>
      <c r="H102" s="115"/>
      <c r="I102" s="115"/>
      <c r="J102" s="115"/>
      <c r="K102" s="117"/>
      <c r="L102" s="117"/>
      <c r="M102" s="117"/>
      <c r="N102" s="118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7" ht="15" customHeight="1" x14ac:dyDescent="0.2">
      <c r="C103" s="1" t="s">
        <v>285</v>
      </c>
      <c r="D103" s="2"/>
      <c r="E103" s="2"/>
      <c r="F103" s="24"/>
      <c r="G103" s="24"/>
      <c r="H103" s="119"/>
      <c r="I103" s="119"/>
      <c r="J103" s="119"/>
      <c r="K103" s="119"/>
      <c r="L103" s="119"/>
      <c r="M103" s="119"/>
      <c r="N103" s="119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3:27" ht="15" customHeight="1" x14ac:dyDescent="0.2">
      <c r="C104" s="1"/>
      <c r="D104" s="2"/>
      <c r="E104" s="120" t="s">
        <v>275</v>
      </c>
      <c r="F104" s="24" t="s">
        <v>25</v>
      </c>
      <c r="G104" s="24"/>
      <c r="H104" s="121">
        <v>1894.5</v>
      </c>
      <c r="I104" s="121">
        <v>0</v>
      </c>
      <c r="J104" s="121">
        <v>0</v>
      </c>
      <c r="K104" s="121" t="s">
        <v>273</v>
      </c>
      <c r="L104" s="121" t="s">
        <v>273</v>
      </c>
      <c r="M104" s="121" t="s">
        <v>273</v>
      </c>
      <c r="N104" s="121" t="s">
        <v>273</v>
      </c>
      <c r="O104" s="121" t="s">
        <v>273</v>
      </c>
      <c r="P104" s="122">
        <v>0</v>
      </c>
      <c r="Q104" s="122">
        <f t="shared" ref="Q104:Y104" si="111">P104*(1+Q106)</f>
        <v>0</v>
      </c>
      <c r="R104" s="122">
        <f t="shared" si="111"/>
        <v>0</v>
      </c>
      <c r="S104" s="122">
        <f t="shared" si="111"/>
        <v>0</v>
      </c>
      <c r="T104" s="122">
        <f t="shared" si="111"/>
        <v>0</v>
      </c>
      <c r="U104" s="122">
        <f t="shared" si="111"/>
        <v>0</v>
      </c>
      <c r="V104" s="122">
        <f t="shared" si="111"/>
        <v>0</v>
      </c>
      <c r="W104" s="122">
        <f t="shared" si="111"/>
        <v>0</v>
      </c>
      <c r="X104" s="122">
        <f t="shared" si="111"/>
        <v>0</v>
      </c>
      <c r="Y104" s="122">
        <f t="shared" si="111"/>
        <v>0</v>
      </c>
    </row>
    <row r="105" spans="3:27" ht="15" customHeight="1" x14ac:dyDescent="0.2">
      <c r="C105" s="1"/>
      <c r="D105" s="1"/>
      <c r="F105" s="93"/>
      <c r="G105" s="37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  <row r="106" spans="3:27" ht="15" customHeight="1" x14ac:dyDescent="0.2">
      <c r="C106" s="1"/>
      <c r="D106" s="1"/>
      <c r="E106" s="18" t="s">
        <v>167</v>
      </c>
      <c r="F106" s="24" t="s">
        <v>7</v>
      </c>
      <c r="G106" s="37"/>
      <c r="H106" s="229">
        <v>0.13830000000000001</v>
      </c>
      <c r="I106" s="229">
        <f>IFERROR((I104/H104-1),"NA")</f>
        <v>-1</v>
      </c>
      <c r="J106" s="229" t="str">
        <f t="shared" ref="J106:N106" si="112">IFERROR((J104/I104-1),"NA")</f>
        <v>NA</v>
      </c>
      <c r="K106" s="229" t="str">
        <f t="shared" si="112"/>
        <v>NA</v>
      </c>
      <c r="L106" s="229" t="str">
        <f t="shared" si="112"/>
        <v>NA</v>
      </c>
      <c r="M106" s="229" t="str">
        <f t="shared" si="112"/>
        <v>NA</v>
      </c>
      <c r="N106" s="229" t="str">
        <f t="shared" si="112"/>
        <v>NA</v>
      </c>
      <c r="O106" s="229" t="str">
        <f>IFERROR((O104/N104-1),"NA")</f>
        <v>NA</v>
      </c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1"/>
    </row>
    <row r="109" spans="3:27" ht="15" customHeight="1" x14ac:dyDescent="0.2">
      <c r="C109" s="1"/>
      <c r="D109" s="2"/>
      <c r="E109" s="120" t="s">
        <v>168</v>
      </c>
      <c r="F109" s="24" t="s">
        <v>25</v>
      </c>
      <c r="G109" s="24"/>
      <c r="H109" s="124">
        <v>86.1</v>
      </c>
      <c r="I109" s="124">
        <v>0</v>
      </c>
      <c r="J109" s="124">
        <v>0</v>
      </c>
      <c r="K109" s="124" t="s">
        <v>273</v>
      </c>
      <c r="L109" s="124" t="s">
        <v>273</v>
      </c>
      <c r="M109" s="124" t="s">
        <v>273</v>
      </c>
      <c r="N109" s="124" t="s">
        <v>273</v>
      </c>
      <c r="O109" s="124" t="s">
        <v>273</v>
      </c>
      <c r="P109" s="125">
        <f t="shared" ref="P109:Y109" si="113">P104*P111</f>
        <v>0</v>
      </c>
      <c r="Q109" s="125">
        <f t="shared" si="113"/>
        <v>0</v>
      </c>
      <c r="R109" s="125">
        <f t="shared" si="113"/>
        <v>0</v>
      </c>
      <c r="S109" s="125">
        <f t="shared" si="113"/>
        <v>0</v>
      </c>
      <c r="T109" s="125">
        <f t="shared" si="113"/>
        <v>0</v>
      </c>
      <c r="U109" s="125">
        <f t="shared" si="113"/>
        <v>0</v>
      </c>
      <c r="V109" s="125">
        <f t="shared" si="113"/>
        <v>0</v>
      </c>
      <c r="W109" s="125">
        <f t="shared" si="113"/>
        <v>0</v>
      </c>
      <c r="X109" s="125">
        <f t="shared" si="113"/>
        <v>0</v>
      </c>
      <c r="Y109" s="125">
        <f t="shared" si="113"/>
        <v>0</v>
      </c>
    </row>
    <row r="110" spans="3:27" ht="15" customHeight="1" x14ac:dyDescent="0.2">
      <c r="C110" s="1"/>
      <c r="D110" s="2"/>
      <c r="E110" s="126" t="s">
        <v>169</v>
      </c>
      <c r="F110" s="24" t="s">
        <v>7</v>
      </c>
      <c r="G110" s="24"/>
      <c r="H110" s="127"/>
      <c r="I110" s="290">
        <f>IFERROR((I109/H109-1),"NA")</f>
        <v>-1</v>
      </c>
      <c r="J110" s="290" t="str">
        <f t="shared" ref="J110:O110" si="114">IFERROR((J109/I109-1),"NA")</f>
        <v>NA</v>
      </c>
      <c r="K110" s="290" t="str">
        <f t="shared" si="114"/>
        <v>NA</v>
      </c>
      <c r="L110" s="290" t="str">
        <f t="shared" si="114"/>
        <v>NA</v>
      </c>
      <c r="M110" s="290" t="str">
        <f t="shared" si="114"/>
        <v>NA</v>
      </c>
      <c r="N110" s="290" t="str">
        <f t="shared" si="114"/>
        <v>NA</v>
      </c>
      <c r="O110" s="290" t="str">
        <f t="shared" si="114"/>
        <v>NA</v>
      </c>
      <c r="P110" s="290" t="str">
        <f t="shared" ref="P110" si="115">IFERROR((P109/O109-1),"NA")</f>
        <v>NA</v>
      </c>
      <c r="Q110" s="290" t="str">
        <f t="shared" ref="Q110" si="116">IFERROR((Q109/P109-1),"NA")</f>
        <v>NA</v>
      </c>
      <c r="R110" s="290" t="str">
        <f t="shared" ref="R110" si="117">IFERROR((R109/Q109-1),"NA")</f>
        <v>NA</v>
      </c>
      <c r="S110" s="290" t="str">
        <f t="shared" ref="S110" si="118">IFERROR((S109/R109-1),"NA")</f>
        <v>NA</v>
      </c>
      <c r="T110" s="290" t="str">
        <f t="shared" ref="T110" si="119">IFERROR((T109/S109-1),"NA")</f>
        <v>NA</v>
      </c>
      <c r="U110" s="290" t="str">
        <f t="shared" ref="U110" si="120">IFERROR((U109/T109-1),"NA")</f>
        <v>NA</v>
      </c>
      <c r="V110" s="290" t="str">
        <f t="shared" ref="V110" si="121">IFERROR((V109/U109-1),"NA")</f>
        <v>NA</v>
      </c>
      <c r="W110" s="290" t="str">
        <f t="shared" ref="W110" si="122">IFERROR((W109/V109-1),"NA")</f>
        <v>NA</v>
      </c>
      <c r="X110" s="290" t="str">
        <f t="shared" ref="X110" si="123">IFERROR((X109/W109-1),"NA")</f>
        <v>NA</v>
      </c>
      <c r="Y110" s="290" t="str">
        <f t="shared" ref="Y110" si="124">IFERROR((Y109/X109-1),"NA")</f>
        <v>NA</v>
      </c>
    </row>
    <row r="111" spans="3:27" ht="15" customHeight="1" x14ac:dyDescent="0.2">
      <c r="C111" s="1"/>
      <c r="D111" s="2"/>
      <c r="E111" s="126" t="s">
        <v>170</v>
      </c>
      <c r="F111" s="24" t="s">
        <v>7</v>
      </c>
      <c r="G111" s="24"/>
      <c r="H111" s="106">
        <f>IFERROR(H109/H104,"NA")</f>
        <v>4.5447347585114803E-2</v>
      </c>
      <c r="I111" s="106" t="str">
        <f t="shared" ref="I111:O111" si="125">IFERROR(I109/I104,"NA")</f>
        <v>NA</v>
      </c>
      <c r="J111" s="106" t="str">
        <f t="shared" si="125"/>
        <v>NA</v>
      </c>
      <c r="K111" s="106" t="str">
        <f t="shared" si="125"/>
        <v>NA</v>
      </c>
      <c r="L111" s="106" t="str">
        <f t="shared" si="125"/>
        <v>NA</v>
      </c>
      <c r="M111" s="106" t="str">
        <f t="shared" si="125"/>
        <v>NA</v>
      </c>
      <c r="N111" s="106" t="str">
        <f t="shared" si="125"/>
        <v>NA</v>
      </c>
      <c r="O111" s="106" t="str">
        <f t="shared" si="125"/>
        <v>NA</v>
      </c>
      <c r="P111" s="291"/>
      <c r="Q111" s="291"/>
      <c r="R111" s="291"/>
      <c r="S111" s="291"/>
      <c r="T111" s="291"/>
      <c r="U111" s="291"/>
      <c r="V111" s="291"/>
      <c r="W111" s="291"/>
      <c r="X111" s="291"/>
      <c r="Y111" s="291"/>
    </row>
    <row r="112" spans="3:27" ht="15" customHeight="1" x14ac:dyDescent="0.2">
      <c r="C112" s="249"/>
      <c r="D112" s="249"/>
      <c r="E112" s="249"/>
      <c r="F112" s="249"/>
      <c r="G112" s="249"/>
      <c r="H112" s="249"/>
      <c r="I112" s="249"/>
      <c r="J112" s="249"/>
      <c r="K112" s="249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</row>
    <row r="114" spans="3:25" ht="15" customHeight="1" x14ac:dyDescent="0.2">
      <c r="C114" s="114" t="s">
        <v>271</v>
      </c>
      <c r="D114" s="115"/>
      <c r="E114" s="115"/>
      <c r="F114" s="116"/>
      <c r="G114" s="116"/>
      <c r="H114" s="115"/>
      <c r="I114" s="115"/>
      <c r="J114" s="115"/>
      <c r="K114" s="117"/>
      <c r="L114" s="117"/>
      <c r="M114" s="117"/>
      <c r="N114" s="118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</row>
    <row r="115" spans="3:25" ht="15" customHeight="1" x14ac:dyDescent="0.2">
      <c r="C115" s="1"/>
      <c r="D115" s="2"/>
      <c r="E115" s="2"/>
      <c r="F115" s="24"/>
      <c r="G115" s="24"/>
      <c r="H115" s="119"/>
      <c r="I115" s="119"/>
      <c r="J115" s="119"/>
      <c r="K115" s="119"/>
      <c r="L115" s="119"/>
      <c r="M115" s="119"/>
      <c r="N115" s="119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3:25" ht="15" customHeight="1" x14ac:dyDescent="0.2">
      <c r="C116" s="1"/>
      <c r="D116" s="2"/>
      <c r="E116" s="120" t="s">
        <v>276</v>
      </c>
      <c r="F116" s="24" t="s">
        <v>25</v>
      </c>
      <c r="G116" s="24"/>
      <c r="H116" s="121">
        <v>999.89099999999996</v>
      </c>
      <c r="I116" s="121">
        <v>1048.24</v>
      </c>
      <c r="J116" s="121">
        <v>1096.77</v>
      </c>
      <c r="K116" s="121">
        <v>1126.6300000000001</v>
      </c>
      <c r="L116" s="121">
        <v>1225.71</v>
      </c>
      <c r="M116" s="121">
        <v>1387.25</v>
      </c>
      <c r="N116" s="121">
        <v>1356.91</v>
      </c>
      <c r="O116" s="121">
        <v>1306.6099999999999</v>
      </c>
      <c r="P116" s="122">
        <f>O116*(1+P118)</f>
        <v>1359.3733168909432</v>
      </c>
      <c r="Q116" s="122">
        <f t="shared" ref="Q116:Y116" si="126">P116*(1+Q118)</f>
        <v>1414.2673136399421</v>
      </c>
      <c r="R116" s="122">
        <f t="shared" si="126"/>
        <v>1469.9686376435413</v>
      </c>
      <c r="S116" s="122">
        <f t="shared" si="126"/>
        <v>1526.5938384854717</v>
      </c>
      <c r="T116" s="122">
        <f t="shared" si="126"/>
        <v>1587.5558639251406</v>
      </c>
      <c r="U116" s="122">
        <f t="shared" si="126"/>
        <v>1641.4249233626847</v>
      </c>
      <c r="V116" s="122">
        <f t="shared" si="126"/>
        <v>1677.042950421552</v>
      </c>
      <c r="W116" s="122">
        <f t="shared" si="126"/>
        <v>1722.5674776072667</v>
      </c>
      <c r="X116" s="122">
        <f t="shared" si="126"/>
        <v>1783.1546842437083</v>
      </c>
      <c r="Y116" s="122">
        <f t="shared" si="126"/>
        <v>1844.7117951172818</v>
      </c>
    </row>
    <row r="117" spans="3:25" ht="15" customHeight="1" x14ac:dyDescent="0.2">
      <c r="C117" s="1"/>
      <c r="D117" s="1"/>
      <c r="F117" s="93"/>
      <c r="G117" s="37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</row>
    <row r="118" spans="3:25" ht="15" customHeight="1" x14ac:dyDescent="0.2">
      <c r="C118" s="1"/>
      <c r="D118" s="1"/>
      <c r="E118" s="18" t="s">
        <v>167</v>
      </c>
      <c r="F118" s="24" t="s">
        <v>7</v>
      </c>
      <c r="G118" s="37"/>
      <c r="H118" s="229"/>
      <c r="I118" s="229">
        <f>IFERROR((I116/H116-1),"NA")</f>
        <v>4.835427061549713E-2</v>
      </c>
      <c r="J118" s="229">
        <f t="shared" ref="J118:N118" si="127">IFERROR((J116/I116-1),"NA")</f>
        <v>4.6296649622223907E-2</v>
      </c>
      <c r="K118" s="229">
        <f t="shared" si="127"/>
        <v>2.722539821475789E-2</v>
      </c>
      <c r="L118" s="229">
        <f t="shared" si="127"/>
        <v>8.794369047513384E-2</v>
      </c>
      <c r="M118" s="229">
        <f t="shared" si="127"/>
        <v>0.13179300160723173</v>
      </c>
      <c r="N118" s="229">
        <f t="shared" si="127"/>
        <v>-2.1870607316633595E-2</v>
      </c>
      <c r="O118" s="229">
        <f>IFERROR((O116/N116-1),"NA")</f>
        <v>-3.7069518243656674E-2</v>
      </c>
      <c r="P118" s="123">
        <f>AVERAGE(H118:O118)</f>
        <v>4.0381840710650603E-2</v>
      </c>
      <c r="Q118" s="123">
        <f t="shared" ref="Q118:Y118" si="128">AVERAGE(I118:P118)</f>
        <v>4.0381840710650603E-2</v>
      </c>
      <c r="R118" s="123">
        <f t="shared" si="128"/>
        <v>3.9385286972544786E-2</v>
      </c>
      <c r="S118" s="123">
        <f t="shared" si="128"/>
        <v>3.8521366641334896E-2</v>
      </c>
      <c r="T118" s="123">
        <f t="shared" si="128"/>
        <v>3.9933362694657019E-2</v>
      </c>
      <c r="U118" s="123">
        <f t="shared" si="128"/>
        <v>3.3932071722097418E-2</v>
      </c>
      <c r="V118" s="123">
        <f t="shared" si="128"/>
        <v>2.1699455486455632E-2</v>
      </c>
      <c r="W118" s="123">
        <f t="shared" si="128"/>
        <v>2.7145713336841786E-2</v>
      </c>
      <c r="X118" s="123">
        <f t="shared" si="128"/>
        <v>3.5172617284404094E-2</v>
      </c>
      <c r="Y118" s="123">
        <f t="shared" si="128"/>
        <v>3.4521464356123278E-2</v>
      </c>
    </row>
    <row r="119" spans="3:25" ht="15" customHeight="1" x14ac:dyDescent="0.2">
      <c r="C119" s="1"/>
      <c r="D119" s="1"/>
    </row>
    <row r="120" spans="3:25" ht="15" customHeight="1" x14ac:dyDescent="0.2">
      <c r="C120" s="1"/>
      <c r="D120" s="1"/>
    </row>
    <row r="121" spans="3:25" ht="15" customHeight="1" x14ac:dyDescent="0.2">
      <c r="C121" s="1"/>
      <c r="D121" s="2"/>
      <c r="E121" s="120" t="s">
        <v>168</v>
      </c>
      <c r="F121" s="24" t="s">
        <v>25</v>
      </c>
      <c r="G121" s="24"/>
      <c r="H121" s="124">
        <v>37.466999999999999</v>
      </c>
      <c r="I121" s="124">
        <v>47.1</v>
      </c>
      <c r="J121" s="124">
        <v>54.93</v>
      </c>
      <c r="K121" s="124">
        <v>57.85</v>
      </c>
      <c r="L121" s="124">
        <v>63.62</v>
      </c>
      <c r="M121" s="124">
        <v>28.6</v>
      </c>
      <c r="N121" s="124">
        <v>33.9</v>
      </c>
      <c r="O121" s="124">
        <v>35.200000000000003</v>
      </c>
      <c r="P121" s="125">
        <f t="shared" ref="P121:Y121" si="129">P116*P123</f>
        <v>46.613268822870573</v>
      </c>
      <c r="Q121" s="125">
        <f t="shared" si="129"/>
        <v>47.986418417099344</v>
      </c>
      <c r="R121" s="125">
        <f t="shared" si="129"/>
        <v>48.395115140966148</v>
      </c>
      <c r="S121" s="125">
        <f t="shared" si="129"/>
        <v>48.195128631910812</v>
      </c>
      <c r="T121" s="125">
        <f t="shared" si="129"/>
        <v>47.817509862656777</v>
      </c>
      <c r="U121" s="125">
        <f t="shared" si="129"/>
        <v>46.975595418531363</v>
      </c>
      <c r="V121" s="125">
        <f t="shared" si="129"/>
        <v>50.442415202737223</v>
      </c>
      <c r="W121" s="125">
        <f t="shared" si="129"/>
        <v>53.167037881134277</v>
      </c>
      <c r="X121" s="125">
        <f t="shared" si="129"/>
        <v>56.057992484034315</v>
      </c>
      <c r="Y121" s="125">
        <f t="shared" si="129"/>
        <v>57.396321664083203</v>
      </c>
    </row>
    <row r="122" spans="3:25" ht="15" customHeight="1" x14ac:dyDescent="0.2">
      <c r="C122" s="1"/>
      <c r="D122" s="2"/>
      <c r="E122" s="126" t="s">
        <v>169</v>
      </c>
      <c r="F122" s="24" t="s">
        <v>7</v>
      </c>
      <c r="G122" s="24"/>
      <c r="H122" s="127"/>
      <c r="I122" s="290">
        <v>0</v>
      </c>
      <c r="J122" s="290">
        <f t="shared" ref="J122" si="130">IFERROR((J121/I121-1),"NA")</f>
        <v>0.16624203821656036</v>
      </c>
      <c r="K122" s="290">
        <f t="shared" ref="K122" si="131">IFERROR((K121/J121-1),"NA")</f>
        <v>5.3158565446932426E-2</v>
      </c>
      <c r="L122" s="290">
        <f t="shared" ref="L122" si="132">IFERROR((L121/K121-1),"NA")</f>
        <v>9.9740708729472605E-2</v>
      </c>
      <c r="M122" s="290">
        <f t="shared" ref="M122" si="133">IFERROR((M121/L121-1),"NA")</f>
        <v>-0.55045583149952848</v>
      </c>
      <c r="N122" s="290">
        <f t="shared" ref="N122" si="134">IFERROR((N121/M121-1),"NA")</f>
        <v>0.1853146853146852</v>
      </c>
      <c r="O122" s="290">
        <f t="shared" ref="O122" si="135">IFERROR((O121/N121-1),"NA")</f>
        <v>3.8348082595870414E-2</v>
      </c>
      <c r="P122" s="290">
        <f t="shared" ref="P122" si="136">IFERROR((P121/O121-1),"NA")</f>
        <v>0.3242405915588229</v>
      </c>
      <c r="Q122" s="290">
        <f t="shared" ref="Q122" si="137">IFERROR((Q121/P121-1),"NA")</f>
        <v>2.9458341560355095E-2</v>
      </c>
      <c r="R122" s="290">
        <f t="shared" ref="R122" si="138">IFERROR((R121/Q121-1),"NA")</f>
        <v>8.5169249414365211E-3</v>
      </c>
      <c r="S122" s="290">
        <f t="shared" ref="S122" si="139">IFERROR((S121/R121-1),"NA")</f>
        <v>-4.1323697334495479E-3</v>
      </c>
      <c r="T122" s="290">
        <f t="shared" ref="T122" si="140">IFERROR((T121/S121-1),"NA")</f>
        <v>-7.8352061706918885E-3</v>
      </c>
      <c r="U122" s="290">
        <f t="shared" ref="U122" si="141">IFERROR((U121/T121-1),"NA")</f>
        <v>-1.7606823244112668E-2</v>
      </c>
      <c r="V122" s="290">
        <f t="shared" ref="V122" si="142">IFERROR((V121/U121-1),"NA")</f>
        <v>7.3800443683960992E-2</v>
      </c>
      <c r="W122" s="290">
        <f t="shared" ref="W122" si="143">IFERROR((W121/V121-1),"NA")</f>
        <v>5.4014516700802373E-2</v>
      </c>
      <c r="X122" s="290">
        <f t="shared" ref="X122" si="144">IFERROR((X121/W121-1),"NA")</f>
        <v>5.4374942033884821E-2</v>
      </c>
      <c r="Y122" s="290">
        <f t="shared" ref="Y122" si="145">IFERROR((Y121/X121-1),"NA")</f>
        <v>2.3874011907045301E-2</v>
      </c>
    </row>
    <row r="123" spans="3:25" ht="15" customHeight="1" x14ac:dyDescent="0.2">
      <c r="C123" s="1"/>
      <c r="D123" s="2"/>
      <c r="E123" s="126" t="s">
        <v>170</v>
      </c>
      <c r="F123" s="24" t="s">
        <v>7</v>
      </c>
      <c r="G123" s="24"/>
      <c r="H123" s="106">
        <f>IFERROR(H121/H116,"NA")</f>
        <v>3.7471084348193955E-2</v>
      </c>
      <c r="I123" s="106">
        <f t="shared" ref="I123:O123" si="146">IFERROR(I121/I116,"NA")</f>
        <v>4.4932458215675798E-2</v>
      </c>
      <c r="J123" s="106">
        <f t="shared" si="146"/>
        <v>5.0083426789573018E-2</v>
      </c>
      <c r="K123" s="106">
        <f t="shared" si="146"/>
        <v>5.1347824929213672E-2</v>
      </c>
      <c r="L123" s="106">
        <f t="shared" si="146"/>
        <v>5.1904610389080612E-2</v>
      </c>
      <c r="M123" s="106">
        <f t="shared" si="146"/>
        <v>2.0616327266174087E-2</v>
      </c>
      <c r="N123" s="106">
        <f t="shared" si="146"/>
        <v>2.4983233965406693E-2</v>
      </c>
      <c r="O123" s="106">
        <f t="shared" si="146"/>
        <v>2.6939943824094415E-2</v>
      </c>
      <c r="P123" s="291">
        <f>HARMEAN(H123:O123)</f>
        <v>3.4290263199722761E-2</v>
      </c>
      <c r="Q123" s="291">
        <f t="shared" ref="Q123:Y123" si="147">HARMEAN(I123:P123)</f>
        <v>3.3930232251210883E-2</v>
      </c>
      <c r="R123" s="291">
        <f t="shared" si="147"/>
        <v>3.2922549435168071E-2</v>
      </c>
      <c r="S123" s="291">
        <f t="shared" si="147"/>
        <v>3.1570367583642962E-2</v>
      </c>
      <c r="T123" s="291">
        <f t="shared" si="147"/>
        <v>3.0120206128955194E-2</v>
      </c>
      <c r="U123" s="291">
        <f t="shared" si="147"/>
        <v>2.8618790143807124E-2</v>
      </c>
      <c r="V123" s="291">
        <f t="shared" si="147"/>
        <v>3.0078189225897705E-2</v>
      </c>
      <c r="W123" s="291">
        <f t="shared" si="147"/>
        <v>3.0864995753307718E-2</v>
      </c>
      <c r="X123" s="291">
        <f t="shared" si="147"/>
        <v>3.1437537628885105E-2</v>
      </c>
      <c r="Y123" s="291">
        <f t="shared" si="147"/>
        <v>3.1113977704270112E-2</v>
      </c>
    </row>
    <row r="124" spans="3:25" ht="15" customHeight="1" x14ac:dyDescent="0.2"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</row>
    <row r="126" spans="3:25" ht="15" customHeight="1" x14ac:dyDescent="0.2">
      <c r="C126" s="114" t="s">
        <v>272</v>
      </c>
      <c r="D126" s="115"/>
      <c r="E126" s="115"/>
      <c r="F126" s="116"/>
      <c r="G126" s="116"/>
      <c r="H126" s="115"/>
      <c r="I126" s="115"/>
      <c r="J126" s="115"/>
      <c r="K126" s="117"/>
      <c r="L126" s="117"/>
      <c r="M126" s="117"/>
      <c r="N126" s="118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</row>
    <row r="127" spans="3:25" ht="15" customHeight="1" x14ac:dyDescent="0.2">
      <c r="C127" s="1"/>
      <c r="D127" s="2"/>
      <c r="E127" s="2"/>
      <c r="F127" s="24"/>
      <c r="G127" s="24"/>
      <c r="H127" s="119"/>
      <c r="I127" s="119"/>
      <c r="J127" s="119"/>
      <c r="K127" s="119"/>
      <c r="L127" s="119"/>
      <c r="M127" s="119"/>
      <c r="N127" s="119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3:25" ht="15" customHeight="1" x14ac:dyDescent="0.2">
      <c r="C128" s="1"/>
      <c r="D128" s="2"/>
      <c r="E128" s="120" t="s">
        <v>277</v>
      </c>
      <c r="F128" s="24" t="s">
        <v>25</v>
      </c>
      <c r="G128" s="24"/>
      <c r="H128" s="121">
        <v>675.43899999999996</v>
      </c>
      <c r="I128" s="121">
        <v>654.92999999999995</v>
      </c>
      <c r="J128" s="121">
        <v>650.75</v>
      </c>
      <c r="K128" s="121">
        <v>604.94000000000005</v>
      </c>
      <c r="L128" s="121">
        <v>586.32000000000005</v>
      </c>
      <c r="M128" s="121">
        <v>687.23</v>
      </c>
      <c r="N128" s="121">
        <v>712.6</v>
      </c>
      <c r="O128" s="121">
        <v>720.34</v>
      </c>
      <c r="P128" s="344">
        <v>720.34</v>
      </c>
      <c r="Q128" s="122">
        <f t="shared" ref="Q128:Y128" si="148">P128*(1+Q130)</f>
        <v>728.77450269828432</v>
      </c>
      <c r="R128" s="122">
        <f t="shared" si="148"/>
        <v>736.24110762896737</v>
      </c>
      <c r="S128" s="122">
        <f t="shared" si="148"/>
        <v>747.65619637985253</v>
      </c>
      <c r="T128" s="122">
        <f t="shared" si="148"/>
        <v>760.80225447384839</v>
      </c>
      <c r="U128" s="122">
        <f t="shared" si="148"/>
        <v>782.34859798559717</v>
      </c>
      <c r="V128" s="122">
        <f t="shared" si="148"/>
        <v>809.23473050980863</v>
      </c>
      <c r="W128" s="122">
        <f t="shared" si="148"/>
        <v>822.50016827417062</v>
      </c>
      <c r="X128" s="122">
        <f t="shared" si="148"/>
        <v>835.72084842281959</v>
      </c>
      <c r="Y128" s="122">
        <f t="shared" si="148"/>
        <v>849.73182474521366</v>
      </c>
    </row>
    <row r="129" spans="3:25" ht="15" customHeight="1" x14ac:dyDescent="0.2">
      <c r="C129" s="1"/>
      <c r="D129" s="1"/>
      <c r="F129" s="93"/>
      <c r="G129" s="37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</row>
    <row r="130" spans="3:25" ht="15" customHeight="1" x14ac:dyDescent="0.2">
      <c r="C130" s="1"/>
      <c r="D130" s="1"/>
      <c r="E130" s="18" t="s">
        <v>167</v>
      </c>
      <c r="F130" s="24" t="s">
        <v>7</v>
      </c>
      <c r="G130" s="37"/>
      <c r="H130" s="229"/>
      <c r="I130" s="229">
        <f>IFERROR((I128/H128-1),"NA")</f>
        <v>-3.0363955886467897E-2</v>
      </c>
      <c r="J130" s="229">
        <f t="shared" ref="J130:N130" si="149">IFERROR((J128/I128-1),"NA")</f>
        <v>-6.3823614737451573E-3</v>
      </c>
      <c r="K130" s="229">
        <f t="shared" si="149"/>
        <v>-7.0395697272377933E-2</v>
      </c>
      <c r="L130" s="229">
        <f t="shared" si="149"/>
        <v>-3.0779912057394165E-2</v>
      </c>
      <c r="M130" s="229">
        <f t="shared" si="149"/>
        <v>0.17210738163460215</v>
      </c>
      <c r="N130" s="229">
        <f t="shared" si="149"/>
        <v>3.6916316226008661E-2</v>
      </c>
      <c r="O130" s="229">
        <f>IFERROR((O128/N128-1),"NA")</f>
        <v>1.0861633454953612E-2</v>
      </c>
      <c r="P130" s="229">
        <f>IFERROR((P128/O128-1),"NA")</f>
        <v>0</v>
      </c>
      <c r="Q130" s="123">
        <f>AVERAGE(H130:O130)</f>
        <v>1.1709057803654182E-2</v>
      </c>
      <c r="R130" s="123">
        <f t="shared" ref="R130:Y130" si="150">AVERAGE(I130:P130)</f>
        <v>1.0245425578197409E-2</v>
      </c>
      <c r="S130" s="123">
        <f t="shared" si="150"/>
        <v>1.5504552289462669E-2</v>
      </c>
      <c r="T130" s="123">
        <f t="shared" si="150"/>
        <v>1.7583025670955491E-2</v>
      </c>
      <c r="U130" s="123">
        <f t="shared" si="150"/>
        <v>2.8320556866185568E-2</v>
      </c>
      <c r="V130" s="123">
        <f t="shared" si="150"/>
        <v>3.4365924082229271E-2</v>
      </c>
      <c r="W130" s="123">
        <f t="shared" si="150"/>
        <v>1.6392570986177198E-2</v>
      </c>
      <c r="X130" s="123">
        <f t="shared" si="150"/>
        <v>1.6073771968204774E-2</v>
      </c>
      <c r="Y130" s="123">
        <f t="shared" si="150"/>
        <v>1.6765139159607721E-2</v>
      </c>
    </row>
    <row r="131" spans="3:25" ht="15" customHeight="1" x14ac:dyDescent="0.2">
      <c r="C131" s="1"/>
      <c r="D131" s="1"/>
    </row>
    <row r="132" spans="3:25" ht="15" customHeight="1" x14ac:dyDescent="0.2">
      <c r="C132" s="1"/>
      <c r="D132" s="1"/>
    </row>
    <row r="133" spans="3:25" ht="15" customHeight="1" x14ac:dyDescent="0.2">
      <c r="C133" s="1"/>
      <c r="D133" s="2"/>
      <c r="E133" s="120" t="s">
        <v>168</v>
      </c>
      <c r="F133" s="24" t="s">
        <v>25</v>
      </c>
      <c r="G133" s="24"/>
      <c r="H133" s="124">
        <v>28.416</v>
      </c>
      <c r="I133" s="124">
        <v>29.631</v>
      </c>
      <c r="J133" s="124">
        <v>16.100000000000001</v>
      </c>
      <c r="K133" s="124">
        <v>16.216999999999999</v>
      </c>
      <c r="L133" s="124">
        <v>31.053999999999998</v>
      </c>
      <c r="M133" s="124">
        <v>32.200000000000003</v>
      </c>
      <c r="N133" s="124">
        <v>30.238</v>
      </c>
      <c r="O133" s="124">
        <v>34.234999999999999</v>
      </c>
      <c r="P133" s="343">
        <v>113.74</v>
      </c>
      <c r="Q133" s="125">
        <f t="shared" ref="Q133:Y133" si="151">Q128*Q135</f>
        <v>27.669457092539059</v>
      </c>
      <c r="R133" s="125">
        <f t="shared" si="151"/>
        <v>27.402097866734049</v>
      </c>
      <c r="S133" s="125">
        <f t="shared" si="151"/>
        <v>29.699354452963256</v>
      </c>
      <c r="T133" s="125">
        <f t="shared" si="151"/>
        <v>32.158252226821368</v>
      </c>
      <c r="U133" s="125">
        <f t="shared" si="151"/>
        <v>32.254816397514105</v>
      </c>
      <c r="V133" s="125">
        <f t="shared" si="151"/>
        <v>32.869883659427451</v>
      </c>
      <c r="W133" s="125">
        <f t="shared" si="151"/>
        <v>33.231045071851135</v>
      </c>
      <c r="X133" s="125">
        <f t="shared" si="151"/>
        <v>33.144196006245878</v>
      </c>
      <c r="Y133" s="125">
        <f t="shared" si="151"/>
        <v>33.84052446798087</v>
      </c>
    </row>
    <row r="134" spans="3:25" ht="15" customHeight="1" x14ac:dyDescent="0.2">
      <c r="C134" s="1"/>
      <c r="D134" s="2"/>
      <c r="E134" s="126" t="s">
        <v>169</v>
      </c>
      <c r="F134" s="24" t="s">
        <v>7</v>
      </c>
      <c r="G134" s="24"/>
      <c r="H134" s="127"/>
      <c r="I134" s="290">
        <f>IFERROR((I133/H133-1),"NA")</f>
        <v>4.2757601351351315E-2</v>
      </c>
      <c r="J134" s="290">
        <f t="shared" ref="J134" si="152">IFERROR((J133/I133-1),"NA")</f>
        <v>-0.45665012993149068</v>
      </c>
      <c r="K134" s="290">
        <f t="shared" ref="K134" si="153">IFERROR((K133/J133-1),"NA")</f>
        <v>7.2670807453414366E-3</v>
      </c>
      <c r="L134" s="290">
        <f t="shared" ref="L134" si="154">IFERROR((L133/K133-1),"NA")</f>
        <v>0.91490411296787322</v>
      </c>
      <c r="M134" s="290">
        <f t="shared" ref="M134" si="155">IFERROR((M133/L133-1),"NA")</f>
        <v>3.690345849165988E-2</v>
      </c>
      <c r="N134" s="290">
        <f t="shared" ref="N134" si="156">IFERROR((N133/M133-1),"NA")</f>
        <v>-6.0931677018633668E-2</v>
      </c>
      <c r="O134" s="290">
        <f t="shared" ref="O134" si="157">IFERROR((O133/N133-1),"NA")</f>
        <v>0.13218466829816777</v>
      </c>
      <c r="P134" s="290">
        <f t="shared" ref="P134" si="158">IFERROR((P133/O133-1),"NA")</f>
        <v>2.3223309478603769</v>
      </c>
      <c r="Q134" s="290">
        <f t="shared" ref="Q134" si="159">IFERROR((Q133/P133-1),"NA")</f>
        <v>-0.75673063924266692</v>
      </c>
      <c r="R134" s="290">
        <f t="shared" ref="R134" si="160">IFERROR((R133/Q133-1),"NA")</f>
        <v>-9.6626119157611212E-3</v>
      </c>
      <c r="S134" s="290">
        <f t="shared" ref="S134" si="161">IFERROR((S133/R133-1),"NA")</f>
        <v>8.3835062461332877E-2</v>
      </c>
      <c r="T134" s="290">
        <f t="shared" ref="T134" si="162">IFERROR((T133/S133-1),"NA")</f>
        <v>8.279297039107103E-2</v>
      </c>
      <c r="U134" s="290">
        <f t="shared" ref="U134" si="163">IFERROR((U133/T133-1),"NA")</f>
        <v>3.0027804375574174E-3</v>
      </c>
      <c r="V134" s="290">
        <f t="shared" ref="V134" si="164">IFERROR((V133/U133-1),"NA")</f>
        <v>1.9069005209428225E-2</v>
      </c>
      <c r="W134" s="290">
        <f t="shared" ref="W134" si="165">IFERROR((W133/V133-1),"NA")</f>
        <v>1.0987608479718469E-2</v>
      </c>
      <c r="X134" s="290">
        <f t="shared" ref="X134" si="166">IFERROR((X133/W133-1),"NA")</f>
        <v>-2.6134918543029295E-3</v>
      </c>
      <c r="Y134" s="290">
        <f t="shared" ref="Y134" si="167">IFERROR((Y133/X133-1),"NA")</f>
        <v>2.1009061785772998E-2</v>
      </c>
    </row>
    <row r="135" spans="3:25" ht="15" customHeight="1" x14ac:dyDescent="0.2">
      <c r="C135" s="1"/>
      <c r="D135" s="2"/>
      <c r="E135" s="126" t="s">
        <v>170</v>
      </c>
      <c r="F135" s="24" t="s">
        <v>7</v>
      </c>
      <c r="G135" s="24"/>
      <c r="H135" s="106">
        <f>IFERROR(H133/H128,"NA")</f>
        <v>4.2070416425465516E-2</v>
      </c>
      <c r="I135" s="106">
        <f t="shared" ref="I135:O135" si="168">IFERROR(I133/I128,"NA")</f>
        <v>4.5243003069030278E-2</v>
      </c>
      <c r="J135" s="106">
        <f t="shared" si="168"/>
        <v>2.474068382635421E-2</v>
      </c>
      <c r="K135" s="106">
        <f t="shared" si="168"/>
        <v>2.6807617284358775E-2</v>
      </c>
      <c r="L135" s="106">
        <f t="shared" si="168"/>
        <v>5.2964251603220075E-2</v>
      </c>
      <c r="M135" s="106">
        <f t="shared" si="168"/>
        <v>4.6854764780350104E-2</v>
      </c>
      <c r="N135" s="106">
        <f t="shared" si="168"/>
        <v>4.2433342688745435E-2</v>
      </c>
      <c r="O135" s="106">
        <f t="shared" si="168"/>
        <v>4.7526168198350774E-2</v>
      </c>
      <c r="P135" s="291">
        <f>HARMEAN(H135:O135)</f>
        <v>3.8383066925780272E-2</v>
      </c>
      <c r="Q135" s="291">
        <f t="shared" ref="Q135:Y135" si="169">HARMEAN(I135:P135)</f>
        <v>3.7967103665253132E-2</v>
      </c>
      <c r="R135" s="291">
        <f t="shared" si="169"/>
        <v>3.7218918616187188E-2</v>
      </c>
      <c r="S135" s="291">
        <f t="shared" si="169"/>
        <v>3.9723277352300933E-2</v>
      </c>
      <c r="T135" s="291">
        <f t="shared" si="169"/>
        <v>4.226887083695776E-2</v>
      </c>
      <c r="U135" s="291">
        <f t="shared" si="169"/>
        <v>4.122818968496178E-2</v>
      </c>
      <c r="V135" s="291">
        <f t="shared" si="169"/>
        <v>4.061847869371573E-2</v>
      </c>
      <c r="W135" s="291">
        <f t="shared" si="169"/>
        <v>4.0402478143656696E-2</v>
      </c>
      <c r="X135" s="291">
        <f t="shared" si="169"/>
        <v>3.9659410278917805E-2</v>
      </c>
      <c r="Y135" s="291">
        <f t="shared" si="169"/>
        <v>3.9824946509597572E-2</v>
      </c>
    </row>
    <row r="136" spans="3:25" ht="15" customHeight="1" x14ac:dyDescent="0.2"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</row>
    <row r="138" spans="3:25" ht="15" customHeight="1" x14ac:dyDescent="0.2">
      <c r="C138" s="114" t="s">
        <v>278</v>
      </c>
      <c r="D138" s="115"/>
      <c r="E138" s="115"/>
      <c r="F138" s="116"/>
      <c r="G138" s="116"/>
      <c r="H138" s="115"/>
      <c r="I138" s="115"/>
      <c r="J138" s="115"/>
      <c r="K138" s="117"/>
      <c r="L138" s="117"/>
      <c r="M138" s="117"/>
      <c r="N138" s="118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</row>
    <row r="139" spans="3:25" ht="15" customHeight="1" x14ac:dyDescent="0.2">
      <c r="C139" s="1"/>
      <c r="D139" s="2"/>
      <c r="E139" s="2"/>
      <c r="F139" s="24"/>
      <c r="G139" s="24"/>
      <c r="H139" s="119"/>
      <c r="I139" s="119"/>
      <c r="J139" s="119"/>
      <c r="K139" s="119"/>
      <c r="L139" s="119"/>
      <c r="M139" s="119"/>
      <c r="N139" s="119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3:25" ht="15" customHeight="1" x14ac:dyDescent="0.2">
      <c r="C140" s="1"/>
      <c r="D140" s="2"/>
      <c r="E140" s="120" t="s">
        <v>279</v>
      </c>
      <c r="F140" s="24" t="s">
        <v>25</v>
      </c>
      <c r="G140" s="24"/>
      <c r="H140" s="121">
        <v>0</v>
      </c>
      <c r="I140" s="121">
        <v>0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2">
        <v>0</v>
      </c>
      <c r="Q140" s="122">
        <f t="shared" ref="Q140:Y140" si="170">P140*(1+Q142)</f>
        <v>0</v>
      </c>
      <c r="R140" s="122">
        <f t="shared" si="170"/>
        <v>0</v>
      </c>
      <c r="S140" s="122">
        <f t="shared" si="170"/>
        <v>0</v>
      </c>
      <c r="T140" s="122">
        <f t="shared" si="170"/>
        <v>0</v>
      </c>
      <c r="U140" s="122">
        <f t="shared" si="170"/>
        <v>0</v>
      </c>
      <c r="V140" s="122">
        <f t="shared" si="170"/>
        <v>0</v>
      </c>
      <c r="W140" s="122">
        <f t="shared" si="170"/>
        <v>0</v>
      </c>
      <c r="X140" s="122">
        <f t="shared" si="170"/>
        <v>0</v>
      </c>
      <c r="Y140" s="122">
        <f t="shared" si="170"/>
        <v>0</v>
      </c>
    </row>
    <row r="141" spans="3:25" ht="15" customHeight="1" x14ac:dyDescent="0.2">
      <c r="C141" s="1"/>
      <c r="D141" s="1"/>
      <c r="F141" s="93"/>
      <c r="G141" s="37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</row>
    <row r="142" spans="3:25" ht="15" customHeight="1" x14ac:dyDescent="0.2">
      <c r="C142" s="1"/>
      <c r="D142" s="1"/>
      <c r="E142" s="18" t="s">
        <v>167</v>
      </c>
      <c r="F142" s="24" t="s">
        <v>7</v>
      </c>
      <c r="G142" s="37"/>
      <c r="H142" s="229"/>
      <c r="I142" s="229" t="str">
        <f>IFERROR((I140/H140-1),"NA")</f>
        <v>NA</v>
      </c>
      <c r="J142" s="229" t="str">
        <f t="shared" ref="J142:N142" si="171">IFERROR((J140/I140-1),"NA")</f>
        <v>NA</v>
      </c>
      <c r="K142" s="229" t="str">
        <f t="shared" si="171"/>
        <v>NA</v>
      </c>
      <c r="L142" s="229" t="str">
        <f t="shared" si="171"/>
        <v>NA</v>
      </c>
      <c r="M142" s="229" t="str">
        <f t="shared" si="171"/>
        <v>NA</v>
      </c>
      <c r="N142" s="229" t="str">
        <f t="shared" si="171"/>
        <v>NA</v>
      </c>
      <c r="O142" s="229" t="str">
        <f>IFERROR((O140/N140-1),"NA")</f>
        <v>NA</v>
      </c>
      <c r="P142" s="229" t="str">
        <f>IFERROR((P140/O140-1),"NA")</f>
        <v>NA</v>
      </c>
      <c r="Q142" s="123">
        <v>0</v>
      </c>
      <c r="R142" s="123">
        <v>0</v>
      </c>
      <c r="S142" s="123">
        <v>0</v>
      </c>
      <c r="T142" s="123">
        <v>0</v>
      </c>
      <c r="U142" s="123">
        <v>0</v>
      </c>
      <c r="V142" s="123">
        <v>0</v>
      </c>
      <c r="W142" s="123">
        <v>0</v>
      </c>
      <c r="X142" s="123">
        <v>0</v>
      </c>
      <c r="Y142" s="123">
        <v>0</v>
      </c>
    </row>
    <row r="143" spans="3:25" ht="15" customHeight="1" x14ac:dyDescent="0.2">
      <c r="C143" s="1"/>
      <c r="D143" s="1"/>
    </row>
    <row r="144" spans="3:25" ht="15" customHeight="1" x14ac:dyDescent="0.2">
      <c r="C144" s="1"/>
      <c r="D144" s="1"/>
    </row>
    <row r="145" spans="3:25" ht="15" customHeight="1" x14ac:dyDescent="0.2">
      <c r="C145" s="1"/>
      <c r="D145" s="2"/>
      <c r="E145" s="120" t="s">
        <v>168</v>
      </c>
      <c r="F145" s="24" t="s">
        <v>25</v>
      </c>
      <c r="G145" s="24"/>
      <c r="H145" s="121">
        <v>0</v>
      </c>
      <c r="I145" s="121">
        <v>0</v>
      </c>
      <c r="J145" s="121">
        <v>0</v>
      </c>
      <c r="K145" s="121">
        <v>0</v>
      </c>
      <c r="L145" s="121">
        <v>0</v>
      </c>
      <c r="M145" s="121">
        <v>0</v>
      </c>
      <c r="N145" s="121" t="s">
        <v>273</v>
      </c>
      <c r="O145" s="121" t="s">
        <v>273</v>
      </c>
      <c r="P145" s="125">
        <f t="shared" ref="P145:Y145" si="172">P140*P147</f>
        <v>0</v>
      </c>
      <c r="Q145" s="125">
        <f t="shared" si="172"/>
        <v>0</v>
      </c>
      <c r="R145" s="125">
        <f t="shared" si="172"/>
        <v>0</v>
      </c>
      <c r="S145" s="125">
        <f t="shared" si="172"/>
        <v>0</v>
      </c>
      <c r="T145" s="125">
        <f t="shared" si="172"/>
        <v>0</v>
      </c>
      <c r="U145" s="125">
        <f t="shared" si="172"/>
        <v>0</v>
      </c>
      <c r="V145" s="125">
        <f t="shared" si="172"/>
        <v>0</v>
      </c>
      <c r="W145" s="125">
        <f t="shared" si="172"/>
        <v>0</v>
      </c>
      <c r="X145" s="125">
        <f t="shared" si="172"/>
        <v>0</v>
      </c>
      <c r="Y145" s="125">
        <f t="shared" si="172"/>
        <v>0</v>
      </c>
    </row>
    <row r="146" spans="3:25" ht="15" customHeight="1" x14ac:dyDescent="0.2">
      <c r="C146" s="1"/>
      <c r="D146" s="2"/>
      <c r="E146" s="126" t="s">
        <v>169</v>
      </c>
      <c r="F146" s="24" t="s">
        <v>7</v>
      </c>
      <c r="G146" s="24"/>
      <c r="H146" s="127"/>
      <c r="I146" s="290" t="str">
        <f>IFERROR((I145/H145-1),"NA")</f>
        <v>NA</v>
      </c>
      <c r="J146" s="290" t="str">
        <f t="shared" ref="J146" si="173">IFERROR((J145/I145-1),"NA")</f>
        <v>NA</v>
      </c>
      <c r="K146" s="290" t="str">
        <f t="shared" ref="K146" si="174">IFERROR((K145/J145-1),"NA")</f>
        <v>NA</v>
      </c>
      <c r="L146" s="290" t="str">
        <f t="shared" ref="L146" si="175">IFERROR((L145/K145-1),"NA")</f>
        <v>NA</v>
      </c>
      <c r="M146" s="290" t="str">
        <f t="shared" ref="M146" si="176">IFERROR((M145/L145-1),"NA")</f>
        <v>NA</v>
      </c>
      <c r="N146" s="290" t="str">
        <f t="shared" ref="N146" si="177">IFERROR((N145/M145-1),"NA")</f>
        <v>NA</v>
      </c>
      <c r="O146" s="290" t="str">
        <f t="shared" ref="O146" si="178">IFERROR((O145/N145-1),"NA")</f>
        <v>NA</v>
      </c>
      <c r="P146" s="290" t="str">
        <f t="shared" ref="P146" si="179">IFERROR((P145/O145-1),"NA")</f>
        <v>NA</v>
      </c>
      <c r="Q146" s="290" t="str">
        <f t="shared" ref="Q146" si="180">IFERROR((Q145/P145-1),"NA")</f>
        <v>NA</v>
      </c>
      <c r="R146" s="290" t="str">
        <f t="shared" ref="R146" si="181">IFERROR((R145/Q145-1),"NA")</f>
        <v>NA</v>
      </c>
      <c r="S146" s="290" t="str">
        <f t="shared" ref="S146" si="182">IFERROR((S145/R145-1),"NA")</f>
        <v>NA</v>
      </c>
      <c r="T146" s="290" t="str">
        <f t="shared" ref="T146" si="183">IFERROR((T145/S145-1),"NA")</f>
        <v>NA</v>
      </c>
      <c r="U146" s="290" t="str">
        <f t="shared" ref="U146" si="184">IFERROR((U145/T145-1),"NA")</f>
        <v>NA</v>
      </c>
      <c r="V146" s="290" t="str">
        <f t="shared" ref="V146" si="185">IFERROR((V145/U145-1),"NA")</f>
        <v>NA</v>
      </c>
      <c r="W146" s="290" t="str">
        <f t="shared" ref="W146" si="186">IFERROR((W145/V145-1),"NA")</f>
        <v>NA</v>
      </c>
      <c r="X146" s="290" t="str">
        <f t="shared" ref="X146" si="187">IFERROR((X145/W145-1),"NA")</f>
        <v>NA</v>
      </c>
      <c r="Y146" s="290" t="str">
        <f t="shared" ref="Y146" si="188">IFERROR((Y145/X145-1),"NA")</f>
        <v>NA</v>
      </c>
    </row>
    <row r="147" spans="3:25" ht="15" customHeight="1" x14ac:dyDescent="0.2">
      <c r="C147" s="1"/>
      <c r="D147" s="2"/>
      <c r="E147" s="126" t="s">
        <v>170</v>
      </c>
      <c r="F147" s="24" t="s">
        <v>7</v>
      </c>
      <c r="G147" s="24"/>
      <c r="H147" s="106" t="str">
        <f>IFERROR(H145/H140,"NA")</f>
        <v>NA</v>
      </c>
      <c r="I147" s="106" t="str">
        <f t="shared" ref="I147:O147" si="189">IFERROR(I145/I140,"NA")</f>
        <v>NA</v>
      </c>
      <c r="J147" s="106" t="str">
        <f t="shared" si="189"/>
        <v>NA</v>
      </c>
      <c r="K147" s="106" t="str">
        <f t="shared" si="189"/>
        <v>NA</v>
      </c>
      <c r="L147" s="106" t="str">
        <f t="shared" si="189"/>
        <v>NA</v>
      </c>
      <c r="M147" s="106" t="str">
        <f t="shared" si="189"/>
        <v>NA</v>
      </c>
      <c r="N147" s="106" t="str">
        <f t="shared" si="189"/>
        <v>NA</v>
      </c>
      <c r="O147" s="106" t="str">
        <f t="shared" si="189"/>
        <v>NA</v>
      </c>
      <c r="P147" s="291">
        <v>0</v>
      </c>
      <c r="Q147" s="292">
        <v>0</v>
      </c>
      <c r="R147" s="292">
        <v>0</v>
      </c>
      <c r="S147" s="292">
        <v>0</v>
      </c>
      <c r="T147" s="292">
        <v>0</v>
      </c>
      <c r="U147" s="292">
        <v>0</v>
      </c>
      <c r="V147" s="292">
        <v>0</v>
      </c>
      <c r="W147" s="292">
        <v>0</v>
      </c>
      <c r="X147" s="292">
        <v>0</v>
      </c>
      <c r="Y147" s="293">
        <v>0</v>
      </c>
    </row>
    <row r="148" spans="3:25" ht="15" customHeight="1" x14ac:dyDescent="0.2">
      <c r="C148" s="128"/>
      <c r="D148" s="129"/>
      <c r="E148" s="129"/>
      <c r="F148" s="130"/>
      <c r="G148" s="130"/>
      <c r="H148" s="129"/>
      <c r="I148" s="129"/>
      <c r="J148" s="129"/>
      <c r="K148" s="131"/>
      <c r="L148" s="131"/>
      <c r="M148" s="131"/>
      <c r="N148" s="132"/>
      <c r="O148" s="132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</row>
    <row r="150" spans="3:25" ht="15" customHeight="1" x14ac:dyDescent="0.2">
      <c r="C150" s="114" t="s">
        <v>274</v>
      </c>
      <c r="D150" s="115"/>
      <c r="E150" s="115"/>
      <c r="F150" s="116"/>
      <c r="G150" s="116"/>
      <c r="H150" s="115"/>
      <c r="I150" s="115"/>
      <c r="J150" s="115"/>
      <c r="K150" s="117"/>
      <c r="L150" s="117"/>
      <c r="M150" s="117"/>
      <c r="N150" s="118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</row>
    <row r="152" spans="3:25" ht="15" customHeight="1" x14ac:dyDescent="0.2">
      <c r="E152" s="120" t="s">
        <v>280</v>
      </c>
      <c r="F152" s="24" t="s">
        <v>25</v>
      </c>
      <c r="G152" s="24"/>
      <c r="H152" s="121">
        <v>0</v>
      </c>
      <c r="I152" s="121">
        <v>955.09</v>
      </c>
      <c r="J152" s="121">
        <v>1089.77</v>
      </c>
      <c r="K152" s="121">
        <v>1125.3</v>
      </c>
      <c r="L152" s="121">
        <v>1287.9000000000001</v>
      </c>
      <c r="M152" s="121">
        <v>1382.37</v>
      </c>
      <c r="N152" s="121">
        <v>1563.9</v>
      </c>
      <c r="O152" s="121">
        <v>1608.28</v>
      </c>
      <c r="P152" s="122">
        <f>O152*(1+P154)</f>
        <v>1608.28</v>
      </c>
      <c r="Q152" s="122">
        <f t="shared" ref="Q152:Y152" si="190">P152*(1+Q154)</f>
        <v>1608.28</v>
      </c>
      <c r="R152" s="122">
        <f t="shared" si="190"/>
        <v>1608.28</v>
      </c>
      <c r="S152" s="122">
        <f t="shared" si="190"/>
        <v>1608.28</v>
      </c>
      <c r="T152" s="122">
        <f t="shared" si="190"/>
        <v>1608.28</v>
      </c>
      <c r="U152" s="122">
        <f t="shared" si="190"/>
        <v>1608.28</v>
      </c>
      <c r="V152" s="122">
        <f t="shared" si="190"/>
        <v>1608.28</v>
      </c>
      <c r="W152" s="122">
        <f t="shared" si="190"/>
        <v>1608.28</v>
      </c>
      <c r="X152" s="122">
        <f t="shared" si="190"/>
        <v>1608.28</v>
      </c>
      <c r="Y152" s="122">
        <f t="shared" si="190"/>
        <v>1608.28</v>
      </c>
    </row>
    <row r="153" spans="3:25" ht="15" customHeight="1" x14ac:dyDescent="0.2">
      <c r="F153" s="93"/>
      <c r="G153" s="37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</row>
    <row r="154" spans="3:25" ht="15" customHeight="1" x14ac:dyDescent="0.2">
      <c r="E154" s="18" t="s">
        <v>167</v>
      </c>
      <c r="F154" s="24" t="s">
        <v>7</v>
      </c>
      <c r="G154" s="37"/>
      <c r="H154" s="229"/>
      <c r="I154" s="229" t="str">
        <f>IFERROR((I152/H152-1),"NA")</f>
        <v>NA</v>
      </c>
      <c r="J154" s="229">
        <f t="shared" ref="J154:N154" si="191">IFERROR((J152/I152-1),"NA")</f>
        <v>0.14101288883770113</v>
      </c>
      <c r="K154" s="229">
        <f t="shared" si="191"/>
        <v>3.2603209851620019E-2</v>
      </c>
      <c r="L154" s="229">
        <f t="shared" si="191"/>
        <v>0.14449480138629722</v>
      </c>
      <c r="M154" s="229">
        <f t="shared" si="191"/>
        <v>7.335196832052171E-2</v>
      </c>
      <c r="N154" s="229">
        <f t="shared" si="191"/>
        <v>0.13131795394865353</v>
      </c>
      <c r="O154" s="229">
        <f>IFERROR((O152/N152-1),"NA")</f>
        <v>2.8377773514930649E-2</v>
      </c>
      <c r="P154" s="123">
        <v>0</v>
      </c>
      <c r="Q154" s="123">
        <v>0</v>
      </c>
      <c r="R154" s="123">
        <v>0</v>
      </c>
      <c r="S154" s="123">
        <v>0</v>
      </c>
      <c r="T154" s="123">
        <v>0</v>
      </c>
      <c r="U154" s="123">
        <v>0</v>
      </c>
      <c r="V154" s="123">
        <v>0</v>
      </c>
      <c r="W154" s="123">
        <v>0</v>
      </c>
      <c r="X154" s="123">
        <v>0</v>
      </c>
      <c r="Y154" s="123">
        <v>0</v>
      </c>
    </row>
    <row r="157" spans="3:25" ht="15" customHeight="1" x14ac:dyDescent="0.2">
      <c r="E157" s="120" t="s">
        <v>168</v>
      </c>
      <c r="F157" s="24" t="s">
        <v>25</v>
      </c>
      <c r="G157" s="24"/>
      <c r="H157" s="121">
        <v>50.8</v>
      </c>
      <c r="I157" s="121">
        <v>52.2</v>
      </c>
      <c r="J157" s="121">
        <v>50</v>
      </c>
      <c r="K157" s="121">
        <v>58.97</v>
      </c>
      <c r="L157" s="121">
        <v>62.38</v>
      </c>
      <c r="M157" s="121">
        <v>69.2</v>
      </c>
      <c r="N157" s="121">
        <v>55.646000000000001</v>
      </c>
      <c r="O157" s="121">
        <v>64.23</v>
      </c>
      <c r="P157" s="125">
        <v>64.010999999999996</v>
      </c>
      <c r="Q157" s="125">
        <f t="shared" ref="Q157:Y157" si="192">Q152*Q159</f>
        <v>0</v>
      </c>
      <c r="R157" s="125">
        <f t="shared" si="192"/>
        <v>0</v>
      </c>
      <c r="S157" s="125">
        <f t="shared" si="192"/>
        <v>0</v>
      </c>
      <c r="T157" s="125">
        <f t="shared" si="192"/>
        <v>0</v>
      </c>
      <c r="U157" s="125">
        <f t="shared" si="192"/>
        <v>0</v>
      </c>
      <c r="V157" s="125">
        <f t="shared" si="192"/>
        <v>0</v>
      </c>
      <c r="W157" s="125">
        <f t="shared" si="192"/>
        <v>0</v>
      </c>
      <c r="X157" s="125">
        <f t="shared" si="192"/>
        <v>0</v>
      </c>
      <c r="Y157" s="125">
        <f t="shared" si="192"/>
        <v>0</v>
      </c>
    </row>
    <row r="158" spans="3:25" ht="15" customHeight="1" x14ac:dyDescent="0.2">
      <c r="E158" s="126" t="s">
        <v>169</v>
      </c>
      <c r="F158" s="24" t="s">
        <v>7</v>
      </c>
      <c r="G158" s="24"/>
      <c r="H158" s="127"/>
      <c r="I158" s="290">
        <f>IFERROR((I157/H157-1),"NA")</f>
        <v>2.7559055118110409E-2</v>
      </c>
      <c r="J158" s="290">
        <f t="shared" ref="J158" si="193">IFERROR((J157/I157-1),"NA")</f>
        <v>-4.2145593869731823E-2</v>
      </c>
      <c r="K158" s="290">
        <f t="shared" ref="K158" si="194">IFERROR((K157/J157-1),"NA")</f>
        <v>0.1794</v>
      </c>
      <c r="L158" s="290">
        <f t="shared" ref="L158" si="195">IFERROR((L157/K157-1),"NA")</f>
        <v>5.782601322706471E-2</v>
      </c>
      <c r="M158" s="290">
        <f t="shared" ref="M158" si="196">IFERROR((M157/L157-1),"NA")</f>
        <v>0.10932991343379284</v>
      </c>
      <c r="N158" s="290">
        <f t="shared" ref="N158" si="197">IFERROR((N157/M157-1),"NA")</f>
        <v>-0.19586705202312138</v>
      </c>
      <c r="O158" s="290">
        <f t="shared" ref="O158" si="198">IFERROR((O157/N157-1),"NA")</f>
        <v>0.15426086331452393</v>
      </c>
      <c r="P158" s="290">
        <f t="shared" ref="P158" si="199">IFERROR((P157/O157-1),"NA")</f>
        <v>-3.4096216721160033E-3</v>
      </c>
      <c r="Q158" s="290">
        <f t="shared" ref="Q158" si="200">IFERROR((Q157/P157-1),"NA")</f>
        <v>-1</v>
      </c>
      <c r="R158" s="290" t="str">
        <f t="shared" ref="R158" si="201">IFERROR((R157/Q157-1),"NA")</f>
        <v>NA</v>
      </c>
      <c r="S158" s="290" t="str">
        <f t="shared" ref="S158" si="202">IFERROR((S157/R157-1),"NA")</f>
        <v>NA</v>
      </c>
      <c r="T158" s="290" t="str">
        <f t="shared" ref="T158" si="203">IFERROR((T157/S157-1),"NA")</f>
        <v>NA</v>
      </c>
      <c r="U158" s="290" t="str">
        <f t="shared" ref="U158" si="204">IFERROR((U157/T157-1),"NA")</f>
        <v>NA</v>
      </c>
      <c r="V158" s="290" t="str">
        <f t="shared" ref="V158" si="205">IFERROR((V157/U157-1),"NA")</f>
        <v>NA</v>
      </c>
      <c r="W158" s="290" t="str">
        <f t="shared" ref="W158" si="206">IFERROR((W157/V157-1),"NA")</f>
        <v>NA</v>
      </c>
      <c r="X158" s="290" t="str">
        <f t="shared" ref="X158" si="207">IFERROR((X157/W157-1),"NA")</f>
        <v>NA</v>
      </c>
      <c r="Y158" s="290" t="str">
        <f t="shared" ref="Y158" si="208">IFERROR((Y157/X157-1),"NA")</f>
        <v>NA</v>
      </c>
    </row>
    <row r="159" spans="3:25" ht="15" customHeight="1" x14ac:dyDescent="0.2">
      <c r="E159" s="126" t="s">
        <v>170</v>
      </c>
      <c r="F159" s="24" t="s">
        <v>7</v>
      </c>
      <c r="G159" s="24"/>
      <c r="H159" s="106" t="str">
        <f>IFERROR(H157/H152,"NA")</f>
        <v>NA</v>
      </c>
      <c r="I159" s="106">
        <f t="shared" ref="I159:O159" si="209">IFERROR(I157/I152,"NA")</f>
        <v>5.4654535174695582E-2</v>
      </c>
      <c r="J159" s="106">
        <f t="shared" si="209"/>
        <v>4.5881240995806455E-2</v>
      </c>
      <c r="K159" s="106">
        <f t="shared" si="209"/>
        <v>5.2403803430196391E-2</v>
      </c>
      <c r="L159" s="106">
        <f t="shared" si="209"/>
        <v>4.8435437533970026E-2</v>
      </c>
      <c r="M159" s="106">
        <f t="shared" si="209"/>
        <v>5.0058956719257516E-2</v>
      </c>
      <c r="N159" s="106">
        <f t="shared" si="209"/>
        <v>3.5581558923204804E-2</v>
      </c>
      <c r="O159" s="106">
        <f t="shared" si="209"/>
        <v>3.9937075633596143E-2</v>
      </c>
      <c r="P159" s="291">
        <v>0</v>
      </c>
      <c r="Q159" s="292">
        <v>0</v>
      </c>
      <c r="R159" s="292">
        <v>0</v>
      </c>
      <c r="S159" s="292">
        <v>0</v>
      </c>
      <c r="T159" s="292">
        <v>0</v>
      </c>
      <c r="U159" s="292">
        <v>0</v>
      </c>
      <c r="V159" s="292">
        <v>0</v>
      </c>
      <c r="W159" s="292">
        <v>0</v>
      </c>
      <c r="X159" s="292">
        <v>0</v>
      </c>
      <c r="Y159" s="293">
        <v>0</v>
      </c>
    </row>
    <row r="161" spans="1:27" ht="15" customHeight="1" x14ac:dyDescent="0.2">
      <c r="C161" s="114" t="s">
        <v>281</v>
      </c>
      <c r="D161" s="115"/>
      <c r="E161" s="115"/>
      <c r="F161" s="116"/>
      <c r="G161" s="116"/>
      <c r="H161" s="115"/>
      <c r="I161" s="115"/>
      <c r="J161" s="115"/>
      <c r="K161" s="117"/>
      <c r="L161" s="117"/>
      <c r="M161" s="117"/>
      <c r="N161" s="118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</row>
    <row r="163" spans="1:27" ht="15" customHeight="1" x14ac:dyDescent="0.2">
      <c r="E163" s="120" t="s">
        <v>282</v>
      </c>
      <c r="F163" s="24" t="s">
        <v>25</v>
      </c>
      <c r="G163" s="24"/>
      <c r="H163" s="121">
        <v>0</v>
      </c>
      <c r="I163" s="121">
        <v>454.02</v>
      </c>
      <c r="J163" s="121">
        <v>510.3</v>
      </c>
      <c r="K163" s="121">
        <v>559.92999999999995</v>
      </c>
      <c r="L163" s="121">
        <v>601.51</v>
      </c>
      <c r="M163" s="121">
        <v>721.26</v>
      </c>
      <c r="N163" s="121">
        <v>888.6</v>
      </c>
      <c r="O163" s="121">
        <v>1068.1500000000001</v>
      </c>
      <c r="P163" s="122">
        <f>O163*(1+P165)</f>
        <v>1068.1500000000001</v>
      </c>
      <c r="Q163" s="122">
        <f t="shared" ref="Q163" si="210">P163*(1+Q165)</f>
        <v>1068.1500000000001</v>
      </c>
      <c r="R163" s="122">
        <f t="shared" ref="R163" si="211">Q163*(1+R165)</f>
        <v>1068.1500000000001</v>
      </c>
      <c r="S163" s="122">
        <f t="shared" ref="S163" si="212">R163*(1+S165)</f>
        <v>1068.1500000000001</v>
      </c>
      <c r="T163" s="122">
        <f t="shared" ref="T163" si="213">S163*(1+T165)</f>
        <v>1068.1500000000001</v>
      </c>
      <c r="U163" s="122">
        <f t="shared" ref="U163" si="214">T163*(1+U165)</f>
        <v>1068.1500000000001</v>
      </c>
      <c r="V163" s="122">
        <f t="shared" ref="V163" si="215">U163*(1+V165)</f>
        <v>1068.1500000000001</v>
      </c>
      <c r="W163" s="122">
        <f t="shared" ref="W163" si="216">V163*(1+W165)</f>
        <v>1068.1500000000001</v>
      </c>
      <c r="X163" s="122">
        <f t="shared" ref="X163" si="217">W163*(1+X165)</f>
        <v>1068.1500000000001</v>
      </c>
      <c r="Y163" s="122">
        <f t="shared" ref="Y163" si="218">X163*(1+Y165)</f>
        <v>1068.1500000000001</v>
      </c>
    </row>
    <row r="164" spans="1:27" ht="15" customHeight="1" x14ac:dyDescent="0.2">
      <c r="F164" s="93"/>
      <c r="G164" s="37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</row>
    <row r="165" spans="1:27" ht="15" customHeight="1" x14ac:dyDescent="0.2">
      <c r="E165" s="18" t="s">
        <v>167</v>
      </c>
      <c r="F165" s="24" t="s">
        <v>7</v>
      </c>
      <c r="G165" s="37"/>
      <c r="H165" s="229"/>
      <c r="I165" s="229" t="str">
        <f>IFERROR((I163/H163-1),"NA")</f>
        <v>NA</v>
      </c>
      <c r="J165" s="229">
        <f t="shared" ref="J165" si="219">IFERROR((J163/I163-1),"NA")</f>
        <v>0.12395929694727115</v>
      </c>
      <c r="K165" s="229">
        <f t="shared" ref="K165" si="220">IFERROR((K163/J163-1),"NA")</f>
        <v>9.7256515775034247E-2</v>
      </c>
      <c r="L165" s="229">
        <f t="shared" ref="L165" si="221">IFERROR((L163/K163-1),"NA")</f>
        <v>7.4259282410301442E-2</v>
      </c>
      <c r="M165" s="229">
        <f t="shared" ref="M165" si="222">IFERROR((M163/L163-1),"NA")</f>
        <v>0.19908230952103878</v>
      </c>
      <c r="N165" s="229">
        <f t="shared" ref="N165" si="223">IFERROR((N163/M163-1),"NA")</f>
        <v>0.23201064803260962</v>
      </c>
      <c r="O165" s="229">
        <f>IFERROR((O163/N163-1),"NA")</f>
        <v>0.20205941931127613</v>
      </c>
      <c r="P165" s="123">
        <v>0</v>
      </c>
      <c r="Q165" s="123">
        <v>0</v>
      </c>
      <c r="R165" s="123">
        <v>0</v>
      </c>
      <c r="S165" s="123">
        <v>0</v>
      </c>
      <c r="T165" s="123">
        <v>0</v>
      </c>
      <c r="U165" s="123">
        <v>0</v>
      </c>
      <c r="V165" s="123">
        <v>0</v>
      </c>
      <c r="W165" s="123">
        <v>0</v>
      </c>
      <c r="X165" s="123">
        <v>0</v>
      </c>
      <c r="Y165" s="123">
        <v>0</v>
      </c>
    </row>
    <row r="168" spans="1:27" ht="15" customHeight="1" x14ac:dyDescent="0.2">
      <c r="E168" s="120" t="s">
        <v>168</v>
      </c>
      <c r="F168" s="24" t="s">
        <v>25</v>
      </c>
      <c r="G168" s="24"/>
      <c r="H168" s="121">
        <v>40.9</v>
      </c>
      <c r="I168" s="121">
        <v>29.8</v>
      </c>
      <c r="J168" s="121">
        <v>38.5</v>
      </c>
      <c r="K168" s="121">
        <v>21.9</v>
      </c>
      <c r="L168" s="121">
        <v>24.65</v>
      </c>
      <c r="M168" s="121">
        <v>24.4</v>
      </c>
      <c r="N168" s="121">
        <v>30.312000000000001</v>
      </c>
      <c r="O168" s="121">
        <v>42.76</v>
      </c>
      <c r="P168" s="125">
        <v>49.237000000000002</v>
      </c>
      <c r="Q168" s="125">
        <f t="shared" ref="Q168:Y168" si="224">Q163*Q170</f>
        <v>0</v>
      </c>
      <c r="R168" s="125">
        <f t="shared" si="224"/>
        <v>0</v>
      </c>
      <c r="S168" s="125">
        <f t="shared" si="224"/>
        <v>0</v>
      </c>
      <c r="T168" s="125">
        <f t="shared" si="224"/>
        <v>0</v>
      </c>
      <c r="U168" s="125">
        <f t="shared" si="224"/>
        <v>0</v>
      </c>
      <c r="V168" s="125">
        <f t="shared" si="224"/>
        <v>0</v>
      </c>
      <c r="W168" s="125">
        <f t="shared" si="224"/>
        <v>0</v>
      </c>
      <c r="X168" s="125">
        <f t="shared" si="224"/>
        <v>0</v>
      </c>
      <c r="Y168" s="125">
        <f t="shared" si="224"/>
        <v>0</v>
      </c>
    </row>
    <row r="169" spans="1:27" ht="15" customHeight="1" x14ac:dyDescent="0.2">
      <c r="E169" s="126" t="s">
        <v>169</v>
      </c>
      <c r="F169" s="24" t="s">
        <v>7</v>
      </c>
      <c r="G169" s="24"/>
      <c r="H169" s="127"/>
      <c r="I169" s="290">
        <f>IFERROR((I168/H168-1),"NA")</f>
        <v>-0.27139364303178481</v>
      </c>
      <c r="J169" s="290">
        <f t="shared" ref="J169" si="225">IFERROR((J168/I168-1),"NA")</f>
        <v>0.29194630872483218</v>
      </c>
      <c r="K169" s="290">
        <f t="shared" ref="K169" si="226">IFERROR((K168/J168-1),"NA")</f>
        <v>-0.4311688311688312</v>
      </c>
      <c r="L169" s="290">
        <f t="shared" ref="L169" si="227">IFERROR((L168/K168-1),"NA")</f>
        <v>0.12557077625570767</v>
      </c>
      <c r="M169" s="290">
        <f t="shared" ref="M169" si="228">IFERROR((M168/L168-1),"NA")</f>
        <v>-1.0141987829614618E-2</v>
      </c>
      <c r="N169" s="290">
        <f t="shared" ref="N169" si="229">IFERROR((N168/M168-1),"NA")</f>
        <v>0.24229508196721317</v>
      </c>
      <c r="O169" s="290">
        <f t="shared" ref="O169" si="230">IFERROR((O168/N168-1),"NA")</f>
        <v>0.41066244391660067</v>
      </c>
      <c r="P169" s="290">
        <f t="shared" ref="P169" si="231">IFERROR((P168/O168-1),"NA")</f>
        <v>0.15147333956969145</v>
      </c>
      <c r="Q169" s="290">
        <f t="shared" ref="Q169" si="232">IFERROR((Q168/P168-1),"NA")</f>
        <v>-1</v>
      </c>
      <c r="R169" s="290" t="str">
        <f t="shared" ref="R169" si="233">IFERROR((R168/Q168-1),"NA")</f>
        <v>NA</v>
      </c>
      <c r="S169" s="290" t="str">
        <f t="shared" ref="S169" si="234">IFERROR((S168/R168-1),"NA")</f>
        <v>NA</v>
      </c>
      <c r="T169" s="290" t="str">
        <f t="shared" ref="T169" si="235">IFERROR((T168/S168-1),"NA")</f>
        <v>NA</v>
      </c>
      <c r="U169" s="290" t="str">
        <f t="shared" ref="U169" si="236">IFERROR((U168/T168-1),"NA")</f>
        <v>NA</v>
      </c>
      <c r="V169" s="290" t="str">
        <f t="shared" ref="V169" si="237">IFERROR((V168/U168-1),"NA")</f>
        <v>NA</v>
      </c>
      <c r="W169" s="290" t="str">
        <f t="shared" ref="W169" si="238">IFERROR((W168/V168-1),"NA")</f>
        <v>NA</v>
      </c>
      <c r="X169" s="290" t="str">
        <f t="shared" ref="X169" si="239">IFERROR((X168/W168-1),"NA")</f>
        <v>NA</v>
      </c>
      <c r="Y169" s="290" t="str">
        <f t="shared" ref="Y169" si="240">IFERROR((Y168/X168-1),"NA")</f>
        <v>NA</v>
      </c>
    </row>
    <row r="170" spans="1:27" ht="15" customHeight="1" x14ac:dyDescent="0.2">
      <c r="E170" s="126" t="s">
        <v>170</v>
      </c>
      <c r="F170" s="24" t="s">
        <v>7</v>
      </c>
      <c r="G170" s="24"/>
      <c r="H170" s="106" t="str">
        <f>IFERROR(H168/H163,"NA")</f>
        <v>NA</v>
      </c>
      <c r="I170" s="106">
        <f t="shared" ref="I170:P170" si="241">IFERROR(I168/I163,"NA")</f>
        <v>6.563587507158275E-2</v>
      </c>
      <c r="J170" s="106">
        <f t="shared" si="241"/>
        <v>7.5445816186556922E-2</v>
      </c>
      <c r="K170" s="106">
        <f t="shared" si="241"/>
        <v>3.9112031861125496E-2</v>
      </c>
      <c r="L170" s="106">
        <f t="shared" si="241"/>
        <v>4.0980199830426757E-2</v>
      </c>
      <c r="M170" s="106">
        <f t="shared" si="241"/>
        <v>3.3829686936749578E-2</v>
      </c>
      <c r="N170" s="106">
        <f t="shared" si="241"/>
        <v>3.4112086428089126E-2</v>
      </c>
      <c r="O170" s="106">
        <f t="shared" si="241"/>
        <v>4.0031830735383599E-2</v>
      </c>
      <c r="P170" s="375">
        <f t="shared" si="241"/>
        <v>4.6095585825960773E-2</v>
      </c>
      <c r="Q170" s="292">
        <v>0</v>
      </c>
      <c r="R170" s="292">
        <v>0</v>
      </c>
      <c r="S170" s="292">
        <v>0</v>
      </c>
      <c r="T170" s="292">
        <v>0</v>
      </c>
      <c r="U170" s="292">
        <v>0</v>
      </c>
      <c r="V170" s="292">
        <v>0</v>
      </c>
      <c r="W170" s="292">
        <v>0</v>
      </c>
      <c r="X170" s="292">
        <v>0</v>
      </c>
      <c r="Y170" s="293">
        <v>0</v>
      </c>
    </row>
    <row r="171" spans="1:27" ht="15" customHeight="1" x14ac:dyDescent="0.2">
      <c r="E171" t="s">
        <v>283</v>
      </c>
      <c r="N171" s="342">
        <v>4.1599999999999998E-2</v>
      </c>
      <c r="P171" s="376"/>
    </row>
    <row r="172" spans="1:27" ht="15" customHeight="1" x14ac:dyDescent="0.2">
      <c r="A172" s="41"/>
      <c r="B172" s="41" t="s">
        <v>45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</sheetData>
  <mergeCells count="1">
    <mergeCell ref="H2:O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P13" sqref="P1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5" width="10.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394" t="s">
        <v>85</v>
      </c>
      <c r="I2" s="395"/>
      <c r="J2" s="395"/>
      <c r="K2" s="395"/>
      <c r="L2" s="395"/>
      <c r="M2" s="395"/>
      <c r="N2" s="395"/>
      <c r="O2" s="39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">
      <c r="C11" s="256" t="s">
        <v>172</v>
      </c>
      <c r="D11" s="79"/>
      <c r="E11" s="79"/>
      <c r="F11" s="78"/>
      <c r="G11" s="78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3569.83</v>
      </c>
      <c r="I13" s="27">
        <f>'&gt;&gt; Segments'!I23</f>
        <v>3112.28</v>
      </c>
      <c r="J13" s="27">
        <f>'&gt;&gt; Segments'!J23</f>
        <v>3347.59</v>
      </c>
      <c r="K13" s="27">
        <f>'&gt;&gt; Segments'!K23</f>
        <v>3416.7999999999997</v>
      </c>
      <c r="L13" s="27">
        <f>'&gt;&gt; Segments'!L23</f>
        <v>3701.4400000000005</v>
      </c>
      <c r="M13" s="27">
        <f>'&gt;&gt; Segments'!M23</f>
        <v>4178.1099999999997</v>
      </c>
      <c r="N13" s="27">
        <f>'&gt;&gt; Segments'!N23</f>
        <v>4522.01</v>
      </c>
      <c r="O13" s="27">
        <f>'&gt;&gt; Segments'!O23</f>
        <v>4703.3799999999992</v>
      </c>
      <c r="P13" s="27">
        <f>'&gt;&gt; Segments'!P23</f>
        <v>4756.1433168909425</v>
      </c>
      <c r="Q13" s="27">
        <f>'&gt;&gt; Segments'!Q23</f>
        <v>4819.4718163382258</v>
      </c>
      <c r="R13" s="27">
        <f>'&gt;&gt; Segments'!R23</f>
        <v>4882.6397452725087</v>
      </c>
      <c r="S13" s="27">
        <f>'&gt;&gt; Segments'!S23</f>
        <v>4950.6800348653251</v>
      </c>
      <c r="T13" s="27">
        <f>'&gt;&gt; Segments'!T23</f>
        <v>5024.7881183989884</v>
      </c>
      <c r="U13" s="27">
        <f>'&gt;&gt; Segments'!U23</f>
        <v>5100.2035213482814</v>
      </c>
      <c r="V13" s="27">
        <f>'&gt;&gt; Segments'!V23</f>
        <v>5162.7076809313603</v>
      </c>
      <c r="W13" s="27">
        <f>'&gt;&gt; Segments'!W23</f>
        <v>5221.4976458814381</v>
      </c>
      <c r="X13" s="27">
        <f>'&gt;&gt; Segments'!X23</f>
        <v>5295.3055326665271</v>
      </c>
      <c r="Y13" s="27">
        <f>'&gt;&gt; Segments'!Y23</f>
        <v>5370.8736198624956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3">
        <v>71.680000000000007</v>
      </c>
      <c r="I14" s="174">
        <v>80.430000000000007</v>
      </c>
      <c r="J14" s="174">
        <v>85.8</v>
      </c>
      <c r="K14" s="174">
        <v>106.79</v>
      </c>
      <c r="L14" s="174">
        <v>117.66</v>
      </c>
      <c r="M14" s="174">
        <v>116.75</v>
      </c>
      <c r="N14" s="174">
        <v>128.08000000000001</v>
      </c>
      <c r="O14" s="175">
        <v>139.38999999999999</v>
      </c>
      <c r="P14" s="44">
        <f>(O14/O13)*P13</f>
        <v>140.95370073041695</v>
      </c>
      <c r="Q14" s="44">
        <f t="shared" ref="Q14:Y14" si="7">(P14/P13)*Q13</f>
        <v>142.83051262695878</v>
      </c>
      <c r="R14" s="44">
        <f t="shared" si="7"/>
        <v>144.70256583425856</v>
      </c>
      <c r="S14" s="44">
        <f t="shared" si="7"/>
        <v>146.71901697500047</v>
      </c>
      <c r="T14" s="44">
        <f t="shared" si="7"/>
        <v>148.91529407014426</v>
      </c>
      <c r="U14" s="44">
        <f t="shared" si="7"/>
        <v>151.15031505868907</v>
      </c>
      <c r="V14" s="44">
        <f t="shared" si="7"/>
        <v>153.00269670854203</v>
      </c>
      <c r="W14" s="44">
        <f t="shared" si="7"/>
        <v>154.74500398849631</v>
      </c>
      <c r="X14" s="44">
        <f t="shared" si="7"/>
        <v>156.93238441256869</v>
      </c>
      <c r="Y14" s="44">
        <f t="shared" si="7"/>
        <v>159.17193037190987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3"/>
      <c r="H15" s="69">
        <f>H13-H14</f>
        <v>3498.15</v>
      </c>
      <c r="I15" s="69">
        <f t="shared" ref="I15:Y15" si="8">I13-I14</f>
        <v>3031.8500000000004</v>
      </c>
      <c r="J15" s="69">
        <f t="shared" si="8"/>
        <v>3261.79</v>
      </c>
      <c r="K15" s="69">
        <f t="shared" si="8"/>
        <v>3310.0099999999998</v>
      </c>
      <c r="L15" s="69">
        <f t="shared" si="8"/>
        <v>3583.7800000000007</v>
      </c>
      <c r="M15" s="69">
        <f t="shared" si="8"/>
        <v>4061.3599999999997</v>
      </c>
      <c r="N15" s="69">
        <f t="shared" si="8"/>
        <v>4393.93</v>
      </c>
      <c r="O15" s="69">
        <f t="shared" si="8"/>
        <v>4563.9899999999989</v>
      </c>
      <c r="P15" s="69">
        <f t="shared" si="8"/>
        <v>4615.1896161605255</v>
      </c>
      <c r="Q15" s="69">
        <f t="shared" si="8"/>
        <v>4676.641303711267</v>
      </c>
      <c r="R15" s="69">
        <f t="shared" si="8"/>
        <v>4737.9371794382505</v>
      </c>
      <c r="S15" s="69">
        <f t="shared" si="8"/>
        <v>4803.9610178903249</v>
      </c>
      <c r="T15" s="69">
        <f t="shared" si="8"/>
        <v>4875.8728243288442</v>
      </c>
      <c r="U15" s="69">
        <f t="shared" si="8"/>
        <v>4949.0532062895927</v>
      </c>
      <c r="V15" s="69">
        <f t="shared" si="8"/>
        <v>5009.704984222818</v>
      </c>
      <c r="W15" s="69">
        <f t="shared" si="8"/>
        <v>5066.7526418929419</v>
      </c>
      <c r="X15" s="69">
        <f t="shared" si="8"/>
        <v>5138.3731482539588</v>
      </c>
      <c r="Y15" s="69">
        <f t="shared" si="8"/>
        <v>5211.7016894905855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13.58</v>
      </c>
      <c r="O16" s="27">
        <f>'&gt;&gt; Segments'!O58</f>
        <v>14.48</v>
      </c>
      <c r="P16" s="27">
        <f>'&gt;&gt; Segments'!P58</f>
        <v>12.083750000000002</v>
      </c>
      <c r="Q16" s="27">
        <f>'&gt;&gt; Segments'!Q58</f>
        <v>13.281875000000001</v>
      </c>
      <c r="R16" s="27">
        <f>'&gt;&gt; Segments'!R58</f>
        <v>13.945968750000002</v>
      </c>
      <c r="S16" s="27">
        <f>'&gt;&gt; Segments'!S58</f>
        <v>14.643267187500003</v>
      </c>
      <c r="T16" s="27">
        <f>'&gt;&gt; Segments'!T58</f>
        <v>15.375430546875004</v>
      </c>
      <c r="U16" s="27">
        <f>'&gt;&gt; Segments'!U58</f>
        <v>16.144202074218754</v>
      </c>
      <c r="V16" s="27">
        <f>'&gt;&gt; Segments'!V58</f>
        <v>16.951412177929694</v>
      </c>
      <c r="W16" s="27">
        <f>'&gt;&gt; Segments'!W58</f>
        <v>17.79898278682618</v>
      </c>
      <c r="X16" s="27">
        <f>'&gt;&gt; Segments'!X58</f>
        <v>18.688931926167491</v>
      </c>
      <c r="Y16" s="27">
        <f>'&gt;&gt; Segments'!Y58</f>
        <v>19.623378522475868</v>
      </c>
    </row>
    <row r="17" spans="3:25" ht="15" customHeight="1" x14ac:dyDescent="0.2">
      <c r="C17" s="1"/>
      <c r="D17" s="1"/>
      <c r="E17" s="1" t="s">
        <v>100</v>
      </c>
      <c r="F17" s="93" t="s">
        <v>25</v>
      </c>
      <c r="G17" s="93"/>
      <c r="H17" s="96">
        <f>H15-H16</f>
        <v>3491.08</v>
      </c>
      <c r="I17" s="96">
        <f t="shared" ref="I17:Y17" si="9">I15-I16</f>
        <v>3023.4400000000005</v>
      </c>
      <c r="J17" s="96">
        <f t="shared" si="9"/>
        <v>3252.67</v>
      </c>
      <c r="K17" s="96">
        <f t="shared" si="9"/>
        <v>3297.2099999999996</v>
      </c>
      <c r="L17" s="96">
        <f t="shared" si="9"/>
        <v>3566.3600000000006</v>
      </c>
      <c r="M17" s="96">
        <f t="shared" si="9"/>
        <v>4047.5699999999997</v>
      </c>
      <c r="N17" s="96">
        <f t="shared" si="9"/>
        <v>4380.3500000000004</v>
      </c>
      <c r="O17" s="96">
        <f t="shared" si="9"/>
        <v>4549.5099999999993</v>
      </c>
      <c r="P17" s="96">
        <f t="shared" si="9"/>
        <v>4603.1058661605257</v>
      </c>
      <c r="Q17" s="96">
        <f t="shared" si="9"/>
        <v>4663.3594287112674</v>
      </c>
      <c r="R17" s="96">
        <f t="shared" si="9"/>
        <v>4723.9912106882502</v>
      </c>
      <c r="S17" s="96">
        <f t="shared" si="9"/>
        <v>4789.3177507028249</v>
      </c>
      <c r="T17" s="96">
        <f t="shared" si="9"/>
        <v>4860.4973937819695</v>
      </c>
      <c r="U17" s="96">
        <f t="shared" si="9"/>
        <v>4932.9090042153739</v>
      </c>
      <c r="V17" s="96">
        <f t="shared" si="9"/>
        <v>4992.7535720448886</v>
      </c>
      <c r="W17" s="96">
        <f t="shared" si="9"/>
        <v>5048.953659106116</v>
      </c>
      <c r="X17" s="96">
        <f t="shared" si="9"/>
        <v>5119.6842163277915</v>
      </c>
      <c r="Y17" s="96">
        <f t="shared" si="9"/>
        <v>5192.0783109681097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3">
        <v>115.17</v>
      </c>
      <c r="I18" s="174">
        <v>125.48</v>
      </c>
      <c r="J18" s="174">
        <v>135.72999999999999</v>
      </c>
      <c r="K18" s="174">
        <v>130.13</v>
      </c>
      <c r="L18" s="174">
        <v>94.42</v>
      </c>
      <c r="M18" s="174">
        <v>91.96</v>
      </c>
      <c r="N18" s="174">
        <v>265.83</v>
      </c>
      <c r="O18" s="175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3">
        <v>2.6</v>
      </c>
      <c r="I19" s="174">
        <v>2.27</v>
      </c>
      <c r="J19" s="174">
        <v>2.11</v>
      </c>
      <c r="K19" s="174">
        <v>0.43</v>
      </c>
      <c r="L19" s="174">
        <v>0.35</v>
      </c>
      <c r="M19" s="174">
        <v>0.28000000000000003</v>
      </c>
      <c r="N19" s="174">
        <v>0.37</v>
      </c>
      <c r="O19" s="175">
        <v>0.47</v>
      </c>
      <c r="P19" s="71">
        <f>O19</f>
        <v>0.47</v>
      </c>
      <c r="Q19" s="71">
        <f t="shared" ref="Q19:Y19" si="10">P19</f>
        <v>0.47</v>
      </c>
      <c r="R19" s="71">
        <f t="shared" si="10"/>
        <v>0.47</v>
      </c>
      <c r="S19" s="71">
        <f t="shared" si="10"/>
        <v>0.47</v>
      </c>
      <c r="T19" s="71">
        <f t="shared" si="10"/>
        <v>0.47</v>
      </c>
      <c r="U19" s="71">
        <f t="shared" si="10"/>
        <v>0.47</v>
      </c>
      <c r="V19" s="71">
        <f t="shared" si="10"/>
        <v>0.47</v>
      </c>
      <c r="W19" s="71">
        <f t="shared" si="10"/>
        <v>0.47</v>
      </c>
      <c r="X19" s="71">
        <f t="shared" si="10"/>
        <v>0.47</v>
      </c>
      <c r="Y19" s="71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3"/>
      <c r="I20" s="174"/>
      <c r="J20" s="174"/>
      <c r="K20" s="174"/>
      <c r="L20" s="174"/>
      <c r="M20" s="174"/>
      <c r="N20" s="174"/>
      <c r="O20" s="177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3:25" ht="15" customHeight="1" x14ac:dyDescent="0.2">
      <c r="C21" s="1"/>
      <c r="D21" s="1"/>
      <c r="E21" s="1" t="s">
        <v>177</v>
      </c>
      <c r="F21" s="93" t="s">
        <v>25</v>
      </c>
      <c r="G21" s="93"/>
      <c r="H21" s="96">
        <f>H17-H18</f>
        <v>3375.91</v>
      </c>
      <c r="I21" s="96">
        <f t="shared" ref="I21:Y21" si="11">I17-I18</f>
        <v>2897.9600000000005</v>
      </c>
      <c r="J21" s="96">
        <f t="shared" si="11"/>
        <v>3116.94</v>
      </c>
      <c r="K21" s="96">
        <f t="shared" si="11"/>
        <v>3167.0799999999995</v>
      </c>
      <c r="L21" s="96">
        <f t="shared" si="11"/>
        <v>3471.9400000000005</v>
      </c>
      <c r="M21" s="96">
        <f t="shared" si="11"/>
        <v>3955.6099999999997</v>
      </c>
      <c r="N21" s="96">
        <f t="shared" si="11"/>
        <v>4114.5200000000004</v>
      </c>
      <c r="O21" s="96">
        <f t="shared" si="11"/>
        <v>4140.9599999999991</v>
      </c>
      <c r="P21" s="96">
        <f t="shared" ca="1" si="11"/>
        <v>3975.2117138827543</v>
      </c>
      <c r="Q21" s="96">
        <f t="shared" ca="1" si="11"/>
        <v>4035.465276433496</v>
      </c>
      <c r="R21" s="96">
        <f t="shared" ca="1" si="11"/>
        <v>4096.0970584104789</v>
      </c>
      <c r="S21" s="96">
        <f t="shared" ca="1" si="11"/>
        <v>4161.4235984250536</v>
      </c>
      <c r="T21" s="96">
        <f t="shared" ca="1" si="11"/>
        <v>4232.6032415041982</v>
      </c>
      <c r="U21" s="96">
        <f t="shared" ca="1" si="11"/>
        <v>4305.0148519376025</v>
      </c>
      <c r="V21" s="96">
        <f t="shared" ca="1" si="11"/>
        <v>4364.8594197671173</v>
      </c>
      <c r="W21" s="96">
        <f t="shared" ca="1" si="11"/>
        <v>4421.0595068283446</v>
      </c>
      <c r="X21" s="96">
        <f t="shared" ca="1" si="11"/>
        <v>4491.7900640500202</v>
      </c>
      <c r="Y21" s="96">
        <f t="shared" ca="1" si="11"/>
        <v>4564.1841586903383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5">
        <v>-17</v>
      </c>
      <c r="I22" s="296">
        <v>-31.9</v>
      </c>
      <c r="J22" s="296">
        <v>-12.2</v>
      </c>
      <c r="K22" s="296">
        <v>-0.7</v>
      </c>
      <c r="L22" s="298">
        <v>73.099999999999994</v>
      </c>
      <c r="M22" s="296">
        <v>212.4</v>
      </c>
      <c r="N22" s="296">
        <v>-6.5</v>
      </c>
      <c r="O22" s="297">
        <v>-6.5</v>
      </c>
      <c r="P22" s="96">
        <f ca="1">-P21*'&gt;&gt; Inputs'!$G$46</f>
        <v>-1113.0592798871712</v>
      </c>
      <c r="Q22" s="96">
        <f ca="1">-Q21*'&gt;&gt; Inputs'!$G$46</f>
        <v>-1129.930277401379</v>
      </c>
      <c r="R22" s="96">
        <f ca="1">-R21*'&gt;&gt; Inputs'!$G$46</f>
        <v>-1146.9071763549341</v>
      </c>
      <c r="S22" s="96">
        <f ca="1">-S21*'&gt;&gt; Inputs'!$G$46</f>
        <v>-1165.198607559015</v>
      </c>
      <c r="T22" s="96">
        <f ca="1">-T21*'&gt;&gt; Inputs'!$G$46</f>
        <v>-1185.1289076211756</v>
      </c>
      <c r="U22" s="96">
        <f ca="1">-U21*'&gt;&gt; Inputs'!$G$46</f>
        <v>-1205.4041585425289</v>
      </c>
      <c r="V22" s="96">
        <f ca="1">-V21*'&gt;&gt; Inputs'!$G$46</f>
        <v>-1222.1606375347931</v>
      </c>
      <c r="W22" s="96">
        <f ca="1">-W21*'&gt;&gt; Inputs'!$G$46</f>
        <v>-1237.8966619119367</v>
      </c>
      <c r="X22" s="96">
        <f ca="1">-X21*'&gt;&gt; Inputs'!$G$46</f>
        <v>-1257.7012179340059</v>
      </c>
      <c r="Y22" s="96">
        <f ca="1">-Y21*'&gt;&gt; Inputs'!$G$46</f>
        <v>-1277.9715644332948</v>
      </c>
    </row>
    <row r="23" spans="3:25" ht="15" customHeight="1" x14ac:dyDescent="0.2">
      <c r="C23" s="1"/>
      <c r="D23" s="1"/>
      <c r="E23" s="1" t="s">
        <v>179</v>
      </c>
      <c r="F23" s="93" t="s">
        <v>25</v>
      </c>
      <c r="G23" s="93"/>
      <c r="H23" s="299">
        <v>60.81</v>
      </c>
      <c r="I23" s="300">
        <v>67.510000000000005</v>
      </c>
      <c r="J23" s="300">
        <v>73.62</v>
      </c>
      <c r="K23" s="300">
        <v>71.97</v>
      </c>
      <c r="L23" s="298">
        <v>87.03</v>
      </c>
      <c r="M23" s="300">
        <v>95.13</v>
      </c>
      <c r="N23" s="300">
        <v>95.87</v>
      </c>
      <c r="O23" s="301">
        <v>74.55</v>
      </c>
    </row>
    <row r="24" spans="3:25" ht="15" customHeight="1" x14ac:dyDescent="0.2">
      <c r="C24" s="1"/>
      <c r="D24" s="1"/>
      <c r="E24" s="1" t="s">
        <v>180</v>
      </c>
      <c r="F24" s="93" t="s">
        <v>25</v>
      </c>
      <c r="G24" s="37"/>
      <c r="H24" s="96">
        <f>H23-(H21 * (1-'&gt;&gt; Inputs'!$G$46))</f>
        <v>-2369.8451999999997</v>
      </c>
      <c r="I24" s="96">
        <f>I23-(I21 * (1-'&gt;&gt; Inputs'!$G$46))</f>
        <v>-2019.0212000000004</v>
      </c>
      <c r="J24" s="96">
        <f>J23-(J21 * (1-'&gt;&gt; Inputs'!$G$46))</f>
        <v>-2170.5768000000003</v>
      </c>
      <c r="K24" s="96">
        <f>K23-(K21 * (1-'&gt;&gt; Inputs'!$G$46))</f>
        <v>-2208.3275999999996</v>
      </c>
      <c r="L24" s="96">
        <f>L23-(L21 * (1-'&gt;&gt; Inputs'!$G$46))</f>
        <v>-2412.7667999999999</v>
      </c>
      <c r="M24" s="96">
        <f>M23-(M21 * (1-'&gt;&gt; Inputs'!$G$46))</f>
        <v>-2752.9091999999996</v>
      </c>
      <c r="N24" s="96">
        <f>N23-(N21 * (1-'&gt;&gt; Inputs'!$G$46))</f>
        <v>-2866.5844000000002</v>
      </c>
      <c r="O24" s="96">
        <f>O23-(O21 * (1-'&gt;&gt; Inputs'!$G$46))</f>
        <v>-2906.9411999999993</v>
      </c>
      <c r="P24" s="96">
        <f t="shared" ref="P24:Y24" ca="1" si="12">SUM(P21:P22)</f>
        <v>2862.1524339955831</v>
      </c>
      <c r="Q24" s="96">
        <f t="shared" ca="1" si="12"/>
        <v>2905.534999032117</v>
      </c>
      <c r="R24" s="96">
        <f t="shared" ca="1" si="12"/>
        <v>2949.1898820555448</v>
      </c>
      <c r="S24" s="96">
        <f t="shared" ca="1" si="12"/>
        <v>2996.2249908660388</v>
      </c>
      <c r="T24" s="96">
        <f t="shared" ca="1" si="12"/>
        <v>3047.4743338830226</v>
      </c>
      <c r="U24" s="96">
        <f t="shared" ca="1" si="12"/>
        <v>3099.6106933950737</v>
      </c>
      <c r="V24" s="96">
        <f t="shared" ca="1" si="12"/>
        <v>3142.6987822323244</v>
      </c>
      <c r="W24" s="96">
        <f t="shared" ca="1" si="12"/>
        <v>3183.1628449164082</v>
      </c>
      <c r="X24" s="96">
        <f t="shared" ca="1" si="12"/>
        <v>3234.0888461160143</v>
      </c>
      <c r="Y24" s="96">
        <f t="shared" ca="1" si="12"/>
        <v>3286.2125942570437</v>
      </c>
    </row>
    <row r="25" spans="3:25" ht="15" customHeight="1" x14ac:dyDescent="0.2">
      <c r="C25" s="2"/>
      <c r="D25" s="2"/>
      <c r="E25" s="2" t="s">
        <v>181</v>
      </c>
      <c r="F25" s="134" t="s">
        <v>263</v>
      </c>
      <c r="G25" s="24"/>
      <c r="H25" s="50">
        <f>( H24 / '&gt;&gt; Inputs'!$G$47) * 100</f>
        <v>-625.69172329055993</v>
      </c>
      <c r="I25" s="50">
        <f>( I24 / '&gt;&gt; Inputs'!$G$47) * 100</f>
        <v>-533.06640196928242</v>
      </c>
      <c r="J25" s="50">
        <f>( J24 / '&gt;&gt; Inputs'!$G$47) * 100</f>
        <v>-573.08044361990801</v>
      </c>
      <c r="K25" s="50">
        <f>( K24 / '&gt;&gt; Inputs'!$G$47) * 100</f>
        <v>-583.04749256791388</v>
      </c>
      <c r="L25" s="50">
        <f>( L24 / '&gt;&gt; Inputs'!$G$47) * 100</f>
        <v>-637.02397818652878</v>
      </c>
      <c r="M25" s="50">
        <f>( M24 / '&gt;&gt; Inputs'!$G$47) * 100</f>
        <v>-726.82912006676077</v>
      </c>
      <c r="N25" s="50">
        <f>( N24 / '&gt;&gt; Inputs'!$G$47) * 100</f>
        <v>-756.84189549335804</v>
      </c>
      <c r="O25" s="50">
        <f>( O24 / '&gt;&gt; Inputs'!$G$47) * 100</f>
        <v>-767.49698627249074</v>
      </c>
      <c r="P25" s="50">
        <f ca="1">( P24 / '&gt;&gt; Inputs'!$G$47) * 100</f>
        <v>755.67175811608593</v>
      </c>
      <c r="Q25" s="50">
        <f ca="1">( Q24 / '&gt;&gt; Inputs'!$G$47) * 100</f>
        <v>767.12571801121896</v>
      </c>
      <c r="R25" s="50">
        <f ca="1">( R24 / '&gt;&gt; Inputs'!$G$47) * 100</f>
        <v>778.65157589804483</v>
      </c>
      <c r="S25" s="50">
        <f ca="1">( S24 / '&gt;&gt; Inputs'!$G$47) * 100</f>
        <v>791.06988840503766</v>
      </c>
      <c r="T25" s="50">
        <f ca="1">( T24 / '&gt;&gt; Inputs'!$G$47) * 100</f>
        <v>804.60085226284809</v>
      </c>
      <c r="U25" s="50">
        <f ca="1">( U24 / '&gt;&gt; Inputs'!$G$47) * 100</f>
        <v>818.36600815960946</v>
      </c>
      <c r="V25" s="50">
        <f ca="1">( V24 / '&gt;&gt; Inputs'!$G$47) * 100</f>
        <v>829.74221980325444</v>
      </c>
      <c r="W25" s="50">
        <f ca="1">( W24 / '&gt;&gt; Inputs'!$G$47) * 100</f>
        <v>840.42563031130851</v>
      </c>
      <c r="X25" s="50">
        <f ca="1">( X24 / '&gt;&gt; Inputs'!$G$47) * 100</f>
        <v>853.87122475388185</v>
      </c>
      <c r="Y25" s="50">
        <f ca="1">( Y24 / '&gt;&gt; Inputs'!$G$47) * 100</f>
        <v>867.63305096882777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1">
        <v>232.68</v>
      </c>
      <c r="L26" s="61">
        <v>245.67</v>
      </c>
      <c r="M26" s="61">
        <v>280.67</v>
      </c>
      <c r="N26" s="101">
        <v>290.14</v>
      </c>
      <c r="O26" s="61">
        <v>292.23</v>
      </c>
      <c r="P26" s="320"/>
      <c r="Q26" s="61"/>
      <c r="R26" s="61"/>
      <c r="S26" s="61"/>
      <c r="T26" s="61"/>
      <c r="U26" s="61"/>
      <c r="V26" s="61"/>
      <c r="W26" s="61"/>
      <c r="X26" s="61"/>
      <c r="Y26" s="61"/>
    </row>
    <row r="27" spans="3:25" ht="15" customHeight="1" x14ac:dyDescent="0.2">
      <c r="C27" s="128" t="s">
        <v>182</v>
      </c>
      <c r="D27" s="129"/>
      <c r="E27" s="129"/>
      <c r="F27" s="130"/>
      <c r="G27" s="130"/>
      <c r="H27" s="129"/>
      <c r="I27" s="129"/>
      <c r="J27" s="129"/>
      <c r="K27" s="131"/>
      <c r="L27" s="131"/>
      <c r="M27" s="131"/>
      <c r="N27" s="132"/>
      <c r="O27" s="79"/>
      <c r="P27" s="131"/>
      <c r="Q27" s="131"/>
      <c r="R27" s="131"/>
      <c r="S27" s="131"/>
      <c r="T27" s="131"/>
      <c r="U27" s="131"/>
      <c r="V27" s="131"/>
      <c r="W27" s="131"/>
      <c r="X27" s="131"/>
      <c r="Y27" s="131"/>
    </row>
    <row r="28" spans="3:25" ht="15" customHeight="1" x14ac:dyDescent="0.2">
      <c r="P28" s="159"/>
      <c r="Q28" s="159"/>
      <c r="R28" s="159"/>
      <c r="S28" s="159"/>
      <c r="T28" s="159"/>
      <c r="U28" s="159"/>
      <c r="V28" s="159"/>
      <c r="W28" s="159"/>
      <c r="X28" s="159"/>
      <c r="Y28" s="159"/>
    </row>
    <row r="29" spans="3:25" ht="15" customHeight="1" x14ac:dyDescent="0.2">
      <c r="E29" s="2" t="s">
        <v>183</v>
      </c>
      <c r="F29" s="24" t="s">
        <v>25</v>
      </c>
      <c r="G29" s="24"/>
      <c r="H29" s="173">
        <v>57.04</v>
      </c>
      <c r="I29" s="174">
        <v>49.59</v>
      </c>
      <c r="J29" s="174">
        <v>74.495999999999995</v>
      </c>
      <c r="K29" s="174">
        <v>147.18</v>
      </c>
      <c r="L29" s="174">
        <v>182.33</v>
      </c>
      <c r="M29" s="174">
        <v>310.76</v>
      </c>
      <c r="N29" s="174">
        <v>311.5</v>
      </c>
      <c r="O29" s="175">
        <v>629.62</v>
      </c>
      <c r="P29" s="71">
        <f>O29*(1+P30)</f>
        <v>13343.204704315522</v>
      </c>
      <c r="Q29" s="71">
        <f t="shared" ref="Q29:Y29" si="13">P29*(1+Q30)</f>
        <v>13467.449182014496</v>
      </c>
      <c r="R29" s="71">
        <f t="shared" si="13"/>
        <v>13592.849233762608</v>
      </c>
      <c r="S29" s="71">
        <f t="shared" si="13"/>
        <v>13719.415596336059</v>
      </c>
      <c r="T29" s="71">
        <f t="shared" si="13"/>
        <v>13725.011858857029</v>
      </c>
      <c r="U29" s="71">
        <f t="shared" si="13"/>
        <v>13775.42735278864</v>
      </c>
      <c r="V29" s="71">
        <f t="shared" si="13"/>
        <v>13871.009608592136</v>
      </c>
      <c r="W29" s="71">
        <f t="shared" si="13"/>
        <v>14012.548754161086</v>
      </c>
      <c r="X29" s="71">
        <f t="shared" si="13"/>
        <v>14201.288015532662</v>
      </c>
      <c r="Y29" s="71">
        <f t="shared" si="13"/>
        <v>14438.941619499232</v>
      </c>
    </row>
    <row r="30" spans="3:25" ht="15" customHeight="1" x14ac:dyDescent="0.2">
      <c r="E30" s="135" t="s">
        <v>127</v>
      </c>
      <c r="F30" s="24" t="s">
        <v>7</v>
      </c>
      <c r="G30" s="24"/>
      <c r="H30" s="71"/>
      <c r="I30" s="178">
        <f>IFERROR((I29/H29-1),"NA")</f>
        <v>-0.13061009817671798</v>
      </c>
      <c r="J30" s="178">
        <f t="shared" ref="J30:O30" si="14">IFERROR((J29/I29-1),"NA")</f>
        <v>0.50223835450695686</v>
      </c>
      <c r="K30" s="178">
        <f t="shared" si="14"/>
        <v>0.97567654639175272</v>
      </c>
      <c r="L30" s="178">
        <f t="shared" si="14"/>
        <v>0.23882320967522763</v>
      </c>
      <c r="M30" s="178">
        <f t="shared" si="14"/>
        <v>0.70438216420775501</v>
      </c>
      <c r="N30" s="178">
        <f t="shared" si="14"/>
        <v>2.3812588492728715E-3</v>
      </c>
      <c r="O30" s="178">
        <f t="shared" si="14"/>
        <v>1.0212520064205459</v>
      </c>
      <c r="P30" s="176">
        <f>F117</f>
        <v>20.192472768202283</v>
      </c>
      <c r="Q30" s="318">
        <f t="shared" ref="Q30:Y30" si="15">G117</f>
        <v>9.3114420749903747E-3</v>
      </c>
      <c r="R30" s="318">
        <f t="shared" si="15"/>
        <v>9.3113439711790778E-3</v>
      </c>
      <c r="S30" s="318">
        <f t="shared" si="15"/>
        <v>9.3112459644649551E-3</v>
      </c>
      <c r="T30" s="318">
        <f t="shared" si="15"/>
        <v>4.0790822915699569E-4</v>
      </c>
      <c r="U30" s="318">
        <f t="shared" si="15"/>
        <v>3.6732568576308307E-3</v>
      </c>
      <c r="V30" s="318">
        <f t="shared" si="15"/>
        <v>6.9386054861046665E-3</v>
      </c>
      <c r="W30" s="318">
        <f t="shared" si="15"/>
        <v>1.0203954114578502E-2</v>
      </c>
      <c r="X30" s="318">
        <f t="shared" si="15"/>
        <v>1.3469302743052337E-2</v>
      </c>
      <c r="Y30" s="319">
        <f t="shared" si="15"/>
        <v>1.6734651371526171E-2</v>
      </c>
    </row>
    <row r="31" spans="3:25" ht="15" customHeight="1" x14ac:dyDescent="0.2">
      <c r="E31" s="2" t="s">
        <v>184</v>
      </c>
      <c r="F31" s="24" t="s">
        <v>25</v>
      </c>
      <c r="G31" s="24"/>
      <c r="H31" s="173">
        <f>6.23+1.01</f>
        <v>7.24</v>
      </c>
      <c r="I31" s="174">
        <f>3.17+1.613</f>
        <v>4.7829999999999995</v>
      </c>
      <c r="J31" s="174">
        <f>11.34+3.277</f>
        <v>14.617000000000001</v>
      </c>
      <c r="K31" s="174">
        <f>4.55+1.952</f>
        <v>6.5019999999999998</v>
      </c>
      <c r="L31" s="174">
        <f>3.47+1.763</f>
        <v>5.2330000000000005</v>
      </c>
      <c r="M31" s="174">
        <f>3.22</f>
        <v>3.22</v>
      </c>
      <c r="N31" s="174">
        <f>1.82+0.43</f>
        <v>2.25</v>
      </c>
      <c r="O31" s="175">
        <f>6.94+0.194</f>
        <v>7.1340000000000003</v>
      </c>
      <c r="P31" s="71">
        <f>O31*(1+P32)</f>
        <v>151.18710072835509</v>
      </c>
      <c r="Q31" s="71">
        <f t="shared" ref="Q31:Y31" si="16">P31*(1+Q32)</f>
        <v>152.59487065927291</v>
      </c>
      <c r="R31" s="71">
        <f t="shared" si="16"/>
        <v>154.01573398821901</v>
      </c>
      <c r="S31" s="71">
        <f t="shared" si="16"/>
        <v>155.44981236978091</v>
      </c>
      <c r="T31" s="71">
        <f t="shared" si="16"/>
        <v>155.51322162746746</v>
      </c>
      <c r="U31" s="71">
        <f t="shared" si="16"/>
        <v>156.08446163526281</v>
      </c>
      <c r="V31" s="71">
        <f t="shared" si="16"/>
        <v>157.16747013706095</v>
      </c>
      <c r="W31" s="71">
        <f t="shared" si="16"/>
        <v>158.77119979064389</v>
      </c>
      <c r="X31" s="71">
        <f t="shared" si="16"/>
        <v>160.90973714750172</v>
      </c>
      <c r="Y31" s="71">
        <f t="shared" si="16"/>
        <v>163.60250550094906</v>
      </c>
    </row>
    <row r="32" spans="3:25" ht="15" customHeight="1" x14ac:dyDescent="0.2">
      <c r="E32" s="135" t="s">
        <v>127</v>
      </c>
      <c r="F32" s="24" t="s">
        <v>7</v>
      </c>
      <c r="G32" s="24"/>
      <c r="H32" s="71"/>
      <c r="I32" s="178">
        <f>IFERROR((I31/H31-1),"NA")</f>
        <v>-0.339364640883978</v>
      </c>
      <c r="J32" s="178">
        <f t="shared" ref="J32:O32" si="17">IFERROR((J31/I31-1),"NA")</f>
        <v>2.0560317792180647</v>
      </c>
      <c r="K32" s="178">
        <f t="shared" si="17"/>
        <v>-0.55517548060477528</v>
      </c>
      <c r="L32" s="178">
        <f t="shared" si="17"/>
        <v>-0.19517071670255293</v>
      </c>
      <c r="M32" s="178">
        <f t="shared" si="17"/>
        <v>-0.38467418306898526</v>
      </c>
      <c r="N32" s="178">
        <f t="shared" si="17"/>
        <v>-0.30124223602484479</v>
      </c>
      <c r="O32" s="178">
        <f t="shared" si="17"/>
        <v>2.170666666666667</v>
      </c>
      <c r="P32" s="176">
        <f>F117</f>
        <v>20.192472768202283</v>
      </c>
      <c r="Q32" s="318">
        <f t="shared" ref="Q32:Y32" si="18">G117</f>
        <v>9.3114420749903747E-3</v>
      </c>
      <c r="R32" s="318">
        <f t="shared" si="18"/>
        <v>9.3113439711790778E-3</v>
      </c>
      <c r="S32" s="318">
        <f t="shared" si="18"/>
        <v>9.3112459644649551E-3</v>
      </c>
      <c r="T32" s="318">
        <f t="shared" si="18"/>
        <v>4.0790822915699569E-4</v>
      </c>
      <c r="U32" s="318">
        <f t="shared" si="18"/>
        <v>3.6732568576308307E-3</v>
      </c>
      <c r="V32" s="318">
        <f t="shared" si="18"/>
        <v>6.9386054861046665E-3</v>
      </c>
      <c r="W32" s="318">
        <f t="shared" si="18"/>
        <v>1.0203954114578502E-2</v>
      </c>
      <c r="X32" s="318">
        <f t="shared" si="18"/>
        <v>1.3469302743052337E-2</v>
      </c>
      <c r="Y32" s="319">
        <f t="shared" si="18"/>
        <v>1.6734651371526171E-2</v>
      </c>
    </row>
    <row r="33" spans="5:25" ht="15" customHeight="1" x14ac:dyDescent="0.2">
      <c r="E33" s="2" t="s">
        <v>185</v>
      </c>
      <c r="F33" s="24" t="s">
        <v>25</v>
      </c>
      <c r="G33" s="24"/>
      <c r="H33" s="173">
        <v>2.2999999999999998</v>
      </c>
      <c r="I33" s="174">
        <v>2.2000000000000002</v>
      </c>
      <c r="J33" s="174">
        <v>3</v>
      </c>
      <c r="K33" s="174">
        <v>3.3</v>
      </c>
      <c r="L33" s="174">
        <v>4.4000000000000004</v>
      </c>
      <c r="M33" s="174">
        <v>2</v>
      </c>
      <c r="N33" s="174">
        <v>5.0999999999999996</v>
      </c>
      <c r="O33" s="175">
        <v>5.5</v>
      </c>
      <c r="P33" s="71">
        <f>O33*(1+P34)</f>
        <v>116.55860022511256</v>
      </c>
      <c r="Q33" s="71">
        <f t="shared" ref="Q33:Y33" si="19">P33*(1+Q34)</f>
        <v>117.64392887945066</v>
      </c>
      <c r="R33" s="71">
        <f t="shared" si="19"/>
        <v>118.73935196736817</v>
      </c>
      <c r="S33" s="71">
        <f t="shared" si="19"/>
        <v>119.8449632791975</v>
      </c>
      <c r="T33" s="71">
        <f t="shared" si="19"/>
        <v>119.8938490259421</v>
      </c>
      <c r="U33" s="71">
        <f t="shared" si="19"/>
        <v>120.3342499290644</v>
      </c>
      <c r="V33" s="71">
        <f t="shared" si="19"/>
        <v>121.1692018157885</v>
      </c>
      <c r="W33" s="71">
        <f t="shared" si="19"/>
        <v>122.4056067912169</v>
      </c>
      <c r="X33" s="71">
        <f t="shared" si="19"/>
        <v>124.05432496653482</v>
      </c>
      <c r="Y33" s="71">
        <f t="shared" si="19"/>
        <v>126.13033084597978</v>
      </c>
    </row>
    <row r="34" spans="5:25" ht="15" customHeight="1" x14ac:dyDescent="0.2">
      <c r="E34" s="135" t="s">
        <v>127</v>
      </c>
      <c r="F34" s="24" t="s">
        <v>7</v>
      </c>
      <c r="G34" s="24"/>
      <c r="H34" s="71"/>
      <c r="I34" s="178">
        <f>IFERROR((I33/H33-1),"NA")</f>
        <v>-4.3478260869565077E-2</v>
      </c>
      <c r="J34" s="178">
        <f t="shared" ref="J34:O34" si="20">IFERROR((J33/I33-1),"NA")</f>
        <v>0.36363636363636354</v>
      </c>
      <c r="K34" s="178">
        <f t="shared" si="20"/>
        <v>9.9999999999999867E-2</v>
      </c>
      <c r="L34" s="178">
        <f t="shared" si="20"/>
        <v>0.33333333333333348</v>
      </c>
      <c r="M34" s="178">
        <f t="shared" si="20"/>
        <v>-0.54545454545454541</v>
      </c>
      <c r="N34" s="178">
        <f t="shared" si="20"/>
        <v>1.5499999999999998</v>
      </c>
      <c r="O34" s="178">
        <f t="shared" si="20"/>
        <v>7.8431372549019773E-2</v>
      </c>
      <c r="P34" s="176">
        <f>F117</f>
        <v>20.192472768202283</v>
      </c>
      <c r="Q34" s="318">
        <f t="shared" ref="Q34:X34" si="21">G117</f>
        <v>9.3114420749903747E-3</v>
      </c>
      <c r="R34" s="318">
        <f t="shared" si="21"/>
        <v>9.3113439711790778E-3</v>
      </c>
      <c r="S34" s="318">
        <f t="shared" si="21"/>
        <v>9.3112459644649551E-3</v>
      </c>
      <c r="T34" s="318">
        <f t="shared" si="21"/>
        <v>4.0790822915699569E-4</v>
      </c>
      <c r="U34" s="318">
        <f t="shared" si="21"/>
        <v>3.6732568576308307E-3</v>
      </c>
      <c r="V34" s="318">
        <f t="shared" si="21"/>
        <v>6.9386054861046665E-3</v>
      </c>
      <c r="W34" s="318">
        <f t="shared" si="21"/>
        <v>1.0203954114578502E-2</v>
      </c>
      <c r="X34" s="318">
        <f t="shared" si="21"/>
        <v>1.3469302743052337E-2</v>
      </c>
      <c r="Y34" s="319">
        <f>O117</f>
        <v>1.6734651371526171E-2</v>
      </c>
    </row>
    <row r="35" spans="5:25" ht="15" customHeight="1" x14ac:dyDescent="0.2">
      <c r="E35" s="2" t="s">
        <v>186</v>
      </c>
      <c r="F35" s="24" t="s">
        <v>25</v>
      </c>
      <c r="G35" s="24"/>
      <c r="H35" s="173">
        <v>8.67</v>
      </c>
      <c r="I35" s="174">
        <v>7.58</v>
      </c>
      <c r="J35" s="174">
        <v>15.18</v>
      </c>
      <c r="K35" s="174">
        <v>21.98</v>
      </c>
      <c r="L35" s="174">
        <v>18.41</v>
      </c>
      <c r="M35" s="174">
        <v>30.75</v>
      </c>
      <c r="N35" s="174">
        <v>33.04</v>
      </c>
      <c r="O35" s="175">
        <v>29.95</v>
      </c>
      <c r="P35" s="71">
        <f>O35*(1+P36)</f>
        <v>634.71455940765838</v>
      </c>
      <c r="Q35" s="71">
        <f t="shared" ref="Q35:Y35" si="22">P35*(1+Q36)</f>
        <v>640.62466726173591</v>
      </c>
      <c r="R35" s="71">
        <f t="shared" si="22"/>
        <v>646.58974389503214</v>
      </c>
      <c r="S35" s="71">
        <f t="shared" si="22"/>
        <v>652.61030003853909</v>
      </c>
      <c r="T35" s="71">
        <f t="shared" si="22"/>
        <v>652.8765051503575</v>
      </c>
      <c r="U35" s="71">
        <f t="shared" si="22"/>
        <v>655.27468825008702</v>
      </c>
      <c r="V35" s="71">
        <f t="shared" si="22"/>
        <v>659.82138079688457</v>
      </c>
      <c r="W35" s="71">
        <f t="shared" si="22"/>
        <v>666.55416789035371</v>
      </c>
      <c r="X35" s="71">
        <f t="shared" si="22"/>
        <v>675.53218777231223</v>
      </c>
      <c r="Y35" s="71">
        <f t="shared" si="22"/>
        <v>686.83698342492619</v>
      </c>
    </row>
    <row r="36" spans="5:25" ht="15" customHeight="1" x14ac:dyDescent="0.2">
      <c r="E36" s="135" t="s">
        <v>127</v>
      </c>
      <c r="F36" s="24" t="s">
        <v>7</v>
      </c>
      <c r="G36" s="24"/>
      <c r="H36" s="71"/>
      <c r="I36" s="178">
        <f>IFERROR((I35/H35-1),"NA")</f>
        <v>-0.12572087658592845</v>
      </c>
      <c r="J36" s="178">
        <f t="shared" ref="J36:O36" si="23">IFERROR((J35/I35-1),"NA")</f>
        <v>1.0026385224274406</v>
      </c>
      <c r="K36" s="178">
        <f t="shared" si="23"/>
        <v>0.44795783926218724</v>
      </c>
      <c r="L36" s="178">
        <f t="shared" si="23"/>
        <v>-0.16242038216560506</v>
      </c>
      <c r="M36" s="178">
        <f t="shared" si="23"/>
        <v>0.67028788701792497</v>
      </c>
      <c r="N36" s="178">
        <f t="shared" si="23"/>
        <v>7.4471544715447147E-2</v>
      </c>
      <c r="O36" s="178">
        <f t="shared" si="23"/>
        <v>-9.3523002421307511E-2</v>
      </c>
      <c r="P36" s="176">
        <f>F117</f>
        <v>20.192472768202283</v>
      </c>
      <c r="Q36" s="318">
        <f t="shared" ref="Q36:Y36" si="24">G117</f>
        <v>9.3114420749903747E-3</v>
      </c>
      <c r="R36" s="318">
        <f t="shared" si="24"/>
        <v>9.3113439711790778E-3</v>
      </c>
      <c r="S36" s="318">
        <f t="shared" si="24"/>
        <v>9.3112459644649551E-3</v>
      </c>
      <c r="T36" s="318">
        <f t="shared" si="24"/>
        <v>4.0790822915699569E-4</v>
      </c>
      <c r="U36" s="318">
        <f t="shared" si="24"/>
        <v>3.6732568576308307E-3</v>
      </c>
      <c r="V36" s="318">
        <f t="shared" si="24"/>
        <v>6.9386054861046665E-3</v>
      </c>
      <c r="W36" s="318">
        <f t="shared" si="24"/>
        <v>1.0203954114578502E-2</v>
      </c>
      <c r="X36" s="318">
        <f t="shared" si="24"/>
        <v>1.3469302743052337E-2</v>
      </c>
      <c r="Y36" s="319">
        <f t="shared" si="24"/>
        <v>1.6734651371526171E-2</v>
      </c>
    </row>
    <row r="37" spans="5:25" ht="15" customHeight="1" x14ac:dyDescent="0.2">
      <c r="E37" s="1" t="s">
        <v>187</v>
      </c>
      <c r="F37" s="24" t="s">
        <v>25</v>
      </c>
      <c r="G37" s="24"/>
      <c r="H37" s="71">
        <f>H29+H31+H33+H35</f>
        <v>75.25</v>
      </c>
      <c r="I37" s="71">
        <f t="shared" ref="I37:Y37" si="25">I29+I31+I33+I35</f>
        <v>64.153000000000006</v>
      </c>
      <c r="J37" s="71">
        <f t="shared" si="25"/>
        <v>107.29300000000001</v>
      </c>
      <c r="K37" s="71">
        <f t="shared" si="25"/>
        <v>178.96200000000002</v>
      </c>
      <c r="L37" s="71">
        <f t="shared" si="25"/>
        <v>210.37300000000002</v>
      </c>
      <c r="M37" s="71">
        <f t="shared" si="25"/>
        <v>346.73</v>
      </c>
      <c r="N37" s="71">
        <f t="shared" si="25"/>
        <v>351.89000000000004</v>
      </c>
      <c r="O37" s="71">
        <f t="shared" si="25"/>
        <v>672.20400000000006</v>
      </c>
      <c r="P37" s="72">
        <f t="shared" si="25"/>
        <v>14245.664964676649</v>
      </c>
      <c r="Q37" s="72">
        <f t="shared" si="25"/>
        <v>14378.312648814956</v>
      </c>
      <c r="R37" s="72">
        <f t="shared" si="25"/>
        <v>14512.194063613228</v>
      </c>
      <c r="S37" s="72">
        <f t="shared" si="25"/>
        <v>14647.320672023578</v>
      </c>
      <c r="T37" s="72">
        <f t="shared" si="25"/>
        <v>14653.295434660797</v>
      </c>
      <c r="U37" s="72">
        <f t="shared" si="25"/>
        <v>14707.120752603054</v>
      </c>
      <c r="V37" s="72">
        <f t="shared" si="25"/>
        <v>14809.167661341869</v>
      </c>
      <c r="W37" s="72">
        <f t="shared" si="25"/>
        <v>14960.279728633301</v>
      </c>
      <c r="X37" s="72">
        <f t="shared" si="25"/>
        <v>15161.784265419012</v>
      </c>
      <c r="Y37" s="72">
        <f t="shared" si="25"/>
        <v>15415.511439271086</v>
      </c>
    </row>
    <row r="38" spans="5:25" ht="15" customHeight="1" x14ac:dyDescent="0.2">
      <c r="E38" s="1"/>
      <c r="F38" s="24"/>
      <c r="G38" s="24"/>
      <c r="H38" s="71"/>
      <c r="I38" s="71"/>
      <c r="J38" s="71"/>
      <c r="K38" s="71"/>
      <c r="L38" s="71"/>
      <c r="M38" s="71"/>
      <c r="N38" s="71"/>
      <c r="O38" s="71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spans="5:25" ht="15" customHeight="1" x14ac:dyDescent="0.2">
      <c r="E39" s="1"/>
      <c r="F39" s="24"/>
      <c r="G39" s="24"/>
      <c r="H39" s="71"/>
      <c r="I39" s="71"/>
      <c r="J39" s="71"/>
      <c r="K39" s="71"/>
      <c r="L39" s="71"/>
      <c r="M39" s="71"/>
      <c r="N39" s="71"/>
      <c r="O39" s="71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 spans="5:25" ht="15" customHeight="1" x14ac:dyDescent="0.2">
      <c r="E40" s="2" t="s">
        <v>188</v>
      </c>
      <c r="F40" s="24" t="s">
        <v>25</v>
      </c>
      <c r="G40" s="24"/>
      <c r="H40" s="173">
        <v>26.99</v>
      </c>
      <c r="I40" s="174">
        <v>26.51</v>
      </c>
      <c r="J40" s="174">
        <v>25.73</v>
      </c>
      <c r="K40" s="174">
        <v>46.12</v>
      </c>
      <c r="L40" s="174">
        <v>35.909999999999997</v>
      </c>
      <c r="M40" s="174">
        <v>36.64</v>
      </c>
      <c r="N40" s="174">
        <v>43.53</v>
      </c>
      <c r="O40" s="175">
        <v>55.81</v>
      </c>
      <c r="P40" s="71">
        <f t="shared" ref="P40:Y40" si="26">O40-P81</f>
        <v>26.3155</v>
      </c>
      <c r="Q40" s="71">
        <f t="shared" si="26"/>
        <v>-4.653725000000005</v>
      </c>
      <c r="R40" s="71">
        <f t="shared" si="26"/>
        <v>-37.171411250000006</v>
      </c>
      <c r="S40" s="71">
        <f t="shared" si="26"/>
        <v>-71.314981812500008</v>
      </c>
      <c r="T40" s="71">
        <f t="shared" si="26"/>
        <v>-107.16573090312501</v>
      </c>
      <c r="U40" s="71">
        <f t="shared" si="26"/>
        <v>-144.80901744828125</v>
      </c>
      <c r="V40" s="71">
        <f t="shared" si="26"/>
        <v>-184.33446832069532</v>
      </c>
      <c r="W40" s="71">
        <f t="shared" si="26"/>
        <v>-225.83619173673009</v>
      </c>
      <c r="X40" s="71">
        <f t="shared" si="26"/>
        <v>-269.41300132356662</v>
      </c>
      <c r="Y40" s="71">
        <f t="shared" si="26"/>
        <v>-315.16865138974492</v>
      </c>
    </row>
    <row r="41" spans="5:25" ht="15" customHeight="1" x14ac:dyDescent="0.2">
      <c r="E41" s="135" t="s">
        <v>127</v>
      </c>
      <c r="F41" s="24" t="s">
        <v>7</v>
      </c>
      <c r="G41" s="24"/>
      <c r="H41" s="71"/>
      <c r="I41" s="178">
        <f>IFERROR((I40/H40-1),"NA")</f>
        <v>-1.7784364579473744E-2</v>
      </c>
      <c r="J41" s="178">
        <f t="shared" ref="J41:O41" si="27">IFERROR((J40/I40-1),"NA")</f>
        <v>-2.9422859298377957E-2</v>
      </c>
      <c r="K41" s="178">
        <f t="shared" si="27"/>
        <v>0.79246016323357926</v>
      </c>
      <c r="L41" s="178">
        <f t="shared" si="27"/>
        <v>-0.22137901127493498</v>
      </c>
      <c r="M41" s="178">
        <f t="shared" si="27"/>
        <v>2.0328599275967862E-2</v>
      </c>
      <c r="N41" s="178">
        <f t="shared" si="27"/>
        <v>0.18804585152838427</v>
      </c>
      <c r="O41" s="179">
        <f t="shared" si="27"/>
        <v>0.28210429588789343</v>
      </c>
      <c r="P41" s="179">
        <f>IFERROR((P40/O40-1),"NA")</f>
        <v>-0.52848055903959867</v>
      </c>
      <c r="Q41" s="179">
        <f t="shared" ref="Q41:Y41" si="28">IFERROR((Q40/P40-1),"NA")</f>
        <v>-1.1768434952784483</v>
      </c>
      <c r="R41" s="179">
        <f t="shared" si="28"/>
        <v>6.98745333039661</v>
      </c>
      <c r="S41" s="179">
        <f t="shared" si="28"/>
        <v>0.91854383286295049</v>
      </c>
      <c r="T41" s="179">
        <f t="shared" si="28"/>
        <v>0.50270992405050463</v>
      </c>
      <c r="U41" s="179">
        <f t="shared" si="28"/>
        <v>0.35126235064066114</v>
      </c>
      <c r="V41" s="179">
        <f t="shared" si="28"/>
        <v>0.27294882300082346</v>
      </c>
      <c r="W41" s="179">
        <f t="shared" si="28"/>
        <v>0.22514358705737147</v>
      </c>
      <c r="X41" s="179">
        <f t="shared" si="28"/>
        <v>0.19295760016019248</v>
      </c>
      <c r="Y41" s="179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3">
        <v>71.239999999999995</v>
      </c>
      <c r="I42" s="174">
        <v>74.400000000000006</v>
      </c>
      <c r="J42" s="174">
        <v>71.92</v>
      </c>
      <c r="K42" s="174">
        <v>72.81</v>
      </c>
      <c r="L42" s="174">
        <v>69.17</v>
      </c>
      <c r="M42" s="174">
        <v>218.87</v>
      </c>
      <c r="N42" s="174">
        <v>235.73</v>
      </c>
      <c r="O42" s="175">
        <v>279.91000000000003</v>
      </c>
      <c r="P42" s="71">
        <f t="shared" ref="P42:Y42" si="29">O42-P80</f>
        <v>279.91000000000003</v>
      </c>
      <c r="Q42" s="71">
        <f t="shared" si="29"/>
        <v>279.91000000000003</v>
      </c>
      <c r="R42" s="71">
        <f t="shared" si="29"/>
        <v>279.91000000000003</v>
      </c>
      <c r="S42" s="71">
        <f t="shared" si="29"/>
        <v>279.91000000000003</v>
      </c>
      <c r="T42" s="71">
        <f t="shared" si="29"/>
        <v>279.91000000000003</v>
      </c>
      <c r="U42" s="71">
        <f t="shared" si="29"/>
        <v>279.91000000000003</v>
      </c>
      <c r="V42" s="71">
        <f t="shared" si="29"/>
        <v>279.91000000000003</v>
      </c>
      <c r="W42" s="71">
        <f t="shared" si="29"/>
        <v>279.91000000000003</v>
      </c>
      <c r="X42" s="71">
        <f t="shared" si="29"/>
        <v>279.91000000000003</v>
      </c>
      <c r="Y42" s="71">
        <f t="shared" si="29"/>
        <v>279.91000000000003</v>
      </c>
    </row>
    <row r="43" spans="5:25" ht="15" customHeight="1" x14ac:dyDescent="0.2">
      <c r="E43" s="135" t="s">
        <v>127</v>
      </c>
      <c r="F43" s="24" t="s">
        <v>7</v>
      </c>
      <c r="G43" s="24"/>
      <c r="H43" s="71"/>
      <c r="I43" s="178">
        <f>IFERROR((I42/H42-1),"NA")</f>
        <v>4.4357102751263477E-2</v>
      </c>
      <c r="J43" s="178">
        <f t="shared" ref="J43:O43" si="30">IFERROR((J42/I42-1),"NA")</f>
        <v>-3.3333333333333437E-2</v>
      </c>
      <c r="K43" s="178">
        <f t="shared" si="30"/>
        <v>1.237486095661855E-2</v>
      </c>
      <c r="L43" s="178">
        <f t="shared" si="30"/>
        <v>-4.9993132811427032E-2</v>
      </c>
      <c r="M43" s="178">
        <f t="shared" si="30"/>
        <v>2.1642330490096864</v>
      </c>
      <c r="N43" s="178">
        <f t="shared" si="30"/>
        <v>7.7032028144560671E-2</v>
      </c>
      <c r="O43" s="179">
        <f t="shared" si="30"/>
        <v>0.18741780850973577</v>
      </c>
      <c r="P43" s="179">
        <f>IFERROR((P42/O42-1),"NA")</f>
        <v>0</v>
      </c>
      <c r="Q43" s="179">
        <f t="shared" ref="Q43:Y43" si="31">IFERROR((Q42/P42-1),"NA")</f>
        <v>0</v>
      </c>
      <c r="R43" s="179">
        <f t="shared" si="31"/>
        <v>0</v>
      </c>
      <c r="S43" s="179">
        <f t="shared" si="31"/>
        <v>0</v>
      </c>
      <c r="T43" s="179">
        <f t="shared" si="31"/>
        <v>0</v>
      </c>
      <c r="U43" s="179">
        <f t="shared" si="31"/>
        <v>0</v>
      </c>
      <c r="V43" s="179">
        <f t="shared" si="31"/>
        <v>0</v>
      </c>
      <c r="W43" s="179">
        <f t="shared" si="31"/>
        <v>0</v>
      </c>
      <c r="X43" s="179">
        <f t="shared" si="31"/>
        <v>0</v>
      </c>
      <c r="Y43" s="179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3">
        <v>0</v>
      </c>
      <c r="I44" s="174">
        <v>0</v>
      </c>
      <c r="J44" s="174">
        <v>0</v>
      </c>
      <c r="K44" s="174">
        <v>18.36</v>
      </c>
      <c r="L44" s="174">
        <v>15.99</v>
      </c>
      <c r="M44" s="174">
        <v>14.15</v>
      </c>
      <c r="N44" s="174">
        <v>12.32</v>
      </c>
      <c r="O44" s="175">
        <v>15.52</v>
      </c>
      <c r="P44" s="33">
        <f>O44</f>
        <v>15.52</v>
      </c>
      <c r="Q44" s="33">
        <f t="shared" ref="Q44:Y44" si="32">P44</f>
        <v>15.52</v>
      </c>
      <c r="R44" s="33">
        <f t="shared" si="32"/>
        <v>15.52</v>
      </c>
      <c r="S44" s="33">
        <f t="shared" si="32"/>
        <v>15.52</v>
      </c>
      <c r="T44" s="33">
        <f t="shared" si="32"/>
        <v>15.52</v>
      </c>
      <c r="U44" s="33">
        <f t="shared" si="32"/>
        <v>15.52</v>
      </c>
      <c r="V44" s="33">
        <f t="shared" si="32"/>
        <v>15.52</v>
      </c>
      <c r="W44" s="33">
        <f t="shared" si="32"/>
        <v>15.52</v>
      </c>
      <c r="X44" s="33">
        <f t="shared" si="32"/>
        <v>15.52</v>
      </c>
      <c r="Y44" s="33">
        <f t="shared" si="32"/>
        <v>15.52</v>
      </c>
    </row>
    <row r="45" spans="5:25" ht="15" customHeight="1" x14ac:dyDescent="0.2">
      <c r="E45" s="135" t="s">
        <v>127</v>
      </c>
      <c r="F45" s="24" t="s">
        <v>7</v>
      </c>
      <c r="G45" s="24"/>
      <c r="H45" s="71"/>
      <c r="I45" s="178" t="str">
        <f>IFERROR((I44/H44-1),"NA")</f>
        <v>NA</v>
      </c>
      <c r="J45" s="178" t="str">
        <f t="shared" ref="J45:O45" si="33">IFERROR((J44/I44-1),"NA")</f>
        <v>NA</v>
      </c>
      <c r="K45" s="178" t="str">
        <f t="shared" si="33"/>
        <v>NA</v>
      </c>
      <c r="L45" s="178">
        <f t="shared" si="33"/>
        <v>-0.12908496732026142</v>
      </c>
      <c r="M45" s="178">
        <f t="shared" si="33"/>
        <v>-0.11507191994996868</v>
      </c>
      <c r="N45" s="178">
        <f t="shared" si="33"/>
        <v>-0.12932862190812722</v>
      </c>
      <c r="O45" s="179">
        <f t="shared" si="33"/>
        <v>0.2597402597402596</v>
      </c>
      <c r="P45" s="179">
        <f>IFERROR((P44/O44-1),"NA")</f>
        <v>0</v>
      </c>
      <c r="Q45" s="179">
        <f t="shared" ref="Q45:Y45" si="34">IFERROR((Q44/P44-1),"NA")</f>
        <v>0</v>
      </c>
      <c r="R45" s="179">
        <f t="shared" si="34"/>
        <v>0</v>
      </c>
      <c r="S45" s="179">
        <f t="shared" si="34"/>
        <v>0</v>
      </c>
      <c r="T45" s="179">
        <f t="shared" si="34"/>
        <v>0</v>
      </c>
      <c r="U45" s="179">
        <f t="shared" si="34"/>
        <v>0</v>
      </c>
      <c r="V45" s="179">
        <f t="shared" si="34"/>
        <v>0</v>
      </c>
      <c r="W45" s="179">
        <f t="shared" si="34"/>
        <v>0</v>
      </c>
      <c r="X45" s="179">
        <f t="shared" si="34"/>
        <v>0</v>
      </c>
      <c r="Y45" s="179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3">
        <v>17.5</v>
      </c>
      <c r="I46" s="174">
        <v>18</v>
      </c>
      <c r="J46" s="174">
        <v>20</v>
      </c>
      <c r="K46" s="174">
        <v>19.399999999999999</v>
      </c>
      <c r="L46" s="174">
        <v>14.2</v>
      </c>
      <c r="M46" s="174">
        <v>3.7</v>
      </c>
      <c r="N46" s="174">
        <v>19.7</v>
      </c>
      <c r="O46" s="175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">
      <c r="E47" s="135" t="s">
        <v>127</v>
      </c>
      <c r="F47" s="24" t="s">
        <v>7</v>
      </c>
      <c r="G47" s="24"/>
      <c r="H47" s="71"/>
      <c r="I47" s="178">
        <f>IFERROR((I46/H46-1),"NA")</f>
        <v>2.857142857142847E-2</v>
      </c>
      <c r="J47" s="178">
        <f t="shared" ref="J47:O47" si="36">IFERROR((J46/I46-1),"NA")</f>
        <v>0.11111111111111116</v>
      </c>
      <c r="K47" s="178">
        <f t="shared" si="36"/>
        <v>-3.0000000000000027E-2</v>
      </c>
      <c r="L47" s="178">
        <f t="shared" si="36"/>
        <v>-0.268041237113402</v>
      </c>
      <c r="M47" s="178">
        <f t="shared" si="36"/>
        <v>-0.73943661971830976</v>
      </c>
      <c r="N47" s="178">
        <f t="shared" si="36"/>
        <v>4.3243243243243237</v>
      </c>
      <c r="O47" s="178">
        <f t="shared" si="36"/>
        <v>-8.1218274111675037E-2</v>
      </c>
      <c r="P47" s="178">
        <f>IFERROR((P46/O46-1),"NA")</f>
        <v>0</v>
      </c>
      <c r="Q47" s="178">
        <f t="shared" ref="Q47:Y47" si="37">IFERROR((Q46/P46-1),"NA")</f>
        <v>0</v>
      </c>
      <c r="R47" s="178">
        <f t="shared" si="37"/>
        <v>0</v>
      </c>
      <c r="S47" s="178">
        <f t="shared" si="37"/>
        <v>0</v>
      </c>
      <c r="T47" s="178">
        <f t="shared" si="37"/>
        <v>0</v>
      </c>
      <c r="U47" s="178">
        <f t="shared" si="37"/>
        <v>0</v>
      </c>
      <c r="V47" s="178">
        <f t="shared" si="37"/>
        <v>0</v>
      </c>
      <c r="W47" s="178">
        <f t="shared" si="37"/>
        <v>0</v>
      </c>
      <c r="X47" s="178">
        <f t="shared" si="37"/>
        <v>0</v>
      </c>
      <c r="Y47" s="178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71">
        <f>H40+H42+H44+H46</f>
        <v>115.72999999999999</v>
      </c>
      <c r="I48" s="71">
        <f t="shared" ref="I48:Y48" si="38">I40+I42+I44+I46</f>
        <v>118.91000000000001</v>
      </c>
      <c r="J48" s="71">
        <f t="shared" si="38"/>
        <v>117.65</v>
      </c>
      <c r="K48" s="71">
        <f t="shared" si="38"/>
        <v>156.69000000000003</v>
      </c>
      <c r="L48" s="71">
        <f t="shared" si="38"/>
        <v>135.26999999999998</v>
      </c>
      <c r="M48" s="71">
        <f t="shared" si="38"/>
        <v>273.35999999999996</v>
      </c>
      <c r="N48" s="71">
        <f t="shared" si="38"/>
        <v>311.27999999999997</v>
      </c>
      <c r="O48" s="71">
        <f t="shared" si="38"/>
        <v>369.34000000000003</v>
      </c>
      <c r="P48" s="72">
        <f t="shared" si="38"/>
        <v>339.84550000000002</v>
      </c>
      <c r="Q48" s="72">
        <f t="shared" si="38"/>
        <v>308.87627500000002</v>
      </c>
      <c r="R48" s="72">
        <f t="shared" si="38"/>
        <v>276.35858875000002</v>
      </c>
      <c r="S48" s="72">
        <f t="shared" si="38"/>
        <v>242.21501818750002</v>
      </c>
      <c r="T48" s="72">
        <f t="shared" si="38"/>
        <v>206.36426909687503</v>
      </c>
      <c r="U48" s="72">
        <f t="shared" si="38"/>
        <v>168.72098255171878</v>
      </c>
      <c r="V48" s="72">
        <f t="shared" si="38"/>
        <v>129.19553167930471</v>
      </c>
      <c r="W48" s="72">
        <f t="shared" si="38"/>
        <v>87.693808263269943</v>
      </c>
      <c r="X48" s="72">
        <f t="shared" si="38"/>
        <v>44.116998676433411</v>
      </c>
      <c r="Y48" s="72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71">
        <f>SUM(H48,H37)</f>
        <v>190.98</v>
      </c>
      <c r="I49" s="71">
        <f t="shared" ref="I49:Y49" si="39">SUM(I48,I37)</f>
        <v>183.06300000000002</v>
      </c>
      <c r="J49" s="71">
        <f t="shared" si="39"/>
        <v>224.94300000000001</v>
      </c>
      <c r="K49" s="71">
        <f t="shared" si="39"/>
        <v>335.65200000000004</v>
      </c>
      <c r="L49" s="71">
        <f t="shared" si="39"/>
        <v>345.64300000000003</v>
      </c>
      <c r="M49" s="71">
        <f t="shared" si="39"/>
        <v>620.08999999999992</v>
      </c>
      <c r="N49" s="71">
        <f t="shared" si="39"/>
        <v>663.17000000000007</v>
      </c>
      <c r="O49" s="71">
        <f t="shared" si="39"/>
        <v>1041.5440000000001</v>
      </c>
      <c r="P49" s="72">
        <f t="shared" si="39"/>
        <v>14585.510464676649</v>
      </c>
      <c r="Q49" s="72">
        <f t="shared" si="39"/>
        <v>14687.188923814956</v>
      </c>
      <c r="R49" s="72">
        <f t="shared" si="39"/>
        <v>14788.552652363227</v>
      </c>
      <c r="S49" s="72">
        <f t="shared" si="39"/>
        <v>14889.535690211078</v>
      </c>
      <c r="T49" s="72">
        <f t="shared" si="39"/>
        <v>14859.659703757672</v>
      </c>
      <c r="U49" s="72">
        <f t="shared" si="39"/>
        <v>14875.841735154772</v>
      </c>
      <c r="V49" s="72">
        <f t="shared" si="39"/>
        <v>14938.363193021174</v>
      </c>
      <c r="W49" s="72">
        <f t="shared" si="39"/>
        <v>15047.97353689657</v>
      </c>
      <c r="X49" s="72">
        <f t="shared" si="39"/>
        <v>15205.901264095444</v>
      </c>
      <c r="Y49" s="72">
        <f t="shared" si="39"/>
        <v>15413.872787881341</v>
      </c>
    </row>
    <row r="50" spans="5:25" ht="15" customHeight="1" x14ac:dyDescent="0.2">
      <c r="E50" s="2"/>
      <c r="F50" s="24"/>
      <c r="G50" s="24"/>
      <c r="H50" s="50"/>
      <c r="I50" s="50"/>
      <c r="J50" s="50"/>
      <c r="K50" s="84"/>
      <c r="L50" s="84"/>
      <c r="M50" s="84"/>
      <c r="N50" s="84"/>
      <c r="O50" s="84"/>
      <c r="P50" s="273"/>
      <c r="Q50" s="273"/>
      <c r="R50" s="273"/>
      <c r="S50" s="273"/>
      <c r="T50" s="273"/>
      <c r="U50" s="273"/>
      <c r="V50" s="273"/>
      <c r="W50" s="273"/>
      <c r="X50" s="273"/>
      <c r="Y50" s="273"/>
    </row>
    <row r="51" spans="5:25" ht="15" customHeight="1" x14ac:dyDescent="0.2">
      <c r="E51" s="2" t="s">
        <v>194</v>
      </c>
      <c r="F51" s="24" t="s">
        <v>25</v>
      </c>
      <c r="G51" s="24"/>
      <c r="H51" s="173">
        <v>25479</v>
      </c>
      <c r="I51" s="174">
        <v>22610</v>
      </c>
      <c r="J51" s="174">
        <v>23435</v>
      </c>
      <c r="K51" s="174">
        <v>36262</v>
      </c>
      <c r="L51" s="174">
        <v>21918</v>
      </c>
      <c r="M51" s="174">
        <v>66210</v>
      </c>
      <c r="N51" s="174">
        <v>58298</v>
      </c>
      <c r="O51" s="175">
        <v>37314</v>
      </c>
      <c r="P51" s="71">
        <f>O51*(1+P52)</f>
        <v>37314</v>
      </c>
      <c r="Q51" s="71">
        <f t="shared" ref="Q51:Y51" si="40">P51*(1+Q52)</f>
        <v>37314</v>
      </c>
      <c r="R51" s="71">
        <f t="shared" si="40"/>
        <v>37314</v>
      </c>
      <c r="S51" s="71">
        <f t="shared" si="40"/>
        <v>37314</v>
      </c>
      <c r="T51" s="71">
        <f t="shared" si="40"/>
        <v>37314</v>
      </c>
      <c r="U51" s="71">
        <f t="shared" si="40"/>
        <v>37314</v>
      </c>
      <c r="V51" s="71">
        <f t="shared" si="40"/>
        <v>37314</v>
      </c>
      <c r="W51" s="71">
        <f t="shared" si="40"/>
        <v>37314</v>
      </c>
      <c r="X51" s="71">
        <f t="shared" si="40"/>
        <v>37314</v>
      </c>
      <c r="Y51" s="71">
        <f t="shared" si="40"/>
        <v>37314</v>
      </c>
    </row>
    <row r="52" spans="5:25" ht="15" customHeight="1" x14ac:dyDescent="0.2">
      <c r="E52" s="135" t="s">
        <v>127</v>
      </c>
      <c r="F52" s="24" t="s">
        <v>7</v>
      </c>
      <c r="G52" s="24"/>
      <c r="H52" s="71"/>
      <c r="I52" s="178">
        <f>IFERROR((I51/H51-1),"NA")</f>
        <v>-0.11260253542132737</v>
      </c>
      <c r="J52" s="178">
        <f t="shared" ref="J52:N52" si="41">IFERROR((J51/I51-1),"NA")</f>
        <v>3.6488279522335354E-2</v>
      </c>
      <c r="K52" s="178">
        <f t="shared" si="41"/>
        <v>0.54734371666311077</v>
      </c>
      <c r="L52" s="178">
        <f t="shared" si="41"/>
        <v>-0.39556560586840217</v>
      </c>
      <c r="M52" s="178">
        <f t="shared" si="41"/>
        <v>2.0208048179578428</v>
      </c>
      <c r="N52" s="178">
        <f t="shared" si="41"/>
        <v>-0.11949856517142421</v>
      </c>
      <c r="O52" s="178">
        <f>IFERROR((O51/N51-1),"NA")</f>
        <v>-0.35994373734948026</v>
      </c>
      <c r="P52" s="176">
        <v>0</v>
      </c>
      <c r="Q52" s="318">
        <v>0</v>
      </c>
      <c r="R52" s="318">
        <v>0</v>
      </c>
      <c r="S52" s="318">
        <v>0</v>
      </c>
      <c r="T52" s="318">
        <v>0</v>
      </c>
      <c r="U52" s="318">
        <v>0</v>
      </c>
      <c r="V52" s="318">
        <v>0</v>
      </c>
      <c r="W52" s="318">
        <v>0</v>
      </c>
      <c r="X52" s="318">
        <v>0</v>
      </c>
      <c r="Y52" s="319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3">
        <v>0</v>
      </c>
      <c r="I53" s="174">
        <v>49.588000000000001</v>
      </c>
      <c r="J53" s="174">
        <v>74.495999999999995</v>
      </c>
      <c r="K53" s="174">
        <v>147.179</v>
      </c>
      <c r="L53" s="174">
        <v>182.3</v>
      </c>
      <c r="M53" s="174">
        <v>310.75799999999998</v>
      </c>
      <c r="N53" s="174">
        <v>311.50299999999999</v>
      </c>
      <c r="O53" s="175">
        <v>629.6</v>
      </c>
      <c r="P53" s="71">
        <f>O53*(1+P54)</f>
        <v>629.6</v>
      </c>
      <c r="Q53" s="71">
        <f t="shared" ref="Q53:Y53" si="42">P53*(1+Q54)</f>
        <v>629.6</v>
      </c>
      <c r="R53" s="71">
        <f t="shared" si="42"/>
        <v>629.6</v>
      </c>
      <c r="S53" s="71">
        <f t="shared" si="42"/>
        <v>629.6</v>
      </c>
      <c r="T53" s="71">
        <f t="shared" si="42"/>
        <v>629.6</v>
      </c>
      <c r="U53" s="71">
        <f t="shared" si="42"/>
        <v>629.6</v>
      </c>
      <c r="V53" s="71">
        <f t="shared" si="42"/>
        <v>629.6</v>
      </c>
      <c r="W53" s="71">
        <f t="shared" si="42"/>
        <v>629.6</v>
      </c>
      <c r="X53" s="71">
        <f t="shared" si="42"/>
        <v>629.6</v>
      </c>
      <c r="Y53" s="71">
        <f t="shared" si="42"/>
        <v>629.6</v>
      </c>
    </row>
    <row r="54" spans="5:25" ht="15" customHeight="1" x14ac:dyDescent="0.2">
      <c r="E54" s="135" t="s">
        <v>127</v>
      </c>
      <c r="F54" s="24" t="s">
        <v>7</v>
      </c>
      <c r="G54" s="24"/>
      <c r="H54" s="71"/>
      <c r="I54" s="178" t="str">
        <f>IFERROR((I53/H53-1),"NA")</f>
        <v>NA</v>
      </c>
      <c r="J54" s="178">
        <f t="shared" ref="J54:N54" si="43">IFERROR((J53/I53-1),"NA")</f>
        <v>0.50229894329273206</v>
      </c>
      <c r="K54" s="178">
        <f t="shared" si="43"/>
        <v>0.97566312285223389</v>
      </c>
      <c r="L54" s="178">
        <f t="shared" si="43"/>
        <v>0.23862779336726025</v>
      </c>
      <c r="M54" s="178">
        <f t="shared" si="43"/>
        <v>0.70465167306637388</v>
      </c>
      <c r="N54" s="178">
        <f t="shared" si="43"/>
        <v>2.3973638651297868E-3</v>
      </c>
      <c r="O54" s="178">
        <f>IFERROR((O53/N53-1),"NA")</f>
        <v>1.0211683354574435</v>
      </c>
      <c r="P54" s="176">
        <v>0</v>
      </c>
      <c r="Q54" s="318">
        <v>0</v>
      </c>
      <c r="R54" s="318">
        <v>0</v>
      </c>
      <c r="S54" s="318">
        <v>0</v>
      </c>
      <c r="T54" s="318">
        <v>0</v>
      </c>
      <c r="U54" s="318">
        <v>0</v>
      </c>
      <c r="V54" s="318">
        <v>0</v>
      </c>
      <c r="W54" s="318">
        <v>0</v>
      </c>
      <c r="X54" s="318">
        <v>0</v>
      </c>
      <c r="Y54" s="319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3">
        <v>855.76</v>
      </c>
      <c r="I55" s="174">
        <v>914.25</v>
      </c>
      <c r="J55" s="174">
        <v>1057.57</v>
      </c>
      <c r="K55" s="174">
        <v>1288.5899999999999</v>
      </c>
      <c r="L55" s="174">
        <v>1693.3</v>
      </c>
      <c r="M55" s="174">
        <v>2594.4499999999998</v>
      </c>
      <c r="N55" s="174">
        <v>2510.66</v>
      </c>
      <c r="O55" s="175">
        <v>2058.54</v>
      </c>
      <c r="P55" s="71">
        <f>O55*(1+P56)</f>
        <v>2058.54</v>
      </c>
      <c r="Q55" s="71">
        <f t="shared" ref="Q55" si="44">P55*(1+Q56)</f>
        <v>2058.54</v>
      </c>
      <c r="R55" s="71">
        <f t="shared" ref="R55" si="45">Q55*(1+R56)</f>
        <v>2058.54</v>
      </c>
      <c r="S55" s="71">
        <f t="shared" ref="S55" si="46">R55*(1+S56)</f>
        <v>2058.54</v>
      </c>
      <c r="T55" s="71">
        <f t="shared" ref="T55" si="47">S55*(1+T56)</f>
        <v>2058.54</v>
      </c>
      <c r="U55" s="71">
        <f t="shared" ref="U55" si="48">T55*(1+U56)</f>
        <v>2058.54</v>
      </c>
      <c r="V55" s="71">
        <f t="shared" ref="V55" si="49">U55*(1+V56)</f>
        <v>2058.54</v>
      </c>
      <c r="W55" s="71">
        <f t="shared" ref="W55" si="50">V55*(1+W56)</f>
        <v>2058.54</v>
      </c>
      <c r="X55" s="71">
        <f t="shared" ref="X55" si="51">W55*(1+X56)</f>
        <v>2058.54</v>
      </c>
      <c r="Y55" s="71">
        <f t="shared" ref="Y55" si="52">X55*(1+Y56)</f>
        <v>2058.54</v>
      </c>
    </row>
    <row r="56" spans="5:25" ht="15" customHeight="1" x14ac:dyDescent="0.2">
      <c r="E56" s="135" t="s">
        <v>127</v>
      </c>
      <c r="F56" s="24" t="s">
        <v>7</v>
      </c>
      <c r="G56" s="24"/>
      <c r="H56" s="71"/>
      <c r="I56" s="178">
        <f>IFERROR((I55/H55-1),"NA")</f>
        <v>6.8348602411891113E-2</v>
      </c>
      <c r="J56" s="178">
        <f t="shared" ref="J56:N56" si="53">IFERROR((J55/I55-1),"NA")</f>
        <v>0.15676237353021594</v>
      </c>
      <c r="K56" s="178">
        <f t="shared" si="53"/>
        <v>0.21844416918029075</v>
      </c>
      <c r="L56" s="178">
        <f t="shared" si="53"/>
        <v>0.31407197013790267</v>
      </c>
      <c r="M56" s="178">
        <f t="shared" si="53"/>
        <v>0.53218567294631769</v>
      </c>
      <c r="N56" s="178">
        <f t="shared" si="53"/>
        <v>-3.2295862321493951E-2</v>
      </c>
      <c r="O56" s="178">
        <f>IFERROR((O55/N55-1),"NA")</f>
        <v>-0.18008013829032998</v>
      </c>
      <c r="P56" s="176">
        <v>0</v>
      </c>
      <c r="Q56" s="318">
        <v>0</v>
      </c>
      <c r="R56" s="318">
        <v>0</v>
      </c>
      <c r="S56" s="318">
        <v>0</v>
      </c>
      <c r="T56" s="318">
        <v>0</v>
      </c>
      <c r="U56" s="318">
        <v>0</v>
      </c>
      <c r="V56" s="318">
        <v>0</v>
      </c>
      <c r="W56" s="318">
        <v>0</v>
      </c>
      <c r="X56" s="318">
        <v>0</v>
      </c>
      <c r="Y56" s="319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3">
        <v>0</v>
      </c>
      <c r="I57" s="174">
        <v>0</v>
      </c>
      <c r="J57" s="174">
        <v>0</v>
      </c>
      <c r="K57" s="174">
        <v>0</v>
      </c>
      <c r="L57" s="174">
        <v>0</v>
      </c>
      <c r="M57" s="174">
        <v>0</v>
      </c>
      <c r="N57" s="174">
        <v>0</v>
      </c>
      <c r="O57" s="175">
        <v>0</v>
      </c>
      <c r="P57" s="71">
        <f>O57*(1+P58)</f>
        <v>0</v>
      </c>
      <c r="Q57" s="71">
        <f t="shared" ref="Q57" si="54">P57*(1+Q58)</f>
        <v>0</v>
      </c>
      <c r="R57" s="71">
        <f t="shared" ref="R57" si="55">Q57*(1+R58)</f>
        <v>0</v>
      </c>
      <c r="S57" s="71">
        <f t="shared" ref="S57" si="56">R57*(1+S58)</f>
        <v>0</v>
      </c>
      <c r="T57" s="71">
        <f t="shared" ref="T57" si="57">S57*(1+T58)</f>
        <v>0</v>
      </c>
      <c r="U57" s="71">
        <f t="shared" ref="U57" si="58">T57*(1+U58)</f>
        <v>0</v>
      </c>
      <c r="V57" s="71">
        <f t="shared" ref="V57" si="59">U57*(1+V58)</f>
        <v>0</v>
      </c>
      <c r="W57" s="71">
        <f t="shared" ref="W57" si="60">V57*(1+W58)</f>
        <v>0</v>
      </c>
      <c r="X57" s="71">
        <f t="shared" ref="X57" si="61">W57*(1+X58)</f>
        <v>0</v>
      </c>
      <c r="Y57" s="71">
        <f t="shared" ref="Y57" si="62">X57*(1+Y58)</f>
        <v>0</v>
      </c>
    </row>
    <row r="58" spans="5:25" ht="15" customHeight="1" x14ac:dyDescent="0.2">
      <c r="E58" s="135" t="s">
        <v>127</v>
      </c>
      <c r="F58" s="24" t="s">
        <v>7</v>
      </c>
      <c r="G58" s="24"/>
      <c r="H58" s="71"/>
      <c r="I58" s="178" t="str">
        <f>IFERROR((I57/H57-1),"NA")</f>
        <v>NA</v>
      </c>
      <c r="J58" s="178" t="str">
        <f t="shared" ref="J58:N58" si="63">IFERROR((J57/I57-1),"NA")</f>
        <v>NA</v>
      </c>
      <c r="K58" s="178" t="str">
        <f t="shared" si="63"/>
        <v>NA</v>
      </c>
      <c r="L58" s="178" t="str">
        <f t="shared" si="63"/>
        <v>NA</v>
      </c>
      <c r="M58" s="178" t="str">
        <f t="shared" si="63"/>
        <v>NA</v>
      </c>
      <c r="N58" s="178" t="str">
        <f t="shared" si="63"/>
        <v>NA</v>
      </c>
      <c r="O58" s="178" t="str">
        <f>IFERROR((O57/N57-1),"NA")</f>
        <v>NA</v>
      </c>
      <c r="P58" s="176">
        <v>0</v>
      </c>
      <c r="Q58" s="318">
        <v>0</v>
      </c>
      <c r="R58" s="318">
        <v>0</v>
      </c>
      <c r="S58" s="318">
        <v>0</v>
      </c>
      <c r="T58" s="318">
        <v>0</v>
      </c>
      <c r="U58" s="318">
        <v>0</v>
      </c>
      <c r="V58" s="318">
        <v>0</v>
      </c>
      <c r="W58" s="318">
        <v>0</v>
      </c>
      <c r="X58" s="318">
        <v>0</v>
      </c>
      <c r="Y58" s="319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9">
        <f t="shared" ref="H59:O59" si="64">H51+H53+H55+H57</f>
        <v>26334.76</v>
      </c>
      <c r="I59" s="69">
        <f t="shared" si="64"/>
        <v>23573.838</v>
      </c>
      <c r="J59" s="69">
        <f t="shared" si="64"/>
        <v>24567.065999999999</v>
      </c>
      <c r="K59" s="69">
        <f t="shared" si="64"/>
        <v>37697.768999999993</v>
      </c>
      <c r="L59" s="69">
        <f t="shared" si="64"/>
        <v>23793.599999999999</v>
      </c>
      <c r="M59" s="69">
        <f t="shared" si="64"/>
        <v>69115.207999999999</v>
      </c>
      <c r="N59" s="69">
        <f t="shared" si="64"/>
        <v>61120.163</v>
      </c>
      <c r="O59" s="69">
        <f t="shared" si="64"/>
        <v>40002.14</v>
      </c>
      <c r="P59" s="72">
        <f t="shared" ref="P59:Y59" si="65">P51+P53+P55+P57</f>
        <v>40002.14</v>
      </c>
      <c r="Q59" s="72">
        <f t="shared" si="65"/>
        <v>40002.14</v>
      </c>
      <c r="R59" s="72">
        <f t="shared" si="65"/>
        <v>40002.14</v>
      </c>
      <c r="S59" s="72">
        <f t="shared" si="65"/>
        <v>40002.14</v>
      </c>
      <c r="T59" s="72">
        <f t="shared" si="65"/>
        <v>40002.14</v>
      </c>
      <c r="U59" s="72">
        <f t="shared" si="65"/>
        <v>40002.14</v>
      </c>
      <c r="V59" s="72">
        <f t="shared" si="65"/>
        <v>40002.14</v>
      </c>
      <c r="W59" s="72">
        <f t="shared" si="65"/>
        <v>40002.14</v>
      </c>
      <c r="X59" s="72">
        <f t="shared" si="65"/>
        <v>40002.14</v>
      </c>
      <c r="Y59" s="72">
        <f t="shared" si="65"/>
        <v>40002.14</v>
      </c>
    </row>
    <row r="60" spans="5:25" ht="15" customHeight="1" x14ac:dyDescent="0.2">
      <c r="E60" s="1"/>
      <c r="F60" s="24"/>
      <c r="G60" s="24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2" spans="5:25" ht="15" customHeight="1" x14ac:dyDescent="0.2">
      <c r="E62" s="2" t="s">
        <v>199</v>
      </c>
      <c r="F62" s="24" t="s">
        <v>25</v>
      </c>
      <c r="G62" s="24"/>
      <c r="H62" s="173">
        <v>2854</v>
      </c>
      <c r="I62" s="174">
        <v>1729</v>
      </c>
      <c r="J62" s="174">
        <v>8999</v>
      </c>
      <c r="K62" s="174">
        <v>1057</v>
      </c>
      <c r="L62" s="174">
        <v>3392</v>
      </c>
      <c r="M62" s="174">
        <v>37703</v>
      </c>
      <c r="N62" s="174">
        <v>-8503</v>
      </c>
      <c r="O62" s="175">
        <v>-20984</v>
      </c>
      <c r="P62" s="71">
        <f>O62*(1+P63)</f>
        <v>-20984</v>
      </c>
      <c r="Q62" s="71">
        <f t="shared" ref="Q62" si="66">P62*(1+Q63)</f>
        <v>-20984</v>
      </c>
      <c r="R62" s="71">
        <f t="shared" ref="R62" si="67">Q62*(1+R63)</f>
        <v>-20984</v>
      </c>
      <c r="S62" s="71">
        <f t="shared" ref="S62" si="68">R62*(1+S63)</f>
        <v>-20984</v>
      </c>
      <c r="T62" s="71">
        <f t="shared" ref="T62" si="69">S62*(1+T63)</f>
        <v>-20984</v>
      </c>
      <c r="U62" s="71">
        <f t="shared" ref="U62" si="70">T62*(1+U63)</f>
        <v>-20984</v>
      </c>
      <c r="V62" s="71">
        <f t="shared" ref="V62" si="71">U62*(1+V63)</f>
        <v>-20984</v>
      </c>
      <c r="W62" s="71">
        <f t="shared" ref="W62" si="72">V62*(1+W63)</f>
        <v>-20984</v>
      </c>
      <c r="X62" s="71">
        <f t="shared" ref="X62" si="73">W62*(1+X63)</f>
        <v>-20984</v>
      </c>
      <c r="Y62" s="71">
        <f t="shared" ref="Y62" si="74">X62*(1+Y63)</f>
        <v>-20984</v>
      </c>
    </row>
    <row r="63" spans="5:25" ht="15" customHeight="1" x14ac:dyDescent="0.2">
      <c r="E63" s="135" t="s">
        <v>127</v>
      </c>
      <c r="F63" s="24" t="s">
        <v>7</v>
      </c>
      <c r="G63" s="24"/>
      <c r="H63" s="71"/>
      <c r="I63" s="178">
        <f>IFERROR((I62/H62-1),"NA")</f>
        <v>-0.3941836019621584</v>
      </c>
      <c r="J63" s="178">
        <f t="shared" ref="J63:N63" si="75">IFERROR((J62/I62-1),"NA")</f>
        <v>4.2047426257952578</v>
      </c>
      <c r="K63" s="178">
        <f t="shared" si="75"/>
        <v>-0.88254250472274698</v>
      </c>
      <c r="L63" s="178">
        <f t="shared" si="75"/>
        <v>2.2090823084200566</v>
      </c>
      <c r="M63" s="178">
        <f t="shared" si="75"/>
        <v>10.115271226415095</v>
      </c>
      <c r="N63" s="178">
        <f t="shared" si="75"/>
        <v>-1.2255258202265071</v>
      </c>
      <c r="O63" s="178">
        <f>IFERROR((O62/N62-1),"NA")</f>
        <v>1.4678348818064211</v>
      </c>
      <c r="P63" s="176">
        <v>0</v>
      </c>
      <c r="Q63" s="318">
        <v>0</v>
      </c>
      <c r="R63" s="318">
        <v>0</v>
      </c>
      <c r="S63" s="318">
        <v>0</v>
      </c>
      <c r="T63" s="318">
        <v>0</v>
      </c>
      <c r="U63" s="318">
        <v>0</v>
      </c>
      <c r="V63" s="318">
        <v>0</v>
      </c>
      <c r="W63" s="318">
        <v>0</v>
      </c>
      <c r="X63" s="318">
        <v>0</v>
      </c>
      <c r="Y63" s="319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3">
        <v>3.4289999999999998</v>
      </c>
      <c r="I64" s="174">
        <v>740.23</v>
      </c>
      <c r="J64" s="174">
        <v>772.13</v>
      </c>
      <c r="K64" s="174">
        <v>977.61</v>
      </c>
      <c r="L64" s="174">
        <v>1547.2</v>
      </c>
      <c r="M64" s="174">
        <v>2572.64</v>
      </c>
      <c r="N64" s="174">
        <v>2360.98</v>
      </c>
      <c r="O64" s="175">
        <v>1883.54</v>
      </c>
      <c r="P64" s="71">
        <f>O64*(1+P65)</f>
        <v>60042.831646532351</v>
      </c>
      <c r="Q64" s="71">
        <f t="shared" ref="Q64:Y64" si="76">P64*(1+Q65)</f>
        <v>72753.176492988292</v>
      </c>
      <c r="R64" s="71">
        <f t="shared" si="76"/>
        <v>90607.287287452869</v>
      </c>
      <c r="S64" s="71">
        <f t="shared" si="76"/>
        <v>112373.69665601918</v>
      </c>
      <c r="T64" s="71">
        <f t="shared" si="76"/>
        <v>126543.1539375008</v>
      </c>
      <c r="U64" s="71">
        <f t="shared" si="76"/>
        <v>108542.73361081279</v>
      </c>
      <c r="V64" s="71">
        <f t="shared" si="76"/>
        <v>86593.101366936738</v>
      </c>
      <c r="W64" s="71">
        <f t="shared" si="76"/>
        <v>1414733.4265426053</v>
      </c>
      <c r="X64" s="71">
        <f t="shared" si="76"/>
        <v>15980413.006318687</v>
      </c>
      <c r="Y64" s="71">
        <f t="shared" si="76"/>
        <v>140358064.61207813</v>
      </c>
    </row>
    <row r="65" spans="3:26" ht="15" customHeight="1" x14ac:dyDescent="0.2">
      <c r="E65" s="135" t="s">
        <v>127</v>
      </c>
      <c r="F65" s="24" t="s">
        <v>7</v>
      </c>
      <c r="G65" s="24"/>
      <c r="H65" s="71"/>
      <c r="I65" s="178">
        <f>IFERROR((I64/H64-1),"NA")</f>
        <v>214.87343248760573</v>
      </c>
      <c r="J65" s="178">
        <f t="shared" ref="J65:N65" si="77">IFERROR((J64/I64-1),"NA")</f>
        <v>4.3094713805168716E-2</v>
      </c>
      <c r="K65" s="178">
        <f t="shared" si="77"/>
        <v>0.26612098998873246</v>
      </c>
      <c r="L65" s="178">
        <f t="shared" si="77"/>
        <v>0.58263520217673714</v>
      </c>
      <c r="M65" s="178">
        <f t="shared" si="77"/>
        <v>0.66277145811789029</v>
      </c>
      <c r="N65" s="178">
        <f t="shared" si="77"/>
        <v>-8.2273462279992438E-2</v>
      </c>
      <c r="O65" s="178">
        <f>IFERROR((O64/N64-1),"NA")</f>
        <v>-0.20222111157231326</v>
      </c>
      <c r="P65" s="176">
        <f>AVERAGE(I65:$O$65)</f>
        <v>30.877651468263139</v>
      </c>
      <c r="Q65" s="318">
        <f>AVERAGE(J65:$O$65)</f>
        <v>0.21168796503937046</v>
      </c>
      <c r="R65" s="318">
        <f>AVERAGE(K65:$O$65)</f>
        <v>0.2454066152862108</v>
      </c>
      <c r="S65" s="318">
        <f>AVERAGE(L65:$O$65)</f>
        <v>0.24022802161058046</v>
      </c>
      <c r="T65" s="318">
        <f>AVERAGE(M65:$O$65)</f>
        <v>0.12609229475519487</v>
      </c>
      <c r="U65" s="318">
        <f>AVERAGE(N65:$O$65)</f>
        <v>-0.14224728692615285</v>
      </c>
      <c r="V65" s="318">
        <f>AVERAGE(O65:$O$65)</f>
        <v>-0.20222111157231326</v>
      </c>
      <c r="W65" s="318">
        <f>AVERAGE($O65:P$65)</f>
        <v>15.337715178345412</v>
      </c>
      <c r="X65" s="318">
        <f>AVERAGE($O65:Q$65)</f>
        <v>10.295706107243399</v>
      </c>
      <c r="Y65" s="319">
        <f>AVERAGE($O65:R$65)</f>
        <v>7.7831312342541015</v>
      </c>
    </row>
    <row r="66" spans="3:26" ht="15" customHeight="1" x14ac:dyDescent="0.2">
      <c r="E66" s="2" t="s">
        <v>201</v>
      </c>
      <c r="F66" s="24" t="s">
        <v>25</v>
      </c>
      <c r="G66" s="24"/>
      <c r="H66" s="173">
        <v>5.51</v>
      </c>
      <c r="I66" s="174">
        <v>5.87</v>
      </c>
      <c r="J66" s="174">
        <v>5.6</v>
      </c>
      <c r="K66" s="174">
        <v>8.2200000000000006</v>
      </c>
      <c r="L66" s="174">
        <v>7.62</v>
      </c>
      <c r="M66" s="174">
        <v>9.5500000000000007</v>
      </c>
      <c r="N66" s="174">
        <v>11.22</v>
      </c>
      <c r="O66" s="175">
        <v>12.95</v>
      </c>
      <c r="P66" s="71">
        <f>O66*(1+P67)</f>
        <v>12.95</v>
      </c>
      <c r="Q66" s="71">
        <f t="shared" ref="Q66" si="78">P66*(1+Q67)</f>
        <v>12.95</v>
      </c>
      <c r="R66" s="71">
        <f t="shared" ref="R66" si="79">Q66*(1+R67)</f>
        <v>12.95</v>
      </c>
      <c r="S66" s="71">
        <f t="shared" ref="S66" si="80">R66*(1+S67)</f>
        <v>12.95</v>
      </c>
      <c r="T66" s="71">
        <f t="shared" ref="T66" si="81">S66*(1+T67)</f>
        <v>12.95</v>
      </c>
      <c r="U66" s="71">
        <f t="shared" ref="U66" si="82">T66*(1+U67)</f>
        <v>12.95</v>
      </c>
      <c r="V66" s="71">
        <f t="shared" ref="V66" si="83">U66*(1+V67)</f>
        <v>12.95</v>
      </c>
      <c r="W66" s="71">
        <f t="shared" ref="W66" si="84">V66*(1+W67)</f>
        <v>12.95</v>
      </c>
      <c r="X66" s="71">
        <f t="shared" ref="X66" si="85">W66*(1+X67)</f>
        <v>12.95</v>
      </c>
      <c r="Y66" s="71">
        <f t="shared" ref="Y66" si="86">X66*(1+Y67)</f>
        <v>12.95</v>
      </c>
      <c r="Z66" s="137"/>
    </row>
    <row r="67" spans="3:26" ht="15" customHeight="1" x14ac:dyDescent="0.2">
      <c r="E67" s="135" t="s">
        <v>127</v>
      </c>
      <c r="F67" s="24" t="s">
        <v>7</v>
      </c>
      <c r="G67" s="24"/>
      <c r="H67" s="71"/>
      <c r="I67" s="178">
        <f>IFERROR((I66/H66-1),"NA")</f>
        <v>6.5335753176043676E-2</v>
      </c>
      <c r="J67" s="178">
        <f t="shared" ref="J67:N67" si="87">IFERROR((J66/I66-1),"NA")</f>
        <v>-4.5996592844974482E-2</v>
      </c>
      <c r="K67" s="178">
        <f t="shared" si="87"/>
        <v>0.46785714285714297</v>
      </c>
      <c r="L67" s="178">
        <f t="shared" si="87"/>
        <v>-7.2992700729927029E-2</v>
      </c>
      <c r="M67" s="178">
        <f t="shared" si="87"/>
        <v>0.25328083989501327</v>
      </c>
      <c r="N67" s="178">
        <f t="shared" si="87"/>
        <v>0.17486910994764404</v>
      </c>
      <c r="O67" s="178">
        <f>IFERROR((O66/N66-1),"NA")</f>
        <v>0.15418894830659524</v>
      </c>
      <c r="P67" s="176">
        <v>0</v>
      </c>
      <c r="Q67" s="318">
        <v>0</v>
      </c>
      <c r="R67" s="318">
        <v>0</v>
      </c>
      <c r="S67" s="318">
        <v>0</v>
      </c>
      <c r="T67" s="318">
        <v>0</v>
      </c>
      <c r="U67" s="318">
        <v>0</v>
      </c>
      <c r="V67" s="318">
        <v>0</v>
      </c>
      <c r="W67" s="318">
        <v>0</v>
      </c>
      <c r="X67" s="318">
        <v>0</v>
      </c>
      <c r="Y67" s="319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9">
        <f>H62+H64+H66</f>
        <v>2862.9390000000003</v>
      </c>
      <c r="I68" s="69">
        <f t="shared" ref="I68:Y68" si="88">I62+I64+I66</f>
        <v>2475.1</v>
      </c>
      <c r="J68" s="69">
        <f t="shared" si="88"/>
        <v>9776.73</v>
      </c>
      <c r="K68" s="69">
        <f t="shared" si="88"/>
        <v>2042.8300000000002</v>
      </c>
      <c r="L68" s="69">
        <f t="shared" si="88"/>
        <v>4946.82</v>
      </c>
      <c r="M68" s="69">
        <f t="shared" si="88"/>
        <v>40285.19</v>
      </c>
      <c r="N68" s="69">
        <f t="shared" si="88"/>
        <v>-6130.8</v>
      </c>
      <c r="O68" s="69">
        <f t="shared" si="88"/>
        <v>-19087.509999999998</v>
      </c>
      <c r="P68" s="69">
        <f t="shared" si="88"/>
        <v>39071.781646532349</v>
      </c>
      <c r="Q68" s="69">
        <f t="shared" si="88"/>
        <v>51782.126492988289</v>
      </c>
      <c r="R68" s="69">
        <f t="shared" si="88"/>
        <v>69636.237287452866</v>
      </c>
      <c r="S68" s="69">
        <f t="shared" si="88"/>
        <v>91402.646656019177</v>
      </c>
      <c r="T68" s="69">
        <f t="shared" si="88"/>
        <v>105572.1039375008</v>
      </c>
      <c r="U68" s="69">
        <f t="shared" si="88"/>
        <v>87571.68361081279</v>
      </c>
      <c r="V68" s="69">
        <f t="shared" si="88"/>
        <v>65622.051366936736</v>
      </c>
      <c r="W68" s="69">
        <f t="shared" si="88"/>
        <v>1393762.3765426052</v>
      </c>
      <c r="X68" s="69">
        <f t="shared" si="88"/>
        <v>15959441.956318686</v>
      </c>
      <c r="Y68" s="69">
        <f t="shared" si="88"/>
        <v>140337093.56207812</v>
      </c>
    </row>
    <row r="69" spans="3:26" ht="15" customHeight="1" x14ac:dyDescent="0.2">
      <c r="E69" s="1" t="s">
        <v>202</v>
      </c>
      <c r="F69" s="24" t="s">
        <v>25</v>
      </c>
      <c r="G69" s="24"/>
      <c r="H69" s="96">
        <f t="shared" ref="H69:Y69" si="89">SUM(H59,H68)</f>
        <v>29197.699000000001</v>
      </c>
      <c r="I69" s="96">
        <f t="shared" si="89"/>
        <v>26048.937999999998</v>
      </c>
      <c r="J69" s="96">
        <f t="shared" si="89"/>
        <v>34343.796000000002</v>
      </c>
      <c r="K69" s="96">
        <f t="shared" si="89"/>
        <v>39740.598999999995</v>
      </c>
      <c r="L69" s="96">
        <f t="shared" si="89"/>
        <v>28740.42</v>
      </c>
      <c r="M69" s="96">
        <f t="shared" si="89"/>
        <v>109400.398</v>
      </c>
      <c r="N69" s="96">
        <f t="shared" si="89"/>
        <v>54989.362999999998</v>
      </c>
      <c r="O69" s="96">
        <f t="shared" si="89"/>
        <v>20914.63</v>
      </c>
      <c r="P69" s="96">
        <f t="shared" si="89"/>
        <v>79073.921646532341</v>
      </c>
      <c r="Q69" s="96">
        <f t="shared" si="89"/>
        <v>91784.266492988289</v>
      </c>
      <c r="R69" s="96">
        <f t="shared" si="89"/>
        <v>109638.37728745287</v>
      </c>
      <c r="S69" s="96">
        <f t="shared" si="89"/>
        <v>131404.78665601916</v>
      </c>
      <c r="T69" s="96">
        <f t="shared" si="89"/>
        <v>145574.24393750081</v>
      </c>
      <c r="U69" s="96">
        <f t="shared" si="89"/>
        <v>127573.82361081279</v>
      </c>
      <c r="V69" s="96">
        <f t="shared" si="89"/>
        <v>105624.19136693673</v>
      </c>
      <c r="W69" s="96">
        <f t="shared" si="89"/>
        <v>1433764.5165426051</v>
      </c>
      <c r="X69" s="96">
        <f t="shared" si="89"/>
        <v>15999444.096318686</v>
      </c>
      <c r="Y69" s="96">
        <f t="shared" si="89"/>
        <v>140377095.7020781</v>
      </c>
    </row>
    <row r="70" spans="3:26" ht="15" customHeight="1" x14ac:dyDescent="0.2">
      <c r="E70" s="2"/>
      <c r="F70" s="24"/>
      <c r="G70" s="24"/>
      <c r="H70" s="50"/>
      <c r="I70" s="50"/>
      <c r="J70" s="5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3:26" ht="15" customHeight="1" x14ac:dyDescent="0.2">
      <c r="E71" s="1" t="s">
        <v>228</v>
      </c>
      <c r="F71" s="24" t="s">
        <v>25</v>
      </c>
      <c r="G71" s="24"/>
      <c r="H71" s="96">
        <f t="shared" ref="H71:O71" si="90">SUM(H49,H69)</f>
        <v>29388.679</v>
      </c>
      <c r="I71" s="96">
        <f t="shared" si="90"/>
        <v>26232.000999999997</v>
      </c>
      <c r="J71" s="96">
        <f t="shared" si="90"/>
        <v>34568.739000000001</v>
      </c>
      <c r="K71" s="96">
        <f t="shared" si="90"/>
        <v>40076.250999999997</v>
      </c>
      <c r="L71" s="96">
        <f t="shared" si="90"/>
        <v>29086.062999999998</v>
      </c>
      <c r="M71" s="96">
        <f t="shared" si="90"/>
        <v>110020.488</v>
      </c>
      <c r="N71" s="96">
        <f t="shared" si="90"/>
        <v>55652.532999999996</v>
      </c>
      <c r="O71" s="96">
        <f t="shared" si="90"/>
        <v>21956.174000000003</v>
      </c>
      <c r="P71" s="96">
        <f>SUM(P49,P69)</f>
        <v>93659.432111208997</v>
      </c>
      <c r="Q71" s="96">
        <f t="shared" ref="Q71:Y71" si="91">SUM(Q49,Q69)</f>
        <v>106471.45541680325</v>
      </c>
      <c r="R71" s="96">
        <f t="shared" si="91"/>
        <v>124426.92993981609</v>
      </c>
      <c r="S71" s="96">
        <f t="shared" si="91"/>
        <v>146294.32234623024</v>
      </c>
      <c r="T71" s="96">
        <f t="shared" si="91"/>
        <v>160433.90364125848</v>
      </c>
      <c r="U71" s="96">
        <f t="shared" si="91"/>
        <v>142449.66534596757</v>
      </c>
      <c r="V71" s="96">
        <f t="shared" si="91"/>
        <v>120562.55455995791</v>
      </c>
      <c r="W71" s="96">
        <f t="shared" si="91"/>
        <v>1448812.4900795016</v>
      </c>
      <c r="X71" s="96">
        <f t="shared" si="91"/>
        <v>16014649.997582782</v>
      </c>
      <c r="Y71" s="96">
        <f t="shared" si="91"/>
        <v>140392509.574866</v>
      </c>
    </row>
    <row r="72" spans="3:26" ht="15" customHeight="1" x14ac:dyDescent="0.2">
      <c r="C72" s="2"/>
      <c r="D72" s="2"/>
      <c r="E72" s="138"/>
      <c r="F72" s="24"/>
      <c r="G72" s="24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3770.2290000000003</v>
      </c>
      <c r="I73" s="27">
        <f t="shared" si="92"/>
        <v>3482.6579999999999</v>
      </c>
      <c r="J73" s="27">
        <f t="shared" si="92"/>
        <v>10977.691999999999</v>
      </c>
      <c r="K73" s="27">
        <f t="shared" si="92"/>
        <v>3617.5590000000002</v>
      </c>
      <c r="L73" s="27">
        <f t="shared" si="92"/>
        <v>6997.13</v>
      </c>
      <c r="M73" s="27">
        <f t="shared" si="92"/>
        <v>43491.607999999993</v>
      </c>
      <c r="N73" s="27">
        <f t="shared" si="92"/>
        <v>-3008.357</v>
      </c>
      <c r="O73" s="27">
        <f t="shared" si="92"/>
        <v>-15782.7</v>
      </c>
      <c r="P73" s="27">
        <f t="shared" si="92"/>
        <v>55090.176350847883</v>
      </c>
      <c r="Q73" s="27">
        <f t="shared" si="92"/>
        <v>67924.765675002782</v>
      </c>
      <c r="R73" s="27">
        <f t="shared" si="92"/>
        <v>85904.276521215477</v>
      </c>
      <c r="S73" s="27">
        <f t="shared" si="92"/>
        <v>107797.25225235523</v>
      </c>
      <c r="T73" s="27">
        <f t="shared" si="92"/>
        <v>121972.30579635782</v>
      </c>
      <c r="U73" s="27">
        <f t="shared" si="92"/>
        <v>104022.30096360143</v>
      </c>
      <c r="V73" s="27">
        <f t="shared" si="92"/>
        <v>82168.250975528877</v>
      </c>
      <c r="W73" s="27">
        <f t="shared" si="92"/>
        <v>1410450.1152967664</v>
      </c>
      <c r="X73" s="27">
        <f t="shared" si="92"/>
        <v>15976318.434334219</v>
      </c>
      <c r="Y73" s="27">
        <f t="shared" si="92"/>
        <v>140354207.6936976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25488.54</v>
      </c>
      <c r="I74" s="27">
        <f t="shared" si="93"/>
        <v>22616.983</v>
      </c>
      <c r="J74" s="27">
        <f t="shared" si="93"/>
        <v>23452.616999999998</v>
      </c>
      <c r="K74" s="27">
        <f t="shared" si="93"/>
        <v>36271.802000000003</v>
      </c>
      <c r="L74" s="27">
        <f t="shared" si="93"/>
        <v>21927.633000000002</v>
      </c>
      <c r="M74" s="27">
        <f t="shared" si="93"/>
        <v>66215.22</v>
      </c>
      <c r="N74" s="27">
        <f t="shared" si="93"/>
        <v>58305.35</v>
      </c>
      <c r="O74" s="27">
        <f t="shared" si="93"/>
        <v>37326.633999999998</v>
      </c>
      <c r="P74" s="27">
        <f t="shared" si="93"/>
        <v>37581.74570095347</v>
      </c>
      <c r="Q74" s="27">
        <f t="shared" si="93"/>
        <v>37584.238799538725</v>
      </c>
      <c r="R74" s="27">
        <f t="shared" si="93"/>
        <v>37586.755085955585</v>
      </c>
      <c r="S74" s="27">
        <f t="shared" si="93"/>
        <v>37589.294775648981</v>
      </c>
      <c r="T74" s="27">
        <f t="shared" si="93"/>
        <v>37589.407070653411</v>
      </c>
      <c r="U74" s="27">
        <f t="shared" si="93"/>
        <v>37590.418711564329</v>
      </c>
      <c r="V74" s="27">
        <f t="shared" si="93"/>
        <v>37592.336671952849</v>
      </c>
      <c r="W74" s="27">
        <f t="shared" si="93"/>
        <v>37595.176806581861</v>
      </c>
      <c r="X74" s="27">
        <f t="shared" si="93"/>
        <v>37598.964062114035</v>
      </c>
      <c r="Y74" s="27">
        <f t="shared" si="93"/>
        <v>37603.732836346928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2871.5570000000007</v>
      </c>
      <c r="J75" s="27">
        <f t="shared" si="94"/>
        <v>-835.6339999999982</v>
      </c>
      <c r="K75" s="27">
        <f t="shared" si="94"/>
        <v>-12819.185000000005</v>
      </c>
      <c r="L75" s="27">
        <f t="shared" si="94"/>
        <v>14344.169000000002</v>
      </c>
      <c r="M75" s="27">
        <f t="shared" si="94"/>
        <v>-44287.587</v>
      </c>
      <c r="N75" s="27">
        <f t="shared" si="94"/>
        <v>7909.8700000000026</v>
      </c>
      <c r="O75" s="27">
        <f t="shared" si="94"/>
        <v>20978.716</v>
      </c>
      <c r="P75" s="27">
        <f>O74-P74</f>
        <v>-255.11170095347188</v>
      </c>
      <c r="Q75" s="27">
        <f t="shared" si="94"/>
        <v>-2.4930985852552112</v>
      </c>
      <c r="R75" s="27">
        <f t="shared" si="94"/>
        <v>-2.516286416859657</v>
      </c>
      <c r="S75" s="27">
        <f t="shared" si="94"/>
        <v>-2.5396896933962125</v>
      </c>
      <c r="T75" s="27">
        <f t="shared" si="94"/>
        <v>-0.11229500443005236</v>
      </c>
      <c r="U75" s="27">
        <f t="shared" si="94"/>
        <v>-1.0116409109177766</v>
      </c>
      <c r="V75" s="27">
        <f t="shared" si="94"/>
        <v>-1.9179603885204415</v>
      </c>
      <c r="W75" s="27">
        <f t="shared" si="94"/>
        <v>-2.8401346290120273</v>
      </c>
      <c r="X75" s="27">
        <f t="shared" si="94"/>
        <v>-3.7872555321737309</v>
      </c>
      <c r="Y75" s="27">
        <f t="shared" si="94"/>
        <v>-4.7687742328926106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8" t="s">
        <v>211</v>
      </c>
      <c r="D77" s="129"/>
      <c r="E77" s="129"/>
      <c r="F77" s="130"/>
      <c r="G77" s="130"/>
      <c r="H77" s="140"/>
      <c r="I77" s="140"/>
      <c r="J77" s="140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</row>
    <row r="78" spans="3:26" ht="15" customHeight="1" x14ac:dyDescent="0.2">
      <c r="C78" s="2"/>
      <c r="D78" s="2"/>
      <c r="E78" s="2"/>
      <c r="F78" s="24"/>
      <c r="G78" s="24"/>
      <c r="H78" s="50"/>
      <c r="I78" s="50"/>
      <c r="J78" s="5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3:26" ht="15" customHeight="1" x14ac:dyDescent="0.2">
      <c r="E79" s="2" t="s">
        <v>203</v>
      </c>
      <c r="F79" s="24" t="s">
        <v>25</v>
      </c>
      <c r="G79" s="24"/>
      <c r="H79" s="173">
        <v>0</v>
      </c>
      <c r="I79" s="174">
        <v>7472</v>
      </c>
      <c r="J79" s="174">
        <v>-2969</v>
      </c>
      <c r="K79" s="174">
        <v>7419</v>
      </c>
      <c r="L79" s="174">
        <v>6982</v>
      </c>
      <c r="M79" s="174" t="s">
        <v>302</v>
      </c>
      <c r="N79" s="174">
        <v>0</v>
      </c>
      <c r="O79" s="175">
        <v>61179</v>
      </c>
      <c r="P79" s="303"/>
      <c r="Q79" s="304"/>
      <c r="R79" s="304"/>
      <c r="S79" s="304"/>
      <c r="T79" s="304"/>
      <c r="U79" s="304"/>
      <c r="V79" s="304"/>
      <c r="W79" s="304"/>
      <c r="X79" s="304"/>
      <c r="Y79" s="177"/>
    </row>
    <row r="80" spans="3:26" ht="15" customHeight="1" thickBot="1" x14ac:dyDescent="0.25">
      <c r="E80" s="2" t="s">
        <v>204</v>
      </c>
      <c r="F80" s="24" t="s">
        <v>25</v>
      </c>
      <c r="G80" s="24"/>
      <c r="H80" s="173">
        <v>-342</v>
      </c>
      <c r="I80" s="174">
        <v>-2100</v>
      </c>
      <c r="J80" s="174">
        <v>-4182</v>
      </c>
      <c r="K80" s="174">
        <v>-4576</v>
      </c>
      <c r="L80" s="174">
        <v>-3800</v>
      </c>
      <c r="M80" s="174">
        <v>-2972</v>
      </c>
      <c r="N80" s="174">
        <v>-1529</v>
      </c>
      <c r="O80" s="175">
        <v>-1465</v>
      </c>
      <c r="P80" s="173"/>
      <c r="Q80" s="174"/>
      <c r="R80" s="174"/>
      <c r="S80" s="174"/>
      <c r="T80" s="174"/>
      <c r="U80" s="174"/>
      <c r="V80" s="174"/>
      <c r="W80" s="174"/>
      <c r="X80" s="174"/>
      <c r="Y80" s="175"/>
    </row>
    <row r="81" spans="3:27" ht="15" customHeight="1" thickBot="1" x14ac:dyDescent="0.25">
      <c r="E81" s="2" t="s">
        <v>205</v>
      </c>
      <c r="F81" s="24" t="s">
        <v>25</v>
      </c>
      <c r="G81" s="24"/>
      <c r="H81" s="173">
        <v>15.18</v>
      </c>
      <c r="I81" s="174">
        <v>8.84</v>
      </c>
      <c r="J81" s="174">
        <v>4.51</v>
      </c>
      <c r="K81" s="174">
        <v>6.62</v>
      </c>
      <c r="L81" s="174">
        <v>7.56</v>
      </c>
      <c r="M81" s="174">
        <v>9.81</v>
      </c>
      <c r="N81" s="174">
        <v>28.61</v>
      </c>
      <c r="O81" s="175">
        <v>28.09</v>
      </c>
      <c r="P81" s="33">
        <f>O81*(1+$Z$81)</f>
        <v>29.494500000000002</v>
      </c>
      <c r="Q81" s="33">
        <f t="shared" ref="Q81:Y81" si="95">P81*(1+$Z$81)</f>
        <v>30.969225000000005</v>
      </c>
      <c r="R81" s="33">
        <f t="shared" si="95"/>
        <v>32.517686250000004</v>
      </c>
      <c r="S81" s="33">
        <f t="shared" si="95"/>
        <v>34.143570562500003</v>
      </c>
      <c r="T81" s="33">
        <f t="shared" si="95"/>
        <v>35.850749090625001</v>
      </c>
      <c r="U81" s="33">
        <f t="shared" si="95"/>
        <v>37.643286545156251</v>
      </c>
      <c r="V81" s="33">
        <f t="shared" si="95"/>
        <v>39.525450872414062</v>
      </c>
      <c r="W81" s="33">
        <f t="shared" si="95"/>
        <v>41.501723416034764</v>
      </c>
      <c r="X81" s="33">
        <f t="shared" si="95"/>
        <v>43.576809586836504</v>
      </c>
      <c r="Y81" s="33">
        <f t="shared" si="95"/>
        <v>45.755650066178333</v>
      </c>
      <c r="Z81" s="136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71">
        <f>SUM(H79:H81)</f>
        <v>-326.82</v>
      </c>
      <c r="I82" s="71">
        <f t="shared" ref="I82:O82" si="96">SUM(I79:I81)</f>
        <v>5380.84</v>
      </c>
      <c r="J82" s="71">
        <f t="shared" si="96"/>
        <v>-7146.49</v>
      </c>
      <c r="K82" s="71">
        <f t="shared" si="96"/>
        <v>2849.62</v>
      </c>
      <c r="L82" s="71">
        <f t="shared" si="96"/>
        <v>3189.56</v>
      </c>
      <c r="M82" s="71">
        <f t="shared" si="96"/>
        <v>-2962.19</v>
      </c>
      <c r="N82" s="71">
        <f t="shared" si="96"/>
        <v>-1500.39</v>
      </c>
      <c r="O82" s="71">
        <f t="shared" si="96"/>
        <v>59742.09</v>
      </c>
      <c r="P82" s="33">
        <f>AVERAGE(H81:O81)</f>
        <v>13.6525</v>
      </c>
      <c r="Q82" s="33">
        <f t="shared" ref="Q82:Y82" si="97">AVERAGE(I81:P81)</f>
        <v>15.441812499999999</v>
      </c>
      <c r="R82" s="33">
        <f t="shared" si="97"/>
        <v>18.207965625</v>
      </c>
      <c r="S82" s="33">
        <f t="shared" si="97"/>
        <v>21.708926406250001</v>
      </c>
      <c r="T82" s="33">
        <f t="shared" si="97"/>
        <v>25.1493727265625</v>
      </c>
      <c r="U82" s="33">
        <f t="shared" si="97"/>
        <v>28.685716362890631</v>
      </c>
      <c r="V82" s="33">
        <f t="shared" si="97"/>
        <v>32.164877181035159</v>
      </c>
      <c r="W82" s="33">
        <f t="shared" si="97"/>
        <v>33.529308540086916</v>
      </c>
      <c r="X82" s="33">
        <f t="shared" si="97"/>
        <v>35.205773967091261</v>
      </c>
      <c r="Y82" s="33">
        <f t="shared" si="97"/>
        <v>36.966062665445826</v>
      </c>
      <c r="Z82" s="283"/>
      <c r="AA82" s="18"/>
    </row>
    <row r="83" spans="3:27" ht="15" customHeight="1" x14ac:dyDescent="0.2">
      <c r="E83" s="2"/>
      <c r="F83" s="24"/>
      <c r="G83" s="24"/>
      <c r="H83" s="133"/>
      <c r="I83" s="133"/>
      <c r="J83" s="133"/>
      <c r="K83" s="133"/>
      <c r="L83" s="133"/>
      <c r="M83" s="133"/>
      <c r="N83" s="1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5"/>
    </row>
    <row r="84" spans="3:27" ht="15" customHeight="1" x14ac:dyDescent="0.2">
      <c r="E84" s="2" t="s">
        <v>206</v>
      </c>
      <c r="F84" s="24" t="s">
        <v>25</v>
      </c>
      <c r="G84" s="24"/>
      <c r="H84" s="287">
        <f>(H64+H53)-H29</f>
        <v>-53.610999999999997</v>
      </c>
      <c r="I84" s="287">
        <f t="shared" ref="I84:O84" si="98">(I64+I53)-I29</f>
        <v>740.22799999999995</v>
      </c>
      <c r="J84" s="287">
        <f t="shared" si="98"/>
        <v>772.13</v>
      </c>
      <c r="K84" s="287">
        <f t="shared" si="98"/>
        <v>977.60899999999992</v>
      </c>
      <c r="L84" s="287">
        <f t="shared" si="98"/>
        <v>1547.17</v>
      </c>
      <c r="M84" s="287">
        <f t="shared" si="98"/>
        <v>2572.6379999999999</v>
      </c>
      <c r="N84" s="287">
        <f t="shared" si="98"/>
        <v>2360.9830000000002</v>
      </c>
      <c r="O84" s="287">
        <f t="shared" si="98"/>
        <v>1883.52</v>
      </c>
      <c r="P84" s="142"/>
      <c r="Q84" s="142"/>
      <c r="R84" s="27"/>
      <c r="S84" s="142"/>
      <c r="T84" s="142"/>
      <c r="U84" s="142"/>
      <c r="V84" s="142"/>
      <c r="W84" s="142"/>
      <c r="X84" s="142"/>
      <c r="Y84" s="142"/>
    </row>
    <row r="85" spans="3:27" ht="15" customHeight="1" x14ac:dyDescent="0.2">
      <c r="E85" s="2" t="s">
        <v>207</v>
      </c>
      <c r="F85" s="24" t="s">
        <v>25</v>
      </c>
      <c r="G85" s="24"/>
      <c r="H85" s="284">
        <v>31.39</v>
      </c>
      <c r="I85" s="285">
        <v>35.15</v>
      </c>
      <c r="J85" s="285">
        <v>36.270000000000003</v>
      </c>
      <c r="K85" s="285">
        <v>46.1</v>
      </c>
      <c r="L85" s="285">
        <v>30.34</v>
      </c>
      <c r="M85" s="285">
        <v>58.05</v>
      </c>
      <c r="N85" s="285">
        <v>64.3</v>
      </c>
      <c r="O85" s="286">
        <v>57.71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">
      <c r="E86" s="2"/>
      <c r="F86" s="24"/>
      <c r="G86" s="24"/>
      <c r="H86" s="50"/>
      <c r="I86" s="50"/>
      <c r="J86" s="5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3:27" ht="15" customHeight="1" x14ac:dyDescent="0.2">
      <c r="C87" s="128" t="s">
        <v>255</v>
      </c>
      <c r="D87" s="129"/>
      <c r="E87" s="129"/>
      <c r="F87" s="130"/>
      <c r="G87" s="130"/>
      <c r="H87" s="140"/>
      <c r="I87" s="140"/>
      <c r="J87" s="140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</row>
    <row r="89" spans="3:27" ht="15" customHeight="1" x14ac:dyDescent="0.2">
      <c r="E89" s="147" t="s">
        <v>214</v>
      </c>
      <c r="F89" s="86"/>
      <c r="G89" s="86"/>
      <c r="H89" s="372"/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3:27" ht="15" customHeight="1" x14ac:dyDescent="0.2">
      <c r="E90" s="337"/>
      <c r="F90" s="336"/>
      <c r="G90" s="336"/>
      <c r="H90" s="336">
        <f t="shared" ref="H90:N90" si="99">EOMONTH(I90,-12)</f>
        <v>42978</v>
      </c>
      <c r="I90" s="336">
        <f t="shared" si="99"/>
        <v>43343</v>
      </c>
      <c r="J90" s="336">
        <f t="shared" si="99"/>
        <v>43708</v>
      </c>
      <c r="K90" s="336">
        <f t="shared" si="99"/>
        <v>44074</v>
      </c>
      <c r="L90" s="336">
        <f t="shared" si="99"/>
        <v>44439</v>
      </c>
      <c r="M90" s="336">
        <f t="shared" si="99"/>
        <v>44804</v>
      </c>
      <c r="N90" s="336">
        <f t="shared" si="99"/>
        <v>45169</v>
      </c>
      <c r="O90" s="339">
        <v>45526</v>
      </c>
      <c r="P90" s="161" t="s">
        <v>213</v>
      </c>
      <c r="Q90" s="86"/>
      <c r="R90" s="86"/>
    </row>
    <row r="91" spans="3:27" ht="15" customHeight="1" x14ac:dyDescent="0.2">
      <c r="E91" s="148" t="s">
        <v>215</v>
      </c>
      <c r="H91" s="145">
        <f>1-(H85/H23)</f>
        <v>0.48380200624897218</v>
      </c>
      <c r="I91" s="145">
        <f t="shared" ref="I91:O91" si="100">1-(I85/I23)</f>
        <v>0.47933639460820621</v>
      </c>
      <c r="J91" s="145">
        <f t="shared" si="100"/>
        <v>0.50733496332518335</v>
      </c>
      <c r="K91" s="145">
        <f t="shared" si="100"/>
        <v>0.35945532860914264</v>
      </c>
      <c r="L91" s="145">
        <f t="shared" si="100"/>
        <v>0.65138458002987476</v>
      </c>
      <c r="M91" s="145">
        <f t="shared" si="100"/>
        <v>0.38978240302743616</v>
      </c>
      <c r="N91" s="145">
        <f t="shared" si="100"/>
        <v>0.32930009387712533</v>
      </c>
      <c r="O91" s="145">
        <f t="shared" si="100"/>
        <v>0.22588866532528495</v>
      </c>
      <c r="P91" s="149">
        <f>AVERAGE(H91:O91)</f>
        <v>0.42828555438140314</v>
      </c>
      <c r="Q91" s="86"/>
      <c r="R91" s="86"/>
    </row>
    <row r="92" spans="3:27" ht="15" customHeight="1" x14ac:dyDescent="0.2">
      <c r="E92" s="148" t="s">
        <v>216</v>
      </c>
      <c r="H92" s="145">
        <f>H17/H26</f>
        <v>20.240491651205939</v>
      </c>
      <c r="I92" s="145">
        <f t="shared" ref="I92:O92" si="101">I17/I26</f>
        <v>15.814624960769956</v>
      </c>
      <c r="J92" s="145">
        <f t="shared" si="101"/>
        <v>15.740756871854435</v>
      </c>
      <c r="K92" s="145">
        <f t="shared" si="101"/>
        <v>14.170577617328517</v>
      </c>
      <c r="L92" s="145">
        <f t="shared" si="101"/>
        <v>14.516872226971143</v>
      </c>
      <c r="M92" s="145">
        <f t="shared" si="101"/>
        <v>14.42109951188228</v>
      </c>
      <c r="N92" s="145">
        <f t="shared" si="101"/>
        <v>15.097366788446958</v>
      </c>
      <c r="O92" s="145">
        <f t="shared" si="101"/>
        <v>15.568251035143549</v>
      </c>
      <c r="P92" s="149">
        <f>AVERAGE(H92:O92)</f>
        <v>15.696255082950348</v>
      </c>
      <c r="Q92" s="86"/>
      <c r="R92" s="86"/>
    </row>
    <row r="93" spans="3:27" ht="15" customHeight="1" x14ac:dyDescent="0.2">
      <c r="E93" s="148" t="s">
        <v>217</v>
      </c>
      <c r="H93" s="145">
        <f>H26/H49</f>
        <v>0.90313121792857887</v>
      </c>
      <c r="I93" s="145">
        <f t="shared" ref="I93:O93" si="102">I26/I49</f>
        <v>1.0443399266919038</v>
      </c>
      <c r="J93" s="145">
        <f t="shared" si="102"/>
        <v>0.91863272028913978</v>
      </c>
      <c r="K93" s="145">
        <f t="shared" si="102"/>
        <v>0.69321797576060917</v>
      </c>
      <c r="L93" s="145">
        <f t="shared" si="102"/>
        <v>0.71076226048263658</v>
      </c>
      <c r="M93" s="145">
        <f t="shared" si="102"/>
        <v>0.45262784434517578</v>
      </c>
      <c r="N93" s="145">
        <f t="shared" si="102"/>
        <v>0.43750471221557058</v>
      </c>
      <c r="O93" s="145">
        <f t="shared" si="102"/>
        <v>0.28057384037544258</v>
      </c>
      <c r="P93" s="149">
        <f>AVERAGE(H93:O93)</f>
        <v>0.68009881226113211</v>
      </c>
      <c r="Q93" s="86"/>
      <c r="R93" s="86"/>
    </row>
    <row r="94" spans="3:27" ht="15" customHeight="1" x14ac:dyDescent="0.2">
      <c r="E94" s="148" t="s">
        <v>218</v>
      </c>
      <c r="H94" s="145">
        <f t="shared" ref="H94:O94" si="103">H49/H71</f>
        <v>6.4984207013864077E-3</v>
      </c>
      <c r="I94" s="145">
        <f t="shared" si="103"/>
        <v>6.9786136406444956E-3</v>
      </c>
      <c r="J94" s="145">
        <f t="shared" si="103"/>
        <v>6.5071219404329445E-3</v>
      </c>
      <c r="K94" s="145">
        <f t="shared" si="103"/>
        <v>8.3753343095889898E-3</v>
      </c>
      <c r="L94" s="145">
        <f t="shared" si="103"/>
        <v>1.1883457723377689E-2</v>
      </c>
      <c r="M94" s="145">
        <f t="shared" si="103"/>
        <v>5.6361320629663078E-3</v>
      </c>
      <c r="N94" s="145">
        <f t="shared" si="103"/>
        <v>1.19162590497004E-2</v>
      </c>
      <c r="O94" s="145">
        <f t="shared" si="103"/>
        <v>4.7437408721574169E-2</v>
      </c>
      <c r="P94" s="149">
        <f>AVERAGE(H94:O94)</f>
        <v>1.3154093518708925E-2</v>
      </c>
      <c r="Q94" s="86"/>
      <c r="R94" s="86"/>
    </row>
    <row r="95" spans="3:27" ht="15" customHeight="1" x14ac:dyDescent="0.2">
      <c r="E95" s="86"/>
      <c r="K95" s="151"/>
      <c r="L95" s="86"/>
      <c r="M95" s="86"/>
      <c r="N95" s="86"/>
      <c r="O95" s="86"/>
      <c r="P95" s="86"/>
      <c r="Q95" s="86"/>
      <c r="R95" s="86"/>
    </row>
    <row r="96" spans="3:27" ht="15" customHeight="1" x14ac:dyDescent="0.2">
      <c r="E96" s="86" t="s">
        <v>219</v>
      </c>
      <c r="F96" s="152"/>
      <c r="G96" s="152"/>
      <c r="H96" s="169">
        <f>H91*H92*H93*H94</f>
        <v>5.7470820923106541E-2</v>
      </c>
      <c r="I96" s="169">
        <f t="shared" ref="I96:O96" si="104">I91*I92*I93*I94</f>
        <v>5.5247208511246829E-2</v>
      </c>
      <c r="J96" s="169">
        <f t="shared" si="104"/>
        <v>4.7736575382715703E-2</v>
      </c>
      <c r="K96" s="169">
        <f t="shared" si="104"/>
        <v>2.9573617154043455E-2</v>
      </c>
      <c r="L96" s="169">
        <f t="shared" si="104"/>
        <v>7.9868901846060922E-2</v>
      </c>
      <c r="M96" s="169">
        <f t="shared" si="104"/>
        <v>1.4339797884024653E-2</v>
      </c>
      <c r="N96" s="169">
        <f t="shared" si="104"/>
        <v>2.5918850202463671E-2</v>
      </c>
      <c r="O96" s="169">
        <f t="shared" si="104"/>
        <v>4.680609389340952E-2</v>
      </c>
      <c r="P96" s="169">
        <f>AVERAGE(H96:O96)</f>
        <v>4.4620233224633911E-2</v>
      </c>
      <c r="Q96" s="86"/>
      <c r="R96" s="86"/>
    </row>
    <row r="97" spans="5:18" ht="15" customHeight="1" x14ac:dyDescent="0.2">
      <c r="E97" s="86"/>
      <c r="F97" s="86"/>
      <c r="G97" s="86"/>
      <c r="H97" s="154"/>
      <c r="I97" s="86"/>
      <c r="J97" s="86"/>
      <c r="K97" s="154"/>
      <c r="L97" s="86"/>
      <c r="M97" s="86"/>
      <c r="N97" s="86"/>
      <c r="O97" s="86"/>
      <c r="P97" s="86"/>
      <c r="Q97" s="86"/>
      <c r="R97" s="86"/>
    </row>
    <row r="98" spans="5:18" ht="15" customHeight="1" x14ac:dyDescent="0.2">
      <c r="E98" s="147" t="s">
        <v>220</v>
      </c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</row>
    <row r="99" spans="5:18" ht="15" customHeight="1" x14ac:dyDescent="0.2">
      <c r="E99" s="337"/>
      <c r="F99" s="337"/>
      <c r="G99" s="337"/>
      <c r="H99" s="336">
        <f t="shared" ref="H99:N99" si="105">EOMONTH(I99,-12)</f>
        <v>42978</v>
      </c>
      <c r="I99" s="336">
        <f t="shared" si="105"/>
        <v>43343</v>
      </c>
      <c r="J99" s="336">
        <f t="shared" si="105"/>
        <v>43708</v>
      </c>
      <c r="K99" s="336">
        <f t="shared" si="105"/>
        <v>44074</v>
      </c>
      <c r="L99" s="336">
        <f t="shared" si="105"/>
        <v>44439</v>
      </c>
      <c r="M99" s="336">
        <f t="shared" si="105"/>
        <v>44804</v>
      </c>
      <c r="N99" s="336">
        <f t="shared" si="105"/>
        <v>45169</v>
      </c>
      <c r="O99" s="339">
        <v>45526</v>
      </c>
      <c r="P99" s="161" t="s">
        <v>213</v>
      </c>
      <c r="Q99" s="86"/>
      <c r="R99" s="86"/>
    </row>
    <row r="100" spans="5:18" ht="15" customHeight="1" x14ac:dyDescent="0.2">
      <c r="E100" s="148" t="s">
        <v>179</v>
      </c>
      <c r="H100" s="75">
        <f>H23</f>
        <v>60.81</v>
      </c>
      <c r="I100" s="75">
        <f t="shared" ref="I100:O100" si="106">I23</f>
        <v>67.510000000000005</v>
      </c>
      <c r="J100" s="75">
        <f t="shared" si="106"/>
        <v>73.62</v>
      </c>
      <c r="K100" s="75">
        <f t="shared" si="106"/>
        <v>71.97</v>
      </c>
      <c r="L100" s="75">
        <f t="shared" si="106"/>
        <v>87.03</v>
      </c>
      <c r="M100" s="75">
        <f t="shared" si="106"/>
        <v>95.13</v>
      </c>
      <c r="N100" s="75">
        <f t="shared" si="106"/>
        <v>95.87</v>
      </c>
      <c r="O100" s="75">
        <f t="shared" si="106"/>
        <v>74.55</v>
      </c>
      <c r="P100" s="75">
        <f>AVERAGE(H100:O100)</f>
        <v>78.311249999999987</v>
      </c>
      <c r="Q100" s="86"/>
      <c r="R100" s="86"/>
    </row>
    <row r="101" spans="5:18" ht="15" customHeight="1" x14ac:dyDescent="0.2">
      <c r="E101" s="148" t="s">
        <v>221</v>
      </c>
      <c r="H101" s="75">
        <f>H71</f>
        <v>29388.679</v>
      </c>
      <c r="I101" s="75">
        <f t="shared" ref="I101:O101" si="107">I71</f>
        <v>26232.000999999997</v>
      </c>
      <c r="J101" s="75">
        <f t="shared" si="107"/>
        <v>34568.739000000001</v>
      </c>
      <c r="K101" s="75">
        <f t="shared" si="107"/>
        <v>40076.250999999997</v>
      </c>
      <c r="L101" s="75">
        <f t="shared" si="107"/>
        <v>29086.062999999998</v>
      </c>
      <c r="M101" s="75">
        <f t="shared" si="107"/>
        <v>110020.488</v>
      </c>
      <c r="N101" s="75">
        <f t="shared" si="107"/>
        <v>55652.532999999996</v>
      </c>
      <c r="O101" s="75">
        <f t="shared" si="107"/>
        <v>21956.174000000003</v>
      </c>
      <c r="P101" s="75">
        <f>AVERAGE(H101:O101)</f>
        <v>43372.615999999995</v>
      </c>
      <c r="Q101" s="86"/>
      <c r="R101" s="86"/>
    </row>
    <row r="102" spans="5:18" ht="15" customHeight="1" x14ac:dyDescent="0.2">
      <c r="E102" s="148" t="s">
        <v>210</v>
      </c>
      <c r="H102" s="146">
        <f>'&gt;&gt; Segments'!H90</f>
        <v>0.66666666666666674</v>
      </c>
      <c r="I102" s="146">
        <f>'&gt;&gt; Segments'!I90</f>
        <v>0.69230769230769229</v>
      </c>
      <c r="J102" s="146">
        <f>'&gt;&gt; Segments'!J90</f>
        <v>0.69230769230769229</v>
      </c>
      <c r="K102" s="146">
        <f>'&gt;&gt; Segments'!K90</f>
        <v>0.91666666666666674</v>
      </c>
      <c r="L102" s="146">
        <f>'&gt;&gt; Segments'!L90</f>
        <v>0.4</v>
      </c>
      <c r="M102" s="146">
        <f>'&gt;&gt; Segments'!M90</f>
        <v>0.75</v>
      </c>
      <c r="N102" s="146">
        <f>'&gt;&gt; Segments'!N90</f>
        <v>0.7857142857142857</v>
      </c>
      <c r="O102" s="146">
        <f>'&gt;&gt; Segments'!O90</f>
        <v>1</v>
      </c>
      <c r="P102" s="149">
        <f>AVERAGE(H102:O102)</f>
        <v>0.73795787545787539</v>
      </c>
      <c r="Q102" s="86"/>
      <c r="R102" s="86"/>
    </row>
    <row r="103" spans="5:18" ht="15" customHeight="1" x14ac:dyDescent="0.2">
      <c r="E103" s="86"/>
      <c r="K103" s="150"/>
      <c r="L103" s="150"/>
      <c r="M103" s="150"/>
      <c r="N103" s="150"/>
      <c r="O103" s="150"/>
      <c r="P103" s="171"/>
      <c r="Q103" s="86"/>
      <c r="R103" s="86"/>
    </row>
    <row r="104" spans="5:18" ht="15" customHeight="1" x14ac:dyDescent="0.2">
      <c r="E104" s="86" t="s">
        <v>222</v>
      </c>
      <c r="K104" s="152"/>
      <c r="L104" s="152"/>
      <c r="M104" s="152"/>
      <c r="N104" s="152"/>
      <c r="O104" s="170"/>
      <c r="P104" s="381">
        <f>(P100/P101)*(1-P102)</f>
        <v>4.7312908968989682E-4</v>
      </c>
      <c r="Q104" s="86"/>
      <c r="R104" s="86"/>
    </row>
    <row r="105" spans="5:18" ht="15" customHeight="1" x14ac:dyDescent="0.2">
      <c r="E105" s="86"/>
      <c r="F105" s="155"/>
      <c r="G105" s="155"/>
      <c r="H105" s="155"/>
      <c r="I105" s="155"/>
      <c r="J105" s="155"/>
      <c r="K105" s="153"/>
      <c r="L105" s="86"/>
      <c r="M105" s="86"/>
      <c r="N105" s="86"/>
      <c r="O105" s="86"/>
      <c r="P105" s="86"/>
      <c r="Q105" s="86"/>
      <c r="R105" s="86"/>
    </row>
    <row r="106" spans="5:18" ht="15" customHeight="1" x14ac:dyDescent="0.2">
      <c r="E106" s="147" t="s">
        <v>232</v>
      </c>
      <c r="F106" s="155"/>
      <c r="R106" s="86"/>
    </row>
    <row r="107" spans="5:18" ht="15" customHeight="1" x14ac:dyDescent="0.2">
      <c r="E107" s="337"/>
      <c r="F107" s="336">
        <f>EOMONTH(N4,12)</f>
        <v>45657</v>
      </c>
      <c r="G107" s="338">
        <f>EOMONTH(O4,12)</f>
        <v>46022</v>
      </c>
      <c r="H107" s="161">
        <f t="shared" ref="H107:P107" si="108">EOMONTH(G107,12)</f>
        <v>46387</v>
      </c>
      <c r="I107" s="161">
        <f t="shared" si="108"/>
        <v>46752</v>
      </c>
      <c r="J107" s="161">
        <f t="shared" si="108"/>
        <v>47118</v>
      </c>
      <c r="K107" s="161">
        <f t="shared" si="108"/>
        <v>47483</v>
      </c>
      <c r="L107" s="161">
        <f t="shared" si="108"/>
        <v>47848</v>
      </c>
      <c r="M107" s="161">
        <f t="shared" si="108"/>
        <v>48213</v>
      </c>
      <c r="N107" s="161">
        <f t="shared" si="108"/>
        <v>48579</v>
      </c>
      <c r="O107" s="161">
        <f t="shared" si="108"/>
        <v>48944</v>
      </c>
      <c r="P107" s="161">
        <f t="shared" si="108"/>
        <v>49309</v>
      </c>
      <c r="R107" s="86"/>
    </row>
    <row r="108" spans="5:18" ht="15" customHeight="1" x14ac:dyDescent="0.2">
      <c r="E108" s="148" t="s">
        <v>224</v>
      </c>
      <c r="F108" s="156">
        <f>'&gt;&gt; Segments'!O88</f>
        <v>0.1</v>
      </c>
      <c r="G108" s="156">
        <f>'&gt;&gt; Segments'!P94</f>
        <v>5.0468398674803696</v>
      </c>
      <c r="H108" s="156">
        <f>'&gt;&gt; Segments'!Q94</f>
        <v>5.04933986748037</v>
      </c>
      <c r="I108" s="156">
        <f>'&gt;&gt; Segments'!R94</f>
        <v>5.0518398674803695</v>
      </c>
      <c r="J108" s="156">
        <f>'&gt;&gt; Segments'!S94</f>
        <v>5.0543398674803699</v>
      </c>
      <c r="K108" s="156">
        <f>'&gt;&gt; Segments'!T94</f>
        <v>4.9443398674803696</v>
      </c>
      <c r="L108" s="156">
        <f>'&gt;&gt; Segments'!U94</f>
        <v>4.9443398674803696</v>
      </c>
      <c r="M108" s="156">
        <f>'&gt;&gt; Segments'!V94</f>
        <v>4.9443398674803696</v>
      </c>
      <c r="N108" s="156">
        <f ca="1">'&gt;&gt; Segments'!W94</f>
        <v>9.146468019036913</v>
      </c>
      <c r="O108" s="156">
        <f ca="1">'&gt;&gt; Segments'!X94</f>
        <v>9.2136959912497787</v>
      </c>
      <c r="P108" s="156">
        <f ca="1">'&gt;&gt; Segments'!Y94</f>
        <v>9.2825051223245083</v>
      </c>
      <c r="R108" s="86"/>
    </row>
    <row r="109" spans="5:18" ht="15" customHeight="1" x14ac:dyDescent="0.2">
      <c r="E109" s="86"/>
      <c r="F109" s="150"/>
      <c r="G109" s="151"/>
      <c r="H109" s="151"/>
      <c r="I109" s="151"/>
      <c r="J109" s="86"/>
      <c r="K109" s="86"/>
      <c r="L109" s="86"/>
      <c r="M109" s="86"/>
      <c r="N109" s="86"/>
      <c r="O109" s="86"/>
      <c r="P109" s="86"/>
      <c r="R109" s="86"/>
    </row>
    <row r="110" spans="5:18" ht="15" customHeight="1" x14ac:dyDescent="0.2">
      <c r="E110" s="86" t="s">
        <v>233</v>
      </c>
      <c r="F110" s="152"/>
      <c r="G110" s="152">
        <f>G108/F108-1%</f>
        <v>50.458398674803696</v>
      </c>
      <c r="H110" s="152">
        <f t="shared" ref="H110:P110" si="109">H108/G108-1</f>
        <v>4.9535948546908237E-4</v>
      </c>
      <c r="I110" s="152">
        <f t="shared" si="109"/>
        <v>4.9511422594084031E-4</v>
      </c>
      <c r="J110" s="152">
        <f t="shared" si="109"/>
        <v>4.9486920915553512E-4</v>
      </c>
      <c r="K110" s="152">
        <f t="shared" si="109"/>
        <v>-2.1763475129114362E-2</v>
      </c>
      <c r="L110" s="152">
        <f t="shared" si="109"/>
        <v>0</v>
      </c>
      <c r="M110" s="152">
        <f t="shared" si="109"/>
        <v>0</v>
      </c>
      <c r="N110" s="152">
        <f t="shared" ca="1" si="109"/>
        <v>0.84988659036053349</v>
      </c>
      <c r="O110" s="152">
        <f t="shared" ca="1" si="109"/>
        <v>7.3501565930085278E-3</v>
      </c>
      <c r="P110" s="152">
        <f t="shared" ca="1" si="109"/>
        <v>7.4681356037877844E-3</v>
      </c>
      <c r="R110" s="86"/>
    </row>
    <row r="111" spans="5:18" ht="15" customHeight="1" x14ac:dyDescent="0.2">
      <c r="E111" s="86"/>
      <c r="F111" s="86"/>
    </row>
    <row r="112" spans="5:18" ht="15" customHeight="1" x14ac:dyDescent="0.2">
      <c r="E112" s="172" t="s">
        <v>234</v>
      </c>
      <c r="F112" s="392" t="s">
        <v>223</v>
      </c>
      <c r="G112" s="392"/>
      <c r="H112" s="392"/>
      <c r="I112" s="392"/>
      <c r="J112" s="396"/>
      <c r="K112" s="397" t="s">
        <v>225</v>
      </c>
      <c r="L112" s="397"/>
      <c r="M112" s="397"/>
      <c r="N112" s="397"/>
      <c r="O112" s="398"/>
      <c r="P112" s="163" t="s">
        <v>82</v>
      </c>
      <c r="Q112" s="252" t="s">
        <v>226</v>
      </c>
    </row>
    <row r="113" spans="1:27" ht="15" customHeight="1" x14ac:dyDescent="0.2">
      <c r="E113" s="160"/>
      <c r="F113" s="162">
        <f>EOMONTH('&gt;&gt; Inputs'!$G$17,12)</f>
        <v>46022</v>
      </c>
      <c r="G113" s="165">
        <f t="shared" ref="G113:P113" si="110">EOMONTH(F113,12)</f>
        <v>46387</v>
      </c>
      <c r="H113" s="165">
        <f t="shared" si="110"/>
        <v>46752</v>
      </c>
      <c r="I113" s="165">
        <f t="shared" si="110"/>
        <v>47118</v>
      </c>
      <c r="J113" s="166">
        <f t="shared" si="110"/>
        <v>47483</v>
      </c>
      <c r="K113" s="167">
        <f t="shared" si="110"/>
        <v>47848</v>
      </c>
      <c r="L113" s="167">
        <f t="shared" si="110"/>
        <v>48213</v>
      </c>
      <c r="M113" s="167">
        <f t="shared" si="110"/>
        <v>48579</v>
      </c>
      <c r="N113" s="167">
        <f t="shared" si="110"/>
        <v>48944</v>
      </c>
      <c r="O113" s="168">
        <f t="shared" si="110"/>
        <v>49309</v>
      </c>
      <c r="P113" s="251">
        <f t="shared" si="110"/>
        <v>49674</v>
      </c>
      <c r="Q113" s="250"/>
    </row>
    <row r="114" spans="1:27" ht="15" customHeight="1" x14ac:dyDescent="0.2">
      <c r="E114" s="86" t="s">
        <v>227</v>
      </c>
      <c r="F114" s="164">
        <f t="shared" ref="F114:J114" si="111">$P$96</f>
        <v>4.4620233224633911E-2</v>
      </c>
      <c r="G114" s="137">
        <f t="shared" si="111"/>
        <v>4.4620233224633911E-2</v>
      </c>
      <c r="H114" s="137">
        <f t="shared" si="111"/>
        <v>4.4620233224633911E-2</v>
      </c>
      <c r="I114" s="137">
        <f t="shared" si="111"/>
        <v>4.4620233224633911E-2</v>
      </c>
      <c r="J114" s="137">
        <f t="shared" si="111"/>
        <v>4.4620233224633911E-2</v>
      </c>
      <c r="K114" s="137">
        <f>J114-(($J$114-$P$114)/6)</f>
        <v>4.0516861020528261E-2</v>
      </c>
      <c r="L114" s="137">
        <f t="shared" ref="L114:O114" si="112">K114-(($J$114-$P$114)/6)</f>
        <v>3.6413488816422611E-2</v>
      </c>
      <c r="M114" s="137">
        <f t="shared" si="112"/>
        <v>3.2310116612316961E-2</v>
      </c>
      <c r="N114" s="137">
        <f t="shared" si="112"/>
        <v>2.8206744408211311E-2</v>
      </c>
      <c r="O114" s="137">
        <f t="shared" si="112"/>
        <v>2.4103372204105661E-2</v>
      </c>
      <c r="P114" s="257">
        <f>'&gt;&gt; Dash'!F$43</f>
        <v>0.02</v>
      </c>
      <c r="Q114" s="253">
        <v>0.2</v>
      </c>
    </row>
    <row r="115" spans="1:27" ht="15" customHeight="1" x14ac:dyDescent="0.2">
      <c r="E115" s="86" t="s">
        <v>222</v>
      </c>
      <c r="F115" s="382">
        <f t="shared" ref="F115:J115" si="113">$P$104</f>
        <v>4.7312908968989682E-4</v>
      </c>
      <c r="G115" s="137">
        <f t="shared" si="113"/>
        <v>4.7312908968989682E-4</v>
      </c>
      <c r="H115" s="137">
        <f t="shared" si="113"/>
        <v>4.7312908968989682E-4</v>
      </c>
      <c r="I115" s="137">
        <f t="shared" si="113"/>
        <v>4.7312908968989682E-4</v>
      </c>
      <c r="J115" s="137">
        <f t="shared" si="113"/>
        <v>4.7312908968989682E-4</v>
      </c>
      <c r="K115" s="137">
        <f>J115-(($J$115-$P$115)/6)</f>
        <v>3.7276075747415807E-3</v>
      </c>
      <c r="L115" s="137">
        <f t="shared" ref="L115:O115" si="114">K115-(($J$115-$P$115)/6)</f>
        <v>6.9820860597932643E-3</v>
      </c>
      <c r="M115" s="137">
        <f t="shared" si="114"/>
        <v>1.0236564544844949E-2</v>
      </c>
      <c r="N115" s="137">
        <f t="shared" si="114"/>
        <v>1.3491043029896633E-2</v>
      </c>
      <c r="O115" s="137">
        <f t="shared" si="114"/>
        <v>1.6745521514948316E-2</v>
      </c>
      <c r="P115" s="258">
        <f>'&gt;&gt; Dash'!F$43</f>
        <v>0.02</v>
      </c>
      <c r="Q115" s="254">
        <v>0.4</v>
      </c>
    </row>
    <row r="116" spans="1:27" ht="15" customHeight="1" x14ac:dyDescent="0.2">
      <c r="E116" s="86" t="s">
        <v>266</v>
      </c>
      <c r="F116" s="157">
        <f t="shared" ref="F116:J116" si="115">G110</f>
        <v>50.458398674803696</v>
      </c>
      <c r="G116" s="157">
        <f t="shared" si="115"/>
        <v>4.9535948546908237E-4</v>
      </c>
      <c r="H116" s="157">
        <f t="shared" si="115"/>
        <v>4.9511422594084031E-4</v>
      </c>
      <c r="I116" s="157">
        <f t="shared" si="115"/>
        <v>4.9486920915553512E-4</v>
      </c>
      <c r="J116" s="157">
        <f t="shared" si="115"/>
        <v>-2.1763475129114362E-2</v>
      </c>
      <c r="K116" s="137">
        <f>J116-(($J$116-$P$116)/6)</f>
        <v>-1.4802895940928634E-2</v>
      </c>
      <c r="L116" s="137">
        <f t="shared" ref="L116:O116" si="116">K116-(($J$116-$P$116)/6)</f>
        <v>-7.8423167527429047E-3</v>
      </c>
      <c r="M116" s="137">
        <f t="shared" si="116"/>
        <v>-8.8173756455717667E-4</v>
      </c>
      <c r="N116" s="137">
        <f t="shared" si="116"/>
        <v>6.0788416236285513E-3</v>
      </c>
      <c r="O116" s="137">
        <f t="shared" si="116"/>
        <v>1.3039420811814278E-2</v>
      </c>
      <c r="P116" s="259">
        <f>'&gt;&gt; Dash'!F$43</f>
        <v>0.02</v>
      </c>
      <c r="Q116" s="255">
        <v>0.4</v>
      </c>
    </row>
    <row r="117" spans="1:27" ht="15" customHeight="1" x14ac:dyDescent="0.2">
      <c r="E117" s="230" t="s">
        <v>229</v>
      </c>
      <c r="F117" s="231">
        <f t="shared" ref="F117:P117" si="117">SUMPRODUCT(F114:F116,$Q$114:$Q$116)</f>
        <v>20.192472768202283</v>
      </c>
      <c r="G117" s="231">
        <f t="shared" si="117"/>
        <v>9.3114420749903747E-3</v>
      </c>
      <c r="H117" s="231">
        <f t="shared" si="117"/>
        <v>9.3113439711790778E-3</v>
      </c>
      <c r="I117" s="231">
        <f t="shared" si="117"/>
        <v>9.3112459644649551E-3</v>
      </c>
      <c r="J117" s="231">
        <f t="shared" si="117"/>
        <v>4.0790822915699569E-4</v>
      </c>
      <c r="K117" s="231">
        <f t="shared" si="117"/>
        <v>3.6732568576308307E-3</v>
      </c>
      <c r="L117" s="231">
        <f t="shared" si="117"/>
        <v>6.9386054861046665E-3</v>
      </c>
      <c r="M117" s="231">
        <f t="shared" si="117"/>
        <v>1.0203954114578502E-2</v>
      </c>
      <c r="N117" s="231">
        <f t="shared" si="117"/>
        <v>1.3469302743052337E-2</v>
      </c>
      <c r="O117" s="231">
        <f t="shared" si="117"/>
        <v>1.6734651371526171E-2</v>
      </c>
      <c r="P117" s="232">
        <f t="shared" si="117"/>
        <v>0.02</v>
      </c>
      <c r="Q117" s="85"/>
    </row>
    <row r="118" spans="1:27" ht="15" customHeight="1" x14ac:dyDescent="0.2">
      <c r="S118" s="158"/>
    </row>
    <row r="121" spans="1:27" ht="15" customHeight="1" x14ac:dyDescent="0.2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">
      <c r="B304" s="144" t="s">
        <v>212</v>
      </c>
    </row>
    <row r="522" spans="12:12" ht="15.75" customHeight="1" x14ac:dyDescent="0.2">
      <c r="L522" s="143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Props1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&gt;&gt; Model</vt:lpstr>
      <vt:lpstr>&gt;&gt; Inputs</vt:lpstr>
      <vt:lpstr>&gt;&gt; Dash</vt:lpstr>
      <vt:lpstr>&gt;&gt; DCF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2025-01-02T04:40:43Z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