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5"/>
  <workbookPr/>
  <mc:AlternateContent xmlns:mc="http://schemas.openxmlformats.org/markup-compatibility/2006">
    <mc:Choice Requires="x15">
      <x15ac:absPath xmlns:x15ac="http://schemas.microsoft.com/office/spreadsheetml/2010/11/ac" url="/Users/tomaszosuchowski/Downloads/CFA Level 1/Financial Models/"/>
    </mc:Choice>
  </mc:AlternateContent>
  <xr:revisionPtr revIDLastSave="0" documentId="8_{407A064C-FAB8-1D49-BB39-FC549E97EA03}" xr6:coauthVersionLast="47" xr6:coauthVersionMax="47" xr10:uidLastSave="{00000000-0000-0000-0000-000000000000}"/>
  <bookViews>
    <workbookView xWindow="0" yWindow="500" windowWidth="25600" windowHeight="14320" activeTab="5" xr2:uid="{10589A93-A7F0-4E7C-A50F-E9EDA97DEF02}"/>
  </bookViews>
  <sheets>
    <sheet name="&gt;&gt; Model" sheetId="1" r:id="rId1"/>
    <sheet name="&gt;&gt; Inputs" sheetId="2" r:id="rId2"/>
    <sheet name="&gt;&gt; Dash" sheetId="3" r:id="rId3"/>
    <sheet name="&gt;&gt; DCF" sheetId="4" r:id="rId4"/>
    <sheet name="&gt;&gt; DDM" sheetId="5" r:id="rId5"/>
    <sheet name="&gt;&gt; Summary" sheetId="7" r:id="rId6"/>
    <sheet name="&gt;&gt; Segments" sheetId="8" r:id="rId7"/>
    <sheet name="&gt;&gt; Fin Stmts" sheetId="9" r:id="rId8"/>
  </sheets>
  <definedNames>
    <definedName name="DiY">'&gt;&gt; Inputs'!$G$54</definedName>
    <definedName name="FY25_Growth">#REF!</definedName>
    <definedName name="Hist_Year">#REF!</definedName>
    <definedName name="kt">'&gt;&gt; Inputs'!$G$53</definedName>
    <definedName name="Millions">'&gt;&gt; Inputs'!$G$52</definedName>
    <definedName name="MiY">'&gt;&gt; Inputs'!$G$51</definedName>
    <definedName name="solver_adj" localSheetId="2" hidden="1">'&gt;&gt; Dash'!#REF!</definedName>
    <definedName name="solver_cvg" localSheetId="2" hidden="1">0.0001</definedName>
    <definedName name="solver_drv" localSheetId="2" hidden="1">1</definedName>
    <definedName name="solver_eng" localSheetId="2" hidden="1">1</definedName>
    <definedName name="solver_est" localSheetId="2" hidden="1">1</definedName>
    <definedName name="solver_itr" localSheetId="2" hidden="1">2147483647</definedName>
    <definedName name="solver_mip" localSheetId="2" hidden="1">2147483647</definedName>
    <definedName name="solver_mni" localSheetId="2" hidden="1">30</definedName>
    <definedName name="solver_mrt" localSheetId="2" hidden="1">0.075</definedName>
    <definedName name="solver_msl" localSheetId="2" hidden="1">2</definedName>
    <definedName name="solver_neg" localSheetId="2" hidden="1">2</definedName>
    <definedName name="solver_nod" localSheetId="2" hidden="1">2147483647</definedName>
    <definedName name="solver_num" localSheetId="2" hidden="1">0</definedName>
    <definedName name="solver_nwt" localSheetId="2" hidden="1">1</definedName>
    <definedName name="solver_opt" localSheetId="2" hidden="1">'&gt;&gt; Dash'!#REF!</definedName>
    <definedName name="solver_pre" localSheetId="2" hidden="1">0.000001</definedName>
    <definedName name="solver_rbv" localSheetId="2" hidden="1">1</definedName>
    <definedName name="solver_rlx" localSheetId="2" hidden="1">2</definedName>
    <definedName name="solver_rsd" localSheetId="2" hidden="1">0</definedName>
    <definedName name="solver_scl" localSheetId="2" hidden="1">1</definedName>
    <definedName name="solver_sho" localSheetId="2" hidden="1">2</definedName>
    <definedName name="solver_ssz" localSheetId="2" hidden="1">100</definedName>
    <definedName name="solver_tim" localSheetId="2" hidden="1">2147483647</definedName>
    <definedName name="solver_tol" localSheetId="2" hidden="1">0.01</definedName>
    <definedName name="solver_typ" localSheetId="2" hidden="1">3</definedName>
    <definedName name="solver_val" localSheetId="2" hidden="1">0</definedName>
    <definedName name="solver_ver" localSheetId="2" hidden="1">3</definedName>
  </definedNames>
  <calcPr calcId="191029" iterate="1"/>
  <fileRecoveryPr repair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G110" i="9" l="1"/>
  <c r="O31" i="9"/>
  <c r="N31" i="9"/>
  <c r="N32" i="9" s="1"/>
  <c r="N34" i="9"/>
  <c r="N36" i="9"/>
  <c r="M31" i="9"/>
  <c r="L31" i="9"/>
  <c r="K31" i="9"/>
  <c r="H31" i="9"/>
  <c r="J31" i="9"/>
  <c r="I31" i="9"/>
  <c r="G57" i="8"/>
  <c r="H58" i="8"/>
  <c r="H62" i="8"/>
  <c r="Q57" i="8"/>
  <c r="P57" i="8"/>
  <c r="O57" i="8"/>
  <c r="N57" i="8"/>
  <c r="M57" i="8"/>
  <c r="L57" i="8"/>
  <c r="K57" i="8"/>
  <c r="J57" i="8"/>
  <c r="I57" i="8"/>
  <c r="H57" i="8"/>
  <c r="P169" i="8"/>
  <c r="I91" i="9"/>
  <c r="J91" i="9"/>
  <c r="K91" i="9"/>
  <c r="L91" i="9"/>
  <c r="M91" i="9"/>
  <c r="N91" i="9"/>
  <c r="O91" i="9"/>
  <c r="H91" i="9"/>
  <c r="I89" i="8"/>
  <c r="J89" i="8"/>
  <c r="K89" i="8"/>
  <c r="L89" i="8"/>
  <c r="M89" i="8"/>
  <c r="N89" i="8"/>
  <c r="O89" i="8"/>
  <c r="H89" i="8"/>
  <c r="J30" i="9"/>
  <c r="K30" i="9"/>
  <c r="L30" i="9"/>
  <c r="M30" i="9"/>
  <c r="N30" i="9"/>
  <c r="O30" i="9"/>
  <c r="K43" i="3"/>
  <c r="F48" i="3"/>
  <c r="F47" i="3"/>
  <c r="F42" i="3"/>
  <c r="F54" i="3"/>
  <c r="F50" i="3"/>
  <c r="F51" i="3" s="1"/>
  <c r="I44" i="8"/>
  <c r="J44" i="8"/>
  <c r="K44" i="8"/>
  <c r="L44" i="8"/>
  <c r="M44" i="8"/>
  <c r="N44" i="8"/>
  <c r="O44" i="8"/>
  <c r="H44" i="8"/>
  <c r="I43" i="8"/>
  <c r="J43" i="8"/>
  <c r="K43" i="8"/>
  <c r="L43" i="8"/>
  <c r="M43" i="8"/>
  <c r="N43" i="8"/>
  <c r="O43" i="8"/>
  <c r="P43" i="8"/>
  <c r="Q43" i="8"/>
  <c r="R43" i="8"/>
  <c r="S43" i="8"/>
  <c r="T43" i="8"/>
  <c r="U43" i="8"/>
  <c r="V43" i="8"/>
  <c r="W43" i="8"/>
  <c r="X43" i="8"/>
  <c r="Y43" i="8"/>
  <c r="H43" i="8"/>
  <c r="I22" i="8"/>
  <c r="J22" i="8"/>
  <c r="K22" i="8"/>
  <c r="L22" i="8"/>
  <c r="M22" i="8"/>
  <c r="N22" i="8"/>
  <c r="O22" i="8"/>
  <c r="H22" i="8"/>
  <c r="H122" i="8"/>
  <c r="I122" i="8"/>
  <c r="J122" i="8"/>
  <c r="K122" i="8"/>
  <c r="L122" i="8"/>
  <c r="M122" i="8"/>
  <c r="N122" i="8"/>
  <c r="O122" i="8"/>
  <c r="O169" i="8"/>
  <c r="N169" i="8"/>
  <c r="M169" i="8"/>
  <c r="L169" i="8"/>
  <c r="K169" i="8"/>
  <c r="J169" i="8"/>
  <c r="I169" i="8"/>
  <c r="H169" i="8"/>
  <c r="O168" i="8"/>
  <c r="N168" i="8"/>
  <c r="M168" i="8"/>
  <c r="L168" i="8"/>
  <c r="K168" i="8"/>
  <c r="J168" i="8"/>
  <c r="I168" i="8"/>
  <c r="O164" i="8"/>
  <c r="N164" i="8"/>
  <c r="M164" i="8"/>
  <c r="L164" i="8"/>
  <c r="K164" i="8"/>
  <c r="J164" i="8"/>
  <c r="I164" i="8"/>
  <c r="P162" i="8"/>
  <c r="P168" i="8" s="1"/>
  <c r="E28" i="3"/>
  <c r="N37" i="9" l="1"/>
  <c r="F49" i="3"/>
  <c r="P22" i="8"/>
  <c r="Q162" i="8"/>
  <c r="Q22" i="8" s="1"/>
  <c r="I100" i="9"/>
  <c r="J100" i="9"/>
  <c r="K100" i="9"/>
  <c r="L100" i="9"/>
  <c r="M100" i="9"/>
  <c r="N100" i="9"/>
  <c r="O100" i="9"/>
  <c r="H100" i="9"/>
  <c r="F108" i="9"/>
  <c r="P58" i="8"/>
  <c r="O58" i="8"/>
  <c r="N58" i="8"/>
  <c r="M58" i="8"/>
  <c r="L58" i="8"/>
  <c r="K58" i="8"/>
  <c r="J58" i="8"/>
  <c r="I58" i="8"/>
  <c r="H75" i="8"/>
  <c r="I75" i="8"/>
  <c r="J75" i="8"/>
  <c r="K75" i="8"/>
  <c r="L75" i="8"/>
  <c r="M75" i="8"/>
  <c r="N75" i="8"/>
  <c r="O75" i="8"/>
  <c r="P82" i="9"/>
  <c r="O110" i="8"/>
  <c r="N110" i="8"/>
  <c r="M110" i="8"/>
  <c r="L110" i="8"/>
  <c r="O158" i="8"/>
  <c r="N158" i="8"/>
  <c r="M158" i="8"/>
  <c r="L158" i="8"/>
  <c r="K158" i="8"/>
  <c r="J158" i="8"/>
  <c r="I158" i="8"/>
  <c r="H158" i="8"/>
  <c r="O134" i="8"/>
  <c r="N134" i="8"/>
  <c r="M134" i="8"/>
  <c r="L134" i="8"/>
  <c r="K134" i="8"/>
  <c r="J134" i="8"/>
  <c r="I134" i="8"/>
  <c r="H134" i="8"/>
  <c r="I146" i="8"/>
  <c r="J146" i="8"/>
  <c r="K146" i="8"/>
  <c r="L146" i="8"/>
  <c r="M146" i="8"/>
  <c r="N146" i="8"/>
  <c r="O146" i="8"/>
  <c r="H146" i="8"/>
  <c r="J88" i="8"/>
  <c r="K88" i="8"/>
  <c r="L88" i="8"/>
  <c r="M88" i="8"/>
  <c r="N88" i="8"/>
  <c r="O88" i="8"/>
  <c r="I88" i="8"/>
  <c r="E104" i="4"/>
  <c r="E103" i="4"/>
  <c r="E84" i="4"/>
  <c r="E83" i="4"/>
  <c r="I59" i="9"/>
  <c r="J59" i="9"/>
  <c r="K59" i="9"/>
  <c r="L59" i="9"/>
  <c r="M59" i="9"/>
  <c r="N59" i="9"/>
  <c r="O59" i="9"/>
  <c r="M76" i="8" l="1"/>
  <c r="I76" i="8"/>
  <c r="P134" i="8"/>
  <c r="Q134" i="8" s="1"/>
  <c r="R134" i="8" s="1"/>
  <c r="Q167" i="8"/>
  <c r="Q168" i="8" s="1"/>
  <c r="R162" i="8"/>
  <c r="R22" i="8" s="1"/>
  <c r="L76" i="8"/>
  <c r="O76" i="8"/>
  <c r="K76" i="8"/>
  <c r="P122" i="8"/>
  <c r="Q122" i="8" s="1"/>
  <c r="R122" i="8" s="1"/>
  <c r="S122" i="8" s="1"/>
  <c r="N76" i="8"/>
  <c r="J76" i="8"/>
  <c r="O105" i="8"/>
  <c r="N105" i="8"/>
  <c r="M105" i="8"/>
  <c r="O117" i="8"/>
  <c r="N117" i="8"/>
  <c r="M117" i="8"/>
  <c r="L117" i="8"/>
  <c r="K117" i="8"/>
  <c r="J117" i="8"/>
  <c r="I117" i="8"/>
  <c r="O129" i="8"/>
  <c r="N129" i="8"/>
  <c r="M129" i="8"/>
  <c r="L129" i="8"/>
  <c r="K129" i="8"/>
  <c r="J129" i="8"/>
  <c r="I129" i="8"/>
  <c r="O141" i="8"/>
  <c r="N141" i="8"/>
  <c r="M141" i="8"/>
  <c r="L141" i="8"/>
  <c r="K141" i="8"/>
  <c r="J141" i="8"/>
  <c r="I141" i="8"/>
  <c r="O153" i="8"/>
  <c r="J153" i="8"/>
  <c r="K153" i="8"/>
  <c r="L153" i="8"/>
  <c r="M153" i="8"/>
  <c r="N153" i="8"/>
  <c r="I153" i="8"/>
  <c r="O157" i="8"/>
  <c r="N157" i="8"/>
  <c r="M157" i="8"/>
  <c r="L157" i="8"/>
  <c r="K157" i="8"/>
  <c r="J157" i="8"/>
  <c r="I157" i="8"/>
  <c r="O145" i="8"/>
  <c r="N145" i="8"/>
  <c r="M145" i="8"/>
  <c r="L145" i="8"/>
  <c r="K145" i="8"/>
  <c r="J145" i="8"/>
  <c r="I145" i="8"/>
  <c r="O133" i="8"/>
  <c r="N133" i="8"/>
  <c r="M133" i="8"/>
  <c r="L133" i="8"/>
  <c r="K133" i="8"/>
  <c r="J133" i="8"/>
  <c r="I133" i="8"/>
  <c r="O121" i="8"/>
  <c r="N121" i="8"/>
  <c r="M121" i="8"/>
  <c r="L121" i="8"/>
  <c r="K121" i="8"/>
  <c r="J121" i="8"/>
  <c r="J109" i="8"/>
  <c r="K109" i="8"/>
  <c r="L109" i="8"/>
  <c r="M109" i="8"/>
  <c r="N109" i="8"/>
  <c r="O109" i="8"/>
  <c r="I109" i="8"/>
  <c r="H110" i="8"/>
  <c r="I110" i="8"/>
  <c r="J110" i="8"/>
  <c r="K110" i="8"/>
  <c r="I84" i="9"/>
  <c r="J84" i="9"/>
  <c r="K84" i="9"/>
  <c r="L84" i="9"/>
  <c r="M84" i="9"/>
  <c r="N84" i="9"/>
  <c r="O84" i="9"/>
  <c r="H84" i="9"/>
  <c r="I82" i="9"/>
  <c r="J82" i="9"/>
  <c r="K82" i="9"/>
  <c r="L82" i="9"/>
  <c r="M82" i="9"/>
  <c r="N82" i="9"/>
  <c r="O82" i="9"/>
  <c r="H82" i="9"/>
  <c r="P19" i="9"/>
  <c r="Q129" i="8" l="1"/>
  <c r="S134" i="8"/>
  <c r="T134" i="8" s="1"/>
  <c r="U134" i="8" s="1"/>
  <c r="R167" i="8"/>
  <c r="R168" i="8" s="1"/>
  <c r="S162" i="8"/>
  <c r="S22" i="8" s="1"/>
  <c r="T122" i="8"/>
  <c r="I105" i="8"/>
  <c r="J105" i="8"/>
  <c r="K105" i="8"/>
  <c r="L105" i="8"/>
  <c r="P117" i="8"/>
  <c r="Q117" i="8" s="1"/>
  <c r="R117" i="8" s="1"/>
  <c r="V134" i="8" l="1"/>
  <c r="W134" i="8" s="1"/>
  <c r="X134" i="8" s="1"/>
  <c r="Y134" i="8" s="1"/>
  <c r="S167" i="8"/>
  <c r="S168" i="8" s="1"/>
  <c r="T162" i="8"/>
  <c r="T22" i="8" s="1"/>
  <c r="U122" i="8"/>
  <c r="V122" i="8" s="1"/>
  <c r="W122" i="8" s="1"/>
  <c r="X122" i="8" s="1"/>
  <c r="S117" i="8"/>
  <c r="T117" i="8" s="1"/>
  <c r="T167" i="8" l="1"/>
  <c r="T168" i="8" s="1"/>
  <c r="U162" i="8"/>
  <c r="U22" i="8" s="1"/>
  <c r="Y122" i="8"/>
  <c r="U117" i="8"/>
  <c r="V162" i="8" l="1"/>
  <c r="V22" i="8" s="1"/>
  <c r="U167" i="8"/>
  <c r="U168" i="8" s="1"/>
  <c r="V117" i="8"/>
  <c r="W117" i="8" s="1"/>
  <c r="V167" i="8" l="1"/>
  <c r="V168" i="8" s="1"/>
  <c r="W162" i="8"/>
  <c r="W22" i="8" s="1"/>
  <c r="X117" i="8"/>
  <c r="Y117" i="8" s="1"/>
  <c r="W167" i="8" l="1"/>
  <c r="W168" i="8" s="1"/>
  <c r="X162" i="8"/>
  <c r="X22" i="8" s="1"/>
  <c r="P5" i="8"/>
  <c r="Q5" i="8" s="1"/>
  <c r="R5" i="8" s="1"/>
  <c r="S5" i="8" s="1"/>
  <c r="T5" i="8" s="1"/>
  <c r="U5" i="8" s="1"/>
  <c r="V5" i="8" s="1"/>
  <c r="W5" i="8" s="1"/>
  <c r="X5" i="8" s="1"/>
  <c r="M5" i="8"/>
  <c r="L5" i="8" s="1"/>
  <c r="K5" i="8" s="1"/>
  <c r="J5" i="8" s="1"/>
  <c r="I5" i="8" s="1"/>
  <c r="H5" i="8" s="1"/>
  <c r="H78" i="4"/>
  <c r="H9" i="7"/>
  <c r="G4" i="5"/>
  <c r="G11" i="5"/>
  <c r="G12" i="5"/>
  <c r="H5" i="5"/>
  <c r="I5" i="5" s="1"/>
  <c r="I11" i="5" s="1"/>
  <c r="H42" i="5"/>
  <c r="X167" i="8" l="1"/>
  <c r="X168" i="8" s="1"/>
  <c r="Y162" i="8"/>
  <c r="X13" i="8"/>
  <c r="Y5" i="8"/>
  <c r="Y13" i="8" s="1"/>
  <c r="H4" i="5"/>
  <c r="I4" i="5" s="1"/>
  <c r="J4" i="5" s="1"/>
  <c r="K4" i="5" s="1"/>
  <c r="L4" i="5" s="1"/>
  <c r="M4" i="5" s="1"/>
  <c r="N4" i="5" s="1"/>
  <c r="O4" i="5" s="1"/>
  <c r="P4" i="5" s="1"/>
  <c r="Q4" i="5" s="1"/>
  <c r="H12" i="5"/>
  <c r="I12" i="5"/>
  <c r="H11" i="5"/>
  <c r="J5" i="5"/>
  <c r="Y167" i="8" l="1"/>
  <c r="Y168" i="8" s="1"/>
  <c r="Y22" i="8"/>
  <c r="J12" i="5"/>
  <c r="J11" i="5"/>
  <c r="K5" i="5"/>
  <c r="K11" i="5" l="1"/>
  <c r="K12" i="5"/>
  <c r="L5" i="5"/>
  <c r="L11" i="5" l="1"/>
  <c r="L12" i="5"/>
  <c r="M5" i="5"/>
  <c r="M11" i="5" l="1"/>
  <c r="M12" i="5"/>
  <c r="N5" i="5"/>
  <c r="N12" i="5" l="1"/>
  <c r="N11" i="5"/>
  <c r="O5" i="5"/>
  <c r="O12" i="5" l="1"/>
  <c r="O11" i="5"/>
  <c r="P5" i="5"/>
  <c r="P12" i="5" l="1"/>
  <c r="P11" i="5"/>
  <c r="Q5" i="5"/>
  <c r="Q12" i="5" l="1"/>
  <c r="Q11" i="5"/>
  <c r="H18" i="3" l="1"/>
  <c r="P66" i="9"/>
  <c r="Q66" i="9" s="1"/>
  <c r="R66" i="9" s="1"/>
  <c r="S66" i="9" s="1"/>
  <c r="T66" i="9" s="1"/>
  <c r="U66" i="9" s="1"/>
  <c r="V66" i="9" s="1"/>
  <c r="W66" i="9" s="1"/>
  <c r="X66" i="9" s="1"/>
  <c r="Y66" i="9" s="1"/>
  <c r="P62" i="9"/>
  <c r="Q62" i="9" s="1"/>
  <c r="R62" i="9" s="1"/>
  <c r="S62" i="9" s="1"/>
  <c r="T62" i="9" s="1"/>
  <c r="U62" i="9" s="1"/>
  <c r="V62" i="9" s="1"/>
  <c r="W62" i="9" s="1"/>
  <c r="X62" i="9" s="1"/>
  <c r="Y62" i="9" s="1"/>
  <c r="P55" i="9"/>
  <c r="Q55" i="9" s="1"/>
  <c r="R55" i="9" s="1"/>
  <c r="S55" i="9" s="1"/>
  <c r="T55" i="9" s="1"/>
  <c r="U55" i="9" s="1"/>
  <c r="V55" i="9" s="1"/>
  <c r="W55" i="9" s="1"/>
  <c r="X55" i="9" s="1"/>
  <c r="Y55" i="9" s="1"/>
  <c r="P53" i="9"/>
  <c r="Q53" i="9" s="1"/>
  <c r="R53" i="9" s="1"/>
  <c r="S53" i="9" s="1"/>
  <c r="T53" i="9" s="1"/>
  <c r="U53" i="9" s="1"/>
  <c r="V53" i="9" s="1"/>
  <c r="W53" i="9" s="1"/>
  <c r="X53" i="9" s="1"/>
  <c r="Y53" i="9" s="1"/>
  <c r="I48" i="9"/>
  <c r="J48" i="9"/>
  <c r="K48" i="9"/>
  <c r="L48" i="9"/>
  <c r="M48" i="9"/>
  <c r="N48" i="9"/>
  <c r="H48" i="9"/>
  <c r="P51" i="9"/>
  <c r="Q51" i="9" s="1"/>
  <c r="G32" i="2"/>
  <c r="G33" i="2"/>
  <c r="G34" i="2"/>
  <c r="P81" i="9"/>
  <c r="Q81" i="9" l="1"/>
  <c r="R82" i="9" s="1"/>
  <c r="Q82" i="9"/>
  <c r="G35" i="2"/>
  <c r="R51" i="9"/>
  <c r="R81" i="9" l="1"/>
  <c r="S51" i="9"/>
  <c r="S81" i="9" l="1"/>
  <c r="T82" i="9" s="1"/>
  <c r="S82" i="9"/>
  <c r="T51" i="9"/>
  <c r="T81" i="9" l="1"/>
  <c r="U51" i="9"/>
  <c r="U81" i="9" l="1"/>
  <c r="V82" i="9" s="1"/>
  <c r="U82" i="9"/>
  <c r="V51" i="9"/>
  <c r="V81" i="9" l="1"/>
  <c r="W51" i="9"/>
  <c r="W81" i="9" l="1"/>
  <c r="X82" i="9" s="1"/>
  <c r="W82" i="9"/>
  <c r="X51" i="9"/>
  <c r="X81" i="9" l="1"/>
  <c r="Y81" i="9" s="1"/>
  <c r="Y51" i="9"/>
  <c r="Y82" i="9" l="1"/>
  <c r="I41" i="9"/>
  <c r="J41" i="9"/>
  <c r="K41" i="9"/>
  <c r="L41" i="9"/>
  <c r="M41" i="9"/>
  <c r="N41" i="9"/>
  <c r="I43" i="9"/>
  <c r="J43" i="9"/>
  <c r="K43" i="9"/>
  <c r="L43" i="9"/>
  <c r="M43" i="9"/>
  <c r="N43" i="9"/>
  <c r="O43" i="9"/>
  <c r="P44" i="9"/>
  <c r="Q44" i="9" s="1"/>
  <c r="R44" i="9" s="1"/>
  <c r="I45" i="9"/>
  <c r="J45" i="9"/>
  <c r="K45" i="9"/>
  <c r="L45" i="9"/>
  <c r="M45" i="9"/>
  <c r="N45" i="9"/>
  <c r="O45" i="9"/>
  <c r="I47" i="9"/>
  <c r="J47" i="9"/>
  <c r="K47" i="9"/>
  <c r="L47" i="9"/>
  <c r="M47" i="9"/>
  <c r="N47" i="9"/>
  <c r="I37" i="9"/>
  <c r="I49" i="9" s="1"/>
  <c r="I93" i="9" s="1"/>
  <c r="J37" i="9"/>
  <c r="J49" i="9" s="1"/>
  <c r="J93" i="9" s="1"/>
  <c r="K37" i="9"/>
  <c r="K49" i="9" s="1"/>
  <c r="K93" i="9" s="1"/>
  <c r="L37" i="9"/>
  <c r="L49" i="9" s="1"/>
  <c r="L93" i="9" s="1"/>
  <c r="M37" i="9"/>
  <c r="M49" i="9" s="1"/>
  <c r="M93" i="9" s="1"/>
  <c r="N49" i="9"/>
  <c r="N93" i="9" s="1"/>
  <c r="H37" i="9"/>
  <c r="H49" i="9" s="1"/>
  <c r="H93" i="9" s="1"/>
  <c r="I32" i="9"/>
  <c r="J32" i="9"/>
  <c r="K32" i="9"/>
  <c r="L32" i="9"/>
  <c r="M32" i="9"/>
  <c r="O32" i="9"/>
  <c r="I34" i="9"/>
  <c r="J34" i="9"/>
  <c r="K34" i="9"/>
  <c r="L34" i="9"/>
  <c r="M34" i="9"/>
  <c r="O34" i="9"/>
  <c r="I36" i="9"/>
  <c r="J36" i="9"/>
  <c r="K36" i="9"/>
  <c r="L36" i="9"/>
  <c r="M36" i="9"/>
  <c r="F113" i="9"/>
  <c r="G113" i="9" s="1"/>
  <c r="H113" i="9" s="1"/>
  <c r="I113" i="9" s="1"/>
  <c r="J113" i="9" s="1"/>
  <c r="K113" i="9" s="1"/>
  <c r="L113" i="9" s="1"/>
  <c r="M113" i="9" s="1"/>
  <c r="N113" i="9" s="1"/>
  <c r="O113" i="9" s="1"/>
  <c r="P113" i="9" s="1"/>
  <c r="P115" i="9"/>
  <c r="P116" i="9"/>
  <c r="P114" i="9"/>
  <c r="N99" i="9"/>
  <c r="M99" i="9" s="1"/>
  <c r="L99" i="9" s="1"/>
  <c r="K99" i="9" s="1"/>
  <c r="J99" i="9" s="1"/>
  <c r="I99" i="9" s="1"/>
  <c r="H99" i="9" s="1"/>
  <c r="N90" i="9"/>
  <c r="M90" i="9" s="1"/>
  <c r="L90" i="9" s="1"/>
  <c r="K90" i="9" s="1"/>
  <c r="J90" i="9" s="1"/>
  <c r="I90" i="9" s="1"/>
  <c r="H90" i="9" s="1"/>
  <c r="P45" i="9" l="1"/>
  <c r="R45" i="9"/>
  <c r="S44" i="9"/>
  <c r="Q45" i="9"/>
  <c r="P117" i="9"/>
  <c r="S45" i="9" l="1"/>
  <c r="T44" i="9"/>
  <c r="T45" i="9" l="1"/>
  <c r="U44" i="9"/>
  <c r="V44" i="9" l="1"/>
  <c r="U45" i="9"/>
  <c r="W44" i="9" l="1"/>
  <c r="V45" i="9"/>
  <c r="X44" i="9" l="1"/>
  <c r="W45" i="9"/>
  <c r="Y44" i="9" l="1"/>
  <c r="Y45" i="9" s="1"/>
  <c r="X45" i="9"/>
  <c r="G18" i="5" l="1"/>
  <c r="T27" i="4"/>
  <c r="U27" i="4"/>
  <c r="V27" i="4"/>
  <c r="W27" i="4"/>
  <c r="X27" i="4"/>
  <c r="Y27" i="4"/>
  <c r="O74" i="9"/>
  <c r="N74" i="9"/>
  <c r="M74" i="9"/>
  <c r="L74" i="9"/>
  <c r="K74" i="9"/>
  <c r="J74" i="9"/>
  <c r="I74" i="9"/>
  <c r="H74" i="9"/>
  <c r="O73" i="9"/>
  <c r="N73" i="9"/>
  <c r="M73" i="9"/>
  <c r="L73" i="9"/>
  <c r="K73" i="9"/>
  <c r="J73" i="9"/>
  <c r="I73" i="9"/>
  <c r="H73" i="9"/>
  <c r="O68" i="9"/>
  <c r="O69" i="9" s="1"/>
  <c r="N68" i="9"/>
  <c r="M68" i="9"/>
  <c r="L68" i="9"/>
  <c r="K68" i="9"/>
  <c r="J68" i="9"/>
  <c r="I68" i="9"/>
  <c r="H68" i="9"/>
  <c r="O67" i="9"/>
  <c r="N67" i="9"/>
  <c r="M67" i="9"/>
  <c r="L67" i="9"/>
  <c r="K67" i="9"/>
  <c r="J67" i="9"/>
  <c r="I67" i="9"/>
  <c r="O65" i="9"/>
  <c r="N65" i="9"/>
  <c r="U65" i="9" s="1"/>
  <c r="M65" i="9"/>
  <c r="L65" i="9"/>
  <c r="K65" i="9"/>
  <c r="J65" i="9"/>
  <c r="Q65" i="9" s="1"/>
  <c r="I65" i="9"/>
  <c r="O63" i="9"/>
  <c r="N63" i="9"/>
  <c r="M63" i="9"/>
  <c r="L63" i="9"/>
  <c r="K63" i="9"/>
  <c r="J63" i="9"/>
  <c r="I63" i="9"/>
  <c r="H59" i="9"/>
  <c r="N58" i="9"/>
  <c r="M58" i="9"/>
  <c r="L58" i="9"/>
  <c r="K58" i="9"/>
  <c r="J58" i="9"/>
  <c r="I58" i="9"/>
  <c r="O56" i="9"/>
  <c r="N56" i="9"/>
  <c r="M56" i="9"/>
  <c r="L56" i="9"/>
  <c r="K56" i="9"/>
  <c r="J56" i="9"/>
  <c r="I56" i="9"/>
  <c r="O54" i="9"/>
  <c r="N54" i="9"/>
  <c r="M54" i="9"/>
  <c r="L54" i="9"/>
  <c r="K54" i="9"/>
  <c r="J54" i="9"/>
  <c r="I54" i="9"/>
  <c r="O52" i="9"/>
  <c r="N52" i="9"/>
  <c r="M52" i="9"/>
  <c r="L52" i="9"/>
  <c r="K52" i="9"/>
  <c r="J52" i="9"/>
  <c r="I52" i="9"/>
  <c r="I30" i="9"/>
  <c r="Q19" i="9"/>
  <c r="R19" i="9" s="1"/>
  <c r="S19" i="9" s="1"/>
  <c r="T19" i="9" s="1"/>
  <c r="U19" i="9" s="1"/>
  <c r="V19" i="9" s="1"/>
  <c r="W19" i="9" s="1"/>
  <c r="X19" i="9" s="1"/>
  <c r="Y19" i="9" s="1"/>
  <c r="H8" i="9"/>
  <c r="I7" i="9" s="1"/>
  <c r="I8" i="9" s="1"/>
  <c r="J7" i="9" s="1"/>
  <c r="J8" i="9" s="1"/>
  <c r="K7" i="9" s="1"/>
  <c r="K8" i="9" s="1"/>
  <c r="L6" i="9"/>
  <c r="M6" i="9" s="1"/>
  <c r="N6" i="9" s="1"/>
  <c r="O6" i="9" s="1"/>
  <c r="P6" i="9" s="1"/>
  <c r="Q6" i="9" s="1"/>
  <c r="R6" i="9" s="1"/>
  <c r="S6" i="9" s="1"/>
  <c r="T6" i="9" s="1"/>
  <c r="U6" i="9" s="1"/>
  <c r="V6" i="9" s="1"/>
  <c r="W6" i="9" s="1"/>
  <c r="X6" i="9" s="1"/>
  <c r="Y6" i="9" s="1"/>
  <c r="O5" i="9"/>
  <c r="L5" i="9"/>
  <c r="O4" i="9"/>
  <c r="G107" i="9" s="1"/>
  <c r="P151" i="8"/>
  <c r="P21" i="8" s="1"/>
  <c r="P115" i="8"/>
  <c r="P18" i="8" s="1"/>
  <c r="O42" i="8"/>
  <c r="N42" i="8"/>
  <c r="M42" i="8"/>
  <c r="L42" i="8"/>
  <c r="K42" i="8"/>
  <c r="J42" i="8"/>
  <c r="I42" i="8"/>
  <c r="H42" i="8"/>
  <c r="O41" i="8"/>
  <c r="N41" i="8"/>
  <c r="M41" i="8"/>
  <c r="L41" i="8"/>
  <c r="K41" i="8"/>
  <c r="J41" i="8"/>
  <c r="I41" i="8"/>
  <c r="H41" i="8"/>
  <c r="O40" i="8"/>
  <c r="N40" i="8"/>
  <c r="M40" i="8"/>
  <c r="L40" i="8"/>
  <c r="K40" i="8"/>
  <c r="J40" i="8"/>
  <c r="I40" i="8"/>
  <c r="H40" i="8"/>
  <c r="O39" i="8"/>
  <c r="N39" i="8"/>
  <c r="M39" i="8"/>
  <c r="L39" i="8"/>
  <c r="K39" i="8"/>
  <c r="J39" i="8"/>
  <c r="I39" i="8"/>
  <c r="H39" i="8"/>
  <c r="O38" i="8"/>
  <c r="N38" i="8"/>
  <c r="M38" i="8"/>
  <c r="L38" i="8"/>
  <c r="K38" i="8"/>
  <c r="J38" i="8"/>
  <c r="I38" i="8"/>
  <c r="H38" i="8"/>
  <c r="O21" i="8"/>
  <c r="N21" i="8"/>
  <c r="M21" i="8"/>
  <c r="L21" i="8"/>
  <c r="K21" i="8"/>
  <c r="K33" i="8" s="1"/>
  <c r="J21" i="8"/>
  <c r="I21" i="8"/>
  <c r="H21" i="8"/>
  <c r="O20" i="8"/>
  <c r="N20" i="8"/>
  <c r="M20" i="8"/>
  <c r="L20" i="8"/>
  <c r="K20" i="8"/>
  <c r="J20" i="8"/>
  <c r="I20" i="8"/>
  <c r="H20" i="8"/>
  <c r="O19" i="8"/>
  <c r="N19" i="8"/>
  <c r="M19" i="8"/>
  <c r="L19" i="8"/>
  <c r="K19" i="8"/>
  <c r="J19" i="8"/>
  <c r="I19" i="8"/>
  <c r="H19" i="8"/>
  <c r="O18" i="8"/>
  <c r="N18" i="8"/>
  <c r="M18" i="8"/>
  <c r="L18" i="8"/>
  <c r="K18" i="8"/>
  <c r="J18" i="8"/>
  <c r="I18" i="8"/>
  <c r="H18" i="8"/>
  <c r="O17" i="8"/>
  <c r="O23" i="8" s="1"/>
  <c r="N17" i="8"/>
  <c r="N23" i="8" s="1"/>
  <c r="M17" i="8"/>
  <c r="M23" i="8" s="1"/>
  <c r="L17" i="8"/>
  <c r="L23" i="8" s="1"/>
  <c r="K17" i="8"/>
  <c r="K23" i="8" s="1"/>
  <c r="J17" i="8"/>
  <c r="J23" i="8" s="1"/>
  <c r="I17" i="8"/>
  <c r="I23" i="8" s="1"/>
  <c r="H17" i="8"/>
  <c r="H23" i="8" s="1"/>
  <c r="N13" i="8"/>
  <c r="M13" i="8"/>
  <c r="N12" i="8"/>
  <c r="M12" i="8"/>
  <c r="H8" i="8"/>
  <c r="I7" i="8" s="1"/>
  <c r="I8" i="8" s="1"/>
  <c r="L6" i="8"/>
  <c r="M6" i="8" s="1"/>
  <c r="N6" i="8" s="1"/>
  <c r="O6" i="8" s="1"/>
  <c r="P6" i="8" s="1"/>
  <c r="Q6" i="8" s="1"/>
  <c r="R6" i="8" s="1"/>
  <c r="S6" i="8" s="1"/>
  <c r="T6" i="8" s="1"/>
  <c r="U6" i="8" s="1"/>
  <c r="V6" i="8" s="1"/>
  <c r="W6" i="8" s="1"/>
  <c r="X6" i="8" s="1"/>
  <c r="Y6" i="8" s="1"/>
  <c r="O13" i="8"/>
  <c r="O4" i="8"/>
  <c r="P4" i="8" s="1"/>
  <c r="G12" i="7"/>
  <c r="H44" i="5"/>
  <c r="H24" i="5"/>
  <c r="I24" i="5" s="1"/>
  <c r="J24" i="5" s="1"/>
  <c r="K24" i="5" s="1"/>
  <c r="L24" i="5" s="1"/>
  <c r="M24" i="5" s="1"/>
  <c r="N24" i="5" s="1"/>
  <c r="O24" i="5" s="1"/>
  <c r="P24" i="5" s="1"/>
  <c r="Q24" i="5" s="1"/>
  <c r="G17" i="5"/>
  <c r="H98" i="4"/>
  <c r="H95" i="4"/>
  <c r="H75" i="4"/>
  <c r="O45" i="4"/>
  <c r="N45" i="4"/>
  <c r="M45" i="4"/>
  <c r="L45" i="4"/>
  <c r="K45" i="4"/>
  <c r="J45" i="4"/>
  <c r="I45" i="4"/>
  <c r="H45" i="4"/>
  <c r="O44" i="4"/>
  <c r="N44" i="4"/>
  <c r="M44" i="4"/>
  <c r="L44" i="4"/>
  <c r="K44" i="4"/>
  <c r="J44" i="4"/>
  <c r="I44" i="4"/>
  <c r="H44" i="4"/>
  <c r="O43" i="4"/>
  <c r="N43" i="4"/>
  <c r="M43" i="4"/>
  <c r="L43" i="4"/>
  <c r="K43" i="4"/>
  <c r="J43" i="4"/>
  <c r="I43" i="4"/>
  <c r="H43" i="4"/>
  <c r="P28" i="4"/>
  <c r="O28" i="4"/>
  <c r="N28" i="4"/>
  <c r="M28" i="4"/>
  <c r="L28" i="4"/>
  <c r="K28" i="4"/>
  <c r="J28" i="4"/>
  <c r="I28" i="4"/>
  <c r="S27" i="4"/>
  <c r="R27" i="4"/>
  <c r="Q27" i="4"/>
  <c r="O27" i="4"/>
  <c r="N27" i="4"/>
  <c r="M27" i="4"/>
  <c r="L27" i="4"/>
  <c r="K27" i="4"/>
  <c r="O12" i="4"/>
  <c r="N12" i="4"/>
  <c r="O11" i="4"/>
  <c r="N11" i="4"/>
  <c r="H8" i="4"/>
  <c r="I7" i="4" s="1"/>
  <c r="L6" i="4"/>
  <c r="L7" i="2" s="1"/>
  <c r="P5" i="4"/>
  <c r="P11" i="4" s="1"/>
  <c r="M5" i="4"/>
  <c r="M11" i="4" s="1"/>
  <c r="O4" i="4"/>
  <c r="N4" i="4" s="1"/>
  <c r="H81" i="4"/>
  <c r="K45" i="3"/>
  <c r="H16" i="3"/>
  <c r="AI143" i="2"/>
  <c r="AI144" i="2" s="1"/>
  <c r="AG143" i="2" s="1"/>
  <c r="AG144" i="2" s="1"/>
  <c r="AG147" i="2" s="1"/>
  <c r="AG142" i="2"/>
  <c r="AF142" i="2"/>
  <c r="G53" i="2"/>
  <c r="G42" i="2"/>
  <c r="G39" i="2"/>
  <c r="G26" i="2"/>
  <c r="G25" i="2"/>
  <c r="G16" i="2"/>
  <c r="H101" i="4" s="1"/>
  <c r="F10" i="2"/>
  <c r="E10" i="2"/>
  <c r="F9" i="2"/>
  <c r="E9" i="2"/>
  <c r="F8" i="2"/>
  <c r="E8" i="2"/>
  <c r="K7" i="2"/>
  <c r="J7" i="2"/>
  <c r="I7" i="2"/>
  <c r="H7" i="2"/>
  <c r="F7" i="2"/>
  <c r="E7" i="2"/>
  <c r="O6" i="2"/>
  <c r="N6" i="2"/>
  <c r="N45" i="2" s="1"/>
  <c r="F6" i="2"/>
  <c r="E6" i="2"/>
  <c r="O5" i="2"/>
  <c r="P5" i="2" s="1"/>
  <c r="Q5" i="2" s="1"/>
  <c r="R5" i="2" s="1"/>
  <c r="S5" i="2" s="1"/>
  <c r="T5" i="2" s="1"/>
  <c r="U5" i="2" s="1"/>
  <c r="V5" i="2" s="1"/>
  <c r="W5" i="2" s="1"/>
  <c r="X5" i="2" s="1"/>
  <c r="Y5" i="2" s="1"/>
  <c r="F5" i="2"/>
  <c r="S65" i="9" l="1"/>
  <c r="T65" i="9"/>
  <c r="K30" i="8"/>
  <c r="N29" i="8"/>
  <c r="J31" i="8"/>
  <c r="P33" i="8"/>
  <c r="M50" i="8"/>
  <c r="N50" i="8"/>
  <c r="K50" i="8"/>
  <c r="O31" i="8"/>
  <c r="O48" i="8"/>
  <c r="O51" i="8"/>
  <c r="H49" i="8"/>
  <c r="H52" i="8"/>
  <c r="I49" i="8"/>
  <c r="I52" i="8"/>
  <c r="J49" i="8"/>
  <c r="J52" i="8"/>
  <c r="L50" i="8"/>
  <c r="L31" i="8"/>
  <c r="N32" i="8"/>
  <c r="N30" i="8"/>
  <c r="I29" i="8"/>
  <c r="M33" i="8"/>
  <c r="J29" i="8"/>
  <c r="K29" i="8"/>
  <c r="K32" i="8"/>
  <c r="O33" i="8"/>
  <c r="K49" i="8"/>
  <c r="O50" i="8"/>
  <c r="K52" i="8"/>
  <c r="L29" i="8"/>
  <c r="L32" i="8"/>
  <c r="H48" i="8"/>
  <c r="L49" i="8"/>
  <c r="H51" i="8"/>
  <c r="L52" i="8"/>
  <c r="N33" i="8"/>
  <c r="O30" i="8"/>
  <c r="M29" i="8"/>
  <c r="I31" i="8"/>
  <c r="M32" i="8"/>
  <c r="I48" i="8"/>
  <c r="M49" i="8"/>
  <c r="I51" i="8"/>
  <c r="M52" i="8"/>
  <c r="L30" i="8"/>
  <c r="J48" i="8"/>
  <c r="N49" i="8"/>
  <c r="J51" i="8"/>
  <c r="N52" i="8"/>
  <c r="O29" i="8"/>
  <c r="K31" i="8"/>
  <c r="O32" i="8"/>
  <c r="K48" i="8"/>
  <c r="O49" i="8"/>
  <c r="K51" i="8"/>
  <c r="O52" i="8"/>
  <c r="L33" i="8"/>
  <c r="M30" i="8"/>
  <c r="L48" i="8"/>
  <c r="H50" i="8"/>
  <c r="L51" i="8"/>
  <c r="I30" i="8"/>
  <c r="M31" i="8"/>
  <c r="I33" i="8"/>
  <c r="M48" i="8"/>
  <c r="I50" i="8"/>
  <c r="M51" i="8"/>
  <c r="P30" i="8"/>
  <c r="I32" i="8"/>
  <c r="J32" i="8"/>
  <c r="J30" i="8"/>
  <c r="N31" i="8"/>
  <c r="J33" i="8"/>
  <c r="N48" i="8"/>
  <c r="J50" i="8"/>
  <c r="N51" i="8"/>
  <c r="P65" i="9"/>
  <c r="X65" i="9" s="1"/>
  <c r="R65" i="9"/>
  <c r="V65" i="9"/>
  <c r="M6" i="2"/>
  <c r="M45" i="2" s="1"/>
  <c r="P13" i="8"/>
  <c r="O12" i="8"/>
  <c r="H19" i="3"/>
  <c r="G20" i="2"/>
  <c r="P6" i="2"/>
  <c r="H7" i="8"/>
  <c r="N4" i="8"/>
  <c r="M4" i="8" s="1"/>
  <c r="L4" i="8" s="1"/>
  <c r="K4" i="8" s="1"/>
  <c r="O58" i="9"/>
  <c r="P57" i="9"/>
  <c r="G15" i="2"/>
  <c r="H8" i="3" a="1"/>
  <c r="H8" i="3" s="1"/>
  <c r="P4" i="4"/>
  <c r="I8" i="4"/>
  <c r="I9" i="2" s="1"/>
  <c r="I8" i="2"/>
  <c r="H9" i="2"/>
  <c r="P12" i="4"/>
  <c r="M6" i="4"/>
  <c r="N6" i="4" s="1"/>
  <c r="O6" i="4" s="1"/>
  <c r="G6" i="5" s="1"/>
  <c r="H6" i="5" s="1"/>
  <c r="I6" i="5" s="1"/>
  <c r="J6" i="5" s="1"/>
  <c r="K6" i="5" s="1"/>
  <c r="L6" i="5" s="1"/>
  <c r="M6" i="5" s="1"/>
  <c r="N6" i="5" s="1"/>
  <c r="O6" i="5" s="1"/>
  <c r="P6" i="5" s="1"/>
  <c r="Q6" i="5" s="1"/>
  <c r="Q5" i="4"/>
  <c r="R5" i="4" s="1"/>
  <c r="P27" i="4"/>
  <c r="H107" i="9"/>
  <c r="J27" i="4"/>
  <c r="N69" i="9"/>
  <c r="N71" i="9" s="1"/>
  <c r="N101" i="9" s="1"/>
  <c r="M75" i="9"/>
  <c r="M26" i="4" s="1"/>
  <c r="O75" i="9"/>
  <c r="O26" i="4" s="1"/>
  <c r="J69" i="9"/>
  <c r="J71" i="9" s="1"/>
  <c r="J101" i="9" s="1"/>
  <c r="M69" i="9"/>
  <c r="M71" i="9" s="1"/>
  <c r="M101" i="9" s="1"/>
  <c r="M46" i="4"/>
  <c r="M51" i="4" s="1"/>
  <c r="I75" i="9"/>
  <c r="I26" i="4" s="1"/>
  <c r="I27" i="4"/>
  <c r="H7" i="9"/>
  <c r="O46" i="4"/>
  <c r="O51" i="4" s="1"/>
  <c r="L69" i="9"/>
  <c r="L71" i="9" s="1"/>
  <c r="L101" i="9" s="1"/>
  <c r="K75" i="9"/>
  <c r="K26" i="4" s="1"/>
  <c r="K5" i="9"/>
  <c r="N46" i="4"/>
  <c r="N51" i="4" s="1"/>
  <c r="J46" i="4"/>
  <c r="J51" i="4" s="1"/>
  <c r="I46" i="4"/>
  <c r="I51" i="4" s="1"/>
  <c r="H69" i="9"/>
  <c r="H71" i="9" s="1"/>
  <c r="H101" i="9" s="1"/>
  <c r="N75" i="9"/>
  <c r="N26" i="4" s="1"/>
  <c r="H46" i="4"/>
  <c r="H47" i="4" s="1"/>
  <c r="L46" i="4"/>
  <c r="L51" i="4" s="1"/>
  <c r="L75" i="9"/>
  <c r="L26" i="4" s="1"/>
  <c r="P5" i="9"/>
  <c r="K46" i="4"/>
  <c r="K51" i="4" s="1"/>
  <c r="H72" i="4"/>
  <c r="I69" i="9"/>
  <c r="I71" i="9" s="1"/>
  <c r="I101" i="9" s="1"/>
  <c r="K69" i="9"/>
  <c r="K71" i="9" s="1"/>
  <c r="K101" i="9" s="1"/>
  <c r="J75" i="9"/>
  <c r="J26" i="4" s="1"/>
  <c r="J7" i="8"/>
  <c r="J8" i="8" s="1"/>
  <c r="M4" i="4"/>
  <c r="N5" i="2"/>
  <c r="L12" i="8"/>
  <c r="L13" i="8"/>
  <c r="P12" i="8"/>
  <c r="M12" i="4"/>
  <c r="Q4" i="8"/>
  <c r="L5" i="4"/>
  <c r="H7" i="4"/>
  <c r="H8" i="2" s="1"/>
  <c r="H13" i="9"/>
  <c r="H70" i="8"/>
  <c r="L7" i="9"/>
  <c r="L8" i="9" s="1"/>
  <c r="Q115" i="8"/>
  <c r="P4" i="9"/>
  <c r="N4" i="9"/>
  <c r="F107" i="9" s="1"/>
  <c r="Q151" i="8"/>
  <c r="Y65" i="9" l="1"/>
  <c r="P64" i="9"/>
  <c r="Q64" i="9" s="1"/>
  <c r="W65" i="9"/>
  <c r="J70" i="8"/>
  <c r="J45" i="8"/>
  <c r="M70" i="8"/>
  <c r="M45" i="8"/>
  <c r="I70" i="8"/>
  <c r="I71" i="8" s="1"/>
  <c r="I45" i="8"/>
  <c r="L70" i="8"/>
  <c r="L45" i="8"/>
  <c r="O70" i="8"/>
  <c r="O45" i="8"/>
  <c r="K70" i="8"/>
  <c r="K45" i="8"/>
  <c r="N70" i="8"/>
  <c r="N45" i="8"/>
  <c r="N34" i="8"/>
  <c r="M62" i="8"/>
  <c r="M66" i="8" s="1"/>
  <c r="M53" i="8"/>
  <c r="N62" i="8"/>
  <c r="N53" i="8"/>
  <c r="H66" i="8"/>
  <c r="H53" i="8"/>
  <c r="K62" i="8"/>
  <c r="K53" i="8"/>
  <c r="I53" i="8"/>
  <c r="O13" i="9"/>
  <c r="O34" i="8"/>
  <c r="O62" i="8"/>
  <c r="O53" i="8"/>
  <c r="L62" i="8"/>
  <c r="L53" i="8"/>
  <c r="J13" i="9"/>
  <c r="J34" i="8"/>
  <c r="M13" i="9"/>
  <c r="M34" i="8"/>
  <c r="I13" i="9"/>
  <c r="I34" i="8"/>
  <c r="L13" i="9"/>
  <c r="L34" i="8"/>
  <c r="K13" i="9"/>
  <c r="K34" i="8"/>
  <c r="J53" i="8"/>
  <c r="P51" i="4"/>
  <c r="Q51" i="4" s="1"/>
  <c r="R51" i="4" s="1"/>
  <c r="S51" i="4" s="1"/>
  <c r="T51" i="4" s="1"/>
  <c r="U51" i="4" s="1"/>
  <c r="V51" i="4" s="1"/>
  <c r="W51" i="4" s="1"/>
  <c r="X51" i="4" s="1"/>
  <c r="Y51" i="4" s="1"/>
  <c r="J62" i="8"/>
  <c r="I62" i="8"/>
  <c r="M7" i="2"/>
  <c r="M25" i="8"/>
  <c r="M26" i="8" s="1"/>
  <c r="L16" i="9"/>
  <c r="L20" i="4"/>
  <c r="L25" i="4" s="1"/>
  <c r="J16" i="9"/>
  <c r="J20" i="4"/>
  <c r="J25" i="4" s="1"/>
  <c r="O16" i="9"/>
  <c r="O20" i="4"/>
  <c r="O25" i="4" s="1"/>
  <c r="N16" i="9"/>
  <c r="N20" i="4"/>
  <c r="N25" i="4" s="1"/>
  <c r="K16" i="9"/>
  <c r="K20" i="4"/>
  <c r="K25" i="4" s="1"/>
  <c r="N13" i="9"/>
  <c r="M16" i="9"/>
  <c r="M20" i="4"/>
  <c r="M25" i="4" s="1"/>
  <c r="H16" i="9"/>
  <c r="P120" i="8"/>
  <c r="I16" i="9"/>
  <c r="I20" i="4"/>
  <c r="I25" i="4" s="1"/>
  <c r="H9" i="4"/>
  <c r="H10" i="2" s="1"/>
  <c r="N7" i="2"/>
  <c r="H9" i="8"/>
  <c r="I9" i="8"/>
  <c r="I9" i="9"/>
  <c r="K9" i="9"/>
  <c r="H9" i="9"/>
  <c r="J9" i="9"/>
  <c r="Q4" i="4"/>
  <c r="R4" i="4" s="1"/>
  <c r="S4" i="4" s="1"/>
  <c r="T4" i="4" s="1"/>
  <c r="Q57" i="9"/>
  <c r="P59" i="9"/>
  <c r="Q11" i="4"/>
  <c r="I9" i="4"/>
  <c r="I10" i="2" s="1"/>
  <c r="J7" i="4"/>
  <c r="J8" i="4" s="1"/>
  <c r="Q12" i="4"/>
  <c r="Q6" i="2"/>
  <c r="N94" i="9"/>
  <c r="J94" i="9"/>
  <c r="M94" i="9"/>
  <c r="K94" i="9"/>
  <c r="I107" i="9"/>
  <c r="L94" i="9"/>
  <c r="I94" i="9"/>
  <c r="H94" i="9"/>
  <c r="M47" i="4"/>
  <c r="N47" i="4"/>
  <c r="O47" i="4"/>
  <c r="I47" i="4"/>
  <c r="J5" i="9"/>
  <c r="L47" i="4"/>
  <c r="J47" i="4"/>
  <c r="K47" i="4"/>
  <c r="Q5" i="9"/>
  <c r="P157" i="8"/>
  <c r="J25" i="8"/>
  <c r="J26" i="8" s="1"/>
  <c r="M5" i="2"/>
  <c r="K25" i="8"/>
  <c r="K26" i="8" s="1"/>
  <c r="R4" i="8"/>
  <c r="Q13" i="8"/>
  <c r="Q12" i="8"/>
  <c r="O7" i="2"/>
  <c r="P6" i="4"/>
  <c r="R115" i="8"/>
  <c r="Q18" i="8"/>
  <c r="Q30" i="8" s="1"/>
  <c r="L11" i="4"/>
  <c r="L6" i="2"/>
  <c r="L45" i="2" s="1"/>
  <c r="K5" i="4"/>
  <c r="L12" i="4"/>
  <c r="J4" i="8"/>
  <c r="K12" i="8"/>
  <c r="K13" i="8"/>
  <c r="R151" i="8"/>
  <c r="Q156" i="8"/>
  <c r="Q21" i="8"/>
  <c r="Q33" i="8" s="1"/>
  <c r="P133" i="8"/>
  <c r="N25" i="8"/>
  <c r="N26" i="8" s="1"/>
  <c r="L4" i="4"/>
  <c r="M7" i="9"/>
  <c r="M8" i="9" s="1"/>
  <c r="L9" i="9"/>
  <c r="I25" i="8"/>
  <c r="I26" i="8" s="1"/>
  <c r="O25" i="8"/>
  <c r="O26" i="8" s="1"/>
  <c r="M4" i="9"/>
  <c r="K7" i="8"/>
  <c r="K8" i="8" s="1"/>
  <c r="J9" i="8"/>
  <c r="Q4" i="9"/>
  <c r="L25" i="8"/>
  <c r="L26" i="8" s="1"/>
  <c r="R12" i="4"/>
  <c r="R11" i="4"/>
  <c r="S5" i="4"/>
  <c r="R6" i="2"/>
  <c r="P43" i="4" l="1"/>
  <c r="M71" i="8"/>
  <c r="K71" i="8"/>
  <c r="I63" i="8"/>
  <c r="L63" i="8"/>
  <c r="O63" i="8"/>
  <c r="O71" i="8"/>
  <c r="L71" i="8"/>
  <c r="N71" i="8"/>
  <c r="M63" i="8"/>
  <c r="K63" i="8"/>
  <c r="J66" i="8"/>
  <c r="J63" i="8"/>
  <c r="N66" i="8"/>
  <c r="N63" i="8"/>
  <c r="J71" i="8"/>
  <c r="Q157" i="8"/>
  <c r="O66" i="8"/>
  <c r="P39" i="8"/>
  <c r="P49" i="8" s="1"/>
  <c r="P121" i="8"/>
  <c r="Q120" i="8"/>
  <c r="Q121" i="8" s="1"/>
  <c r="P16" i="9"/>
  <c r="P20" i="4"/>
  <c r="P25" i="4" s="1"/>
  <c r="J8" i="2"/>
  <c r="R57" i="9"/>
  <c r="Q59" i="9"/>
  <c r="J107" i="9"/>
  <c r="I5" i="9"/>
  <c r="R5" i="9"/>
  <c r="S12" i="4"/>
  <c r="S11" i="4"/>
  <c r="S6" i="2"/>
  <c r="T5" i="4"/>
  <c r="I4" i="8"/>
  <c r="L4" i="9"/>
  <c r="Q42" i="8"/>
  <c r="Q52" i="8" s="1"/>
  <c r="O16" i="4"/>
  <c r="N7" i="9"/>
  <c r="N8" i="9" s="1"/>
  <c r="M9" i="9"/>
  <c r="R156" i="8"/>
  <c r="R157" i="8" s="1"/>
  <c r="R21" i="8"/>
  <c r="R33" i="8" s="1"/>
  <c r="S151" i="8"/>
  <c r="K16" i="4"/>
  <c r="I66" i="8"/>
  <c r="J12" i="8"/>
  <c r="J13" i="8"/>
  <c r="K11" i="4"/>
  <c r="J5" i="4"/>
  <c r="K6" i="2"/>
  <c r="K45" i="2" s="1"/>
  <c r="K12" i="4"/>
  <c r="P7" i="2"/>
  <c r="Q6" i="4"/>
  <c r="M16" i="4"/>
  <c r="P42" i="8"/>
  <c r="P52" i="8" s="1"/>
  <c r="R4" i="9"/>
  <c r="R13" i="8"/>
  <c r="R12" i="8"/>
  <c r="N16" i="4"/>
  <c r="L66" i="8"/>
  <c r="L16" i="4"/>
  <c r="K9" i="8"/>
  <c r="L7" i="8"/>
  <c r="L8" i="8" s="1"/>
  <c r="R120" i="8"/>
  <c r="S115" i="8"/>
  <c r="R18" i="8"/>
  <c r="R30" i="8" s="1"/>
  <c r="J9" i="2"/>
  <c r="K7" i="4"/>
  <c r="J9" i="4"/>
  <c r="J10" i="2" s="1"/>
  <c r="K4" i="4"/>
  <c r="S4" i="8"/>
  <c r="K66" i="8"/>
  <c r="Q43" i="4"/>
  <c r="J16" i="4"/>
  <c r="U4" i="4"/>
  <c r="P40" i="8"/>
  <c r="I16" i="4"/>
  <c r="L5" i="2"/>
  <c r="R121" i="8" l="1"/>
  <c r="Q39" i="8"/>
  <c r="Q49" i="8" s="1"/>
  <c r="S57" i="9"/>
  <c r="R59" i="9"/>
  <c r="K107" i="9"/>
  <c r="H5" i="9"/>
  <c r="R64" i="9"/>
  <c r="S5" i="9"/>
  <c r="T115" i="8"/>
  <c r="S120" i="8"/>
  <c r="S121" i="8" s="1"/>
  <c r="S18" i="8"/>
  <c r="S30" i="8" s="1"/>
  <c r="N9" i="9"/>
  <c r="O7" i="9"/>
  <c r="O8" i="9" s="1"/>
  <c r="Q7" i="2"/>
  <c r="R6" i="4"/>
  <c r="I12" i="8"/>
  <c r="I13" i="8"/>
  <c r="R39" i="8"/>
  <c r="R49" i="8" s="1"/>
  <c r="S13" i="8"/>
  <c r="S12" i="8"/>
  <c r="S156" i="8"/>
  <c r="S157" i="8" s="1"/>
  <c r="T151" i="8"/>
  <c r="S21" i="8"/>
  <c r="S33" i="8" s="1"/>
  <c r="T12" i="4"/>
  <c r="T11" i="4"/>
  <c r="U5" i="4"/>
  <c r="T6" i="2"/>
  <c r="K5" i="2"/>
  <c r="R42" i="8"/>
  <c r="R52" i="8" s="1"/>
  <c r="J4" i="4"/>
  <c r="V4" i="4"/>
  <c r="T4" i="8"/>
  <c r="L9" i="8"/>
  <c r="M7" i="8"/>
  <c r="M8" i="8" s="1"/>
  <c r="K8" i="2"/>
  <c r="K8" i="4"/>
  <c r="S4" i="9"/>
  <c r="J11" i="4"/>
  <c r="I5" i="4"/>
  <c r="J6" i="2"/>
  <c r="J45" i="2" s="1"/>
  <c r="J12" i="4"/>
  <c r="K4" i="9"/>
  <c r="H4" i="8"/>
  <c r="H102" i="9" l="1"/>
  <c r="T57" i="9"/>
  <c r="S59" i="9"/>
  <c r="L107" i="9"/>
  <c r="R43" i="4"/>
  <c r="S64" i="9"/>
  <c r="T5" i="9"/>
  <c r="T13" i="8"/>
  <c r="T12" i="8"/>
  <c r="U11" i="4"/>
  <c r="V5" i="4"/>
  <c r="U6" i="2"/>
  <c r="U12" i="4"/>
  <c r="U4" i="8"/>
  <c r="T4" i="9"/>
  <c r="T156" i="8"/>
  <c r="T157" i="8" s="1"/>
  <c r="U151" i="8"/>
  <c r="T21" i="8"/>
  <c r="T33" i="8" s="1"/>
  <c r="P7" i="9"/>
  <c r="P8" i="9" s="1"/>
  <c r="O9" i="9"/>
  <c r="J4" i="9"/>
  <c r="M9" i="8"/>
  <c r="N7" i="8"/>
  <c r="N8" i="8" s="1"/>
  <c r="W4" i="4"/>
  <c r="I11" i="4"/>
  <c r="H5" i="4"/>
  <c r="I6" i="2"/>
  <c r="I45" i="2" s="1"/>
  <c r="I12" i="4"/>
  <c r="J5" i="2"/>
  <c r="K9" i="2"/>
  <c r="L7" i="4"/>
  <c r="K9" i="4"/>
  <c r="K10" i="2" s="1"/>
  <c r="S42" i="8"/>
  <c r="S52" i="8" s="1"/>
  <c r="H12" i="8"/>
  <c r="H13" i="8"/>
  <c r="I4" i="4"/>
  <c r="R7" i="2"/>
  <c r="S6" i="4"/>
  <c r="S39" i="8"/>
  <c r="S49" i="8" s="1"/>
  <c r="U115" i="8"/>
  <c r="T120" i="8"/>
  <c r="T121" i="8" s="1"/>
  <c r="T18" i="8"/>
  <c r="T30" i="8" s="1"/>
  <c r="P100" i="9" l="1"/>
  <c r="U57" i="9"/>
  <c r="T59" i="9"/>
  <c r="M107" i="9"/>
  <c r="N107" i="9" s="1"/>
  <c r="O107" i="9" s="1"/>
  <c r="P107" i="9" s="1"/>
  <c r="S43" i="4"/>
  <c r="T64" i="9"/>
  <c r="T43" i="4" s="1"/>
  <c r="U5" i="9"/>
  <c r="I5" i="2"/>
  <c r="U13" i="8"/>
  <c r="U12" i="8"/>
  <c r="V4" i="8"/>
  <c r="V11" i="4"/>
  <c r="W5" i="4"/>
  <c r="V6" i="2"/>
  <c r="V12" i="4"/>
  <c r="U156" i="8"/>
  <c r="U157" i="8" s="1"/>
  <c r="V151" i="8"/>
  <c r="U21" i="8"/>
  <c r="U33" i="8" s="1"/>
  <c r="H4" i="4"/>
  <c r="H12" i="4"/>
  <c r="H11" i="4"/>
  <c r="H6" i="2"/>
  <c r="H45" i="2" s="1"/>
  <c r="T42" i="8"/>
  <c r="T52" i="8" s="1"/>
  <c r="T39" i="8"/>
  <c r="T49" i="8" s="1"/>
  <c r="L8" i="2"/>
  <c r="L8" i="4"/>
  <c r="I4" i="9"/>
  <c r="U120" i="8"/>
  <c r="U121" i="8" s="1"/>
  <c r="V115" i="8"/>
  <c r="U18" i="8"/>
  <c r="U30" i="8" s="1"/>
  <c r="S7" i="2"/>
  <c r="T6" i="4"/>
  <c r="X4" i="4"/>
  <c r="Q7" i="9"/>
  <c r="Q8" i="9" s="1"/>
  <c r="P9" i="9"/>
  <c r="U4" i="9"/>
  <c r="O7" i="8"/>
  <c r="O8" i="8" s="1"/>
  <c r="N9" i="8"/>
  <c r="I102" i="9" l="1"/>
  <c r="M102" i="9"/>
  <c r="J102" i="9"/>
  <c r="N102" i="9"/>
  <c r="L102" i="9"/>
  <c r="K102" i="9"/>
  <c r="V57" i="9"/>
  <c r="U59" i="9"/>
  <c r="U64" i="9"/>
  <c r="U43" i="4" s="1"/>
  <c r="V5" i="9"/>
  <c r="Y4" i="4"/>
  <c r="W4" i="8"/>
  <c r="P7" i="8"/>
  <c r="P8" i="8" s="1"/>
  <c r="O9" i="8"/>
  <c r="H4" i="9"/>
  <c r="H5" i="2"/>
  <c r="L9" i="2"/>
  <c r="M7" i="4"/>
  <c r="L9" i="4"/>
  <c r="L10" i="2" s="1"/>
  <c r="W151" i="8"/>
  <c r="V156" i="8"/>
  <c r="V157" i="8" s="1"/>
  <c r="V21" i="8"/>
  <c r="V33" i="8" s="1"/>
  <c r="V120" i="8"/>
  <c r="V121" i="8" s="1"/>
  <c r="W115" i="8"/>
  <c r="V18" i="8"/>
  <c r="V30" i="8" s="1"/>
  <c r="U42" i="8"/>
  <c r="U52" i="8" s="1"/>
  <c r="R7" i="9"/>
  <c r="R8" i="9" s="1"/>
  <c r="Q9" i="9"/>
  <c r="U39" i="8"/>
  <c r="U49" i="8" s="1"/>
  <c r="T7" i="2"/>
  <c r="U6" i="4"/>
  <c r="V12" i="8"/>
  <c r="V13" i="8"/>
  <c r="V4" i="9"/>
  <c r="W11" i="4"/>
  <c r="X5" i="4"/>
  <c r="W6" i="2"/>
  <c r="W12" i="4"/>
  <c r="O102" i="9" l="1"/>
  <c r="P102" i="9" s="1"/>
  <c r="W57" i="9"/>
  <c r="V59" i="9"/>
  <c r="V64" i="9"/>
  <c r="W5" i="9"/>
  <c r="V42" i="8"/>
  <c r="V52" i="8" s="1"/>
  <c r="Q7" i="8"/>
  <c r="Q8" i="8" s="1"/>
  <c r="P9" i="8"/>
  <c r="X115" i="8"/>
  <c r="W120" i="8"/>
  <c r="W121" i="8" s="1"/>
  <c r="W18" i="8"/>
  <c r="W30" i="8" s="1"/>
  <c r="W156" i="8"/>
  <c r="W157" i="8" s="1"/>
  <c r="X151" i="8"/>
  <c r="W21" i="8"/>
  <c r="W33" i="8" s="1"/>
  <c r="X6" i="2"/>
  <c r="X11" i="4"/>
  <c r="Y5" i="4"/>
  <c r="X12" i="4"/>
  <c r="V39" i="8"/>
  <c r="V49" i="8" s="1"/>
  <c r="V6" i="4"/>
  <c r="U7" i="2"/>
  <c r="X4" i="8"/>
  <c r="M8" i="4"/>
  <c r="M8" i="2"/>
  <c r="W4" i="9"/>
  <c r="W12" i="8"/>
  <c r="W13" i="8"/>
  <c r="S7" i="9"/>
  <c r="S8" i="9" s="1"/>
  <c r="R9" i="9"/>
  <c r="X57" i="9" l="1"/>
  <c r="W59" i="9"/>
  <c r="V43" i="4"/>
  <c r="W64" i="9"/>
  <c r="X64" i="9" s="1"/>
  <c r="X5" i="9"/>
  <c r="X120" i="8"/>
  <c r="X121" i="8" s="1"/>
  <c r="Y115" i="8"/>
  <c r="X18" i="8"/>
  <c r="X30" i="8" s="1"/>
  <c r="W42" i="8"/>
  <c r="W52" i="8" s="1"/>
  <c r="W39" i="8"/>
  <c r="W49" i="8" s="1"/>
  <c r="T7" i="9"/>
  <c r="T8" i="9" s="1"/>
  <c r="S9" i="9"/>
  <c r="Q9" i="8"/>
  <c r="R7" i="8"/>
  <c r="R8" i="8" s="1"/>
  <c r="Y11" i="4"/>
  <c r="Y6" i="2"/>
  <c r="Y12" i="4"/>
  <c r="X4" i="9"/>
  <c r="M9" i="2"/>
  <c r="N7" i="4"/>
  <c r="M9" i="4"/>
  <c r="M10" i="2" s="1"/>
  <c r="X12" i="8"/>
  <c r="Y12" i="8"/>
  <c r="Y4" i="8"/>
  <c r="W6" i="4"/>
  <c r="V7" i="2"/>
  <c r="X156" i="8"/>
  <c r="X157" i="8" s="1"/>
  <c r="Y151" i="8"/>
  <c r="X21" i="8"/>
  <c r="X33" i="8" s="1"/>
  <c r="Y57" i="9" l="1"/>
  <c r="Y59" i="9" s="1"/>
  <c r="X59" i="9"/>
  <c r="W43" i="4"/>
  <c r="Y5" i="9"/>
  <c r="Y120" i="8"/>
  <c r="Y121" i="8" s="1"/>
  <c r="Y18" i="8"/>
  <c r="Y30" i="8" s="1"/>
  <c r="Y156" i="8"/>
  <c r="Y157" i="8" s="1"/>
  <c r="Y21" i="8"/>
  <c r="Y33" i="8" s="1"/>
  <c r="U7" i="9"/>
  <c r="U8" i="9" s="1"/>
  <c r="T9" i="9"/>
  <c r="X39" i="8"/>
  <c r="X49" i="8" s="1"/>
  <c r="X42" i="8"/>
  <c r="X52" i="8" s="1"/>
  <c r="N8" i="4"/>
  <c r="N8" i="2"/>
  <c r="X6" i="4"/>
  <c r="W7" i="2"/>
  <c r="Y64" i="9"/>
  <c r="X43" i="4"/>
  <c r="R9" i="8"/>
  <c r="S7" i="8"/>
  <c r="S8" i="8" s="1"/>
  <c r="Y4" i="9"/>
  <c r="N9" i="2" l="1"/>
  <c r="O7" i="4"/>
  <c r="G7" i="5" s="1"/>
  <c r="G8" i="5" s="1"/>
  <c r="N9" i="4"/>
  <c r="N10" i="2" s="1"/>
  <c r="Y39" i="8"/>
  <c r="Y49" i="8" s="1"/>
  <c r="Y43" i="4"/>
  <c r="S9" i="8"/>
  <c r="T7" i="8"/>
  <c r="T8" i="8" s="1"/>
  <c r="U9" i="9"/>
  <c r="V7" i="9"/>
  <c r="V8" i="9" s="1"/>
  <c r="Y6" i="4"/>
  <c r="Y7" i="2" s="1"/>
  <c r="X7" i="2"/>
  <c r="Y42" i="8"/>
  <c r="Y52" i="8" s="1"/>
  <c r="H7" i="5" l="1"/>
  <c r="H8" i="5" s="1"/>
  <c r="G9" i="5"/>
  <c r="V9" i="9"/>
  <c r="W7" i="9"/>
  <c r="W8" i="9" s="1"/>
  <c r="O8" i="2"/>
  <c r="O8" i="4"/>
  <c r="O9" i="4" s="1"/>
  <c r="T9" i="8"/>
  <c r="U7" i="8"/>
  <c r="U8" i="8" s="1"/>
  <c r="I7" i="5" l="1"/>
  <c r="I8" i="5" s="1"/>
  <c r="H33" i="5"/>
  <c r="H34" i="5" s="1"/>
  <c r="H9" i="5"/>
  <c r="U9" i="8"/>
  <c r="V7" i="8"/>
  <c r="V8" i="8" s="1"/>
  <c r="O9" i="2"/>
  <c r="P7" i="4"/>
  <c r="O10" i="2"/>
  <c r="X7" i="9"/>
  <c r="X8" i="9" s="1"/>
  <c r="W9" i="9"/>
  <c r="J7" i="5" l="1"/>
  <c r="J8" i="5" s="1"/>
  <c r="I33" i="5"/>
  <c r="I34" i="5" s="1"/>
  <c r="I9" i="5"/>
  <c r="Y7" i="9"/>
  <c r="Y8" i="9" s="1"/>
  <c r="Y9" i="9" s="1"/>
  <c r="X9" i="9"/>
  <c r="P8" i="2"/>
  <c r="P8" i="4"/>
  <c r="P60" i="4" s="1"/>
  <c r="P61" i="4" s="1"/>
  <c r="W7" i="8"/>
  <c r="W8" i="8" s="1"/>
  <c r="V9" i="8"/>
  <c r="K7" i="5" l="1"/>
  <c r="K8" i="5" s="1"/>
  <c r="J33" i="5"/>
  <c r="J34" i="5" s="1"/>
  <c r="J9" i="5"/>
  <c r="P9" i="2"/>
  <c r="P45" i="2" s="1"/>
  <c r="H29" i="5" s="1"/>
  <c r="Q7" i="4"/>
  <c r="P9" i="4"/>
  <c r="P10" i="2" s="1"/>
  <c r="P37" i="4"/>
  <c r="W9" i="8"/>
  <c r="X7" i="8"/>
  <c r="X8" i="8" s="1"/>
  <c r="L7" i="5" l="1"/>
  <c r="L8" i="5" s="1"/>
  <c r="K33" i="5"/>
  <c r="K34" i="5" s="1"/>
  <c r="K9" i="5"/>
  <c r="P33" i="4"/>
  <c r="P56" i="4"/>
  <c r="P38" i="4"/>
  <c r="Q8" i="2"/>
  <c r="Q8" i="4"/>
  <c r="Q60" i="4" s="1"/>
  <c r="Q61" i="4" s="1"/>
  <c r="X9" i="8"/>
  <c r="Y7" i="8"/>
  <c r="Y8" i="8" s="1"/>
  <c r="Y9" i="8" s="1"/>
  <c r="M7" i="5" l="1"/>
  <c r="M8" i="5" s="1"/>
  <c r="L33" i="5"/>
  <c r="L34" i="5" s="1"/>
  <c r="L9" i="5"/>
  <c r="P58" i="4"/>
  <c r="R7" i="4"/>
  <c r="Q9" i="4"/>
  <c r="Q10" i="2" s="1"/>
  <c r="Q9" i="2"/>
  <c r="Q45" i="2" s="1"/>
  <c r="I29" i="5" s="1"/>
  <c r="Q37" i="4"/>
  <c r="N7" i="5" l="1"/>
  <c r="N8" i="5" s="1"/>
  <c r="M33" i="5"/>
  <c r="M34" i="5" s="1"/>
  <c r="M9" i="5"/>
  <c r="Q33" i="4"/>
  <c r="Q56" i="4"/>
  <c r="Q38" i="4"/>
  <c r="R8" i="2"/>
  <c r="R8" i="4"/>
  <c r="R60" i="4" s="1"/>
  <c r="R61" i="4" s="1"/>
  <c r="O7" i="5" l="1"/>
  <c r="O8" i="5" s="1"/>
  <c r="N33" i="5"/>
  <c r="N34" i="5" s="1"/>
  <c r="N9" i="5"/>
  <c r="Q58" i="4"/>
  <c r="S7" i="4"/>
  <c r="R9" i="4"/>
  <c r="R10" i="2" s="1"/>
  <c r="R9" i="2"/>
  <c r="R45" i="2" s="1"/>
  <c r="R37" i="4"/>
  <c r="P7" i="5" l="1"/>
  <c r="P8" i="5" s="1"/>
  <c r="O33" i="5"/>
  <c r="O34" i="5" s="1"/>
  <c r="O9" i="5"/>
  <c r="J29" i="5"/>
  <c r="R33" i="4"/>
  <c r="R56" i="4"/>
  <c r="R38" i="4"/>
  <c r="S8" i="2"/>
  <c r="S8" i="4"/>
  <c r="S60" i="4" s="1"/>
  <c r="S61" i="4" s="1"/>
  <c r="Q7" i="5" l="1"/>
  <c r="Q8" i="5" s="1"/>
  <c r="P33" i="5"/>
  <c r="P34" i="5" s="1"/>
  <c r="P9" i="5"/>
  <c r="R58" i="4"/>
  <c r="T7" i="4"/>
  <c r="S9" i="4"/>
  <c r="S10" i="2" s="1"/>
  <c r="S9" i="2"/>
  <c r="S45" i="2" s="1"/>
  <c r="S37" i="4"/>
  <c r="Q33" i="5" l="1"/>
  <c r="Q34" i="5" s="1"/>
  <c r="Q9" i="5"/>
  <c r="K29" i="5"/>
  <c r="S33" i="4"/>
  <c r="S56" i="4"/>
  <c r="S38" i="4"/>
  <c r="T8" i="2"/>
  <c r="T8" i="4"/>
  <c r="T60" i="4" s="1"/>
  <c r="T61" i="4" s="1"/>
  <c r="S58" i="4" l="1"/>
  <c r="T9" i="4"/>
  <c r="T10" i="2" s="1"/>
  <c r="T9" i="2"/>
  <c r="T45" i="2" s="1"/>
  <c r="U7" i="4"/>
  <c r="T37" i="4"/>
  <c r="L29" i="5" l="1"/>
  <c r="T33" i="4"/>
  <c r="T56" i="4"/>
  <c r="T38" i="4"/>
  <c r="U8" i="2"/>
  <c r="U8" i="4"/>
  <c r="U60" i="4" s="1"/>
  <c r="U61" i="4" s="1"/>
  <c r="T58" i="4" l="1"/>
  <c r="U9" i="2"/>
  <c r="U45" i="2" s="1"/>
  <c r="V7" i="4"/>
  <c r="U9" i="4"/>
  <c r="U10" i="2" s="1"/>
  <c r="U37" i="4"/>
  <c r="M29" i="5" l="1"/>
  <c r="U33" i="4"/>
  <c r="U56" i="4"/>
  <c r="U38" i="4"/>
  <c r="V8" i="2"/>
  <c r="V8" i="4"/>
  <c r="V60" i="4" s="1"/>
  <c r="V61" i="4" s="1"/>
  <c r="U58" i="4" l="1"/>
  <c r="V9" i="2"/>
  <c r="V45" i="2" s="1"/>
  <c r="W7" i="4"/>
  <c r="V9" i="4"/>
  <c r="V10" i="2" s="1"/>
  <c r="V37" i="4"/>
  <c r="N29" i="5" l="1"/>
  <c r="V33" i="4"/>
  <c r="V56" i="4"/>
  <c r="V38" i="4"/>
  <c r="W8" i="2"/>
  <c r="W8" i="4"/>
  <c r="W60" i="4" s="1"/>
  <c r="W61" i="4" s="1"/>
  <c r="V58" i="4" l="1"/>
  <c r="W9" i="2"/>
  <c r="W45" i="2" s="1"/>
  <c r="X7" i="4"/>
  <c r="W9" i="4"/>
  <c r="W10" i="2" s="1"/>
  <c r="W37" i="4"/>
  <c r="O29" i="5" l="1"/>
  <c r="W33" i="4"/>
  <c r="W56" i="4"/>
  <c r="W38" i="4"/>
  <c r="X8" i="2"/>
  <c r="X8" i="4"/>
  <c r="X60" i="4" s="1"/>
  <c r="X61" i="4" s="1"/>
  <c r="W58" i="4" l="1"/>
  <c r="X9" i="2"/>
  <c r="X45" i="2" s="1"/>
  <c r="Y7" i="4"/>
  <c r="X9" i="4"/>
  <c r="X10" i="2" s="1"/>
  <c r="X37" i="4"/>
  <c r="P29" i="5" l="1"/>
  <c r="X33" i="4"/>
  <c r="X56" i="4"/>
  <c r="X38" i="4"/>
  <c r="Y8" i="4"/>
  <c r="Y60" i="4" s="1"/>
  <c r="Y61" i="4" s="1"/>
  <c r="Y8" i="2"/>
  <c r="X58" i="4" l="1"/>
  <c r="Y9" i="2"/>
  <c r="Y45" i="2" s="1"/>
  <c r="Y9" i="4"/>
  <c r="Y10" i="2" s="1"/>
  <c r="Y37" i="4"/>
  <c r="Q29" i="5" l="1"/>
  <c r="Y33" i="4"/>
  <c r="Y56" i="4"/>
  <c r="Y38" i="4"/>
  <c r="O36" i="9"/>
  <c r="O37" i="9"/>
  <c r="O47" i="9"/>
  <c r="P46" i="9"/>
  <c r="P47" i="9" s="1"/>
  <c r="Q46" i="9" l="1"/>
  <c r="R46" i="9" s="1"/>
  <c r="Q47" i="9"/>
  <c r="S46" i="9"/>
  <c r="R47" i="9"/>
  <c r="T46" i="9" l="1"/>
  <c r="S47" i="9"/>
  <c r="U46" i="9" l="1"/>
  <c r="T47" i="9"/>
  <c r="U47" i="9" l="1"/>
  <c r="V46" i="9"/>
  <c r="W46" i="9" l="1"/>
  <c r="V47" i="9"/>
  <c r="W47" i="9" l="1"/>
  <c r="X46" i="9"/>
  <c r="X47" i="9" l="1"/>
  <c r="Y46" i="9"/>
  <c r="Y47" i="9" l="1"/>
  <c r="O48" i="9"/>
  <c r="O49" i="9" s="1"/>
  <c r="O41" i="9"/>
  <c r="P40" i="9"/>
  <c r="O71" i="9" l="1"/>
  <c r="O101" i="9" s="1"/>
  <c r="O93" i="9"/>
  <c r="P41" i="9"/>
  <c r="Q40" i="9"/>
  <c r="O94" i="9" l="1"/>
  <c r="P94" i="9" s="1"/>
  <c r="P93" i="9"/>
  <c r="Q41" i="9"/>
  <c r="R40" i="9"/>
  <c r="S40" i="9" l="1"/>
  <c r="R41" i="9"/>
  <c r="S41" i="9" l="1"/>
  <c r="T40" i="9"/>
  <c r="T41" i="9" l="1"/>
  <c r="U40" i="9"/>
  <c r="V40" i="9" l="1"/>
  <c r="U41" i="9"/>
  <c r="W40" i="9" l="1"/>
  <c r="V41" i="9"/>
  <c r="X40" i="9" l="1"/>
  <c r="W41" i="9"/>
  <c r="Y40" i="9" l="1"/>
  <c r="X41" i="9"/>
  <c r="Y41" i="9" l="1"/>
  <c r="P44" i="4" l="1"/>
  <c r="P68" i="9"/>
  <c r="P69" i="9" s="1"/>
  <c r="Q44" i="4"/>
  <c r="Q68" i="9" l="1"/>
  <c r="Q69" i="9" s="1"/>
  <c r="R44" i="4" l="1"/>
  <c r="R68" i="9"/>
  <c r="R69" i="9" s="1"/>
  <c r="S44" i="4" l="1"/>
  <c r="S68" i="9"/>
  <c r="S69" i="9" s="1"/>
  <c r="T44" i="4" l="1"/>
  <c r="T68" i="9"/>
  <c r="T69" i="9" s="1"/>
  <c r="U68" i="9" l="1"/>
  <c r="U69" i="9" s="1"/>
  <c r="U44" i="4"/>
  <c r="V44" i="4" l="1"/>
  <c r="V68" i="9"/>
  <c r="V69" i="9" s="1"/>
  <c r="W68" i="9" l="1"/>
  <c r="W69" i="9" s="1"/>
  <c r="W44" i="4"/>
  <c r="X44" i="4" l="1"/>
  <c r="X68" i="9"/>
  <c r="X69" i="9" s="1"/>
  <c r="Y44" i="4" l="1"/>
  <c r="Y68" i="9"/>
  <c r="Y69" i="9" s="1"/>
  <c r="P17" i="8" l="1"/>
  <c r="P29" i="8" s="1"/>
  <c r="Q103" i="8" l="1"/>
  <c r="Q17" i="8" s="1"/>
  <c r="Q29" i="8" s="1"/>
  <c r="P108" i="8"/>
  <c r="P109" i="8" s="1"/>
  <c r="R103" i="8" l="1"/>
  <c r="R108" i="8" s="1"/>
  <c r="Q108" i="8"/>
  <c r="Q38" i="8" s="1"/>
  <c r="Q48" i="8" s="1"/>
  <c r="P38" i="8"/>
  <c r="P48" i="8" s="1"/>
  <c r="S103" i="8" l="1"/>
  <c r="S108" i="8" s="1"/>
  <c r="Q109" i="8"/>
  <c r="R17" i="8"/>
  <c r="R29" i="8" s="1"/>
  <c r="R109" i="8"/>
  <c r="R38" i="8"/>
  <c r="R48" i="8" l="1"/>
  <c r="S17" i="8"/>
  <c r="S29" i="8" s="1"/>
  <c r="T103" i="8"/>
  <c r="T108" i="8" s="1"/>
  <c r="Q28" i="4"/>
  <c r="P42" i="9"/>
  <c r="S109" i="8"/>
  <c r="S38" i="8"/>
  <c r="U103" i="8" l="1"/>
  <c r="V103" i="8" s="1"/>
  <c r="T17" i="8"/>
  <c r="T29" i="8" s="1"/>
  <c r="S48" i="8"/>
  <c r="T38" i="8"/>
  <c r="T109" i="8"/>
  <c r="P48" i="9"/>
  <c r="P43" i="9"/>
  <c r="Q42" i="9"/>
  <c r="R28" i="4"/>
  <c r="T48" i="8" l="1"/>
  <c r="U108" i="8"/>
  <c r="U38" i="8" s="1"/>
  <c r="U17" i="8"/>
  <c r="U29" i="8" s="1"/>
  <c r="V17" i="8"/>
  <c r="W103" i="8"/>
  <c r="V108" i="8"/>
  <c r="Q43" i="9"/>
  <c r="Q48" i="9"/>
  <c r="R42" i="9"/>
  <c r="S28" i="4"/>
  <c r="U48" i="8" l="1"/>
  <c r="U109" i="8"/>
  <c r="V29" i="8"/>
  <c r="V109" i="8"/>
  <c r="V38" i="8"/>
  <c r="V48" i="8" s="1"/>
  <c r="W17" i="8"/>
  <c r="W29" i="8" s="1"/>
  <c r="W108" i="8"/>
  <c r="X103" i="8"/>
  <c r="T28" i="4"/>
  <c r="R48" i="9"/>
  <c r="S42" i="9"/>
  <c r="R43" i="9"/>
  <c r="Y103" i="8" l="1"/>
  <c r="X17" i="8"/>
  <c r="X29" i="8" s="1"/>
  <c r="X108" i="8"/>
  <c r="W38" i="8"/>
  <c r="W48" i="8" s="1"/>
  <c r="W109" i="8"/>
  <c r="U28" i="4"/>
  <c r="S48" i="9"/>
  <c r="S43" i="9"/>
  <c r="T42" i="9"/>
  <c r="V28" i="4" l="1"/>
  <c r="X109" i="8"/>
  <c r="X38" i="8"/>
  <c r="X48" i="8" s="1"/>
  <c r="T43" i="9"/>
  <c r="U42" i="9"/>
  <c r="T48" i="9"/>
  <c r="Y108" i="8"/>
  <c r="Y17" i="8"/>
  <c r="Y29" i="8" s="1"/>
  <c r="U43" i="9" l="1"/>
  <c r="V42" i="9"/>
  <c r="U48" i="9"/>
  <c r="Y109" i="8"/>
  <c r="Y38" i="8"/>
  <c r="Y48" i="8" s="1"/>
  <c r="W28" i="4"/>
  <c r="V48" i="9" l="1"/>
  <c r="V43" i="9"/>
  <c r="W42" i="9"/>
  <c r="X28" i="4"/>
  <c r="W43" i="9" l="1"/>
  <c r="W48" i="9"/>
  <c r="X42" i="9"/>
  <c r="Y28" i="4"/>
  <c r="X43" i="9" l="1"/>
  <c r="Y42" i="9"/>
  <c r="X48" i="9"/>
  <c r="Y43" i="9" l="1"/>
  <c r="Y48" i="9"/>
  <c r="R57" i="8" l="1"/>
  <c r="R16" i="9" s="1"/>
  <c r="Q16" i="9"/>
  <c r="Q20" i="4"/>
  <c r="R20" i="4" l="1"/>
  <c r="S57" i="8"/>
  <c r="Q25" i="4"/>
  <c r="S16" i="9" l="1"/>
  <c r="S20" i="4"/>
  <c r="T57" i="8"/>
  <c r="R25" i="4"/>
  <c r="S25" i="4" l="1"/>
  <c r="U57" i="8"/>
  <c r="T20" i="4"/>
  <c r="T16" i="9"/>
  <c r="T25" i="4" l="1"/>
  <c r="U16" i="9"/>
  <c r="U20" i="4"/>
  <c r="V57" i="8"/>
  <c r="U25" i="4" l="1"/>
  <c r="V20" i="4"/>
  <c r="W57" i="8"/>
  <c r="V16" i="9"/>
  <c r="W16" i="9" l="1"/>
  <c r="W20" i="4"/>
  <c r="X57" i="8"/>
  <c r="V25" i="4"/>
  <c r="W25" i="4" l="1"/>
  <c r="Y57" i="8"/>
  <c r="X20" i="4"/>
  <c r="X16" i="9"/>
  <c r="X25" i="4" l="1"/>
  <c r="Y20" i="4"/>
  <c r="Y16" i="9"/>
  <c r="Y25" i="4" l="1"/>
  <c r="P101" i="9" l="1"/>
  <c r="P104" i="9" s="1"/>
  <c r="G115" i="9" l="1"/>
  <c r="H115" i="9"/>
  <c r="J115" i="9"/>
  <c r="F115" i="9"/>
  <c r="I115" i="9"/>
  <c r="K115" i="9" l="1"/>
  <c r="L115" i="9" l="1"/>
  <c r="M115" i="9" l="1"/>
  <c r="N115" i="9" l="1"/>
  <c r="O115" i="9" l="1"/>
  <c r="P19" i="8" l="1"/>
  <c r="Q127" i="8"/>
  <c r="Q19" i="8" s="1"/>
  <c r="P129" i="8"/>
  <c r="S129" i="8" s="1"/>
  <c r="R129" i="8"/>
  <c r="R127" i="8" s="1"/>
  <c r="Q132" i="8"/>
  <c r="Q133" i="8" s="1"/>
  <c r="R19" i="8" l="1"/>
  <c r="R132" i="8"/>
  <c r="S127" i="8"/>
  <c r="P50" i="8"/>
  <c r="Q40" i="8"/>
  <c r="T129" i="8"/>
  <c r="Q31" i="8"/>
  <c r="P31" i="8"/>
  <c r="U129" i="8"/>
  <c r="W129" i="8" s="1"/>
  <c r="Q50" i="8" l="1"/>
  <c r="V129" i="8"/>
  <c r="X129" i="8" s="1"/>
  <c r="S19" i="8"/>
  <c r="T127" i="8"/>
  <c r="S132" i="8"/>
  <c r="R40" i="8"/>
  <c r="R133" i="8"/>
  <c r="R31" i="8"/>
  <c r="S31" i="8" l="1"/>
  <c r="R50" i="8"/>
  <c r="Y129" i="8"/>
  <c r="S40" i="8"/>
  <c r="S133" i="8"/>
  <c r="T19" i="8"/>
  <c r="T132" i="8"/>
  <c r="U127" i="8"/>
  <c r="T40" i="8" l="1"/>
  <c r="T133" i="8"/>
  <c r="T31" i="8"/>
  <c r="S50" i="8"/>
  <c r="U19" i="8"/>
  <c r="U132" i="8"/>
  <c r="V127" i="8"/>
  <c r="U31" i="8" l="1"/>
  <c r="U133" i="8"/>
  <c r="U40" i="8"/>
  <c r="V19" i="8"/>
  <c r="V132" i="8"/>
  <c r="W127" i="8"/>
  <c r="T50" i="8"/>
  <c r="V40" i="8" l="1"/>
  <c r="V133" i="8"/>
  <c r="U50" i="8"/>
  <c r="V31" i="8"/>
  <c r="W19" i="8"/>
  <c r="X127" i="8"/>
  <c r="W132" i="8"/>
  <c r="W40" i="8" l="1"/>
  <c r="W133" i="8"/>
  <c r="X132" i="8"/>
  <c r="X19" i="8"/>
  <c r="Y127" i="8"/>
  <c r="W31" i="8"/>
  <c r="V50" i="8"/>
  <c r="X40" i="8" l="1"/>
  <c r="X133" i="8"/>
  <c r="W50" i="8"/>
  <c r="Y19" i="8"/>
  <c r="Y132" i="8"/>
  <c r="X31" i="8"/>
  <c r="Y31" i="8" l="1"/>
  <c r="Y40" i="8"/>
  <c r="Y133" i="8"/>
  <c r="X50" i="8"/>
  <c r="Y50" i="8" l="1"/>
  <c r="I17" i="4"/>
  <c r="I18" i="4" s="1"/>
  <c r="I21" i="4" s="1"/>
  <c r="I22" i="4" s="1"/>
  <c r="J17" i="4"/>
  <c r="J18" i="4" s="1"/>
  <c r="J21" i="4" s="1"/>
  <c r="J22" i="4" s="1"/>
  <c r="K17" i="4"/>
  <c r="K18" i="4" s="1"/>
  <c r="K21" i="4" s="1"/>
  <c r="L17" i="4"/>
  <c r="M17" i="4"/>
  <c r="M18" i="4" s="1"/>
  <c r="M21" i="4" s="1"/>
  <c r="M22" i="4" s="1"/>
  <c r="N17" i="4"/>
  <c r="N18" i="4" s="1"/>
  <c r="N21" i="4" s="1"/>
  <c r="N22" i="4" s="1"/>
  <c r="O17" i="4"/>
  <c r="O18" i="4" s="1"/>
  <c r="O21" i="4" s="1"/>
  <c r="L18" i="4"/>
  <c r="L21" i="4" s="1"/>
  <c r="I15" i="9"/>
  <c r="I17" i="9" s="1"/>
  <c r="I92" i="9" s="1"/>
  <c r="J15" i="9"/>
  <c r="J17" i="9" s="1"/>
  <c r="J92" i="9" s="1"/>
  <c r="K15" i="9"/>
  <c r="K17" i="9" s="1"/>
  <c r="K92" i="9" s="1"/>
  <c r="L15" i="9"/>
  <c r="L17" i="9" s="1"/>
  <c r="L92" i="9" s="1"/>
  <c r="M15" i="9"/>
  <c r="M17" i="9" s="1"/>
  <c r="M92" i="9" s="1"/>
  <c r="N15" i="9"/>
  <c r="N17" i="9" s="1"/>
  <c r="N92" i="9" s="1"/>
  <c r="O15" i="9"/>
  <c r="O17" i="9"/>
  <c r="O92" i="9" s="1"/>
  <c r="I21" i="9" l="1"/>
  <c r="I24" i="9" s="1"/>
  <c r="O21" i="9"/>
  <c r="O24" i="9" s="1"/>
  <c r="K21" i="9"/>
  <c r="K24" i="9" s="1"/>
  <c r="M21" i="9"/>
  <c r="M24" i="9" s="1"/>
  <c r="L21" i="9"/>
  <c r="L24" i="9" s="1"/>
  <c r="N21" i="9"/>
  <c r="N24" i="9" s="1"/>
  <c r="J21" i="9"/>
  <c r="J24" i="9" s="1"/>
  <c r="I23" i="4"/>
  <c r="I30" i="4" s="1"/>
  <c r="M23" i="4"/>
  <c r="M30" i="4" s="1"/>
  <c r="O22" i="4"/>
  <c r="O23" i="4" s="1"/>
  <c r="O30" i="4" s="1"/>
  <c r="K22" i="4"/>
  <c r="K23" i="4" s="1"/>
  <c r="K30" i="4" s="1"/>
  <c r="N23" i="4"/>
  <c r="N30" i="4" s="1"/>
  <c r="L22" i="4"/>
  <c r="L23" i="4"/>
  <c r="L30" i="4" s="1"/>
  <c r="J23" i="4"/>
  <c r="J30" i="4" s="1"/>
  <c r="J25" i="9" l="1"/>
  <c r="J80" i="8"/>
  <c r="J83" i="8" s="1"/>
  <c r="K80" i="8"/>
  <c r="K25" i="9"/>
  <c r="N25" i="9"/>
  <c r="N80" i="8"/>
  <c r="N83" i="8" s="1"/>
  <c r="O80" i="8"/>
  <c r="O25" i="9"/>
  <c r="L96" i="9"/>
  <c r="L25" i="9"/>
  <c r="L80" i="8"/>
  <c r="L91" i="8" s="1"/>
  <c r="L92" i="8" s="1"/>
  <c r="I96" i="9"/>
  <c r="I25" i="9"/>
  <c r="I80" i="8"/>
  <c r="I83" i="8" s="1"/>
  <c r="M25" i="9"/>
  <c r="M80" i="8"/>
  <c r="M91" i="8" s="1"/>
  <c r="M92" i="8" s="1"/>
  <c r="M96" i="9"/>
  <c r="J96" i="9"/>
  <c r="N96" i="9"/>
  <c r="O96" i="9"/>
  <c r="K96" i="9"/>
  <c r="H15" i="9"/>
  <c r="H17" i="9" s="1"/>
  <c r="H92" i="9" s="1"/>
  <c r="M83" i="8" l="1"/>
  <c r="L83" i="8"/>
  <c r="I91" i="8"/>
  <c r="I92" i="8" s="1"/>
  <c r="N91" i="8"/>
  <c r="N92" i="8" s="1"/>
  <c r="J91" i="8"/>
  <c r="J92" i="8" s="1"/>
  <c r="K83" i="8"/>
  <c r="K91" i="8"/>
  <c r="K92" i="8" s="1"/>
  <c r="H21" i="9"/>
  <c r="H24" i="9" s="1"/>
  <c r="O83" i="8"/>
  <c r="O91" i="8"/>
  <c r="O92" i="8" s="1"/>
  <c r="H80" i="8" l="1"/>
  <c r="H25" i="9"/>
  <c r="P92" i="9"/>
  <c r="H96" i="9"/>
  <c r="P96" i="9" s="1"/>
  <c r="P91" i="9"/>
  <c r="H91" i="8" l="1"/>
  <c r="H92" i="8" s="1"/>
  <c r="Z93" i="8" s="1"/>
  <c r="O93" i="8" s="1"/>
  <c r="H83" i="8"/>
  <c r="G114" i="9"/>
  <c r="H114" i="9"/>
  <c r="I114" i="9"/>
  <c r="F114" i="9"/>
  <c r="J114" i="9"/>
  <c r="K114" i="9" l="1"/>
  <c r="L114" i="9" l="1"/>
  <c r="M114" i="9" l="1"/>
  <c r="N114" i="9" l="1"/>
  <c r="O114" i="9" l="1"/>
  <c r="S93" i="8" l="1"/>
  <c r="K25" i="5" s="1"/>
  <c r="J108" i="9" l="1"/>
  <c r="K30" i="5"/>
  <c r="K36" i="5" s="1"/>
  <c r="T88" i="8" l="1"/>
  <c r="T93" i="8"/>
  <c r="L25" i="5" l="1"/>
  <c r="T94" i="8"/>
  <c r="K108" i="9"/>
  <c r="K110" i="9" s="1"/>
  <c r="J116" i="9" s="1"/>
  <c r="J117" i="9" l="1"/>
  <c r="K116" i="9"/>
  <c r="L30" i="5"/>
  <c r="L36" i="5" s="1"/>
  <c r="L27" i="5"/>
  <c r="L116" i="9" l="1"/>
  <c r="K117" i="9"/>
  <c r="T34" i="9"/>
  <c r="T36" i="9"/>
  <c r="T32" i="9"/>
  <c r="T30" i="9"/>
  <c r="U30" i="9" l="1"/>
  <c r="U32" i="9"/>
  <c r="U34" i="9"/>
  <c r="U36" i="9"/>
  <c r="M116" i="9"/>
  <c r="L117" i="9"/>
  <c r="N116" i="9" l="1"/>
  <c r="M117" i="9"/>
  <c r="V30" i="9"/>
  <c r="V32" i="9"/>
  <c r="V34" i="9"/>
  <c r="V36" i="9"/>
  <c r="N117" i="9" l="1"/>
  <c r="O116" i="9"/>
  <c r="O117" i="9" s="1"/>
  <c r="W30" i="9"/>
  <c r="W32" i="9"/>
  <c r="W34" i="9"/>
  <c r="W36" i="9"/>
  <c r="X32" i="9" l="1"/>
  <c r="X34" i="9"/>
  <c r="X36" i="9"/>
  <c r="X30" i="9"/>
  <c r="Y30" i="9"/>
  <c r="Y32" i="9"/>
  <c r="Y34" i="9"/>
  <c r="Y36" i="9"/>
  <c r="U88" i="8" l="1"/>
  <c r="U93" i="8"/>
  <c r="U94" i="8" s="1"/>
  <c r="M25" i="5" l="1"/>
  <c r="L108" i="9"/>
  <c r="L110" i="9" s="1"/>
  <c r="M27" i="5" l="1"/>
  <c r="M30" i="5"/>
  <c r="M36" i="5" s="1"/>
  <c r="V88" i="8"/>
  <c r="V93" i="8"/>
  <c r="M108" i="9" l="1"/>
  <c r="M110" i="9" s="1"/>
  <c r="N25" i="5"/>
  <c r="V94" i="8"/>
  <c r="N27" i="5" l="1"/>
  <c r="N30" i="5"/>
  <c r="N36" i="5" s="1"/>
  <c r="Q93" i="8"/>
  <c r="I25" i="5" s="1"/>
  <c r="H108" i="9" l="1"/>
  <c r="I30" i="5"/>
  <c r="I36" i="5" s="1"/>
  <c r="R88" i="8"/>
  <c r="S88" i="8"/>
  <c r="R93" i="8"/>
  <c r="J25" i="5" l="1"/>
  <c r="I108" i="9"/>
  <c r="R94" i="8"/>
  <c r="S94" i="8"/>
  <c r="I110" i="9" l="1"/>
  <c r="H116" i="9" s="1"/>
  <c r="H117" i="9" s="1"/>
  <c r="J110" i="9"/>
  <c r="I116" i="9" s="1"/>
  <c r="I117" i="9" s="1"/>
  <c r="J30" i="5"/>
  <c r="J36" i="5" s="1"/>
  <c r="J27" i="5"/>
  <c r="K27" i="5"/>
  <c r="S30" i="9" l="1"/>
  <c r="S34" i="9"/>
  <c r="S32" i="9"/>
  <c r="S36" i="9"/>
  <c r="R32" i="9"/>
  <c r="R36" i="9"/>
  <c r="R30" i="9"/>
  <c r="R34" i="9"/>
  <c r="P88" i="8"/>
  <c r="Q88" i="8"/>
  <c r="P93" i="8"/>
  <c r="P94" i="8" s="1"/>
  <c r="H25" i="5" l="1"/>
  <c r="G108" i="9"/>
  <c r="Q94" i="8"/>
  <c r="F116" i="9" l="1"/>
  <c r="F117" i="9" s="1"/>
  <c r="H110" i="9"/>
  <c r="G116" i="9" s="1"/>
  <c r="G117" i="9" s="1"/>
  <c r="I27" i="5"/>
  <c r="H30" i="5"/>
  <c r="H36" i="5" s="1"/>
  <c r="Q30" i="9" l="1"/>
  <c r="Q32" i="9"/>
  <c r="Q34" i="9"/>
  <c r="Q36" i="9"/>
  <c r="P30" i="9"/>
  <c r="P29" i="9" s="1"/>
  <c r="P32" i="9"/>
  <c r="P31" i="9" s="1"/>
  <c r="P34" i="9"/>
  <c r="P33" i="9" s="1"/>
  <c r="P36" i="9"/>
  <c r="P35" i="9" s="1"/>
  <c r="Q35" i="9" l="1"/>
  <c r="R35" i="9" s="1"/>
  <c r="S35" i="9" s="1"/>
  <c r="T35" i="9" s="1"/>
  <c r="U35" i="9" s="1"/>
  <c r="V35" i="9" s="1"/>
  <c r="W35" i="9" s="1"/>
  <c r="X35" i="9" s="1"/>
  <c r="Y35" i="9" s="1"/>
  <c r="Q33" i="9"/>
  <c r="R33" i="9" s="1"/>
  <c r="S33" i="9" s="1"/>
  <c r="T33" i="9" s="1"/>
  <c r="U33" i="9" s="1"/>
  <c r="V33" i="9" s="1"/>
  <c r="W33" i="9" s="1"/>
  <c r="X33" i="9" s="1"/>
  <c r="Y33" i="9" s="1"/>
  <c r="P74" i="9"/>
  <c r="Q31" i="9"/>
  <c r="P45" i="4"/>
  <c r="P46" i="4" s="1"/>
  <c r="Q29" i="9"/>
  <c r="P37" i="9"/>
  <c r="P49" i="9" s="1"/>
  <c r="P71" i="9" s="1"/>
  <c r="P73" i="9"/>
  <c r="P47" i="4" l="1"/>
  <c r="P52" i="4" s="1"/>
  <c r="P50" i="4"/>
  <c r="Q45" i="4"/>
  <c r="Q46" i="4" s="1"/>
  <c r="Q47" i="4" s="1"/>
  <c r="Q52" i="4" s="1"/>
  <c r="Q73" i="9"/>
  <c r="R29" i="9"/>
  <c r="Q37" i="9"/>
  <c r="Q49" i="9" s="1"/>
  <c r="Q71" i="9" s="1"/>
  <c r="Q74" i="9"/>
  <c r="R31" i="9"/>
  <c r="P75" i="9"/>
  <c r="P26" i="4" s="1"/>
  <c r="Q50" i="4" l="1"/>
  <c r="Q75" i="9"/>
  <c r="Q26" i="4" s="1"/>
  <c r="S29" i="9"/>
  <c r="R45" i="4"/>
  <c r="R46" i="4" s="1"/>
  <c r="R47" i="4" s="1"/>
  <c r="R52" i="4" s="1"/>
  <c r="R73" i="9"/>
  <c r="R37" i="9"/>
  <c r="R49" i="9" s="1"/>
  <c r="R71" i="9" s="1"/>
  <c r="S31" i="9"/>
  <c r="R74" i="9"/>
  <c r="R50" i="4" l="1"/>
  <c r="S74" i="9"/>
  <c r="T31" i="9"/>
  <c r="S45" i="4"/>
  <c r="S46" i="4" s="1"/>
  <c r="S37" i="9"/>
  <c r="S49" i="9" s="1"/>
  <c r="S71" i="9" s="1"/>
  <c r="T29" i="9"/>
  <c r="S73" i="9"/>
  <c r="R75" i="9"/>
  <c r="R26" i="4" s="1"/>
  <c r="T45" i="4" l="1"/>
  <c r="T46" i="4" s="1"/>
  <c r="T47" i="4" s="1"/>
  <c r="T52" i="4" s="1"/>
  <c r="U29" i="9"/>
  <c r="T37" i="9"/>
  <c r="T49" i="9" s="1"/>
  <c r="T71" i="9" s="1"/>
  <c r="T73" i="9"/>
  <c r="S50" i="4"/>
  <c r="S47" i="4"/>
  <c r="S52" i="4" s="1"/>
  <c r="T74" i="9"/>
  <c r="U31" i="9"/>
  <c r="S75" i="9"/>
  <c r="S26" i="4" s="1"/>
  <c r="U45" i="4" l="1"/>
  <c r="U46" i="4" s="1"/>
  <c r="U47" i="4" s="1"/>
  <c r="U52" i="4" s="1"/>
  <c r="U73" i="9"/>
  <c r="U37" i="9"/>
  <c r="U49" i="9" s="1"/>
  <c r="U71" i="9" s="1"/>
  <c r="V29" i="9"/>
  <c r="U74" i="9"/>
  <c r="U75" i="9" s="1"/>
  <c r="U26" i="4" s="1"/>
  <c r="V31" i="9"/>
  <c r="T50" i="4"/>
  <c r="T75" i="9"/>
  <c r="T26" i="4" s="1"/>
  <c r="V45" i="4" l="1"/>
  <c r="V46" i="4" s="1"/>
  <c r="V47" i="4" s="1"/>
  <c r="V52" i="4" s="1"/>
  <c r="W29" i="9"/>
  <c r="V73" i="9"/>
  <c r="V37" i="9"/>
  <c r="V49" i="9" s="1"/>
  <c r="V71" i="9" s="1"/>
  <c r="W31" i="9"/>
  <c r="V74" i="9"/>
  <c r="V75" i="9" s="1"/>
  <c r="V26" i="4" s="1"/>
  <c r="U50" i="4"/>
  <c r="W45" i="4" l="1"/>
  <c r="W46" i="4" s="1"/>
  <c r="W47" i="4" s="1"/>
  <c r="W52" i="4" s="1"/>
  <c r="W37" i="9"/>
  <c r="W49" i="9" s="1"/>
  <c r="W71" i="9" s="1"/>
  <c r="X29" i="9"/>
  <c r="W73" i="9"/>
  <c r="W74" i="9"/>
  <c r="X31" i="9"/>
  <c r="V50" i="4"/>
  <c r="X45" i="4" l="1"/>
  <c r="X46" i="4" s="1"/>
  <c r="X47" i="4" s="1"/>
  <c r="X52" i="4" s="1"/>
  <c r="X37" i="9"/>
  <c r="X49" i="9" s="1"/>
  <c r="X71" i="9" s="1"/>
  <c r="Y29" i="9"/>
  <c r="X73" i="9"/>
  <c r="X74" i="9"/>
  <c r="X75" i="9" s="1"/>
  <c r="X26" i="4" s="1"/>
  <c r="Y31" i="9"/>
  <c r="Y74" i="9" s="1"/>
  <c r="W50" i="4"/>
  <c r="W75" i="9"/>
  <c r="W26" i="4" s="1"/>
  <c r="Y45" i="4" l="1"/>
  <c r="Y46" i="4" s="1"/>
  <c r="Y50" i="4" s="1"/>
  <c r="Y73" i="9"/>
  <c r="Y37" i="9"/>
  <c r="Y49" i="9" s="1"/>
  <c r="Y71" i="9" s="1"/>
  <c r="Y75" i="9"/>
  <c r="Y26" i="4" s="1"/>
  <c r="X50" i="4"/>
  <c r="Y47" i="4" l="1"/>
  <c r="Y52" i="4" s="1"/>
  <c r="H9" i="3"/>
  <c r="H10" i="3"/>
  <c r="H11" i="3"/>
  <c r="H12" i="3"/>
  <c r="H13" i="3"/>
  <c r="H14" i="3"/>
  <c r="H21" i="3" a="1"/>
  <c r="H21" i="3"/>
  <c r="H22" i="3" a="1"/>
  <c r="H22" i="3"/>
  <c r="H23" i="3" a="1"/>
  <c r="H23" i="3"/>
  <c r="H24" i="3" a="1"/>
  <c r="H24" i="3"/>
  <c r="H27" i="3"/>
  <c r="H28" i="3"/>
  <c r="H29" i="3"/>
  <c r="K46" i="3"/>
  <c r="P16" i="4"/>
  <c r="Q16" i="4"/>
  <c r="R16" i="4"/>
  <c r="S16" i="4"/>
  <c r="T16" i="4"/>
  <c r="U16" i="4"/>
  <c r="V16" i="4"/>
  <c r="W16" i="4"/>
  <c r="X16" i="4"/>
  <c r="Y16" i="4"/>
  <c r="P17" i="4"/>
  <c r="Q17" i="4"/>
  <c r="R17" i="4"/>
  <c r="S17" i="4"/>
  <c r="T17" i="4"/>
  <c r="U17" i="4"/>
  <c r="V17" i="4"/>
  <c r="W17" i="4"/>
  <c r="X17" i="4"/>
  <c r="Y17" i="4"/>
  <c r="P18" i="4"/>
  <c r="Q18" i="4"/>
  <c r="R18" i="4"/>
  <c r="S18" i="4"/>
  <c r="T18" i="4"/>
  <c r="U18" i="4"/>
  <c r="V18" i="4"/>
  <c r="W18" i="4"/>
  <c r="X18" i="4"/>
  <c r="Y18" i="4"/>
  <c r="P21" i="4"/>
  <c r="Q21" i="4"/>
  <c r="R21" i="4"/>
  <c r="S21" i="4"/>
  <c r="T21" i="4"/>
  <c r="U21" i="4"/>
  <c r="V21" i="4"/>
  <c r="W21" i="4"/>
  <c r="X21" i="4"/>
  <c r="Y21" i="4"/>
  <c r="P22" i="4"/>
  <c r="Q22" i="4"/>
  <c r="R22" i="4"/>
  <c r="S22" i="4"/>
  <c r="T22" i="4"/>
  <c r="U22" i="4"/>
  <c r="V22" i="4"/>
  <c r="W22" i="4"/>
  <c r="X22" i="4"/>
  <c r="Y22" i="4"/>
  <c r="P23" i="4"/>
  <c r="Q23" i="4"/>
  <c r="R23" i="4"/>
  <c r="S23" i="4"/>
  <c r="T23" i="4"/>
  <c r="U23" i="4"/>
  <c r="V23" i="4"/>
  <c r="W23" i="4"/>
  <c r="X23" i="4"/>
  <c r="Y23" i="4"/>
  <c r="P30" i="4"/>
  <c r="Q30" i="4"/>
  <c r="R30" i="4"/>
  <c r="S30" i="4"/>
  <c r="T30" i="4"/>
  <c r="U30" i="4"/>
  <c r="V30" i="4"/>
  <c r="W30" i="4"/>
  <c r="X30" i="4"/>
  <c r="Y30" i="4"/>
  <c r="Y31" i="4"/>
  <c r="P34" i="4"/>
  <c r="Q34" i="4"/>
  <c r="R34" i="4"/>
  <c r="S34" i="4"/>
  <c r="T34" i="4"/>
  <c r="U34" i="4"/>
  <c r="V34" i="4"/>
  <c r="W34" i="4"/>
  <c r="X34" i="4"/>
  <c r="Y34" i="4"/>
  <c r="Y35" i="4"/>
  <c r="P40" i="4"/>
  <c r="Q40" i="4"/>
  <c r="R40" i="4"/>
  <c r="S40" i="4"/>
  <c r="T40" i="4"/>
  <c r="U40" i="4"/>
  <c r="V40" i="4"/>
  <c r="W40" i="4"/>
  <c r="X40" i="4"/>
  <c r="Y40" i="4"/>
  <c r="Y41" i="4"/>
  <c r="P49" i="4"/>
  <c r="Q49" i="4"/>
  <c r="R49" i="4"/>
  <c r="S49" i="4"/>
  <c r="T49" i="4"/>
  <c r="U49" i="4"/>
  <c r="V49" i="4"/>
  <c r="W49" i="4"/>
  <c r="X49" i="4"/>
  <c r="Y49" i="4"/>
  <c r="P53" i="4"/>
  <c r="Q53" i="4"/>
  <c r="R53" i="4"/>
  <c r="S53" i="4"/>
  <c r="T53" i="4"/>
  <c r="U53" i="4"/>
  <c r="V53" i="4"/>
  <c r="W53" i="4"/>
  <c r="X53" i="4"/>
  <c r="Y53" i="4"/>
  <c r="Y54" i="4"/>
  <c r="P57" i="4"/>
  <c r="Q57" i="4"/>
  <c r="R57" i="4"/>
  <c r="S57" i="4"/>
  <c r="T57" i="4"/>
  <c r="U57" i="4"/>
  <c r="V57" i="4"/>
  <c r="W57" i="4"/>
  <c r="X57" i="4"/>
  <c r="Y57" i="4"/>
  <c r="Y58" i="4"/>
  <c r="P63" i="4"/>
  <c r="Q63" i="4"/>
  <c r="R63" i="4"/>
  <c r="S63" i="4"/>
  <c r="T63" i="4"/>
  <c r="U63" i="4"/>
  <c r="V63" i="4"/>
  <c r="W63" i="4"/>
  <c r="X63" i="4"/>
  <c r="Y63" i="4"/>
  <c r="Y64" i="4"/>
  <c r="H70" i="4"/>
  <c r="H73" i="4"/>
  <c r="H76" i="4"/>
  <c r="H79" i="4"/>
  <c r="H83" i="4"/>
  <c r="H84" i="4"/>
  <c r="H86" i="4"/>
  <c r="H87" i="4"/>
  <c r="H88" i="4"/>
  <c r="H89" i="4"/>
  <c r="H93" i="4"/>
  <c r="H96" i="4"/>
  <c r="H99" i="4"/>
  <c r="H103" i="4"/>
  <c r="H104" i="4"/>
  <c r="H106" i="4"/>
  <c r="H107" i="4"/>
  <c r="H108" i="4"/>
  <c r="H109" i="4"/>
  <c r="O25" i="5"/>
  <c r="P25" i="5"/>
  <c r="Q25" i="5"/>
  <c r="Q26" i="5"/>
  <c r="O27" i="5"/>
  <c r="P27" i="5"/>
  <c r="Q27" i="5"/>
  <c r="O30" i="5"/>
  <c r="P30" i="5"/>
  <c r="Q30" i="5"/>
  <c r="Q31" i="5"/>
  <c r="O36" i="5"/>
  <c r="P36" i="5"/>
  <c r="Q36" i="5"/>
  <c r="Q37" i="5"/>
  <c r="H43" i="5"/>
  <c r="H45" i="5"/>
  <c r="P13" i="9"/>
  <c r="Q13" i="9"/>
  <c r="R13" i="9"/>
  <c r="S13" i="9"/>
  <c r="T13" i="9"/>
  <c r="U13" i="9"/>
  <c r="V13" i="9"/>
  <c r="W13" i="9"/>
  <c r="X13" i="9"/>
  <c r="Y13" i="9"/>
  <c r="P14" i="9"/>
  <c r="Q14" i="9"/>
  <c r="R14" i="9"/>
  <c r="S14" i="9"/>
  <c r="T14" i="9"/>
  <c r="U14" i="9"/>
  <c r="V14" i="9"/>
  <c r="W14" i="9"/>
  <c r="X14" i="9"/>
  <c r="Y14" i="9"/>
  <c r="P15" i="9"/>
  <c r="Q15" i="9"/>
  <c r="R15" i="9"/>
  <c r="S15" i="9"/>
  <c r="T15" i="9"/>
  <c r="U15" i="9"/>
  <c r="V15" i="9"/>
  <c r="W15" i="9"/>
  <c r="X15" i="9"/>
  <c r="Y15" i="9"/>
  <c r="P17" i="9"/>
  <c r="Q17" i="9"/>
  <c r="R17" i="9"/>
  <c r="S17" i="9"/>
  <c r="T17" i="9"/>
  <c r="U17" i="9"/>
  <c r="V17" i="9"/>
  <c r="W17" i="9"/>
  <c r="X17" i="9"/>
  <c r="Y17" i="9"/>
  <c r="P18" i="9"/>
  <c r="Q18" i="9"/>
  <c r="R18" i="9"/>
  <c r="S18" i="9"/>
  <c r="T18" i="9"/>
  <c r="U18" i="9"/>
  <c r="V18" i="9"/>
  <c r="W18" i="9"/>
  <c r="X18" i="9"/>
  <c r="Y18" i="9"/>
  <c r="P21" i="9"/>
  <c r="Q21" i="9"/>
  <c r="R21" i="9"/>
  <c r="S21" i="9"/>
  <c r="T21" i="9"/>
  <c r="U21" i="9"/>
  <c r="V21" i="9"/>
  <c r="W21" i="9"/>
  <c r="X21" i="9"/>
  <c r="Y21" i="9"/>
  <c r="P22" i="9"/>
  <c r="Q22" i="9"/>
  <c r="R22" i="9"/>
  <c r="S22" i="9"/>
  <c r="T22" i="9"/>
  <c r="U22" i="9"/>
  <c r="V22" i="9"/>
  <c r="W22" i="9"/>
  <c r="X22" i="9"/>
  <c r="Y22" i="9"/>
  <c r="P24" i="9"/>
  <c r="Q24" i="9"/>
  <c r="R24" i="9"/>
  <c r="S24" i="9"/>
  <c r="T24" i="9"/>
  <c r="U24" i="9"/>
  <c r="V24" i="9"/>
  <c r="W24" i="9"/>
  <c r="X24" i="9"/>
  <c r="Y24" i="9"/>
  <c r="P25" i="9"/>
  <c r="Q25" i="9"/>
  <c r="R25" i="9"/>
  <c r="S25" i="9"/>
  <c r="T25" i="9"/>
  <c r="U25" i="9"/>
  <c r="V25" i="9"/>
  <c r="W25" i="9"/>
  <c r="X25" i="9"/>
  <c r="Y25" i="9"/>
  <c r="N108" i="9"/>
  <c r="O108" i="9"/>
  <c r="P108" i="9"/>
  <c r="N110" i="9"/>
  <c r="O110" i="9"/>
  <c r="P110" i="9"/>
  <c r="G38" i="2" a="1"/>
  <c r="G38" i="2"/>
  <c r="P20" i="8"/>
  <c r="Q20" i="8"/>
  <c r="R20" i="8"/>
  <c r="S20" i="8"/>
  <c r="T20" i="8"/>
  <c r="U20" i="8"/>
  <c r="V20" i="8"/>
  <c r="W20" i="8"/>
  <c r="X20" i="8"/>
  <c r="Y20" i="8"/>
  <c r="P23" i="8"/>
  <c r="Q23" i="8"/>
  <c r="R23" i="8"/>
  <c r="S23" i="8"/>
  <c r="T23" i="8"/>
  <c r="U23" i="8"/>
  <c r="V23" i="8"/>
  <c r="W23" i="8"/>
  <c r="X23" i="8"/>
  <c r="Y23" i="8"/>
  <c r="P25" i="8"/>
  <c r="Q25" i="8"/>
  <c r="R25" i="8"/>
  <c r="S25" i="8"/>
  <c r="T25" i="8"/>
  <c r="U25" i="8"/>
  <c r="V25" i="8"/>
  <c r="W25" i="8"/>
  <c r="X25" i="8"/>
  <c r="Y25" i="8"/>
  <c r="P26" i="8"/>
  <c r="Q26" i="8"/>
  <c r="R26" i="8"/>
  <c r="S26" i="8"/>
  <c r="T26" i="8"/>
  <c r="U26" i="8"/>
  <c r="V26" i="8"/>
  <c r="W26" i="8"/>
  <c r="X26" i="8"/>
  <c r="Y26" i="8"/>
  <c r="P32" i="8"/>
  <c r="Q32" i="8"/>
  <c r="R32" i="8"/>
  <c r="S32" i="8"/>
  <c r="T32" i="8"/>
  <c r="U32" i="8"/>
  <c r="V32" i="8"/>
  <c r="W32" i="8"/>
  <c r="X32" i="8"/>
  <c r="Y32" i="8"/>
  <c r="P34" i="8"/>
  <c r="Q34" i="8"/>
  <c r="R34" i="8"/>
  <c r="S34" i="8"/>
  <c r="T34" i="8"/>
  <c r="U34" i="8"/>
  <c r="V34" i="8"/>
  <c r="W34" i="8"/>
  <c r="X34" i="8"/>
  <c r="Y34" i="8"/>
  <c r="P41" i="8"/>
  <c r="Q41" i="8"/>
  <c r="R41" i="8"/>
  <c r="S41" i="8"/>
  <c r="T41" i="8"/>
  <c r="U41" i="8"/>
  <c r="V41" i="8"/>
  <c r="W41" i="8"/>
  <c r="X41" i="8"/>
  <c r="Y41" i="8"/>
  <c r="P44" i="8"/>
  <c r="Q44" i="8"/>
  <c r="R44" i="8"/>
  <c r="S44" i="8"/>
  <c r="T44" i="8"/>
  <c r="U44" i="8"/>
  <c r="V44" i="8"/>
  <c r="W44" i="8"/>
  <c r="X44" i="8"/>
  <c r="Y44" i="8"/>
  <c r="P45" i="8"/>
  <c r="Q45" i="8"/>
  <c r="R45" i="8"/>
  <c r="S45" i="8"/>
  <c r="T45" i="8"/>
  <c r="U45" i="8"/>
  <c r="V45" i="8"/>
  <c r="W45" i="8"/>
  <c r="X45" i="8"/>
  <c r="Y45" i="8"/>
  <c r="P51" i="8"/>
  <c r="Q51" i="8"/>
  <c r="R51" i="8"/>
  <c r="S51" i="8"/>
  <c r="T51" i="8"/>
  <c r="U51" i="8"/>
  <c r="V51" i="8"/>
  <c r="W51" i="8"/>
  <c r="X51" i="8"/>
  <c r="Y51" i="8"/>
  <c r="P53" i="8"/>
  <c r="Q53" i="8"/>
  <c r="R53" i="8"/>
  <c r="S53" i="8"/>
  <c r="T53" i="8"/>
  <c r="U53" i="8"/>
  <c r="V53" i="8"/>
  <c r="W53" i="8"/>
  <c r="X53" i="8"/>
  <c r="Y53" i="8"/>
  <c r="P62" i="8"/>
  <c r="Q62" i="8"/>
  <c r="R62" i="8"/>
  <c r="S62" i="8"/>
  <c r="T62" i="8"/>
  <c r="U62" i="8"/>
  <c r="V62" i="8"/>
  <c r="W62" i="8"/>
  <c r="X62" i="8"/>
  <c r="Y62" i="8"/>
  <c r="P63" i="8"/>
  <c r="Q63" i="8"/>
  <c r="R63" i="8"/>
  <c r="S63" i="8"/>
  <c r="T63" i="8"/>
  <c r="U63" i="8"/>
  <c r="V63" i="8"/>
  <c r="W63" i="8"/>
  <c r="X63" i="8"/>
  <c r="Y63" i="8"/>
  <c r="P66" i="8"/>
  <c r="Q66" i="8"/>
  <c r="R66" i="8"/>
  <c r="S66" i="8"/>
  <c r="T66" i="8"/>
  <c r="U66" i="8"/>
  <c r="V66" i="8"/>
  <c r="W66" i="8"/>
  <c r="X66" i="8"/>
  <c r="Y66" i="8"/>
  <c r="P70" i="8"/>
  <c r="Q70" i="8"/>
  <c r="R70" i="8"/>
  <c r="S70" i="8"/>
  <c r="T70" i="8"/>
  <c r="U70" i="8"/>
  <c r="V70" i="8"/>
  <c r="W70" i="8"/>
  <c r="X70" i="8"/>
  <c r="Y70" i="8"/>
  <c r="P71" i="8"/>
  <c r="Q71" i="8"/>
  <c r="R71" i="8"/>
  <c r="S71" i="8"/>
  <c r="T71" i="8"/>
  <c r="U71" i="8"/>
  <c r="V71" i="8"/>
  <c r="W71" i="8"/>
  <c r="X71" i="8"/>
  <c r="Y71" i="8"/>
  <c r="P75" i="8"/>
  <c r="Q75" i="8"/>
  <c r="R75" i="8"/>
  <c r="S75" i="8"/>
  <c r="T75" i="8"/>
  <c r="U75" i="8"/>
  <c r="V75" i="8"/>
  <c r="W75" i="8"/>
  <c r="X75" i="8"/>
  <c r="Y75" i="8"/>
  <c r="P76" i="8"/>
  <c r="P80" i="8"/>
  <c r="Q80" i="8"/>
  <c r="R80" i="8"/>
  <c r="S80" i="8"/>
  <c r="T80" i="8"/>
  <c r="U80" i="8"/>
  <c r="V80" i="8"/>
  <c r="W80" i="8"/>
  <c r="X80" i="8"/>
  <c r="Y80" i="8"/>
  <c r="P83" i="8"/>
  <c r="Q83" i="8"/>
  <c r="R83" i="8"/>
  <c r="S83" i="8"/>
  <c r="T83" i="8"/>
  <c r="U83" i="8"/>
  <c r="V83" i="8"/>
  <c r="W83" i="8"/>
  <c r="X83" i="8"/>
  <c r="Y83" i="8"/>
  <c r="W87" i="8"/>
  <c r="X87" i="8"/>
  <c r="Y87" i="8"/>
  <c r="W88" i="8"/>
  <c r="X88" i="8"/>
  <c r="Y88" i="8"/>
  <c r="W93" i="8"/>
  <c r="X93" i="8"/>
  <c r="Y93" i="8"/>
  <c r="W94" i="8"/>
  <c r="X94" i="8"/>
  <c r="Y94" i="8"/>
  <c r="P98" i="8"/>
  <c r="Q98" i="8"/>
  <c r="R98" i="8"/>
  <c r="S98" i="8"/>
  <c r="T98" i="8"/>
  <c r="U98" i="8"/>
  <c r="V98" i="8"/>
  <c r="W98" i="8"/>
  <c r="X98" i="8"/>
  <c r="Y98" i="8"/>
  <c r="Q99" i="8"/>
  <c r="R99" i="8"/>
  <c r="S99" i="8"/>
  <c r="T99" i="8"/>
  <c r="U99" i="8"/>
  <c r="V99" i="8"/>
  <c r="W99" i="8"/>
  <c r="X99" i="8"/>
  <c r="Y99" i="8"/>
  <c r="P139" i="8"/>
  <c r="Q139" i="8"/>
  <c r="R139" i="8"/>
  <c r="S139" i="8"/>
  <c r="T139" i="8"/>
  <c r="U139" i="8"/>
  <c r="V139" i="8"/>
  <c r="W139" i="8"/>
  <c r="X139" i="8"/>
  <c r="Y139" i="8"/>
  <c r="P141" i="8"/>
  <c r="P144" i="8"/>
  <c r="Q144" i="8"/>
  <c r="R144" i="8"/>
  <c r="S144" i="8"/>
  <c r="T144" i="8"/>
  <c r="U144" i="8"/>
  <c r="V144" i="8"/>
  <c r="W144" i="8"/>
  <c r="X144" i="8"/>
  <c r="Y144" i="8"/>
  <c r="P145" i="8"/>
  <c r="Q145" i="8"/>
  <c r="R145" i="8"/>
  <c r="S145" i="8"/>
  <c r="T145" i="8"/>
  <c r="U145" i="8"/>
  <c r="V145" i="8"/>
  <c r="W145" i="8"/>
  <c r="X145" i="8"/>
  <c r="Y145" i="8"/>
  <c r="G6" i="7"/>
  <c r="K6" i="7"/>
  <c r="G7" i="7"/>
  <c r="K7" i="7"/>
  <c r="G8" i="7"/>
  <c r="K8" i="7"/>
  <c r="G11" i="7"/>
  <c r="G13" i="7"/>
  <c r="G15" i="7"/>
</calcChain>
</file>

<file path=xl/sharedStrings.xml><?xml version="1.0" encoding="utf-8"?>
<sst xmlns="http://schemas.openxmlformats.org/spreadsheetml/2006/main" count="763" uniqueCount="306">
  <si>
    <t>Generic DCF - High Level</t>
  </si>
  <si>
    <t>DCF Inputs Sheet</t>
  </si>
  <si>
    <t>Constants</t>
  </si>
  <si>
    <t>Forecast Inputs</t>
  </si>
  <si>
    <t>Subject Company</t>
  </si>
  <si>
    <t>Abc</t>
  </si>
  <si>
    <t>Terminal WACC</t>
  </si>
  <si>
    <t>%</t>
  </si>
  <si>
    <t>Cost of Equity</t>
  </si>
  <si>
    <t>Last Financial Year of Data (dd.mm.yyyy)</t>
  </si>
  <si>
    <t>#</t>
  </si>
  <si>
    <t>First Historic Financial Year End</t>
  </si>
  <si>
    <t>abc</t>
  </si>
  <si>
    <t>Last Balance Date</t>
  </si>
  <si>
    <t>Valuation Date</t>
  </si>
  <si>
    <t>Last Price</t>
  </si>
  <si>
    <t>$ / share</t>
  </si>
  <si>
    <t>DCF Timing Settings</t>
  </si>
  <si>
    <t>Next Balance Date</t>
  </si>
  <si>
    <t>Current Date</t>
  </si>
  <si>
    <t>Net Debt</t>
  </si>
  <si>
    <t>Control</t>
  </si>
  <si>
    <t>Include Net Debt Adjustment for Leases?</t>
  </si>
  <si>
    <t>Yes</t>
  </si>
  <si>
    <t>Short &amp; Long Term Debt</t>
  </si>
  <si>
    <t>$m</t>
  </si>
  <si>
    <t>Lease Liabilities</t>
  </si>
  <si>
    <t>Cash &amp; Equivalents</t>
  </si>
  <si>
    <t>Net Cash (Debt)</t>
  </si>
  <si>
    <t>Terminal Value Inputs</t>
  </si>
  <si>
    <t>Terminal Revenue</t>
  </si>
  <si>
    <t>Terminal EBITDA Margin</t>
  </si>
  <si>
    <t>Terminal Growth Rate</t>
  </si>
  <si>
    <t>Terminal Year Control</t>
  </si>
  <si>
    <t>Year</t>
  </si>
  <si>
    <t>Exit Year &gt;&gt;&gt;</t>
  </si>
  <si>
    <t>Apportionment</t>
  </si>
  <si>
    <t>Tax Rate (%)</t>
  </si>
  <si>
    <t>Shares Out (Millions)</t>
  </si>
  <si>
    <t xml:space="preserve">Millions </t>
  </si>
  <si>
    <t>Named Ranges</t>
  </si>
  <si>
    <t>Months in Year</t>
  </si>
  <si>
    <t>Millions</t>
  </si>
  <si>
    <t>kt</t>
  </si>
  <si>
    <t>Days in year</t>
  </si>
  <si>
    <t>END OF SHEET</t>
  </si>
  <si>
    <t>FY20</t>
  </si>
  <si>
    <t>FY21</t>
  </si>
  <si>
    <t>NAV</t>
  </si>
  <si>
    <t>Underlying NPAT</t>
  </si>
  <si>
    <t>Shares</t>
  </si>
  <si>
    <t>NTA P/S</t>
  </si>
  <si>
    <t>AFFO</t>
  </si>
  <si>
    <t>Guided AFFO p/s</t>
  </si>
  <si>
    <t>AFFO Yield</t>
  </si>
  <si>
    <t>Valuation Dashboard</t>
  </si>
  <si>
    <t>DCF Valuation</t>
  </si>
  <si>
    <t>Value of Continuing Operations (EV)</t>
  </si>
  <si>
    <t>(+)</t>
  </si>
  <si>
    <t>Value of Other Assets (adjustments)</t>
  </si>
  <si>
    <t>(-)</t>
  </si>
  <si>
    <t>Current Net Cash (Debt)</t>
  </si>
  <si>
    <t>=</t>
  </si>
  <si>
    <t>Equity Value</t>
  </si>
  <si>
    <t>Shares Outstanding</t>
  </si>
  <si>
    <t>millions</t>
  </si>
  <si>
    <t>$ / Share</t>
  </si>
  <si>
    <t>Current Price</t>
  </si>
  <si>
    <t>Upside / (Downside) to Spot</t>
  </si>
  <si>
    <t>Weighted Average Cost of Capital</t>
  </si>
  <si>
    <t>Implied Current EV / EBITDA (cross check)</t>
  </si>
  <si>
    <t>x</t>
  </si>
  <si>
    <t>Implied EV / EBIT (cross check)</t>
  </si>
  <si>
    <t>Trading EV / EBITDA (FY1)</t>
  </si>
  <si>
    <t>Trading EV / EBIT (FY1)</t>
  </si>
  <si>
    <t>Investment Returns</t>
  </si>
  <si>
    <t>Implied Price Return</t>
  </si>
  <si>
    <t>Implied Total Return</t>
  </si>
  <si>
    <t>Scenario &amp; Sensitivity Analysis</t>
  </si>
  <si>
    <t>WACC Inputs</t>
  </si>
  <si>
    <t>Change in WACC</t>
  </si>
  <si>
    <t>Tax Rate</t>
  </si>
  <si>
    <t>Equity Risk Premium</t>
  </si>
  <si>
    <t>Terminal</t>
  </si>
  <si>
    <t>EBITDA</t>
  </si>
  <si>
    <t>Margin</t>
  </si>
  <si>
    <t>Historic Data</t>
  </si>
  <si>
    <t>Discounted Cashflow</t>
  </si>
  <si>
    <t>Year &gt;&gt;&gt;</t>
  </si>
  <si>
    <t>Period</t>
  </si>
  <si>
    <t>Units</t>
  </si>
  <si>
    <t>Mid Year Factor</t>
  </si>
  <si>
    <t>TVM Factor</t>
  </si>
  <si>
    <t>Financial Year Start</t>
  </si>
  <si>
    <t>Financial Year End</t>
  </si>
  <si>
    <t>Actual / Forecast</t>
  </si>
  <si>
    <t>Operating Flags</t>
  </si>
  <si>
    <t>Terminal Year Flag</t>
  </si>
  <si>
    <t>Valuation Cashflows</t>
  </si>
  <si>
    <t>Core Operating Revenue</t>
  </si>
  <si>
    <t>Operating Expenses</t>
  </si>
  <si>
    <t>EBIT</t>
  </si>
  <si>
    <t>Adjusted Taxes</t>
  </si>
  <si>
    <t>Net Operating Profit After Tax</t>
  </si>
  <si>
    <t>Change in WC</t>
  </si>
  <si>
    <t>Core Capital Expenditure (Tangibles)</t>
  </si>
  <si>
    <t>Core Capital Expenditure (Intangibles)</t>
  </si>
  <si>
    <t>Other Growth Investments</t>
  </si>
  <si>
    <t>Unlevered Free Cashflow (FCFF)</t>
  </si>
  <si>
    <t>Apportioned Discrete Cashflow</t>
  </si>
  <si>
    <t>Apportioned Terminal Value</t>
  </si>
  <si>
    <t>Time Period to Cashflow</t>
  </si>
  <si>
    <t>Discount Factor</t>
  </si>
  <si>
    <t>PV of FCFF</t>
  </si>
  <si>
    <t>FCFF Terminal Value</t>
  </si>
  <si>
    <t>Increases in Net Debt</t>
  </si>
  <si>
    <t>FCFF</t>
  </si>
  <si>
    <t>New Debt Issues</t>
  </si>
  <si>
    <t>FCFE</t>
  </si>
  <si>
    <t>PV of FCFE</t>
  </si>
  <si>
    <t>FCFE Terminal Value</t>
  </si>
  <si>
    <t>Free Cash Flow to Firm (FCFF)</t>
  </si>
  <si>
    <t>Enterprise Value Bridge to Equity Value:</t>
  </si>
  <si>
    <t>DCF Value per Share - FCFF</t>
  </si>
  <si>
    <t>Free Cash Flow to Equity (FCFE)</t>
  </si>
  <si>
    <t xml:space="preserve">Dividends per Share (DPS) </t>
  </si>
  <si>
    <t>DPS Growth (g)</t>
  </si>
  <si>
    <t>DDM Value per Share (spot)</t>
  </si>
  <si>
    <t>YoY</t>
  </si>
  <si>
    <t>Summary Dashboard</t>
  </si>
  <si>
    <t>Methodology</t>
  </si>
  <si>
    <t>Intrisic Value</t>
  </si>
  <si>
    <t xml:space="preserve">Weight </t>
  </si>
  <si>
    <t>Scenario Simulator</t>
  </si>
  <si>
    <t>Variables</t>
  </si>
  <si>
    <t>DDM</t>
  </si>
  <si>
    <t>Upside</t>
  </si>
  <si>
    <t>Base</t>
  </si>
  <si>
    <t>Downside</t>
  </si>
  <si>
    <t>Market Price</t>
  </si>
  <si>
    <t xml:space="preserve">Recommendation </t>
  </si>
  <si>
    <t>Valuation</t>
  </si>
  <si>
    <t>Revenues</t>
  </si>
  <si>
    <t>Segment 1</t>
  </si>
  <si>
    <t>Segment 2</t>
  </si>
  <si>
    <t>Segment 3</t>
  </si>
  <si>
    <t>Segment 4</t>
  </si>
  <si>
    <t>Segment 5</t>
  </si>
  <si>
    <t>Variable &amp; Fixed Expense</t>
  </si>
  <si>
    <t xml:space="preserve">Total </t>
  </si>
  <si>
    <t>Total EBITDA</t>
  </si>
  <si>
    <t>Total EBIT</t>
  </si>
  <si>
    <t>D&amp;A</t>
  </si>
  <si>
    <t>Total D&amp;A</t>
  </si>
  <si>
    <t>Tax</t>
  </si>
  <si>
    <t>Total Tax</t>
  </si>
  <si>
    <t>Interest Expense</t>
  </si>
  <si>
    <t>Total Interest Expense</t>
  </si>
  <si>
    <t>Underlying Earnings</t>
  </si>
  <si>
    <t>DPS</t>
  </si>
  <si>
    <t>$c</t>
  </si>
  <si>
    <t>Payout Ratio</t>
  </si>
  <si>
    <t>Adjustment Factor</t>
  </si>
  <si>
    <t>DPS Theoretically</t>
  </si>
  <si>
    <t>Difference</t>
  </si>
  <si>
    <t>Adjusted DPS (cents)</t>
  </si>
  <si>
    <t>DPS Theory Adjustment Factor</t>
  </si>
  <si>
    <t>EPS</t>
  </si>
  <si>
    <t>YoY Growth Rate</t>
  </si>
  <si>
    <t>EBITDA (norm ex IB)</t>
  </si>
  <si>
    <t xml:space="preserve">YoY </t>
  </si>
  <si>
    <t>margin</t>
  </si>
  <si>
    <t>Financial Statements</t>
  </si>
  <si>
    <t>Summary P&amp;L</t>
  </si>
  <si>
    <t>Opex</t>
  </si>
  <si>
    <t xml:space="preserve">Net interest expense </t>
  </si>
  <si>
    <t>Lease interest expense</t>
  </si>
  <si>
    <t>Extraordinary items</t>
  </si>
  <si>
    <t>PBT</t>
  </si>
  <si>
    <t>Taxation</t>
  </si>
  <si>
    <t>NPAT (Reported)</t>
  </si>
  <si>
    <t>NPAT (Underlying)</t>
  </si>
  <si>
    <t xml:space="preserve">EPS </t>
  </si>
  <si>
    <t>Summary Balance Sheet</t>
  </si>
  <si>
    <t xml:space="preserve">Cash and cash equivalents </t>
  </si>
  <si>
    <t xml:space="preserve">Trade and other receivables </t>
  </si>
  <si>
    <t xml:space="preserve">Inventory </t>
  </si>
  <si>
    <t xml:space="preserve">Other current assets </t>
  </si>
  <si>
    <t>Total current assets</t>
  </si>
  <si>
    <t>Property, plant and equipment</t>
  </si>
  <si>
    <t>Intangible assets</t>
  </si>
  <si>
    <t>Right of use assets</t>
  </si>
  <si>
    <t>Other non-current assets</t>
  </si>
  <si>
    <t>Total non-current assets</t>
  </si>
  <si>
    <t>TOTAL ASSETS</t>
  </si>
  <si>
    <t>Trade and other payables</t>
  </si>
  <si>
    <t>Short term debt</t>
  </si>
  <si>
    <t>Lease liabilities</t>
  </si>
  <si>
    <t>Other current liabilities</t>
  </si>
  <si>
    <t>Total current liabilities</t>
  </si>
  <si>
    <t>Non-current lease liabilities</t>
  </si>
  <si>
    <t>Borrowings</t>
  </si>
  <si>
    <t>Other non-current liabilities</t>
  </si>
  <si>
    <t>TOTAL LIABILITIES</t>
  </si>
  <si>
    <t>Acquisition / sale of business</t>
  </si>
  <si>
    <t>Payment for intangibles</t>
  </si>
  <si>
    <t>Capex</t>
  </si>
  <si>
    <t>Net borrowing</t>
  </si>
  <si>
    <t>Dividends paid to shareholders</t>
  </si>
  <si>
    <t xml:space="preserve"> </t>
  </si>
  <si>
    <t>Depreciation</t>
  </si>
  <si>
    <t>Payout Ratio %</t>
  </si>
  <si>
    <t>Cash Flow Statement Items</t>
  </si>
  <si>
    <t>End of Sheet</t>
  </si>
  <si>
    <t>Average</t>
  </si>
  <si>
    <t>Option-1: PRAT Model</t>
  </si>
  <si>
    <t>Retention Rate (Y)</t>
  </si>
  <si>
    <t>Profit Margin %</t>
  </si>
  <si>
    <t>Asset Turnover</t>
  </si>
  <si>
    <t>Financial Leverage</t>
  </si>
  <si>
    <t>PRAT Growth Estimation</t>
  </si>
  <si>
    <t>Option-2: Sustainable Growth Model</t>
  </si>
  <si>
    <t>Shareholder's Equity</t>
  </si>
  <si>
    <t>Sustainable Growth</t>
  </si>
  <si>
    <t>Interim Growth Stage</t>
  </si>
  <si>
    <t>DPS (From Forecasting)</t>
  </si>
  <si>
    <t>Transition Stage</t>
  </si>
  <si>
    <t>Weight</t>
  </si>
  <si>
    <t>PRAT</t>
  </si>
  <si>
    <t>TOTAL EQUITY</t>
  </si>
  <si>
    <t>Growth</t>
  </si>
  <si>
    <t>Total non-current liabilities</t>
  </si>
  <si>
    <t>DCF Value per Share - FCFE</t>
  </si>
  <si>
    <t>Option-3: Dividend Growth Forecast</t>
  </si>
  <si>
    <t xml:space="preserve">Dividend Growth Forecast </t>
  </si>
  <si>
    <t>Final Growth Estimation</t>
  </si>
  <si>
    <t>Absolute Valuation</t>
  </si>
  <si>
    <t>DDM Value per Share</t>
  </si>
  <si>
    <t>Growth Phase</t>
  </si>
  <si>
    <t>PV of FCFF Terminal Value</t>
  </si>
  <si>
    <t>PV of FCFE Terminal Value</t>
  </si>
  <si>
    <t>DDM Valuation</t>
  </si>
  <si>
    <t>Apportioned Discrete DPS</t>
  </si>
  <si>
    <t>DDM Terminal Value</t>
  </si>
  <si>
    <t>PV of DPS</t>
  </si>
  <si>
    <t>PV of DPS Terminal Value</t>
  </si>
  <si>
    <t>Dividend Discount Model (DDM)</t>
  </si>
  <si>
    <t xml:space="preserve">Forecasted Dividends per Share </t>
  </si>
  <si>
    <t>DDM Inputs</t>
  </si>
  <si>
    <t>DCF (FCFE)</t>
  </si>
  <si>
    <t>DCF (FCFF)</t>
  </si>
  <si>
    <t>Final Intrinsic Value</t>
  </si>
  <si>
    <t>Working Capital</t>
  </si>
  <si>
    <t>Change in Working Capital</t>
  </si>
  <si>
    <t>Total Revenue</t>
  </si>
  <si>
    <t>Growth Rates</t>
  </si>
  <si>
    <t>Growth Models</t>
  </si>
  <si>
    <t>WACC</t>
  </si>
  <si>
    <t>Load up bond, then QY</t>
  </si>
  <si>
    <t>Cash From Investing Activities</t>
  </si>
  <si>
    <t>Depreciation &amp; Amortisation Expense</t>
  </si>
  <si>
    <t xml:space="preserve">Core Operating Revenue </t>
  </si>
  <si>
    <t>Premium / (Discount)</t>
  </si>
  <si>
    <t>Principal Debt Repayments</t>
  </si>
  <si>
    <t>$</t>
  </si>
  <si>
    <t>EBIT (Underlying)</t>
  </si>
  <si>
    <t>EBITDA (Underlying)</t>
  </si>
  <si>
    <t>Dividend Growth Forecast</t>
  </si>
  <si>
    <t xml:space="preserve">Earnings per Share </t>
  </si>
  <si>
    <t xml:space="preserve">DPS </t>
  </si>
  <si>
    <t>Cost of Capital &amp; Terminal</t>
  </si>
  <si>
    <t>NGH.NZ</t>
  </si>
  <si>
    <t>Business</t>
  </si>
  <si>
    <t>Rural</t>
  </si>
  <si>
    <t>-</t>
  </si>
  <si>
    <t>Motor</t>
  </si>
  <si>
    <t>Total Segment 1 Total Assets</t>
  </si>
  <si>
    <t>Total Segment 2 Total Assets</t>
  </si>
  <si>
    <t>Total Segment 3 Total Assets</t>
  </si>
  <si>
    <t>Non-Core Property</t>
  </si>
  <si>
    <t>Total Segment 4 Profit Loss</t>
  </si>
  <si>
    <t>Total Segment 5 Total Assets</t>
  </si>
  <si>
    <t>Reverse Mortgages</t>
  </si>
  <si>
    <t>Total Segment 6 Total Assets</t>
  </si>
  <si>
    <t>1382..37</t>
  </si>
  <si>
    <t>NIM (Net Interest Margin)</t>
  </si>
  <si>
    <t>Households*</t>
  </si>
  <si>
    <t>* (As of 12/2018 absorbed by Other Personal, Motor, Reverse Mortgages)</t>
  </si>
  <si>
    <t>Segment 6</t>
  </si>
  <si>
    <t>Cost of Equity (DDM)</t>
  </si>
  <si>
    <t>Cost of Debt (After tax)</t>
  </si>
  <si>
    <t>Change in EV / EBITDA 5 Year Avg</t>
  </si>
  <si>
    <t>WACC 2024</t>
  </si>
  <si>
    <t>WACC 2023</t>
  </si>
  <si>
    <t>Cost of Equity (Re)</t>
  </si>
  <si>
    <t>Cost of Debt (Rd) (Before tax)</t>
  </si>
  <si>
    <t>Beta (5 year monthly, Refinitive)</t>
  </si>
  <si>
    <t>Market Return (Rm)</t>
  </si>
  <si>
    <t>Banking Industry Annualized Return Rm</t>
  </si>
  <si>
    <t>NZX 10Y Index Return</t>
  </si>
  <si>
    <t xml:space="preserve">Total Equity </t>
  </si>
  <si>
    <t xml:space="preserve">Total Debt </t>
  </si>
  <si>
    <t>D/D+E</t>
  </si>
  <si>
    <t>E/D+E</t>
  </si>
  <si>
    <t>Rf Rate (Cost of Debt)</t>
  </si>
  <si>
    <t>157,40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</si>
</sst>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7">
    <numFmt numFmtId="43" formatCode="_(* #,##0.00_);_(* \(#,##0.00\);_(* &quot;-&quot;??_);_(@_)"/>
    <numFmt numFmtId="164" formatCode="_-&quot;$&quot;* #,##0.00_-;\-&quot;$&quot;* #,##0.00_-;_-&quot;$&quot;* &quot;-&quot;??_-;_-@_-"/>
    <numFmt numFmtId="165" formatCode="_-* #,##0.00_-;\-* #,##0.00_-;_-* &quot;-&quot;??_-;_-@_-"/>
    <numFmt numFmtId="166" formatCode="0.0%_);\(0.0%\);&quot;-&quot;_);@_)"/>
    <numFmt numFmtId="167" formatCode="0.0\x;\(0.0\x\);&quot;–&quot;"/>
    <numFmt numFmtId="168" formatCode="#,##0.0_);\(#,##0.0\);&quot;-&quot;_);@_)"/>
    <numFmt numFmtId="169" formatCode="&quot;FY&quot;yy"/>
    <numFmt numFmtId="170" formatCode="0.0"/>
    <numFmt numFmtId="171" formatCode="d\ mmm\ yy_);d\ mmm\ yy_);&quot;-&quot;_);@_)"/>
    <numFmt numFmtId="172" formatCode="0.0%"/>
    <numFmt numFmtId="173" formatCode="#,##0.00_);\(#,##0.00\);&quot;-&quot;_);@_)"/>
    <numFmt numFmtId="174" formatCode="#,##0.000_);\(#,##0.000\);&quot;-&quot;_);@_)"/>
    <numFmt numFmtId="175" formatCode="_-* #,##0.00_-;\-* #,##0.00_-;_-* &quot;-&quot;??_-;_-@"/>
    <numFmt numFmtId="176" formatCode="#,##0_);\(#,##0\);&quot;-&quot;_);@_)"/>
    <numFmt numFmtId="177" formatCode="0.00%_);\(0.00%\);&quot;-&quot;_);@_)"/>
    <numFmt numFmtId="178" formatCode="0.00\x;\(0.00\x\);&quot;–&quot;"/>
    <numFmt numFmtId="179" formatCode="#,##0.000"/>
    <numFmt numFmtId="180" formatCode="_-&quot;$&quot;* #,##0.00_-;\-&quot;$&quot;* #,##0.00_-;_-&quot;$&quot;* &quot;-&quot;??_-;_-@"/>
    <numFmt numFmtId="181" formatCode="0.000"/>
    <numFmt numFmtId="182" formatCode="0.0%;\(0.0%\)"/>
    <numFmt numFmtId="183" formatCode="_-* #,##0.0_-;\-* #,##0.0_-;_-* &quot;-&quot;??_-;_-@"/>
    <numFmt numFmtId="184" formatCode="0.00%;\(0.00%\)"/>
    <numFmt numFmtId="185" formatCode="_(* #,##0.0_);_(* \(#,##0.0\);_(* &quot;-&quot;?_);_(@_)"/>
    <numFmt numFmtId="186" formatCode="#,##0.0"/>
    <numFmt numFmtId="187" formatCode="[$-1409]d\ mmmm\ yyyy;@"/>
    <numFmt numFmtId="188" formatCode="0.00000"/>
    <numFmt numFmtId="197" formatCode="0.000%"/>
  </numFmts>
  <fonts count="32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10"/>
      <color theme="1"/>
      <name val="Arial"/>
      <family val="2"/>
    </font>
    <font>
      <sz val="10"/>
      <color theme="1"/>
      <name val="Arial"/>
      <family val="2"/>
    </font>
    <font>
      <b/>
      <sz val="10"/>
      <color theme="0"/>
      <name val="Arial"/>
      <family val="2"/>
    </font>
    <font>
      <i/>
      <sz val="10"/>
      <color theme="0"/>
      <name val="Arial"/>
      <family val="2"/>
    </font>
    <font>
      <i/>
      <sz val="10"/>
      <color rgb="FF000000"/>
      <name val="Arial"/>
      <family val="2"/>
    </font>
    <font>
      <i/>
      <sz val="10"/>
      <color theme="1"/>
      <name val="Arial"/>
      <family val="2"/>
    </font>
    <font>
      <sz val="10"/>
      <color rgb="FF000000"/>
      <name val="Arial"/>
      <family val="2"/>
    </font>
    <font>
      <sz val="10"/>
      <color rgb="FF0000FF"/>
      <name val="Arial"/>
      <family val="2"/>
    </font>
    <font>
      <b/>
      <sz val="10"/>
      <color rgb="FF0000FF"/>
      <name val="Arial"/>
      <family val="2"/>
    </font>
    <font>
      <sz val="10"/>
      <name val="Arial"/>
      <family val="2"/>
    </font>
    <font>
      <b/>
      <i/>
      <sz val="10"/>
      <color rgb="FF000000"/>
      <name val="Arial"/>
      <family val="2"/>
    </font>
    <font>
      <i/>
      <sz val="10"/>
      <color rgb="FF0000FF"/>
      <name val="Arial"/>
      <family val="2"/>
    </font>
    <font>
      <sz val="10"/>
      <color theme="0"/>
      <name val="Arial"/>
      <family val="2"/>
    </font>
    <font>
      <sz val="11"/>
      <name val="Calibri"/>
      <family val="2"/>
    </font>
    <font>
      <b/>
      <sz val="11"/>
      <color theme="1"/>
      <name val="Arial"/>
      <family val="2"/>
    </font>
    <font>
      <b/>
      <sz val="10"/>
      <color rgb="FF000000"/>
      <name val="Arial"/>
      <family val="2"/>
    </font>
    <font>
      <b/>
      <sz val="10"/>
      <name val="Arial"/>
      <family val="2"/>
    </font>
    <font>
      <b/>
      <sz val="11"/>
      <name val="Calibri"/>
      <family val="2"/>
    </font>
    <font>
      <i/>
      <sz val="10"/>
      <name val="Arial"/>
      <family val="2"/>
    </font>
    <font>
      <b/>
      <i/>
      <sz val="10"/>
      <color theme="1"/>
      <name val="Arial"/>
      <family val="2"/>
    </font>
    <font>
      <b/>
      <i/>
      <sz val="10"/>
      <color rgb="FF0000FF"/>
      <name val="Arial"/>
      <family val="2"/>
    </font>
    <font>
      <b/>
      <sz val="11"/>
      <color theme="1"/>
      <name val="Calibri"/>
      <family val="2"/>
    </font>
    <font>
      <sz val="10"/>
      <color rgb="FFFF0000"/>
      <name val="Arial"/>
      <family val="2"/>
    </font>
    <font>
      <sz val="11"/>
      <color theme="1"/>
      <name val="Calibri"/>
      <family val="2"/>
    </font>
    <font>
      <sz val="10"/>
      <color rgb="FF2E75B5"/>
      <name val="Arial"/>
      <family val="2"/>
    </font>
    <font>
      <b/>
      <sz val="10"/>
      <color rgb="FF2E75B5"/>
      <name val="Arial"/>
      <family val="2"/>
    </font>
    <font>
      <i/>
      <sz val="10"/>
      <color rgb="FFFF0000"/>
      <name val="Arial"/>
      <family val="2"/>
    </font>
    <font>
      <b/>
      <sz val="11"/>
      <color theme="0"/>
      <name val="Arial"/>
      <family val="2"/>
    </font>
    <font>
      <sz val="11"/>
      <color rgb="FF0000FF"/>
      <name val="Aptos Narrow"/>
      <family val="2"/>
      <scheme val="minor"/>
    </font>
  </fonts>
  <fills count="27">
    <fill>
      <patternFill patternType="none"/>
    </fill>
    <fill>
      <patternFill patternType="gray125"/>
    </fill>
    <fill>
      <patternFill patternType="solid">
        <fgColor rgb="FF44546A"/>
        <bgColor rgb="FF44546A"/>
      </patternFill>
    </fill>
    <fill>
      <patternFill patternType="solid">
        <fgColor rgb="FFE7E6E6"/>
        <bgColor rgb="FFE7E6E6"/>
      </patternFill>
    </fill>
    <fill>
      <patternFill patternType="solid">
        <fgColor rgb="FFFFFF99"/>
        <bgColor rgb="FFFFF1CC"/>
      </patternFill>
    </fill>
    <fill>
      <patternFill patternType="solid">
        <fgColor rgb="FFFFFF99"/>
        <bgColor rgb="FFD9D9D9"/>
      </patternFill>
    </fill>
    <fill>
      <patternFill patternType="solid">
        <fgColor rgb="FFFFFF99"/>
        <bgColor rgb="FFFEF2CB"/>
      </patternFill>
    </fill>
    <fill>
      <patternFill patternType="solid">
        <fgColor rgb="FF7F7F7F"/>
        <bgColor rgb="FF7F7F7F"/>
      </patternFill>
    </fill>
    <fill>
      <patternFill patternType="solid">
        <fgColor rgb="FFD0CECE"/>
        <bgColor rgb="FFD0CECE"/>
      </patternFill>
    </fill>
    <fill>
      <patternFill patternType="solid">
        <fgColor rgb="FFDEEAF6"/>
        <bgColor rgb="FFDEEAF6"/>
      </patternFill>
    </fill>
    <fill>
      <patternFill patternType="solid">
        <fgColor rgb="FF44546A"/>
        <bgColor indexed="64"/>
      </patternFill>
    </fill>
    <fill>
      <patternFill patternType="solid">
        <fgColor rgb="FFFFFF99"/>
        <bgColor indexed="64"/>
      </patternFill>
    </fill>
    <fill>
      <patternFill patternType="solid">
        <fgColor rgb="FFFFFF99"/>
        <bgColor rgb="FFFFFF66"/>
      </patternFill>
    </fill>
    <fill>
      <patternFill patternType="solid">
        <fgColor rgb="FF9CC2E5"/>
        <bgColor rgb="FF9CC2E5"/>
      </patternFill>
    </fill>
    <fill>
      <patternFill patternType="solid">
        <fgColor rgb="FF788DA8"/>
        <bgColor indexed="64"/>
      </patternFill>
    </fill>
    <fill>
      <patternFill patternType="solid">
        <fgColor rgb="FF2E3948"/>
        <bgColor rgb="FF44546A"/>
      </patternFill>
    </fill>
    <fill>
      <patternFill patternType="solid">
        <fgColor rgb="FF788DA8"/>
        <bgColor rgb="FF44546A"/>
      </patternFill>
    </fill>
    <fill>
      <patternFill patternType="solid">
        <fgColor rgb="FF2E3948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E7E6E6"/>
        <bgColor rgb="FFFFF1CC"/>
      </patternFill>
    </fill>
    <fill>
      <patternFill patternType="solid">
        <fgColor rgb="FFE7E6E6"/>
        <bgColor rgb="FFD9D9D9"/>
      </patternFill>
    </fill>
    <fill>
      <patternFill patternType="solid">
        <fgColor rgb="FFE7E6E6"/>
        <bgColor indexed="64"/>
      </patternFill>
    </fill>
    <fill>
      <patternFill patternType="solid">
        <fgColor rgb="FFE7E6E6"/>
        <bgColor rgb="FFD8D8D8"/>
      </patternFill>
    </fill>
    <fill>
      <patternFill patternType="solid">
        <fgColor theme="5"/>
        <bgColor indexed="64"/>
      </patternFill>
    </fill>
    <fill>
      <patternFill patternType="solid">
        <fgColor theme="3" tint="0.749992370372631"/>
        <bgColor indexed="64"/>
      </patternFill>
    </fill>
    <fill>
      <patternFill patternType="solid">
        <fgColor rgb="FFFFFE88"/>
        <bgColor indexed="64"/>
      </patternFill>
    </fill>
    <fill>
      <patternFill patternType="solid">
        <fgColor theme="0"/>
        <bgColor indexed="64"/>
      </patternFill>
    </fill>
  </fills>
  <borders count="68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/>
      <right/>
      <top style="thin">
        <color rgb="FF000000"/>
      </top>
      <bottom/>
      <diagonal/>
    </border>
    <border>
      <left style="thin">
        <color rgb="FFA6A6A6"/>
      </left>
      <right style="thin">
        <color rgb="FFA6A6A6"/>
      </right>
      <top style="thin">
        <color rgb="FFA6A6A6"/>
      </top>
      <bottom style="thin">
        <color rgb="FFA6A6A6"/>
      </bottom>
      <diagonal/>
    </border>
    <border>
      <left style="thin">
        <color rgb="FFA6A6A6"/>
      </left>
      <right style="thin">
        <color rgb="FFA6A6A6"/>
      </right>
      <top style="thin">
        <color rgb="FFA6A6A6"/>
      </top>
      <bottom style="thin">
        <color theme="2" tint="-0.249977111117893"/>
      </bottom>
      <diagonal/>
    </border>
    <border>
      <left style="thin">
        <color rgb="FFA6A6A6"/>
      </left>
      <right style="thin">
        <color rgb="FFA6A6A6"/>
      </right>
      <top style="thin">
        <color rgb="FFA6A6A6"/>
      </top>
      <bottom/>
      <diagonal/>
    </border>
    <border>
      <left style="thin">
        <color rgb="FFA6A6A6"/>
      </left>
      <right style="thin">
        <color rgb="FFA6A6A6"/>
      </right>
      <top/>
      <bottom style="thin">
        <color rgb="FFA6A6A6"/>
      </bottom>
      <diagonal/>
    </border>
    <border>
      <left style="thin">
        <color rgb="FFA5A5A5"/>
      </left>
      <right style="thin">
        <color rgb="FFA5A5A5"/>
      </right>
      <top style="thin">
        <color rgb="FFA5A5A5"/>
      </top>
      <bottom style="thin">
        <color rgb="FFA5A5A5"/>
      </bottom>
      <diagonal/>
    </border>
    <border>
      <left/>
      <right/>
      <top style="thin">
        <color rgb="FFA6A6A6"/>
      </top>
      <bottom style="thin">
        <color rgb="FFA6A6A6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A6A6A6"/>
      </right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A6A6A6"/>
      </left>
      <right style="thin">
        <color rgb="FFA6A6A6"/>
      </right>
      <top style="thin">
        <color rgb="FFA6A6A6"/>
      </top>
      <bottom style="thin">
        <color theme="2" tint="-0.499984740745262"/>
      </bottom>
      <diagonal/>
    </border>
    <border>
      <left/>
      <right/>
      <top/>
      <bottom style="thin">
        <color theme="0"/>
      </bottom>
      <diagonal/>
    </border>
    <border>
      <left/>
      <right/>
      <top style="thin">
        <color indexed="64"/>
      </top>
      <bottom/>
      <diagonal/>
    </border>
    <border>
      <left/>
      <right/>
      <top style="thin">
        <color auto="1"/>
      </top>
      <bottom style="thin">
        <color indexed="64"/>
      </bottom>
      <diagonal/>
    </border>
    <border>
      <left/>
      <right/>
      <top/>
      <bottom style="thin">
        <color rgb="FFA5A5A5"/>
      </bottom>
      <diagonal/>
    </border>
    <border>
      <left/>
      <right style="medium">
        <color rgb="FF000000"/>
      </right>
      <top style="thin">
        <color indexed="64"/>
      </top>
      <bottom style="thin">
        <color indexed="64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theme="2" tint="-0.249977111117893"/>
      </left>
      <right/>
      <top style="thin">
        <color theme="2" tint="-0.249977111117893"/>
      </top>
      <bottom style="thin">
        <color theme="2" tint="-0.249977111117893"/>
      </bottom>
      <diagonal/>
    </border>
    <border>
      <left/>
      <right/>
      <top style="thin">
        <color theme="2" tint="-0.249977111117893"/>
      </top>
      <bottom style="thin">
        <color theme="2" tint="-0.249977111117893"/>
      </bottom>
      <diagonal/>
    </border>
    <border>
      <left/>
      <right style="thin">
        <color theme="2" tint="-0.249977111117893"/>
      </right>
      <top style="thin">
        <color theme="2" tint="-0.249977111117893"/>
      </top>
      <bottom style="thin">
        <color theme="2" tint="-0.249977111117893"/>
      </bottom>
      <diagonal/>
    </border>
    <border>
      <left/>
      <right style="thin">
        <color theme="0"/>
      </right>
      <top/>
      <bottom style="thin">
        <color theme="0"/>
      </bottom>
      <diagonal/>
    </border>
    <border>
      <left style="thin">
        <color theme="0"/>
      </left>
      <right/>
      <top/>
      <bottom style="thin">
        <color theme="0"/>
      </bottom>
      <diagonal/>
    </border>
    <border>
      <left/>
      <right style="thin">
        <color theme="0"/>
      </right>
      <top/>
      <bottom style="thin">
        <color auto="1"/>
      </bottom>
      <diagonal/>
    </border>
    <border>
      <left/>
      <right style="thin">
        <color theme="2" tint="-0.249977111117893"/>
      </right>
      <top/>
      <bottom style="thin">
        <color theme="2" tint="-0.249977111117893"/>
      </bottom>
      <diagonal/>
    </border>
    <border>
      <left style="thin">
        <color theme="2" tint="-0.249977111117893"/>
      </left>
      <right style="thin">
        <color theme="2" tint="-0.249977111117893"/>
      </right>
      <top style="thin">
        <color theme="2" tint="-0.249977111117893"/>
      </top>
      <bottom style="thin">
        <color theme="2" tint="-0.249977111117893"/>
      </bottom>
      <diagonal/>
    </border>
    <border>
      <left style="thin">
        <color theme="0"/>
      </left>
      <right/>
      <top style="thin">
        <color theme="0"/>
      </top>
      <bottom/>
      <diagonal/>
    </border>
    <border>
      <left/>
      <right style="thin">
        <color theme="0"/>
      </right>
      <top/>
      <bottom/>
      <diagonal/>
    </border>
    <border>
      <left/>
      <right/>
      <top style="thin">
        <color theme="0"/>
      </top>
      <bottom style="thin">
        <color indexed="64"/>
      </bottom>
      <diagonal/>
    </border>
    <border>
      <left/>
      <right style="thin">
        <color theme="0"/>
      </right>
      <top style="thin">
        <color theme="0"/>
      </top>
      <bottom style="thin">
        <color indexed="64"/>
      </bottom>
      <diagonal/>
    </border>
    <border>
      <left/>
      <right style="thin">
        <color theme="2" tint="-0.249977111117893"/>
      </right>
      <top style="thin">
        <color indexed="64"/>
      </top>
      <bottom/>
      <diagonal/>
    </border>
    <border>
      <left/>
      <right style="thin">
        <color theme="2" tint="-0.249977111117893"/>
      </right>
      <top/>
      <bottom/>
      <diagonal/>
    </border>
    <border>
      <left style="thin">
        <color theme="0" tint="-0.14999847407452621"/>
      </left>
      <right/>
      <top style="thin">
        <color theme="0" tint="-0.14999847407452621"/>
      </top>
      <bottom style="thin">
        <color theme="0" tint="-0.14999847407452621"/>
      </bottom>
      <diagonal/>
    </border>
    <border>
      <left/>
      <right/>
      <top style="thin">
        <color theme="0" tint="-0.14999847407452621"/>
      </top>
      <bottom style="thin">
        <color theme="0" tint="-0.14999847407452621"/>
      </bottom>
      <diagonal/>
    </border>
    <border>
      <left/>
      <right style="thin">
        <color theme="0" tint="-0.14999847407452621"/>
      </right>
      <top style="thin">
        <color theme="0" tint="-0.14999847407452621"/>
      </top>
      <bottom style="thin">
        <color theme="0" tint="-0.14999847407452621"/>
      </bottom>
      <diagonal/>
    </border>
    <border>
      <left/>
      <right style="thin">
        <color theme="0"/>
      </right>
      <top style="thin">
        <color theme="0"/>
      </top>
      <bottom/>
      <diagonal/>
    </border>
    <border>
      <left style="thin">
        <color theme="0"/>
      </left>
      <right/>
      <top style="thin">
        <color theme="0"/>
      </top>
      <bottom style="thin">
        <color auto="1"/>
      </bottom>
      <diagonal/>
    </border>
    <border>
      <left/>
      <right/>
      <top/>
      <bottom style="thin">
        <color theme="1"/>
      </bottom>
      <diagonal/>
    </border>
    <border>
      <left/>
      <right/>
      <top style="thin">
        <color theme="1"/>
      </top>
      <bottom/>
      <diagonal/>
    </border>
    <border>
      <left/>
      <right style="thin">
        <color rgb="FF788DA8"/>
      </right>
      <top style="thin">
        <color theme="0"/>
      </top>
      <bottom style="thin">
        <color auto="1"/>
      </bottom>
      <diagonal/>
    </border>
    <border>
      <left/>
      <right/>
      <top style="thin">
        <color theme="0"/>
      </top>
      <bottom/>
      <diagonal/>
    </border>
    <border>
      <left style="thin">
        <color rgb="FF788DA8"/>
      </left>
      <right/>
      <top/>
      <bottom style="thin">
        <color theme="0"/>
      </bottom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theme="0"/>
      </left>
      <right style="thin">
        <color indexed="64"/>
      </right>
      <top style="thin">
        <color indexed="64"/>
      </top>
      <bottom style="thin">
        <color theme="0"/>
      </bottom>
      <diagonal/>
    </border>
    <border>
      <left style="thin">
        <color rgb="FFE7E6E6"/>
      </left>
      <right/>
      <top style="thin">
        <color rgb="FF000000"/>
      </top>
      <bottom style="thin">
        <color rgb="FFE7E6E6"/>
      </bottom>
      <diagonal/>
    </border>
    <border>
      <left style="thin">
        <color rgb="FFE7E6E6"/>
      </left>
      <right/>
      <top/>
      <bottom/>
      <diagonal/>
    </border>
    <border>
      <left style="thin">
        <color theme="0" tint="-0.14999847407452621"/>
      </left>
      <right/>
      <top/>
      <bottom style="thin">
        <color theme="0" tint="-0.14999847407452621"/>
      </bottom>
      <diagonal/>
    </border>
    <border>
      <left/>
      <right/>
      <top/>
      <bottom style="thin">
        <color theme="0" tint="-0.14999847407452621"/>
      </bottom>
      <diagonal/>
    </border>
    <border>
      <left/>
      <right style="thin">
        <color theme="0" tint="-0.14999847407452621"/>
      </right>
      <top/>
      <bottom style="thin">
        <color theme="0" tint="-0.14999847407452621"/>
      </bottom>
      <diagonal/>
    </border>
    <border>
      <left style="thin">
        <color rgb="FFE7E6E6"/>
      </left>
      <right/>
      <top style="thin">
        <color rgb="FFE7E6E6"/>
      </top>
      <bottom/>
      <diagonal/>
    </border>
    <border>
      <left/>
      <right/>
      <top style="thin">
        <color rgb="FFE7E6E6"/>
      </top>
      <bottom/>
      <diagonal/>
    </border>
    <border>
      <left/>
      <right style="thin">
        <color rgb="FFE7E6E6"/>
      </right>
      <top style="thin">
        <color rgb="FFE7E6E6"/>
      </top>
      <bottom/>
      <diagonal/>
    </border>
    <border>
      <left style="thin">
        <color rgb="FFE7E6E6"/>
      </left>
      <right/>
      <top style="thin">
        <color rgb="FFE7E6E6"/>
      </top>
      <bottom style="thin">
        <color theme="0" tint="-0.14999847407452621"/>
      </bottom>
      <diagonal/>
    </border>
    <border>
      <left/>
      <right/>
      <top style="thin">
        <color rgb="FFE7E6E6"/>
      </top>
      <bottom style="thin">
        <color theme="0" tint="-0.14999847407452621"/>
      </bottom>
      <diagonal/>
    </border>
    <border>
      <left/>
      <right style="thin">
        <color rgb="FFE7E6E6"/>
      </right>
      <top style="thin">
        <color rgb="FFE7E6E6"/>
      </top>
      <bottom style="thin">
        <color theme="0" tint="-0.14999847407452621"/>
      </bottom>
      <diagonal/>
    </border>
    <border>
      <left style="thin">
        <color rgb="FFA6A6A6"/>
      </left>
      <right/>
      <top/>
      <bottom style="thin">
        <color rgb="FFA6A6A6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theme="0" tint="-0.14999847407452621"/>
      </left>
      <right style="thin">
        <color theme="0" tint="-0.14999847407452621"/>
      </right>
      <top style="thin">
        <color theme="0" tint="-0.14999847407452621"/>
      </top>
      <bottom style="thin">
        <color theme="0" tint="-0.14999847407452621"/>
      </bottom>
      <diagonal/>
    </border>
    <border>
      <left style="thin">
        <color theme="0"/>
      </left>
      <right/>
      <top/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theme="2"/>
      </top>
      <bottom/>
      <diagonal/>
    </border>
    <border>
      <left/>
      <right/>
      <top style="thin">
        <color theme="1"/>
      </top>
      <bottom style="thin">
        <color theme="1"/>
      </bottom>
      <diagonal/>
    </border>
    <border>
      <left/>
      <right style="thin">
        <color theme="1"/>
      </right>
      <top/>
      <bottom/>
      <diagonal/>
    </border>
    <border>
      <left style="thin">
        <color theme="1"/>
      </left>
      <right/>
      <top style="thin">
        <color rgb="FF000000"/>
      </top>
      <bottom style="thin">
        <color rgb="FF000000"/>
      </bottom>
      <diagonal/>
    </border>
  </borders>
  <cellStyleXfs count="6">
    <xf numFmtId="0" fontId="0" fillId="0" borderId="0"/>
    <xf numFmtId="164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2" fillId="0" borderId="0"/>
    <xf numFmtId="0" fontId="1" fillId="0" borderId="0"/>
    <xf numFmtId="43" fontId="1" fillId="0" borderId="0" applyFont="0" applyFill="0" applyBorder="0" applyAlignment="0" applyProtection="0"/>
  </cellStyleXfs>
  <cellXfs count="397">
    <xf numFmtId="0" fontId="0" fillId="0" borderId="0" xfId="0"/>
    <xf numFmtId="0" fontId="3" fillId="0" borderId="0" xfId="0" applyFont="1" applyAlignment="1">
      <alignment vertical="center"/>
    </xf>
    <xf numFmtId="0" fontId="4" fillId="0" borderId="0" xfId="0" applyFont="1" applyAlignment="1">
      <alignment vertical="center"/>
    </xf>
    <xf numFmtId="0" fontId="4" fillId="2" borderId="0" xfId="0" applyFont="1" applyFill="1" applyAlignment="1">
      <alignment vertical="center"/>
    </xf>
    <xf numFmtId="0" fontId="5" fillId="2" borderId="0" xfId="0" applyFont="1" applyFill="1" applyAlignment="1">
      <alignment vertical="center"/>
    </xf>
    <xf numFmtId="168" fontId="6" fillId="2" borderId="0" xfId="0" applyNumberFormat="1" applyFont="1" applyFill="1" applyAlignment="1">
      <alignment horizontal="center" vertical="center"/>
    </xf>
    <xf numFmtId="169" fontId="5" fillId="2" borderId="0" xfId="0" applyNumberFormat="1" applyFont="1" applyFill="1" applyAlignment="1">
      <alignment vertical="center"/>
    </xf>
    <xf numFmtId="0" fontId="4" fillId="3" borderId="0" xfId="0" applyFont="1" applyFill="1" applyAlignment="1">
      <alignment vertical="center"/>
    </xf>
    <xf numFmtId="168" fontId="7" fillId="3" borderId="0" xfId="0" applyNumberFormat="1" applyFont="1" applyFill="1" applyAlignment="1">
      <alignment horizontal="center" vertical="center"/>
    </xf>
    <xf numFmtId="170" fontId="4" fillId="3" borderId="0" xfId="0" applyNumberFormat="1" applyFont="1" applyFill="1" applyAlignment="1">
      <alignment vertical="center"/>
    </xf>
    <xf numFmtId="0" fontId="8" fillId="3" borderId="0" xfId="0" applyFont="1" applyFill="1" applyAlignment="1">
      <alignment horizontal="center" vertical="center"/>
    </xf>
    <xf numFmtId="168" fontId="4" fillId="3" borderId="0" xfId="0" applyNumberFormat="1" applyFont="1" applyFill="1" applyAlignment="1">
      <alignment horizontal="right" vertical="center"/>
    </xf>
    <xf numFmtId="171" fontId="9" fillId="3" borderId="0" xfId="0" applyNumberFormat="1" applyFont="1" applyFill="1"/>
    <xf numFmtId="168" fontId="9" fillId="3" borderId="0" xfId="0" applyNumberFormat="1" applyFont="1" applyFill="1" applyAlignment="1">
      <alignment horizontal="right" vertical="center"/>
    </xf>
    <xf numFmtId="168" fontId="9" fillId="3" borderId="1" xfId="0" applyNumberFormat="1" applyFont="1" applyFill="1" applyBorder="1" applyAlignment="1">
      <alignment horizontal="right" vertical="center"/>
    </xf>
    <xf numFmtId="0" fontId="4" fillId="0" borderId="2" xfId="0" applyFont="1" applyBorder="1" applyAlignment="1">
      <alignment vertical="center"/>
    </xf>
    <xf numFmtId="168" fontId="7" fillId="0" borderId="0" xfId="0" applyNumberFormat="1" applyFont="1" applyAlignment="1">
      <alignment horizontal="center" vertical="center"/>
    </xf>
    <xf numFmtId="168" fontId="10" fillId="4" borderId="3" xfId="0" applyNumberFormat="1" applyFont="1" applyFill="1" applyBorder="1" applyAlignment="1">
      <alignment horizontal="right" vertical="center"/>
    </xf>
    <xf numFmtId="0" fontId="8" fillId="0" borderId="0" xfId="0" applyFont="1" applyAlignment="1">
      <alignment vertical="center"/>
    </xf>
    <xf numFmtId="0" fontId="4" fillId="0" borderId="0" xfId="0" applyFont="1" applyAlignment="1">
      <alignment horizontal="left" vertical="center"/>
    </xf>
    <xf numFmtId="172" fontId="4" fillId="0" borderId="0" xfId="0" applyNumberFormat="1" applyFont="1" applyAlignment="1">
      <alignment horizontal="left" vertical="center"/>
    </xf>
    <xf numFmtId="166" fontId="9" fillId="0" borderId="0" xfId="0" applyNumberFormat="1" applyFont="1" applyAlignment="1">
      <alignment vertical="center"/>
    </xf>
    <xf numFmtId="174" fontId="9" fillId="0" borderId="0" xfId="0" applyNumberFormat="1" applyFont="1" applyAlignment="1">
      <alignment horizontal="right" vertical="center"/>
    </xf>
    <xf numFmtId="167" fontId="9" fillId="0" borderId="0" xfId="0" applyNumberFormat="1" applyFont="1" applyAlignment="1">
      <alignment horizontal="right" vertical="center"/>
    </xf>
    <xf numFmtId="168" fontId="9" fillId="0" borderId="0" xfId="0" applyNumberFormat="1" applyFont="1" applyAlignment="1">
      <alignment horizontal="center" vertical="center"/>
    </xf>
    <xf numFmtId="167" fontId="9" fillId="6" borderId="3" xfId="0" applyNumberFormat="1" applyFont="1" applyFill="1" applyBorder="1" applyAlignment="1">
      <alignment horizontal="right" vertical="center"/>
    </xf>
    <xf numFmtId="168" fontId="4" fillId="0" borderId="2" xfId="0" applyNumberFormat="1" applyFont="1" applyBorder="1" applyAlignment="1">
      <alignment horizontal="right" vertical="center"/>
    </xf>
    <xf numFmtId="168" fontId="4" fillId="0" borderId="0" xfId="0" applyNumberFormat="1" applyFont="1" applyAlignment="1">
      <alignment horizontal="right" vertical="center"/>
    </xf>
    <xf numFmtId="166" fontId="4" fillId="0" borderId="0" xfId="0" applyNumberFormat="1" applyFont="1" applyAlignment="1">
      <alignment vertical="center"/>
    </xf>
    <xf numFmtId="168" fontId="9" fillId="0" borderId="2" xfId="0" applyNumberFormat="1" applyFont="1" applyBorder="1" applyAlignment="1">
      <alignment horizontal="center" vertical="center"/>
    </xf>
    <xf numFmtId="0" fontId="8" fillId="0" borderId="0" xfId="0" applyFont="1" applyAlignment="1">
      <alignment horizontal="left" vertical="center"/>
    </xf>
    <xf numFmtId="167" fontId="4" fillId="0" borderId="0" xfId="0" applyNumberFormat="1" applyFont="1" applyAlignment="1">
      <alignment horizontal="right" vertical="center"/>
    </xf>
    <xf numFmtId="167" fontId="9" fillId="0" borderId="8" xfId="0" applyNumberFormat="1" applyFont="1" applyBorder="1" applyAlignment="1">
      <alignment horizontal="right" vertical="center"/>
    </xf>
    <xf numFmtId="168" fontId="9" fillId="0" borderId="0" xfId="0" applyNumberFormat="1" applyFont="1" applyAlignment="1">
      <alignment horizontal="right" vertical="center"/>
    </xf>
    <xf numFmtId="168" fontId="10" fillId="0" borderId="0" xfId="0" applyNumberFormat="1" applyFont="1" applyAlignment="1">
      <alignment horizontal="right" vertical="center"/>
    </xf>
    <xf numFmtId="168" fontId="7" fillId="0" borderId="2" xfId="0" applyNumberFormat="1" applyFont="1" applyBorder="1" applyAlignment="1">
      <alignment horizontal="center" vertical="center"/>
    </xf>
    <xf numFmtId="172" fontId="11" fillId="4" borderId="3" xfId="0" applyNumberFormat="1" applyFont="1" applyFill="1" applyBorder="1" applyAlignment="1">
      <alignment horizontal="right" vertical="center"/>
    </xf>
    <xf numFmtId="10" fontId="9" fillId="0" borderId="0" xfId="0" applyNumberFormat="1" applyFont="1" applyAlignment="1">
      <alignment horizontal="right" vertical="center"/>
    </xf>
    <xf numFmtId="168" fontId="7" fillId="0" borderId="10" xfId="0" applyNumberFormat="1" applyFont="1" applyBorder="1" applyAlignment="1">
      <alignment horizontal="center" vertical="center"/>
    </xf>
    <xf numFmtId="165" fontId="4" fillId="0" borderId="0" xfId="0" applyNumberFormat="1" applyFont="1" applyAlignment="1">
      <alignment vertical="center"/>
    </xf>
    <xf numFmtId="176" fontId="9" fillId="0" borderId="0" xfId="0" applyNumberFormat="1" applyFont="1" applyAlignment="1">
      <alignment horizontal="right" vertical="center"/>
    </xf>
    <xf numFmtId="0" fontId="5" fillId="7" borderId="0" xfId="0" applyFont="1" applyFill="1" applyAlignment="1">
      <alignment vertical="center"/>
    </xf>
    <xf numFmtId="0" fontId="4" fillId="7" borderId="0" xfId="0" applyFont="1" applyFill="1" applyAlignment="1">
      <alignment vertical="center"/>
    </xf>
    <xf numFmtId="0" fontId="4" fillId="0" borderId="0" xfId="0" applyFont="1" applyAlignment="1">
      <alignment horizontal="right" vertical="center"/>
    </xf>
    <xf numFmtId="174" fontId="4" fillId="0" borderId="0" xfId="0" applyNumberFormat="1" applyFont="1" applyAlignment="1">
      <alignment horizontal="right" vertical="center"/>
    </xf>
    <xf numFmtId="0" fontId="5" fillId="3" borderId="0" xfId="0" applyFont="1" applyFill="1" applyAlignment="1">
      <alignment vertical="center"/>
    </xf>
    <xf numFmtId="0" fontId="5" fillId="0" borderId="2" xfId="0" applyFont="1" applyBorder="1" applyAlignment="1">
      <alignment vertical="center"/>
    </xf>
    <xf numFmtId="168" fontId="4" fillId="0" borderId="0" xfId="0" applyNumberFormat="1" applyFont="1" applyAlignment="1">
      <alignment vertical="center"/>
    </xf>
    <xf numFmtId="168" fontId="13" fillId="0" borderId="0" xfId="0" applyNumberFormat="1" applyFont="1" applyAlignment="1">
      <alignment horizontal="center" vertical="center"/>
    </xf>
    <xf numFmtId="173" fontId="3" fillId="0" borderId="0" xfId="0" applyNumberFormat="1" applyFont="1" applyAlignment="1">
      <alignment horizontal="right" vertical="center"/>
    </xf>
    <xf numFmtId="173" fontId="4" fillId="0" borderId="0" xfId="0" applyNumberFormat="1" applyFont="1" applyAlignment="1">
      <alignment horizontal="right" vertical="center"/>
    </xf>
    <xf numFmtId="166" fontId="4" fillId="0" borderId="0" xfId="0" applyNumberFormat="1" applyFont="1" applyAlignment="1">
      <alignment horizontal="right" vertical="center"/>
    </xf>
    <xf numFmtId="177" fontId="10" fillId="4" borderId="5" xfId="0" applyNumberFormat="1" applyFont="1" applyFill="1" applyBorder="1" applyAlignment="1">
      <alignment vertical="center"/>
    </xf>
    <xf numFmtId="168" fontId="9" fillId="0" borderId="0" xfId="0" applyNumberFormat="1" applyFont="1" applyAlignment="1">
      <alignment horizontal="left" vertical="center"/>
    </xf>
    <xf numFmtId="0" fontId="4" fillId="0" borderId="0" xfId="0" applyFont="1" applyAlignment="1">
      <alignment horizontal="center" vertical="center"/>
    </xf>
    <xf numFmtId="177" fontId="9" fillId="0" borderId="0" xfId="0" applyNumberFormat="1" applyFont="1" applyAlignment="1">
      <alignment vertical="center"/>
    </xf>
    <xf numFmtId="167" fontId="10" fillId="0" borderId="0" xfId="0" applyNumberFormat="1" applyFont="1" applyAlignment="1">
      <alignment vertical="center"/>
    </xf>
    <xf numFmtId="178" fontId="14" fillId="0" borderId="0" xfId="0" applyNumberFormat="1" applyFont="1" applyAlignment="1">
      <alignment horizontal="right" vertical="center"/>
    </xf>
    <xf numFmtId="177" fontId="10" fillId="0" borderId="0" xfId="0" applyNumberFormat="1" applyFont="1" applyAlignment="1">
      <alignment horizontal="right" vertical="center"/>
    </xf>
    <xf numFmtId="171" fontId="4" fillId="3" borderId="0" xfId="0" applyNumberFormat="1" applyFont="1" applyFill="1" applyAlignment="1">
      <alignment vertical="center"/>
    </xf>
    <xf numFmtId="173" fontId="9" fillId="0" borderId="0" xfId="0" applyNumberFormat="1" applyFont="1" applyAlignment="1">
      <alignment horizontal="right" vertical="center"/>
    </xf>
    <xf numFmtId="0" fontId="9" fillId="0" borderId="0" xfId="0" applyFont="1" applyAlignment="1">
      <alignment vertical="center"/>
    </xf>
    <xf numFmtId="0" fontId="9" fillId="0" borderId="2" xfId="0" applyFont="1" applyBorder="1" applyAlignment="1">
      <alignment vertical="center"/>
    </xf>
    <xf numFmtId="0" fontId="17" fillId="0" borderId="0" xfId="0" applyFont="1" applyAlignment="1">
      <alignment vertical="center"/>
    </xf>
    <xf numFmtId="168" fontId="7" fillId="0" borderId="0" xfId="0" applyNumberFormat="1" applyFont="1" applyAlignment="1">
      <alignment horizontal="right" vertical="center"/>
    </xf>
    <xf numFmtId="0" fontId="3" fillId="0" borderId="2" xfId="0" applyFont="1" applyBorder="1" applyAlignment="1">
      <alignment vertical="center"/>
    </xf>
    <xf numFmtId="168" fontId="3" fillId="0" borderId="2" xfId="0" applyNumberFormat="1" applyFont="1" applyBorder="1" applyAlignment="1">
      <alignment horizontal="right" vertical="center"/>
    </xf>
    <xf numFmtId="168" fontId="18" fillId="0" borderId="2" xfId="0" applyNumberFormat="1" applyFont="1" applyBorder="1" applyAlignment="1">
      <alignment horizontal="right" vertical="center"/>
    </xf>
    <xf numFmtId="168" fontId="11" fillId="0" borderId="0" xfId="0" applyNumberFormat="1" applyFont="1" applyAlignment="1">
      <alignment horizontal="right" vertical="center"/>
    </xf>
    <xf numFmtId="168" fontId="18" fillId="0" borderId="0" xfId="0" applyNumberFormat="1" applyFont="1" applyAlignment="1">
      <alignment horizontal="right" vertical="center"/>
    </xf>
    <xf numFmtId="0" fontId="4" fillId="0" borderId="0" xfId="0" applyFont="1" applyAlignment="1">
      <alignment horizontal="left" vertical="center" indent="1"/>
    </xf>
    <xf numFmtId="168" fontId="12" fillId="0" borderId="0" xfId="0" applyNumberFormat="1" applyFont="1" applyAlignment="1">
      <alignment horizontal="right" vertical="center"/>
    </xf>
    <xf numFmtId="168" fontId="19" fillId="0" borderId="0" xfId="0" applyNumberFormat="1" applyFont="1" applyAlignment="1">
      <alignment horizontal="right" vertical="center"/>
    </xf>
    <xf numFmtId="168" fontId="12" fillId="0" borderId="0" xfId="0" applyNumberFormat="1" applyFont="1"/>
    <xf numFmtId="179" fontId="12" fillId="0" borderId="0" xfId="0" applyNumberFormat="1" applyFont="1"/>
    <xf numFmtId="168" fontId="0" fillId="0" borderId="0" xfId="0" applyNumberFormat="1"/>
    <xf numFmtId="0" fontId="3" fillId="0" borderId="0" xfId="0" applyFont="1" applyAlignment="1">
      <alignment horizontal="left" vertical="center"/>
    </xf>
    <xf numFmtId="180" fontId="4" fillId="0" borderId="0" xfId="0" applyNumberFormat="1" applyFont="1" applyAlignment="1">
      <alignment vertical="center"/>
    </xf>
    <xf numFmtId="168" fontId="9" fillId="0" borderId="1" xfId="0" applyNumberFormat="1" applyFont="1" applyBorder="1" applyAlignment="1">
      <alignment horizontal="center" vertical="center"/>
    </xf>
    <xf numFmtId="0" fontId="4" fillId="0" borderId="1" xfId="0" applyFont="1" applyBorder="1" applyAlignment="1">
      <alignment vertical="center"/>
    </xf>
    <xf numFmtId="49" fontId="4" fillId="0" borderId="0" xfId="0" applyNumberFormat="1" applyFont="1" applyAlignment="1">
      <alignment horizontal="left"/>
    </xf>
    <xf numFmtId="181" fontId="3" fillId="0" borderId="0" xfId="0" applyNumberFormat="1" applyFont="1"/>
    <xf numFmtId="49" fontId="8" fillId="0" borderId="0" xfId="0" applyNumberFormat="1" applyFont="1" applyAlignment="1">
      <alignment horizontal="left" indent="1"/>
    </xf>
    <xf numFmtId="182" fontId="21" fillId="0" borderId="0" xfId="0" applyNumberFormat="1" applyFont="1"/>
    <xf numFmtId="173" fontId="12" fillId="0" borderId="0" xfId="0" applyNumberFormat="1" applyFont="1" applyAlignment="1">
      <alignment horizontal="right" vertical="center"/>
    </xf>
    <xf numFmtId="9" fontId="0" fillId="0" borderId="0" xfId="0" applyNumberFormat="1"/>
    <xf numFmtId="0" fontId="4" fillId="0" borderId="0" xfId="0" applyFont="1"/>
    <xf numFmtId="9" fontId="4" fillId="0" borderId="0" xfId="0" applyNumberFormat="1" applyFont="1" applyAlignment="1">
      <alignment horizontal="center"/>
    </xf>
    <xf numFmtId="0" fontId="15" fillId="0" borderId="2" xfId="0" applyFont="1" applyBorder="1" applyAlignment="1">
      <alignment vertical="center"/>
    </xf>
    <xf numFmtId="0" fontId="3" fillId="0" borderId="18" xfId="0" applyFont="1" applyBorder="1" applyAlignment="1">
      <alignment vertical="center"/>
    </xf>
    <xf numFmtId="0" fontId="4" fillId="0" borderId="18" xfId="0" applyFont="1" applyBorder="1" applyAlignment="1">
      <alignment vertical="center"/>
    </xf>
    <xf numFmtId="168" fontId="9" fillId="0" borderId="18" xfId="0" applyNumberFormat="1" applyFont="1" applyBorder="1" applyAlignment="1">
      <alignment horizontal="center" vertical="center"/>
    </xf>
    <xf numFmtId="173" fontId="4" fillId="0" borderId="18" xfId="0" applyNumberFormat="1" applyFont="1" applyBorder="1" applyAlignment="1">
      <alignment horizontal="right" vertical="center"/>
    </xf>
    <xf numFmtId="168" fontId="18" fillId="0" borderId="0" xfId="0" applyNumberFormat="1" applyFont="1" applyAlignment="1">
      <alignment horizontal="center" vertical="center"/>
    </xf>
    <xf numFmtId="170" fontId="3" fillId="0" borderId="12" xfId="0" applyNumberFormat="1" applyFont="1" applyBorder="1"/>
    <xf numFmtId="170" fontId="3" fillId="0" borderId="0" xfId="0" applyNumberFormat="1" applyFont="1"/>
    <xf numFmtId="168" fontId="3" fillId="0" borderId="0" xfId="0" applyNumberFormat="1" applyFont="1" applyAlignment="1">
      <alignment horizontal="right" vertical="center"/>
    </xf>
    <xf numFmtId="0" fontId="2" fillId="0" borderId="0" xfId="0" applyFont="1"/>
    <xf numFmtId="9" fontId="3" fillId="0" borderId="0" xfId="2" applyFont="1" applyAlignment="1">
      <alignment horizontal="right" vertical="center"/>
    </xf>
    <xf numFmtId="0" fontId="22" fillId="0" borderId="0" xfId="0" applyFont="1" applyAlignment="1">
      <alignment vertical="center"/>
    </xf>
    <xf numFmtId="10" fontId="18" fillId="0" borderId="0" xfId="0" applyNumberFormat="1" applyFont="1" applyAlignment="1">
      <alignment horizontal="right" vertical="center"/>
    </xf>
    <xf numFmtId="2" fontId="9" fillId="0" borderId="0" xfId="0" applyNumberFormat="1" applyFont="1" applyAlignment="1">
      <alignment vertical="center"/>
    </xf>
    <xf numFmtId="9" fontId="4" fillId="0" borderId="0" xfId="2" applyFont="1" applyAlignment="1">
      <alignment horizontal="right" vertical="center"/>
    </xf>
    <xf numFmtId="166" fontId="13" fillId="0" borderId="0" xfId="0" applyNumberFormat="1" applyFont="1" applyAlignment="1">
      <alignment horizontal="right" vertical="center"/>
    </xf>
    <xf numFmtId="168" fontId="19" fillId="0" borderId="0" xfId="0" applyNumberFormat="1" applyFont="1" applyAlignment="1">
      <alignment horizontal="center" vertical="center"/>
    </xf>
    <xf numFmtId="172" fontId="19" fillId="0" borderId="0" xfId="2" applyNumberFormat="1" applyFont="1" applyAlignment="1">
      <alignment horizontal="right" vertical="center"/>
    </xf>
    <xf numFmtId="166" fontId="7" fillId="0" borderId="0" xfId="0" applyNumberFormat="1" applyFont="1" applyAlignment="1">
      <alignment horizontal="right" vertical="center"/>
    </xf>
    <xf numFmtId="166" fontId="24" fillId="0" borderId="0" xfId="0" applyNumberFormat="1" applyFont="1"/>
    <xf numFmtId="0" fontId="24" fillId="0" borderId="0" xfId="0" applyFont="1"/>
    <xf numFmtId="2" fontId="4" fillId="0" borderId="0" xfId="0" applyNumberFormat="1" applyFont="1" applyAlignment="1">
      <alignment vertical="center"/>
    </xf>
    <xf numFmtId="166" fontId="26" fillId="0" borderId="0" xfId="0" applyNumberFormat="1" applyFont="1"/>
    <xf numFmtId="166" fontId="0" fillId="0" borderId="0" xfId="0" applyNumberFormat="1"/>
    <xf numFmtId="9" fontId="24" fillId="0" borderId="0" xfId="2" applyFont="1"/>
    <xf numFmtId="2" fontId="4" fillId="0" borderId="17" xfId="0" applyNumberFormat="1" applyFont="1" applyBorder="1" applyAlignment="1">
      <alignment vertical="center"/>
    </xf>
    <xf numFmtId="0" fontId="3" fillId="13" borderId="9" xfId="0" applyFont="1" applyFill="1" applyBorder="1" applyAlignment="1">
      <alignment vertical="center"/>
    </xf>
    <xf numFmtId="0" fontId="4" fillId="13" borderId="9" xfId="0" applyFont="1" applyFill="1" applyBorder="1" applyAlignment="1">
      <alignment vertical="center"/>
    </xf>
    <xf numFmtId="168" fontId="9" fillId="13" borderId="9" xfId="0" applyNumberFormat="1" applyFont="1" applyFill="1" applyBorder="1" applyAlignment="1">
      <alignment horizontal="center" vertical="center"/>
    </xf>
    <xf numFmtId="0" fontId="9" fillId="13" borderId="9" xfId="0" applyFont="1" applyFill="1" applyBorder="1" applyAlignment="1">
      <alignment vertical="center"/>
    </xf>
    <xf numFmtId="172" fontId="9" fillId="13" borderId="9" xfId="0" applyNumberFormat="1" applyFont="1" applyFill="1" applyBorder="1" applyAlignment="1">
      <alignment vertical="center"/>
    </xf>
    <xf numFmtId="176" fontId="27" fillId="0" borderId="0" xfId="0" applyNumberFormat="1" applyFont="1" applyAlignment="1">
      <alignment vertical="center"/>
    </xf>
    <xf numFmtId="0" fontId="3" fillId="0" borderId="0" xfId="0" applyFont="1" applyAlignment="1">
      <alignment horizontal="left"/>
    </xf>
    <xf numFmtId="168" fontId="11" fillId="11" borderId="12" xfId="0" applyNumberFormat="1" applyFont="1" applyFill="1" applyBorder="1" applyAlignment="1">
      <alignment horizontal="right" vertical="center"/>
    </xf>
    <xf numFmtId="168" fontId="18" fillId="0" borderId="12" xfId="0" applyNumberFormat="1" applyFont="1" applyBorder="1" applyAlignment="1">
      <alignment horizontal="right" vertical="center"/>
    </xf>
    <xf numFmtId="166" fontId="23" fillId="5" borderId="3" xfId="0" applyNumberFormat="1" applyFont="1" applyFill="1" applyBorder="1" applyAlignment="1">
      <alignment horizontal="right" vertical="center"/>
    </xf>
    <xf numFmtId="183" fontId="10" fillId="11" borderId="12" xfId="0" applyNumberFormat="1" applyFont="1" applyFill="1" applyBorder="1" applyAlignment="1">
      <alignment vertical="center"/>
    </xf>
    <xf numFmtId="183" fontId="28" fillId="0" borderId="12" xfId="0" applyNumberFormat="1" applyFont="1" applyBorder="1" applyAlignment="1">
      <alignment vertical="center"/>
    </xf>
    <xf numFmtId="0" fontId="8" fillId="0" borderId="0" xfId="0" applyFont="1" applyAlignment="1">
      <alignment horizontal="left"/>
    </xf>
    <xf numFmtId="183" fontId="28" fillId="0" borderId="0" xfId="0" applyNumberFormat="1" applyFont="1" applyAlignment="1">
      <alignment vertical="center"/>
    </xf>
    <xf numFmtId="0" fontId="3" fillId="0" borderId="9" xfId="0" applyFont="1" applyBorder="1" applyAlignment="1">
      <alignment vertical="center"/>
    </xf>
    <xf numFmtId="0" fontId="4" fillId="0" borderId="9" xfId="0" applyFont="1" applyBorder="1" applyAlignment="1">
      <alignment vertical="center"/>
    </xf>
    <xf numFmtId="168" fontId="9" fillId="0" borderId="9" xfId="0" applyNumberFormat="1" applyFont="1" applyBorder="1" applyAlignment="1">
      <alignment horizontal="center" vertical="center"/>
    </xf>
    <xf numFmtId="0" fontId="9" fillId="0" borderId="9" xfId="0" applyFont="1" applyBorder="1" applyAlignment="1">
      <alignment vertical="center"/>
    </xf>
    <xf numFmtId="172" fontId="9" fillId="0" borderId="9" xfId="0" applyNumberFormat="1" applyFont="1" applyBorder="1" applyAlignment="1">
      <alignment vertical="center"/>
    </xf>
    <xf numFmtId="168" fontId="27" fillId="0" borderId="0" xfId="0" applyNumberFormat="1" applyFont="1" applyAlignment="1">
      <alignment horizontal="right" vertical="center"/>
    </xf>
    <xf numFmtId="10" fontId="9" fillId="0" borderId="0" xfId="0" applyNumberFormat="1" applyFont="1" applyAlignment="1">
      <alignment horizontal="center" vertical="center"/>
    </xf>
    <xf numFmtId="0" fontId="8" fillId="0" borderId="0" xfId="0" applyFont="1" applyAlignment="1">
      <alignment horizontal="left" vertical="center" indent="1"/>
    </xf>
    <xf numFmtId="10" fontId="25" fillId="0" borderId="20" xfId="0" applyNumberFormat="1" applyFont="1" applyBorder="1" applyAlignment="1">
      <alignment horizontal="center" vertical="center"/>
    </xf>
    <xf numFmtId="10" fontId="0" fillId="0" borderId="0" xfId="0" applyNumberFormat="1"/>
    <xf numFmtId="0" fontId="29" fillId="0" borderId="0" xfId="0" applyFont="1" applyAlignment="1">
      <alignment vertical="center"/>
    </xf>
    <xf numFmtId="168" fontId="29" fillId="0" borderId="0" xfId="0" applyNumberFormat="1" applyFont="1" applyAlignment="1">
      <alignment horizontal="right" vertical="center"/>
    </xf>
    <xf numFmtId="173" fontId="4" fillId="0" borderId="9" xfId="0" applyNumberFormat="1" applyFont="1" applyBorder="1" applyAlignment="1">
      <alignment horizontal="right" vertical="center"/>
    </xf>
    <xf numFmtId="173" fontId="9" fillId="0" borderId="9" xfId="0" applyNumberFormat="1" applyFont="1" applyBorder="1" applyAlignment="1">
      <alignment horizontal="right" vertical="center"/>
    </xf>
    <xf numFmtId="168" fontId="25" fillId="0" borderId="0" xfId="0" applyNumberFormat="1" applyFont="1" applyAlignment="1">
      <alignment horizontal="right" vertical="center"/>
    </xf>
    <xf numFmtId="0" fontId="1" fillId="0" borderId="0" xfId="0" applyFont="1"/>
    <xf numFmtId="0" fontId="30" fillId="0" borderId="0" xfId="0" applyFont="1" applyAlignment="1">
      <alignment vertical="center"/>
    </xf>
    <xf numFmtId="172" fontId="0" fillId="0" borderId="0" xfId="2" applyNumberFormat="1" applyFont="1"/>
    <xf numFmtId="10" fontId="0" fillId="0" borderId="0" xfId="2" applyNumberFormat="1" applyFont="1"/>
    <xf numFmtId="0" fontId="3" fillId="0" borderId="0" xfId="0" applyFont="1"/>
    <xf numFmtId="0" fontId="4" fillId="0" borderId="0" xfId="0" applyFont="1" applyAlignment="1">
      <alignment horizontal="left" indent="1"/>
    </xf>
    <xf numFmtId="172" fontId="4" fillId="0" borderId="0" xfId="2" applyNumberFormat="1" applyFont="1"/>
    <xf numFmtId="2" fontId="4" fillId="0" borderId="0" xfId="2" applyNumberFormat="1" applyFont="1"/>
    <xf numFmtId="0" fontId="8" fillId="0" borderId="0" xfId="0" applyFont="1"/>
    <xf numFmtId="10" fontId="4" fillId="0" borderId="0" xfId="2" applyNumberFormat="1" applyFont="1"/>
    <xf numFmtId="10" fontId="3" fillId="0" borderId="0" xfId="2" applyNumberFormat="1" applyFont="1" applyFill="1"/>
    <xf numFmtId="10" fontId="4" fillId="0" borderId="0" xfId="0" applyNumberFormat="1" applyFont="1"/>
    <xf numFmtId="10" fontId="4" fillId="0" borderId="0" xfId="2" applyNumberFormat="1" applyFont="1" applyFill="1"/>
    <xf numFmtId="181" fontId="4" fillId="0" borderId="0" xfId="2" applyNumberFormat="1" applyFont="1"/>
    <xf numFmtId="10" fontId="12" fillId="0" borderId="0" xfId="0" applyNumberFormat="1" applyFont="1"/>
    <xf numFmtId="185" fontId="11" fillId="0" borderId="0" xfId="0" applyNumberFormat="1" applyFont="1"/>
    <xf numFmtId="0" fontId="0" fillId="0" borderId="2" xfId="0" applyBorder="1"/>
    <xf numFmtId="0" fontId="4" fillId="14" borderId="1" xfId="0" applyFont="1" applyFill="1" applyBorder="1"/>
    <xf numFmtId="169" fontId="5" fillId="14" borderId="1" xfId="0" applyNumberFormat="1" applyFont="1" applyFill="1" applyBorder="1" applyAlignment="1">
      <alignment horizontal="center"/>
    </xf>
    <xf numFmtId="169" fontId="5" fillId="16" borderId="29" xfId="0" applyNumberFormat="1" applyFont="1" applyFill="1" applyBorder="1" applyAlignment="1">
      <alignment horizontal="center" vertical="center"/>
    </xf>
    <xf numFmtId="0" fontId="5" fillId="17" borderId="15" xfId="0" applyFont="1" applyFill="1" applyBorder="1" applyAlignment="1">
      <alignment horizontal="center"/>
    </xf>
    <xf numFmtId="10" fontId="0" fillId="0" borderId="16" xfId="0" applyNumberFormat="1" applyBorder="1"/>
    <xf numFmtId="169" fontId="5" fillId="16" borderId="31" xfId="0" applyNumberFormat="1" applyFont="1" applyFill="1" applyBorder="1" applyAlignment="1">
      <alignment horizontal="center" vertical="center"/>
    </xf>
    <xf numFmtId="169" fontId="5" fillId="16" borderId="32" xfId="0" applyNumberFormat="1" applyFont="1" applyFill="1" applyBorder="1" applyAlignment="1">
      <alignment horizontal="center" vertical="center"/>
    </xf>
    <xf numFmtId="169" fontId="5" fillId="2" borderId="31" xfId="0" applyNumberFormat="1" applyFont="1" applyFill="1" applyBorder="1" applyAlignment="1">
      <alignment horizontal="center" vertical="center"/>
    </xf>
    <xf numFmtId="169" fontId="5" fillId="2" borderId="32" xfId="0" applyNumberFormat="1" applyFont="1" applyFill="1" applyBorder="1" applyAlignment="1">
      <alignment horizontal="center" vertical="center"/>
    </xf>
    <xf numFmtId="10" fontId="3" fillId="18" borderId="28" xfId="2" applyNumberFormat="1" applyFont="1" applyFill="1" applyBorder="1"/>
    <xf numFmtId="10" fontId="4" fillId="0" borderId="0" xfId="2" applyNumberFormat="1" applyFont="1" applyBorder="1"/>
    <xf numFmtId="2" fontId="4" fillId="0" borderId="0" xfId="2" applyNumberFormat="1" applyFont="1" applyBorder="1"/>
    <xf numFmtId="0" fontId="5" fillId="14" borderId="30" xfId="0" applyFont="1" applyFill="1" applyBorder="1"/>
    <xf numFmtId="168" fontId="10" fillId="11" borderId="35" xfId="0" applyNumberFormat="1" applyFont="1" applyFill="1" applyBorder="1" applyAlignment="1">
      <alignment horizontal="right" vertical="center"/>
    </xf>
    <xf numFmtId="168" fontId="10" fillId="11" borderId="36" xfId="0" applyNumberFormat="1" applyFont="1" applyFill="1" applyBorder="1" applyAlignment="1">
      <alignment horizontal="right" vertical="center"/>
    </xf>
    <xf numFmtId="168" fontId="10" fillId="11" borderId="37" xfId="0" applyNumberFormat="1" applyFont="1" applyFill="1" applyBorder="1" applyAlignment="1">
      <alignment horizontal="right" vertical="center"/>
    </xf>
    <xf numFmtId="172" fontId="10" fillId="11" borderId="35" xfId="2" applyNumberFormat="1" applyFont="1" applyFill="1" applyBorder="1" applyAlignment="1">
      <alignment horizontal="right" vertical="center"/>
    </xf>
    <xf numFmtId="173" fontId="10" fillId="11" borderId="37" xfId="0" applyNumberFormat="1" applyFont="1" applyFill="1" applyBorder="1" applyAlignment="1">
      <alignment horizontal="right" vertical="center"/>
    </xf>
    <xf numFmtId="184" fontId="12" fillId="0" borderId="0" xfId="2" applyNumberFormat="1" applyFont="1" applyAlignment="1">
      <alignment horizontal="right" vertical="center"/>
    </xf>
    <xf numFmtId="184" fontId="12" fillId="0" borderId="0" xfId="2" applyNumberFormat="1" applyFont="1" applyFill="1" applyBorder="1" applyAlignment="1">
      <alignment horizontal="right" vertical="center"/>
    </xf>
    <xf numFmtId="177" fontId="10" fillId="4" borderId="3" xfId="0" applyNumberFormat="1" applyFont="1" applyFill="1" applyBorder="1" applyAlignment="1">
      <alignment vertical="center"/>
    </xf>
    <xf numFmtId="173" fontId="10" fillId="5" borderId="4" xfId="0" applyNumberFormat="1" applyFont="1" applyFill="1" applyBorder="1" applyAlignment="1">
      <alignment horizontal="right" vertical="center"/>
    </xf>
    <xf numFmtId="168" fontId="10" fillId="4" borderId="6" xfId="0" applyNumberFormat="1" applyFont="1" applyFill="1" applyBorder="1" applyAlignment="1">
      <alignment horizontal="right" vertical="center"/>
    </xf>
    <xf numFmtId="166" fontId="10" fillId="4" borderId="3" xfId="0" applyNumberFormat="1" applyFont="1" applyFill="1" applyBorder="1" applyAlignment="1">
      <alignment horizontal="right" vertical="center"/>
    </xf>
    <xf numFmtId="175" fontId="10" fillId="5" borderId="6" xfId="0" applyNumberFormat="1" applyFont="1" applyFill="1" applyBorder="1" applyAlignment="1">
      <alignment horizontal="right" vertical="center"/>
    </xf>
    <xf numFmtId="0" fontId="4" fillId="0" borderId="1" xfId="0" applyFont="1" applyBorder="1" applyAlignment="1">
      <alignment horizontal="left" vertical="center" indent="1"/>
    </xf>
    <xf numFmtId="168" fontId="10" fillId="0" borderId="1" xfId="0" applyNumberFormat="1" applyFont="1" applyBorder="1" applyAlignment="1">
      <alignment horizontal="right" vertical="center"/>
    </xf>
    <xf numFmtId="168" fontId="19" fillId="0" borderId="1" xfId="0" applyNumberFormat="1" applyFont="1" applyBorder="1" applyAlignment="1">
      <alignment horizontal="right" vertical="center"/>
    </xf>
    <xf numFmtId="0" fontId="3" fillId="0" borderId="16" xfId="0" applyFont="1" applyBorder="1" applyAlignment="1">
      <alignment vertical="center"/>
    </xf>
    <xf numFmtId="168" fontId="9" fillId="0" borderId="16" xfId="0" applyNumberFormat="1" applyFont="1" applyBorder="1" applyAlignment="1">
      <alignment horizontal="center" vertical="center"/>
    </xf>
    <xf numFmtId="168" fontId="4" fillId="0" borderId="16" xfId="0" applyNumberFormat="1" applyFont="1" applyBorder="1" applyAlignment="1">
      <alignment horizontal="right" vertical="center"/>
    </xf>
    <xf numFmtId="168" fontId="9" fillId="0" borderId="16" xfId="0" applyNumberFormat="1" applyFont="1" applyBorder="1" applyAlignment="1">
      <alignment horizontal="right" vertical="center"/>
    </xf>
    <xf numFmtId="168" fontId="18" fillId="0" borderId="16" xfId="0" applyNumberFormat="1" applyFont="1" applyBorder="1" applyAlignment="1">
      <alignment horizontal="right" vertical="center"/>
    </xf>
    <xf numFmtId="168" fontId="12" fillId="0" borderId="1" xfId="0" applyNumberFormat="1" applyFont="1" applyBorder="1" applyAlignment="1">
      <alignment horizontal="right" vertical="center"/>
    </xf>
    <xf numFmtId="0" fontId="4" fillId="0" borderId="16" xfId="0" applyFont="1" applyBorder="1" applyAlignment="1">
      <alignment vertical="center"/>
    </xf>
    <xf numFmtId="168" fontId="10" fillId="0" borderId="16" xfId="0" applyNumberFormat="1" applyFont="1" applyBorder="1" applyAlignment="1">
      <alignment horizontal="right" vertical="center"/>
    </xf>
    <xf numFmtId="168" fontId="19" fillId="0" borderId="16" xfId="0" applyNumberFormat="1" applyFont="1" applyBorder="1" applyAlignment="1">
      <alignment horizontal="right" vertical="center"/>
    </xf>
    <xf numFmtId="49" fontId="4" fillId="14" borderId="1" xfId="0" applyNumberFormat="1" applyFont="1" applyFill="1" applyBorder="1" applyAlignment="1">
      <alignment horizontal="left"/>
    </xf>
    <xf numFmtId="49" fontId="3" fillId="14" borderId="30" xfId="0" applyNumberFormat="1" applyFont="1" applyFill="1" applyBorder="1" applyAlignment="1">
      <alignment horizontal="left"/>
    </xf>
    <xf numFmtId="49" fontId="4" fillId="14" borderId="26" xfId="0" applyNumberFormat="1" applyFont="1" applyFill="1" applyBorder="1" applyAlignment="1">
      <alignment horizontal="left"/>
    </xf>
    <xf numFmtId="0" fontId="5" fillId="0" borderId="15" xfId="0" applyFont="1" applyBorder="1" applyAlignment="1">
      <alignment horizontal="center"/>
    </xf>
    <xf numFmtId="169" fontId="5" fillId="0" borderId="38" xfId="0" applyNumberFormat="1" applyFont="1" applyBorder="1" applyAlignment="1">
      <alignment horizontal="center" vertical="center"/>
    </xf>
    <xf numFmtId="49" fontId="4" fillId="0" borderId="0" xfId="0" applyNumberFormat="1" applyFont="1" applyAlignment="1">
      <alignment horizontal="left" indent="1"/>
    </xf>
    <xf numFmtId="181" fontId="0" fillId="0" borderId="0" xfId="0" applyNumberFormat="1"/>
    <xf numFmtId="168" fontId="4" fillId="0" borderId="1" xfId="0" applyNumberFormat="1" applyFont="1" applyBorder="1" applyAlignment="1">
      <alignment horizontal="right" vertical="center"/>
    </xf>
    <xf numFmtId="168" fontId="18" fillId="0" borderId="1" xfId="0" applyNumberFormat="1" applyFont="1" applyBorder="1" applyAlignment="1">
      <alignment horizontal="right" vertical="center"/>
    </xf>
    <xf numFmtId="175" fontId="4" fillId="0" borderId="0" xfId="0" applyNumberFormat="1" applyFont="1"/>
    <xf numFmtId="175" fontId="4" fillId="0" borderId="17" xfId="0" applyNumberFormat="1" applyFont="1" applyBorder="1"/>
    <xf numFmtId="168" fontId="12" fillId="0" borderId="16" xfId="0" applyNumberFormat="1" applyFont="1" applyBorder="1" applyAlignment="1">
      <alignment horizontal="right" vertical="center"/>
    </xf>
    <xf numFmtId="186" fontId="19" fillId="0" borderId="16" xfId="0" applyNumberFormat="1" applyFont="1" applyBorder="1"/>
    <xf numFmtId="186" fontId="12" fillId="0" borderId="1" xfId="0" applyNumberFormat="1" applyFont="1" applyBorder="1"/>
    <xf numFmtId="186" fontId="19" fillId="0" borderId="1" xfId="0" applyNumberFormat="1" applyFont="1" applyBorder="1"/>
    <xf numFmtId="173" fontId="4" fillId="0" borderId="1" xfId="0" applyNumberFormat="1" applyFont="1" applyBorder="1" applyAlignment="1">
      <alignment horizontal="right" vertical="center"/>
    </xf>
    <xf numFmtId="49" fontId="3" fillId="14" borderId="0" xfId="0" applyNumberFormat="1" applyFont="1" applyFill="1" applyAlignment="1">
      <alignment horizontal="left"/>
    </xf>
    <xf numFmtId="172" fontId="9" fillId="0" borderId="0" xfId="2" applyNumberFormat="1" applyFont="1" applyAlignment="1">
      <alignment horizontal="right" vertical="center"/>
    </xf>
    <xf numFmtId="49" fontId="8" fillId="0" borderId="0" xfId="0" applyNumberFormat="1" applyFont="1" applyAlignment="1">
      <alignment horizontal="center" vertical="center"/>
    </xf>
    <xf numFmtId="49" fontId="3" fillId="0" borderId="41" xfId="0" applyNumberFormat="1" applyFont="1" applyBorder="1" applyAlignment="1">
      <alignment horizontal="left"/>
    </xf>
    <xf numFmtId="49" fontId="4" fillId="0" borderId="41" xfId="0" applyNumberFormat="1" applyFont="1" applyBorder="1" applyAlignment="1">
      <alignment horizontal="center" vertical="center"/>
    </xf>
    <xf numFmtId="182" fontId="21" fillId="0" borderId="41" xfId="0" applyNumberFormat="1" applyFont="1" applyBorder="1"/>
    <xf numFmtId="181" fontId="19" fillId="0" borderId="41" xfId="0" applyNumberFormat="1" applyFont="1" applyBorder="1"/>
    <xf numFmtId="49" fontId="4" fillId="0" borderId="40" xfId="0" applyNumberFormat="1" applyFont="1" applyBorder="1" applyAlignment="1">
      <alignment horizontal="left" indent="2"/>
    </xf>
    <xf numFmtId="49" fontId="4" fillId="0" borderId="40" xfId="0" applyNumberFormat="1" applyFont="1" applyBorder="1" applyAlignment="1">
      <alignment horizontal="center" vertical="center"/>
    </xf>
    <xf numFmtId="182" fontId="21" fillId="0" borderId="40" xfId="0" applyNumberFormat="1" applyFont="1" applyBorder="1"/>
    <xf numFmtId="181" fontId="19" fillId="0" borderId="40" xfId="0" applyNumberFormat="1" applyFont="1" applyBorder="1"/>
    <xf numFmtId="0" fontId="0" fillId="0" borderId="40" xfId="0" applyBorder="1"/>
    <xf numFmtId="169" fontId="5" fillId="0" borderId="43" xfId="0" applyNumberFormat="1" applyFont="1" applyBorder="1" applyAlignment="1">
      <alignment horizontal="center" vertical="center"/>
    </xf>
    <xf numFmtId="0" fontId="5" fillId="0" borderId="44" xfId="0" applyFont="1" applyBorder="1" applyAlignment="1">
      <alignment horizontal="center" vertical="center"/>
    </xf>
    <xf numFmtId="164" fontId="4" fillId="0" borderId="0" xfId="1" applyFont="1" applyFill="1"/>
    <xf numFmtId="177" fontId="12" fillId="19" borderId="14" xfId="0" applyNumberFormat="1" applyFont="1" applyFill="1" applyBorder="1" applyAlignment="1">
      <alignment vertical="center"/>
    </xf>
    <xf numFmtId="166" fontId="7" fillId="20" borderId="3" xfId="0" applyNumberFormat="1" applyFont="1" applyFill="1" applyBorder="1" applyAlignment="1">
      <alignment horizontal="right" vertical="center"/>
    </xf>
    <xf numFmtId="0" fontId="19" fillId="21" borderId="21" xfId="0" applyFont="1" applyFill="1" applyBorder="1"/>
    <xf numFmtId="10" fontId="19" fillId="21" borderId="22" xfId="2" applyNumberFormat="1" applyFont="1" applyFill="1" applyBorder="1"/>
    <xf numFmtId="10" fontId="19" fillId="21" borderId="23" xfId="2" applyNumberFormat="1" applyFont="1" applyFill="1" applyBorder="1"/>
    <xf numFmtId="0" fontId="4" fillId="21" borderId="0" xfId="0" applyFont="1" applyFill="1"/>
    <xf numFmtId="168" fontId="7" fillId="21" borderId="0" xfId="0" applyNumberFormat="1" applyFont="1" applyFill="1" applyAlignment="1">
      <alignment horizontal="center" vertical="center"/>
    </xf>
    <xf numFmtId="0" fontId="5" fillId="16" borderId="0" xfId="0" applyFont="1" applyFill="1" applyAlignment="1">
      <alignment vertical="center"/>
    </xf>
    <xf numFmtId="0" fontId="5" fillId="16" borderId="0" xfId="0" applyFont="1" applyFill="1" applyAlignment="1">
      <alignment horizontal="center" vertical="center"/>
    </xf>
    <xf numFmtId="0" fontId="3" fillId="21" borderId="0" xfId="0" applyFont="1" applyFill="1"/>
    <xf numFmtId="168" fontId="13" fillId="21" borderId="0" xfId="0" applyNumberFormat="1" applyFont="1" applyFill="1" applyAlignment="1">
      <alignment horizontal="center" vertical="center"/>
    </xf>
    <xf numFmtId="2" fontId="3" fillId="21" borderId="0" xfId="1" applyNumberFormat="1" applyFont="1" applyFill="1" applyAlignment="1">
      <alignment horizontal="center" vertical="center"/>
    </xf>
    <xf numFmtId="2" fontId="4" fillId="21" borderId="0" xfId="1" applyNumberFormat="1" applyFont="1" applyFill="1" applyAlignment="1">
      <alignment horizontal="center" vertical="center"/>
    </xf>
    <xf numFmtId="2" fontId="4" fillId="0" borderId="0" xfId="1" applyNumberFormat="1" applyFont="1" applyFill="1" applyAlignment="1">
      <alignment horizontal="center" vertical="center"/>
    </xf>
    <xf numFmtId="9" fontId="4" fillId="21" borderId="0" xfId="0" applyNumberFormat="1" applyFont="1" applyFill="1" applyAlignment="1">
      <alignment horizontal="center" vertical="center"/>
    </xf>
    <xf numFmtId="9" fontId="4" fillId="0" borderId="0" xfId="0" applyNumberFormat="1" applyFont="1" applyAlignment="1">
      <alignment horizontal="center" vertical="center"/>
    </xf>
    <xf numFmtId="0" fontId="12" fillId="21" borderId="0" xfId="0" applyFont="1" applyFill="1"/>
    <xf numFmtId="166" fontId="12" fillId="21" borderId="0" xfId="2" applyNumberFormat="1" applyFont="1" applyFill="1" applyAlignment="1">
      <alignment horizontal="center" vertical="center"/>
    </xf>
    <xf numFmtId="10" fontId="4" fillId="0" borderId="0" xfId="0" applyNumberFormat="1" applyFont="1" applyAlignment="1">
      <alignment horizontal="center" vertical="center"/>
    </xf>
    <xf numFmtId="166" fontId="10" fillId="21" borderId="0" xfId="0" applyNumberFormat="1" applyFont="1" applyFill="1" applyAlignment="1">
      <alignment horizontal="center" vertical="center"/>
    </xf>
    <xf numFmtId="0" fontId="12" fillId="21" borderId="0" xfId="0" applyFont="1" applyFill="1" applyAlignment="1">
      <alignment horizontal="center" vertical="center"/>
    </xf>
    <xf numFmtId="0" fontId="0" fillId="0" borderId="1" xfId="0" applyBorder="1"/>
    <xf numFmtId="169" fontId="5" fillId="17" borderId="46" xfId="0" applyNumberFormat="1" applyFont="1" applyFill="1" applyBorder="1" applyAlignment="1">
      <alignment horizontal="center"/>
    </xf>
    <xf numFmtId="169" fontId="5" fillId="15" borderId="45" xfId="0" applyNumberFormat="1" applyFont="1" applyFill="1" applyBorder="1" applyAlignment="1">
      <alignment horizontal="center" vertical="center"/>
    </xf>
    <xf numFmtId="0" fontId="5" fillId="17" borderId="47" xfId="0" applyFont="1" applyFill="1" applyBorder="1" applyAlignment="1">
      <alignment horizontal="center"/>
    </xf>
    <xf numFmtId="9" fontId="11" fillId="11" borderId="33" xfId="2" applyFont="1" applyFill="1" applyBorder="1" applyAlignment="1">
      <alignment horizontal="right"/>
    </xf>
    <xf numFmtId="9" fontId="11" fillId="11" borderId="28" xfId="2" applyFont="1" applyFill="1" applyBorder="1" applyAlignment="1">
      <alignment horizontal="right"/>
    </xf>
    <xf numFmtId="9" fontId="11" fillId="11" borderId="27" xfId="2" applyFont="1" applyFill="1" applyBorder="1" applyAlignment="1">
      <alignment horizontal="right"/>
    </xf>
    <xf numFmtId="0" fontId="3" fillId="0" borderId="1" xfId="0" applyFont="1" applyBorder="1" applyAlignment="1">
      <alignment vertical="center"/>
    </xf>
    <xf numFmtId="172" fontId="12" fillId="0" borderId="33" xfId="2" applyNumberFormat="1" applyFont="1" applyFill="1" applyBorder="1"/>
    <xf numFmtId="172" fontId="12" fillId="0" borderId="34" xfId="2" applyNumberFormat="1" applyFont="1" applyFill="1" applyBorder="1"/>
    <xf numFmtId="172" fontId="12" fillId="0" borderId="27" xfId="2" applyNumberFormat="1" applyFont="1" applyFill="1" applyBorder="1"/>
    <xf numFmtId="187" fontId="10" fillId="5" borderId="3" xfId="0" applyNumberFormat="1" applyFont="1" applyFill="1" applyBorder="1" applyAlignment="1">
      <alignment horizontal="right" vertical="center"/>
    </xf>
    <xf numFmtId="17" fontId="9" fillId="22" borderId="5" xfId="0" applyNumberFormat="1" applyFont="1" applyFill="1" applyBorder="1" applyAlignment="1">
      <alignment horizontal="right" vertical="center"/>
    </xf>
    <xf numFmtId="172" fontId="9" fillId="20" borderId="3" xfId="0" applyNumberFormat="1" applyFont="1" applyFill="1" applyBorder="1" applyAlignment="1">
      <alignment horizontal="right" vertical="center"/>
    </xf>
    <xf numFmtId="168" fontId="12" fillId="20" borderId="5" xfId="0" applyNumberFormat="1" applyFont="1" applyFill="1" applyBorder="1" applyAlignment="1">
      <alignment horizontal="right" vertical="center"/>
    </xf>
    <xf numFmtId="168" fontId="10" fillId="20" borderId="5" xfId="0" applyNumberFormat="1" applyFont="1" applyFill="1" applyBorder="1" applyAlignment="1">
      <alignment horizontal="right" vertical="center"/>
    </xf>
    <xf numFmtId="168" fontId="9" fillId="20" borderId="7" xfId="0" applyNumberFormat="1" applyFont="1" applyFill="1" applyBorder="1" applyAlignment="1">
      <alignment horizontal="right" vertical="center"/>
    </xf>
    <xf numFmtId="10" fontId="9" fillId="20" borderId="5" xfId="0" applyNumberFormat="1" applyFont="1" applyFill="1" applyBorder="1" applyAlignment="1">
      <alignment horizontal="right" vertical="center"/>
    </xf>
    <xf numFmtId="187" fontId="12" fillId="20" borderId="3" xfId="0" applyNumberFormat="1" applyFont="1" applyFill="1" applyBorder="1" applyAlignment="1">
      <alignment horizontal="right" vertical="center"/>
    </xf>
    <xf numFmtId="166" fontId="9" fillId="20" borderId="3" xfId="0" applyNumberFormat="1" applyFont="1" applyFill="1" applyBorder="1" applyAlignment="1">
      <alignment horizontal="right" vertical="center"/>
    </xf>
    <xf numFmtId="176" fontId="9" fillId="20" borderId="7" xfId="0" applyNumberFormat="1" applyFont="1" applyFill="1" applyBorder="1" applyAlignment="1">
      <alignment horizontal="right" vertical="center"/>
    </xf>
    <xf numFmtId="177" fontId="9" fillId="20" borderId="3" xfId="0" applyNumberFormat="1" applyFont="1" applyFill="1" applyBorder="1" applyAlignment="1">
      <alignment horizontal="right" vertical="center"/>
    </xf>
    <xf numFmtId="177" fontId="12" fillId="19" borderId="3" xfId="0" applyNumberFormat="1" applyFont="1" applyFill="1" applyBorder="1" applyAlignment="1">
      <alignment vertical="center"/>
    </xf>
    <xf numFmtId="166" fontId="13" fillId="20" borderId="3" xfId="0" applyNumberFormat="1" applyFont="1" applyFill="1" applyBorder="1" applyAlignment="1">
      <alignment horizontal="right" vertical="center"/>
    </xf>
    <xf numFmtId="172" fontId="12" fillId="0" borderId="0" xfId="2" applyNumberFormat="1" applyFont="1" applyAlignment="1">
      <alignment horizontal="right" vertical="center"/>
    </xf>
    <xf numFmtId="0" fontId="8" fillId="0" borderId="0" xfId="0" applyFont="1" applyAlignment="1">
      <alignment horizontal="center" vertical="center"/>
    </xf>
    <xf numFmtId="170" fontId="11" fillId="11" borderId="12" xfId="0" applyNumberFormat="1" applyFont="1" applyFill="1" applyBorder="1"/>
    <xf numFmtId="0" fontId="21" fillId="0" borderId="0" xfId="0" applyFont="1" applyAlignment="1">
      <alignment vertical="center"/>
    </xf>
    <xf numFmtId="168" fontId="14" fillId="0" borderId="0" xfId="0" applyNumberFormat="1" applyFont="1" applyAlignment="1">
      <alignment horizontal="right" vertical="center"/>
    </xf>
    <xf numFmtId="172" fontId="8" fillId="0" borderId="0" xfId="2" applyNumberFormat="1" applyFont="1" applyAlignment="1">
      <alignment horizontal="right" vertical="center"/>
    </xf>
    <xf numFmtId="166" fontId="10" fillId="11" borderId="48" xfId="0" applyNumberFormat="1" applyFont="1" applyFill="1" applyBorder="1" applyAlignment="1">
      <alignment horizontal="right" vertical="center"/>
    </xf>
    <xf numFmtId="0" fontId="0" fillId="0" borderId="49" xfId="0" applyBorder="1"/>
    <xf numFmtId="168" fontId="4" fillId="0" borderId="17" xfId="0" applyNumberFormat="1" applyFont="1" applyBorder="1" applyAlignment="1">
      <alignment vertical="center"/>
    </xf>
    <xf numFmtId="168" fontId="19" fillId="0" borderId="17" xfId="0" applyNumberFormat="1" applyFont="1" applyBorder="1" applyAlignment="1">
      <alignment vertical="center"/>
    </xf>
    <xf numFmtId="10" fontId="25" fillId="0" borderId="0" xfId="0" applyNumberFormat="1" applyFont="1" applyAlignment="1">
      <alignment horizontal="center" vertical="center"/>
    </xf>
    <xf numFmtId="168" fontId="10" fillId="11" borderId="50" xfId="0" applyNumberFormat="1" applyFont="1" applyFill="1" applyBorder="1" applyAlignment="1">
      <alignment horizontal="right" vertical="center"/>
    </xf>
    <xf numFmtId="168" fontId="10" fillId="11" borderId="51" xfId="0" applyNumberFormat="1" applyFont="1" applyFill="1" applyBorder="1" applyAlignment="1">
      <alignment horizontal="right" vertical="center"/>
    </xf>
    <xf numFmtId="168" fontId="10" fillId="11" borderId="52" xfId="0" applyNumberFormat="1" applyFont="1" applyFill="1" applyBorder="1" applyAlignment="1">
      <alignment horizontal="right" vertical="center"/>
    </xf>
    <xf numFmtId="168" fontId="12" fillId="0" borderId="51" xfId="0" applyNumberFormat="1" applyFont="1" applyBorder="1" applyAlignment="1">
      <alignment horizontal="right" vertical="center"/>
    </xf>
    <xf numFmtId="170" fontId="19" fillId="0" borderId="12" xfId="0" applyNumberFormat="1" applyFont="1" applyBorder="1"/>
    <xf numFmtId="2" fontId="0" fillId="0" borderId="0" xfId="0" applyNumberFormat="1"/>
    <xf numFmtId="9" fontId="28" fillId="0" borderId="0" xfId="0" applyNumberFormat="1" applyFont="1" applyAlignment="1">
      <alignment horizontal="right" vertical="center"/>
    </xf>
    <xf numFmtId="10" fontId="23" fillId="12" borderId="35" xfId="0" applyNumberFormat="1" applyFont="1" applyFill="1" applyBorder="1" applyAlignment="1">
      <alignment vertical="center"/>
    </xf>
    <xf numFmtId="10" fontId="23" fillId="12" borderId="36" xfId="0" applyNumberFormat="1" applyFont="1" applyFill="1" applyBorder="1" applyAlignment="1">
      <alignment vertical="center"/>
    </xf>
    <xf numFmtId="10" fontId="23" fillId="12" borderId="37" xfId="0" applyNumberFormat="1" applyFont="1" applyFill="1" applyBorder="1" applyAlignment="1">
      <alignment vertical="center"/>
    </xf>
    <xf numFmtId="164" fontId="4" fillId="0" borderId="0" xfId="1" applyFont="1" applyAlignment="1">
      <alignment vertical="center"/>
    </xf>
    <xf numFmtId="168" fontId="11" fillId="11" borderId="53" xfId="0" applyNumberFormat="1" applyFont="1" applyFill="1" applyBorder="1" applyAlignment="1">
      <alignment horizontal="right" vertical="center"/>
    </xf>
    <xf numFmtId="168" fontId="11" fillId="11" borderId="54" xfId="0" applyNumberFormat="1" applyFont="1" applyFill="1" applyBorder="1" applyAlignment="1">
      <alignment horizontal="right" vertical="center"/>
    </xf>
    <xf numFmtId="168" fontId="11" fillId="11" borderId="55" xfId="0" applyNumberFormat="1" applyFont="1" applyFill="1" applyBorder="1" applyAlignment="1">
      <alignment horizontal="right" vertical="center"/>
    </xf>
    <xf numFmtId="168" fontId="11" fillId="11" borderId="36" xfId="0" applyNumberFormat="1" applyFont="1" applyFill="1" applyBorder="1" applyAlignment="1">
      <alignment horizontal="right" vertical="center"/>
    </xf>
    <xf numFmtId="168" fontId="11" fillId="11" borderId="56" xfId="0" applyNumberFormat="1" applyFont="1" applyFill="1" applyBorder="1" applyAlignment="1">
      <alignment horizontal="right" vertical="center"/>
    </xf>
    <xf numFmtId="168" fontId="11" fillId="11" borderId="57" xfId="0" applyNumberFormat="1" applyFont="1" applyFill="1" applyBorder="1" applyAlignment="1">
      <alignment horizontal="right" vertical="center"/>
    </xf>
    <xf numFmtId="168" fontId="11" fillId="11" borderId="58" xfId="0" applyNumberFormat="1" applyFont="1" applyFill="1" applyBorder="1" applyAlignment="1">
      <alignment horizontal="right" vertical="center"/>
    </xf>
    <xf numFmtId="186" fontId="0" fillId="0" borderId="0" xfId="0" applyNumberFormat="1"/>
    <xf numFmtId="0" fontId="31" fillId="11" borderId="35" xfId="0" applyFont="1" applyFill="1" applyBorder="1"/>
    <xf numFmtId="173" fontId="10" fillId="11" borderId="36" xfId="0" applyNumberFormat="1" applyFont="1" applyFill="1" applyBorder="1" applyAlignment="1">
      <alignment horizontal="right" vertical="center"/>
    </xf>
    <xf numFmtId="166" fontId="7" fillId="20" borderId="6" xfId="0" applyNumberFormat="1" applyFont="1" applyFill="1" applyBorder="1" applyAlignment="1">
      <alignment horizontal="right" vertical="center"/>
    </xf>
    <xf numFmtId="166" fontId="23" fillId="5" borderId="36" xfId="0" applyNumberFormat="1" applyFont="1" applyFill="1" applyBorder="1" applyAlignment="1">
      <alignment horizontal="right" vertical="center"/>
    </xf>
    <xf numFmtId="166" fontId="23" fillId="5" borderId="37" xfId="0" applyNumberFormat="1" applyFont="1" applyFill="1" applyBorder="1" applyAlignment="1">
      <alignment horizontal="right" vertical="center"/>
    </xf>
    <xf numFmtId="0" fontId="3" fillId="0" borderId="0" xfId="0" applyFont="1" applyAlignment="1">
      <alignment horizontal="center" vertical="center"/>
    </xf>
    <xf numFmtId="188" fontId="0" fillId="0" borderId="0" xfId="0" applyNumberFormat="1"/>
    <xf numFmtId="173" fontId="11" fillId="11" borderId="35" xfId="0" applyNumberFormat="1" applyFont="1" applyFill="1" applyBorder="1" applyAlignment="1">
      <alignment vertical="center"/>
    </xf>
    <xf numFmtId="173" fontId="11" fillId="11" borderId="36" xfId="0" applyNumberFormat="1" applyFont="1" applyFill="1" applyBorder="1" applyAlignment="1">
      <alignment vertical="center"/>
    </xf>
    <xf numFmtId="173" fontId="11" fillId="11" borderId="37" xfId="0" applyNumberFormat="1" applyFont="1" applyFill="1" applyBorder="1" applyAlignment="1">
      <alignment vertical="center"/>
    </xf>
    <xf numFmtId="9" fontId="23" fillId="12" borderId="35" xfId="0" applyNumberFormat="1" applyFont="1" applyFill="1" applyBorder="1" applyAlignment="1">
      <alignment horizontal="right" vertical="center"/>
    </xf>
    <xf numFmtId="0" fontId="3" fillId="0" borderId="17" xfId="0" applyFont="1" applyBorder="1" applyAlignment="1">
      <alignment vertical="center"/>
    </xf>
    <xf numFmtId="181" fontId="3" fillId="0" borderId="17" xfId="0" applyNumberFormat="1" applyFont="1" applyBorder="1"/>
    <xf numFmtId="2" fontId="3" fillId="0" borderId="17" xfId="0" applyNumberFormat="1" applyFont="1" applyBorder="1"/>
    <xf numFmtId="2" fontId="3" fillId="0" borderId="19" xfId="0" applyNumberFormat="1" applyFont="1" applyBorder="1"/>
    <xf numFmtId="172" fontId="10" fillId="11" borderId="36" xfId="2" applyNumberFormat="1" applyFont="1" applyFill="1" applyBorder="1" applyAlignment="1">
      <alignment horizontal="right" vertical="center"/>
    </xf>
    <xf numFmtId="172" fontId="10" fillId="11" borderId="37" xfId="2" applyNumberFormat="1" applyFont="1" applyFill="1" applyBorder="1" applyAlignment="1">
      <alignment horizontal="right" vertical="center"/>
    </xf>
    <xf numFmtId="181" fontId="9" fillId="0" borderId="0" xfId="0" applyNumberFormat="1" applyFont="1" applyAlignment="1">
      <alignment vertical="center"/>
    </xf>
    <xf numFmtId="169" fontId="5" fillId="14" borderId="39" xfId="0" applyNumberFormat="1" applyFont="1" applyFill="1" applyBorder="1" applyAlignment="1">
      <alignment horizontal="right" vertical="center"/>
    </xf>
    <xf numFmtId="169" fontId="5" fillId="14" borderId="1" xfId="0" applyNumberFormat="1" applyFont="1" applyFill="1" applyBorder="1" applyAlignment="1">
      <alignment horizontal="right" vertical="center"/>
    </xf>
    <xf numFmtId="169" fontId="5" fillId="14" borderId="42" xfId="0" applyNumberFormat="1" applyFont="1" applyFill="1" applyBorder="1" applyAlignment="1">
      <alignment horizontal="right" vertical="center"/>
    </xf>
    <xf numFmtId="2" fontId="4" fillId="0" borderId="0" xfId="0" applyNumberFormat="1" applyFont="1"/>
    <xf numFmtId="170" fontId="3" fillId="0" borderId="17" xfId="0" applyNumberFormat="1" applyFont="1" applyBorder="1"/>
    <xf numFmtId="2" fontId="3" fillId="0" borderId="17" xfId="0" applyNumberFormat="1" applyFont="1" applyBorder="1" applyAlignment="1">
      <alignment vertical="center"/>
    </xf>
    <xf numFmtId="173" fontId="11" fillId="11" borderId="21" xfId="0" applyNumberFormat="1" applyFont="1" applyFill="1" applyBorder="1" applyAlignment="1">
      <alignment vertical="center"/>
    </xf>
    <xf numFmtId="173" fontId="11" fillId="11" borderId="22" xfId="0" applyNumberFormat="1" applyFont="1" applyFill="1" applyBorder="1" applyAlignment="1">
      <alignment vertical="center"/>
    </xf>
    <xf numFmtId="173" fontId="11" fillId="11" borderId="23" xfId="0" applyNumberFormat="1" applyFont="1" applyFill="1" applyBorder="1" applyAlignment="1">
      <alignment vertical="center"/>
    </xf>
    <xf numFmtId="166" fontId="7" fillId="20" borderId="59" xfId="0" applyNumberFormat="1" applyFont="1" applyFill="1" applyBorder="1" applyAlignment="1">
      <alignment horizontal="right" vertical="center"/>
    </xf>
    <xf numFmtId="166" fontId="23" fillId="5" borderId="21" xfId="0" applyNumberFormat="1" applyFont="1" applyFill="1" applyBorder="1" applyAlignment="1">
      <alignment horizontal="right" vertical="center"/>
    </xf>
    <xf numFmtId="166" fontId="23" fillId="5" borderId="22" xfId="0" applyNumberFormat="1" applyFont="1" applyFill="1" applyBorder="1" applyAlignment="1">
      <alignment horizontal="right" vertical="center"/>
    </xf>
    <xf numFmtId="166" fontId="23" fillId="5" borderId="23" xfId="0" applyNumberFormat="1" applyFont="1" applyFill="1" applyBorder="1" applyAlignment="1">
      <alignment horizontal="right" vertical="center"/>
    </xf>
    <xf numFmtId="172" fontId="25" fillId="0" borderId="60" xfId="0" applyNumberFormat="1" applyFont="1" applyBorder="1" applyAlignment="1">
      <alignment horizontal="center" vertical="center"/>
    </xf>
    <xf numFmtId="166" fontId="23" fillId="11" borderId="61" xfId="0" applyNumberFormat="1" applyFont="1" applyFill="1" applyBorder="1" applyAlignment="1">
      <alignment horizontal="right" vertical="center"/>
    </xf>
    <xf numFmtId="169" fontId="5" fillId="24" borderId="1" xfId="0" applyNumberFormat="1" applyFont="1" applyFill="1" applyBorder="1" applyAlignment="1">
      <alignment horizontal="center"/>
    </xf>
    <xf numFmtId="0" fontId="4" fillId="24" borderId="1" xfId="0" applyFont="1" applyFill="1" applyBorder="1"/>
    <xf numFmtId="169" fontId="5" fillId="14" borderId="62" xfId="0" applyNumberFormat="1" applyFont="1" applyFill="1" applyBorder="1" applyAlignment="1">
      <alignment horizontal="center"/>
    </xf>
    <xf numFmtId="169" fontId="5" fillId="24" borderId="26" xfId="0" applyNumberFormat="1" applyFont="1" applyFill="1" applyBorder="1" applyAlignment="1">
      <alignment horizontal="center"/>
    </xf>
    <xf numFmtId="0" fontId="10" fillId="0" borderId="0" xfId="0" applyFont="1" applyAlignment="1">
      <alignment vertical="center"/>
    </xf>
    <xf numFmtId="0" fontId="12" fillId="0" borderId="0" xfId="0" applyFont="1" applyAlignment="1">
      <alignment vertical="center"/>
    </xf>
    <xf numFmtId="9" fontId="0" fillId="0" borderId="0" xfId="2" applyFont="1"/>
    <xf numFmtId="2" fontId="14" fillId="5" borderId="17" xfId="2" applyNumberFormat="1" applyFont="1" applyFill="1" applyBorder="1" applyAlignment="1">
      <alignment horizontal="right" vertical="center"/>
    </xf>
    <xf numFmtId="168" fontId="18" fillId="25" borderId="12" xfId="0" applyNumberFormat="1" applyFont="1" applyFill="1" applyBorder="1" applyAlignment="1">
      <alignment horizontal="right" vertical="center"/>
    </xf>
    <xf numFmtId="177" fontId="10" fillId="4" borderId="63" xfId="0" applyNumberFormat="1" applyFont="1" applyFill="1" applyBorder="1" applyAlignment="1">
      <alignment vertical="center"/>
    </xf>
    <xf numFmtId="2" fontId="10" fillId="4" borderId="63" xfId="0" applyNumberFormat="1" applyFont="1" applyFill="1" applyBorder="1" applyAlignment="1">
      <alignment vertical="center"/>
    </xf>
    <xf numFmtId="10" fontId="9" fillId="20" borderId="63" xfId="2" applyNumberFormat="1" applyFont="1" applyFill="1" applyBorder="1" applyAlignment="1">
      <alignment horizontal="right" vertical="center"/>
    </xf>
    <xf numFmtId="43" fontId="10" fillId="4" borderId="63" xfId="5" applyFont="1" applyFill="1" applyBorder="1" applyAlignment="1">
      <alignment vertical="center"/>
    </xf>
    <xf numFmtId="2" fontId="10" fillId="4" borderId="63" xfId="5" applyNumberFormat="1" applyFont="1" applyFill="1" applyBorder="1" applyAlignment="1">
      <alignment vertical="center"/>
    </xf>
    <xf numFmtId="10" fontId="10" fillId="4" borderId="63" xfId="2" applyNumberFormat="1" applyFont="1" applyFill="1" applyBorder="1" applyAlignment="1">
      <alignment vertical="center"/>
    </xf>
    <xf numFmtId="2" fontId="4" fillId="0" borderId="0" xfId="2" applyNumberFormat="1" applyFont="1" applyAlignment="1">
      <alignment vertical="center"/>
    </xf>
    <xf numFmtId="2" fontId="10" fillId="4" borderId="5" xfId="0" applyNumberFormat="1" applyFont="1" applyFill="1" applyBorder="1" applyAlignment="1">
      <alignment vertical="center"/>
    </xf>
    <xf numFmtId="10" fontId="4" fillId="0" borderId="0" xfId="2" applyNumberFormat="1" applyFont="1" applyAlignment="1">
      <alignment vertical="center"/>
    </xf>
    <xf numFmtId="10" fontId="4" fillId="0" borderId="0" xfId="0" applyNumberFormat="1" applyFont="1" applyAlignment="1">
      <alignment vertical="center"/>
    </xf>
    <xf numFmtId="0" fontId="3" fillId="0" borderId="0" xfId="0" applyFont="1" applyAlignment="1">
      <alignment horizontal="center" vertical="center"/>
    </xf>
    <xf numFmtId="0" fontId="0" fillId="0" borderId="0" xfId="0"/>
    <xf numFmtId="168" fontId="18" fillId="9" borderId="11" xfId="0" applyNumberFormat="1" applyFont="1" applyFill="1" applyBorder="1" applyAlignment="1">
      <alignment horizontal="center" vertical="center"/>
    </xf>
    <xf numFmtId="0" fontId="20" fillId="0" borderId="12" xfId="0" applyFont="1" applyBorder="1"/>
    <xf numFmtId="0" fontId="20" fillId="0" borderId="13" xfId="0" applyFont="1" applyBorder="1"/>
    <xf numFmtId="168" fontId="7" fillId="8" borderId="17" xfId="0" applyNumberFormat="1" applyFont="1" applyFill="1" applyBorder="1" applyAlignment="1">
      <alignment horizontal="center" vertical="center"/>
    </xf>
    <xf numFmtId="0" fontId="5" fillId="14" borderId="25" xfId="0" applyFont="1" applyFill="1" applyBorder="1" applyAlignment="1">
      <alignment horizontal="center"/>
    </xf>
    <xf numFmtId="0" fontId="5" fillId="14" borderId="15" xfId="0" applyFont="1" applyFill="1" applyBorder="1" applyAlignment="1">
      <alignment horizontal="center"/>
    </xf>
    <xf numFmtId="0" fontId="5" fillId="16" borderId="0" xfId="0" applyFont="1" applyFill="1" applyAlignment="1">
      <alignment horizontal="center" vertical="center"/>
    </xf>
    <xf numFmtId="168" fontId="7" fillId="8" borderId="12" xfId="0" applyNumberFormat="1" applyFont="1" applyFill="1" applyBorder="1" applyAlignment="1">
      <alignment horizontal="center" vertical="center"/>
    </xf>
    <xf numFmtId="0" fontId="16" fillId="0" borderId="12" xfId="0" applyFont="1" applyBorder="1"/>
    <xf numFmtId="0" fontId="5" fillId="14" borderId="24" xfId="0" applyFont="1" applyFill="1" applyBorder="1" applyAlignment="1">
      <alignment horizontal="center"/>
    </xf>
    <xf numFmtId="0" fontId="5" fillId="10" borderId="15" xfId="0" applyFont="1" applyFill="1" applyBorder="1" applyAlignment="1">
      <alignment horizontal="center"/>
    </xf>
    <xf numFmtId="0" fontId="5" fillId="10" borderId="24" xfId="0" applyFont="1" applyFill="1" applyBorder="1" applyAlignment="1">
      <alignment horizontal="center"/>
    </xf>
    <xf numFmtId="0" fontId="4" fillId="2" borderId="0" xfId="0" applyFont="1" applyFill="1" applyAlignment="1">
      <alignment horizontal="left" vertical="top"/>
    </xf>
    <xf numFmtId="0" fontId="4" fillId="3" borderId="0" xfId="0" applyFont="1" applyFill="1" applyAlignment="1">
      <alignment horizontal="left" vertical="top"/>
    </xf>
    <xf numFmtId="0" fontId="4" fillId="0" borderId="2" xfId="0" applyFont="1" applyBorder="1" applyAlignment="1">
      <alignment horizontal="left" vertical="top"/>
    </xf>
    <xf numFmtId="0" fontId="5" fillId="2" borderId="0" xfId="0" applyFont="1" applyFill="1" applyAlignment="1">
      <alignment horizontal="left" vertical="top"/>
    </xf>
    <xf numFmtId="0" fontId="5" fillId="3" borderId="0" xfId="0" applyFont="1" applyFill="1" applyAlignment="1">
      <alignment horizontal="left" vertical="top"/>
    </xf>
    <xf numFmtId="0" fontId="5" fillId="0" borderId="2" xfId="0" applyFont="1" applyBorder="1" applyAlignment="1">
      <alignment horizontal="left" vertical="top"/>
    </xf>
    <xf numFmtId="168" fontId="4" fillId="0" borderId="0" xfId="0" applyNumberFormat="1" applyFont="1" applyAlignment="1">
      <alignment horizontal="left" vertical="top"/>
    </xf>
    <xf numFmtId="173" fontId="3" fillId="0" borderId="0" xfId="0" applyNumberFormat="1" applyFont="1" applyAlignment="1">
      <alignment horizontal="left" vertical="top"/>
    </xf>
    <xf numFmtId="166" fontId="4" fillId="0" borderId="0" xfId="0" applyNumberFormat="1" applyFont="1" applyAlignment="1">
      <alignment horizontal="left" vertical="top"/>
    </xf>
    <xf numFmtId="173" fontId="10" fillId="0" borderId="0" xfId="0" applyNumberFormat="1" applyFont="1" applyAlignment="1">
      <alignment horizontal="left" vertical="top"/>
    </xf>
    <xf numFmtId="0" fontId="4" fillId="0" borderId="0" xfId="0" applyFont="1" applyAlignment="1">
      <alignment horizontal="left" vertical="top"/>
    </xf>
    <xf numFmtId="167" fontId="4" fillId="0" borderId="0" xfId="0" applyNumberFormat="1" applyFont="1" applyAlignment="1">
      <alignment horizontal="left" vertical="top"/>
    </xf>
    <xf numFmtId="0" fontId="3" fillId="0" borderId="0" xfId="0" applyFont="1" applyAlignment="1">
      <alignment horizontal="left" vertical="top"/>
    </xf>
    <xf numFmtId="168" fontId="9" fillId="0" borderId="0" xfId="0" applyNumberFormat="1" applyFont="1" applyAlignment="1">
      <alignment horizontal="left" vertical="top"/>
    </xf>
    <xf numFmtId="0" fontId="0" fillId="0" borderId="0" xfId="0" applyAlignment="1">
      <alignment horizontal="left" vertical="top"/>
    </xf>
    <xf numFmtId="0" fontId="0" fillId="23" borderId="0" xfId="0" applyFill="1" applyAlignment="1">
      <alignment horizontal="left" vertical="top"/>
    </xf>
    <xf numFmtId="0" fontId="4" fillId="7" borderId="0" xfId="0" applyFont="1" applyFill="1" applyAlignment="1">
      <alignment horizontal="left" vertical="top"/>
    </xf>
    <xf numFmtId="9" fontId="4" fillId="0" borderId="0" xfId="2" applyFont="1"/>
    <xf numFmtId="2" fontId="3" fillId="0" borderId="0" xfId="0" applyNumberFormat="1" applyFont="1" applyAlignment="1">
      <alignment vertical="center"/>
    </xf>
    <xf numFmtId="173" fontId="3" fillId="26" borderId="0" xfId="0" applyNumberFormat="1" applyFont="1" applyFill="1" applyBorder="1" applyAlignment="1">
      <alignment vertical="center"/>
    </xf>
    <xf numFmtId="166" fontId="7" fillId="25" borderId="64" xfId="0" applyNumberFormat="1" applyFont="1" applyFill="1" applyBorder="1" applyAlignment="1">
      <alignment horizontal="right" vertical="center"/>
    </xf>
    <xf numFmtId="0" fontId="0" fillId="0" borderId="64" xfId="0" applyBorder="1"/>
    <xf numFmtId="43" fontId="25" fillId="0" borderId="20" xfId="5" applyFont="1" applyBorder="1" applyAlignment="1">
      <alignment horizontal="center" vertical="center"/>
    </xf>
    <xf numFmtId="168" fontId="18" fillId="25" borderId="65" xfId="0" applyNumberFormat="1" applyFont="1" applyFill="1" applyBorder="1" applyAlignment="1">
      <alignment horizontal="center" vertical="center"/>
    </xf>
    <xf numFmtId="168" fontId="18" fillId="0" borderId="66" xfId="0" applyNumberFormat="1" applyFont="1" applyBorder="1" applyAlignment="1">
      <alignment horizontal="center" vertical="center"/>
    </xf>
    <xf numFmtId="170" fontId="3" fillId="0" borderId="67" xfId="0" applyNumberFormat="1" applyFont="1" applyBorder="1"/>
    <xf numFmtId="197" fontId="3" fillId="18" borderId="28" xfId="2" applyNumberFormat="1" applyFont="1" applyFill="1" applyBorder="1"/>
    <xf numFmtId="197" fontId="0" fillId="0" borderId="0" xfId="0" applyNumberFormat="1"/>
  </cellXfs>
  <cellStyles count="6">
    <cellStyle name="Comma" xfId="5" builtinId="3"/>
    <cellStyle name="Currency" xfId="1" builtinId="4"/>
    <cellStyle name="Normal" xfId="0" builtinId="0"/>
    <cellStyle name="Normal 2" xfId="3" xr:uid="{668B2F50-0282-4893-97BD-5A6EF0831F69}"/>
    <cellStyle name="Normal 7" xfId="4" xr:uid="{75C71607-0C86-4622-AE90-AD1040F63490}"/>
    <cellStyle name="Percent" xfId="2" builtinId="5"/>
  </cellStyles>
  <dxfs count="4">
    <dxf>
      <numFmt numFmtId="167" formatCode="0.0\x;\(0.0\x\);&quot;–&quot;"/>
      <fill>
        <patternFill patternType="none"/>
      </fill>
    </dxf>
    <dxf>
      <numFmt numFmtId="166" formatCode="0.0%_);\(0.0%\);&quot;-&quot;_);@_)"/>
      <fill>
        <patternFill patternType="none"/>
      </fill>
    </dxf>
    <dxf>
      <numFmt numFmtId="167" formatCode="0.0\x;\(0.0\x\);&quot;–&quot;"/>
      <fill>
        <patternFill patternType="none"/>
      </fill>
    </dxf>
    <dxf>
      <numFmt numFmtId="166" formatCode="0.0%_);\(0.0%\);&quot;-&quot;_);@_)"/>
      <fill>
        <patternFill patternType="none"/>
      </fill>
    </dxf>
  </dxfs>
  <tableStyles count="0" defaultTableStyle="TableStyleMedium2" defaultPivotStyle="PivotStyleLight16"/>
  <colors>
    <mruColors>
      <color rgb="FFFFFE88"/>
      <color rgb="FFFFFD60"/>
      <color rgb="FF44546A"/>
      <color rgb="FF3E345A"/>
      <color rgb="FF2A233D"/>
      <color rgb="FF5A4B81"/>
      <color rgb="FF000518"/>
      <color rgb="FFCFB173"/>
      <color rgb="FF4B0082"/>
      <color rgb="FFF9F2D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5" Type="http://schemas.openxmlformats.org/officeDocument/2006/relationships/customXml" Target="../customXml/item3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Relationship Id="rId14" Type="http://schemas.openxmlformats.org/officeDocument/2006/relationships/customXml" Target="../customXml/item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1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 lvl="0">
              <a:defRPr sz="1000" b="1" i="0">
                <a:solidFill>
                  <a:srgbClr val="757575"/>
                </a:solidFill>
                <a:latin typeface="Arial"/>
              </a:defRPr>
            </a:pPr>
            <a:r>
              <a:rPr lang="en-NZ" sz="1000" b="1" i="0">
                <a:solidFill>
                  <a:srgbClr val="757575"/>
                </a:solidFill>
                <a:latin typeface="Arial"/>
              </a:rPr>
              <a:t>Free Cashflow / EBITDA Profile
Forecast ($m)
</a:t>
            </a:r>
          </a:p>
        </c:rich>
      </c:tx>
      <c:layout>
        <c:manualLayout>
          <c:xMode val="edge"/>
          <c:yMode val="edge"/>
          <c:x val="1.1595840428457536E-3"/>
          <c:y val="0"/>
        </c:manualLayout>
      </c:layout>
      <c:overlay val="0"/>
    </c:title>
    <c:autoTitleDeleted val="0"/>
    <c:plotArea>
      <c:layout>
        <c:manualLayout>
          <c:xMode val="edge"/>
          <c:yMode val="edge"/>
          <c:x val="0.11876421697287839"/>
          <c:y val="0.21759259259259259"/>
          <c:w val="0.7638464566929134"/>
          <c:h val="0.70379629629629625"/>
        </c:manualLayout>
      </c:layout>
      <c:areaChart>
        <c:grouping val="standard"/>
        <c:varyColors val="1"/>
        <c:ser>
          <c:idx val="0"/>
          <c:order val="0"/>
          <c:tx>
            <c:v>EBITDA</c:v>
          </c:tx>
          <c:spPr>
            <a:solidFill>
              <a:srgbClr val="5B9BD5">
                <a:alpha val="30000"/>
              </a:srgbClr>
            </a:solidFill>
            <a:ln cmpd="sng">
              <a:solidFill>
                <a:srgbClr val="5B9BD5"/>
              </a:solidFill>
            </a:ln>
          </c:spPr>
          <c:cat>
            <c:numRef>
              <c:f>'&gt;&gt; DCF'!$N$4:$W$4</c:f>
              <c:numCache>
                <c:formatCode>"FY"yy</c:formatCode>
                <c:ptCount val="10"/>
                <c:pt idx="0">
                  <c:v>45291</c:v>
                </c:pt>
                <c:pt idx="1">
                  <c:v>45657</c:v>
                </c:pt>
                <c:pt idx="2">
                  <c:v>46022</c:v>
                </c:pt>
                <c:pt idx="3">
                  <c:v>46387</c:v>
                </c:pt>
                <c:pt idx="4">
                  <c:v>46752</c:v>
                </c:pt>
                <c:pt idx="5">
                  <c:v>47118</c:v>
                </c:pt>
                <c:pt idx="6">
                  <c:v>47483</c:v>
                </c:pt>
                <c:pt idx="7">
                  <c:v>47848</c:v>
                </c:pt>
                <c:pt idx="8">
                  <c:v>48213</c:v>
                </c:pt>
                <c:pt idx="9">
                  <c:v>48579</c:v>
                </c:pt>
              </c:numCache>
            </c:numRef>
          </c:cat>
          <c:val>
            <c:numRef>
              <c:f>'&gt;&gt; DCF'!$N$18:$W$18</c:f>
              <c:numCache>
                <c:formatCode>#,##0.0_);\(#,##0.0\);"-"_);@_)</c:formatCode>
                <c:ptCount val="10"/>
                <c:pt idx="0">
                  <c:v>3019.0699999999997</c:v>
                </c:pt>
                <c:pt idx="1">
                  <c:v>4757.3300000000008</c:v>
                </c:pt>
                <c:pt idx="2">
                  <c:v>1117.842138610265</c:v>
                </c:pt>
                <c:pt idx="3">
                  <c:v>970.84236924995912</c:v>
                </c:pt>
                <c:pt idx="4">
                  <c:v>972.66495440024892</c:v>
                </c:pt>
                <c:pt idx="5">
                  <c:v>975.82701264162279</c:v>
                </c:pt>
                <c:pt idx="6">
                  <c:v>979.75153948800107</c:v>
                </c:pt>
                <c:pt idx="7">
                  <c:v>980.25969288192937</c:v>
                </c:pt>
                <c:pt idx="8">
                  <c:v>985.90224219767697</c:v>
                </c:pt>
                <c:pt idx="9">
                  <c:v>992.31296378813931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BD11-42DC-864F-8A7D2107F39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831724695"/>
        <c:axId val="1634545883"/>
      </c:areaChart>
      <c:barChart>
        <c:barDir val="col"/>
        <c:grouping val="clustered"/>
        <c:varyColors val="1"/>
        <c:ser>
          <c:idx val="1"/>
          <c:order val="1"/>
          <c:tx>
            <c:v>Unlevered Free Cashflow</c:v>
          </c:tx>
          <c:spPr>
            <a:solidFill>
              <a:srgbClr val="ED7D31"/>
            </a:solidFill>
            <a:ln cmpd="sng">
              <a:solidFill>
                <a:srgbClr val="000000"/>
              </a:solidFill>
            </a:ln>
          </c:spPr>
          <c:invertIfNegative val="1"/>
          <c:cat>
            <c:numRef>
              <c:f>'&gt;&gt; DCF'!$N$4:$W$4</c:f>
              <c:numCache>
                <c:formatCode>"FY"yy</c:formatCode>
                <c:ptCount val="10"/>
                <c:pt idx="0">
                  <c:v>45291</c:v>
                </c:pt>
                <c:pt idx="1">
                  <c:v>45657</c:v>
                </c:pt>
                <c:pt idx="2">
                  <c:v>46022</c:v>
                </c:pt>
                <c:pt idx="3">
                  <c:v>46387</c:v>
                </c:pt>
                <c:pt idx="4">
                  <c:v>46752</c:v>
                </c:pt>
                <c:pt idx="5">
                  <c:v>47118</c:v>
                </c:pt>
                <c:pt idx="6">
                  <c:v>47483</c:v>
                </c:pt>
                <c:pt idx="7">
                  <c:v>47848</c:v>
                </c:pt>
                <c:pt idx="8">
                  <c:v>48213</c:v>
                </c:pt>
                <c:pt idx="9">
                  <c:v>48579</c:v>
                </c:pt>
              </c:numCache>
            </c:numRef>
          </c:cat>
          <c:val>
            <c:numRef>
              <c:f>'&gt;&gt; DCF'!$N$30:$W$30</c:f>
              <c:numCache>
                <c:formatCode>#,##0.0_);\(#,##0.0\);"-"_);@_)</c:formatCode>
                <c:ptCount val="10"/>
                <c:pt idx="0">
                  <c:v>-8675.727200000003</c:v>
                </c:pt>
                <c:pt idx="1">
                  <c:v>-19050.293999999998</c:v>
                </c:pt>
                <c:pt idx="2">
                  <c:v>-360.97500305455674</c:v>
                </c:pt>
                <c:pt idx="3">
                  <c:v>736.04332528409248</c:v>
                </c:pt>
                <c:pt idx="4">
                  <c:v>739.10974489617024</c:v>
                </c:pt>
                <c:pt idx="5">
                  <c:v>743.2274714111395</c:v>
                </c:pt>
                <c:pt idx="6">
                  <c:v>745.54569356841614</c:v>
                </c:pt>
                <c:pt idx="7">
                  <c:v>748.87793726077427</c:v>
                </c:pt>
                <c:pt idx="8">
                  <c:v>756.01344662491738</c:v>
                </c:pt>
                <c:pt idx="9">
                  <c:v>763.82325911186399</c:v>
                </c:pt>
              </c:numCache>
            </c:numRef>
          </c:val>
          <c:extLst>
            <c:ext xmlns:c14="http://schemas.microsoft.com/office/drawing/2007/8/2/chart" uri="{6F2FDCE9-48DA-4B69-8628-5D25D57E5C99}">
              <c14:invertSolidFillFmt>
                <c14:spPr xmlns:c14="http://schemas.microsoft.com/office/drawing/2007/8/2/chart">
                  <a:solidFill>
                    <a:srgbClr val="FFFFFF"/>
                  </a:solidFill>
                  <a:ln cmpd="sng">
                    <a:solidFill>
                      <a:srgbClr val="000000"/>
                    </a:solidFill>
                  </a:ln>
                </c14:spPr>
              </c14:invertSolidFillFmt>
            </c:ext>
            <c:ext xmlns:c16="http://schemas.microsoft.com/office/drawing/2014/chart" uri="{C3380CC4-5D6E-409C-BE32-E72D297353CC}">
              <c16:uniqueId val="{00000001-BD11-42DC-864F-8A7D2107F39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1831724695"/>
        <c:axId val="1634545883"/>
      </c:barChart>
      <c:dateAx>
        <c:axId val="1831724695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endParaRPr lang="en-NZ"/>
              </a:p>
            </c:rich>
          </c:tx>
          <c:overlay val="0"/>
        </c:title>
        <c:numFmt formatCode="&quot;FY&quot;yy" sourceLinked="1"/>
        <c:majorTickMark val="none"/>
        <c:minorTickMark val="none"/>
        <c:tickLblPos val="nextTo"/>
        <c:txPr>
          <a:bodyPr/>
          <a:lstStyle/>
          <a:p>
            <a:pPr lvl="0">
              <a:defRPr sz="900" b="0" i="0">
                <a:solidFill>
                  <a:srgbClr val="000000"/>
                </a:solidFill>
                <a:latin typeface="Arial"/>
              </a:defRPr>
            </a:pPr>
            <a:endParaRPr lang="en-US"/>
          </a:p>
        </c:txPr>
        <c:crossAx val="1634545883"/>
        <c:crosses val="autoZero"/>
        <c:auto val="1"/>
        <c:lblOffset val="100"/>
        <c:baseTimeUnit val="years"/>
      </c:dateAx>
      <c:valAx>
        <c:axId val="1634545883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title>
          <c:tx>
            <c:rich>
              <a:bodyPr/>
              <a:lstStyle/>
              <a:p>
                <a:pPr lvl="0">
                  <a:defRPr sz="1000" b="0" i="0">
                    <a:solidFill>
                      <a:srgbClr val="000000"/>
                    </a:solidFill>
                    <a:latin typeface="Arial"/>
                  </a:defRPr>
                </a:pPr>
                <a:r>
                  <a:rPr lang="en-NZ" sz="1000" b="0" i="0">
                    <a:solidFill>
                      <a:srgbClr val="000000"/>
                    </a:solidFill>
                    <a:latin typeface="Arial"/>
                  </a:rPr>
                  <a:t>U FCF</a:t>
                </a:r>
              </a:p>
            </c:rich>
          </c:tx>
          <c:overlay val="0"/>
        </c:title>
        <c:numFmt formatCode="#,##0.0_);\(#,##0.0\);&quot;-&quot;_);@_)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sz="900" b="0" i="0">
                <a:solidFill>
                  <a:srgbClr val="000000"/>
                </a:solidFill>
                <a:latin typeface="Arial"/>
              </a:defRPr>
            </a:pPr>
            <a:endParaRPr lang="en-US"/>
          </a:p>
        </c:txPr>
        <c:crossAx val="1831724695"/>
        <c:crosses val="autoZero"/>
        <c:crossBetween val="between"/>
      </c:valAx>
    </c:plotArea>
    <c:legend>
      <c:legendPos val="b"/>
      <c:layout>
        <c:manualLayout>
          <c:xMode val="edge"/>
          <c:yMode val="edge"/>
          <c:x val="0.38733502949362369"/>
          <c:y val="7.5322926201301224E-2"/>
        </c:manualLayout>
      </c:layout>
      <c:overlay val="0"/>
      <c:txPr>
        <a:bodyPr/>
        <a:lstStyle/>
        <a:p>
          <a:pPr lvl="0">
            <a:defRPr sz="1000" b="0" i="0">
              <a:solidFill>
                <a:srgbClr val="1A1A1A"/>
              </a:solidFill>
              <a:latin typeface="Arial"/>
            </a:defRPr>
          </a:pPr>
          <a:endParaRPr lang="en-US"/>
        </a:p>
      </c:txPr>
    </c:legend>
    <c:plotVisOnly val="1"/>
    <c:dispBlanksAs val="zero"/>
    <c:showDLblsOverMax val="1"/>
  </c:chart>
  <c:spPr>
    <a:ln>
      <a:noFill/>
    </a:ln>
  </c:sp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1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 lvl="0">
              <a:defRPr sz="1000" b="1" i="0">
                <a:solidFill>
                  <a:srgbClr val="757575"/>
                </a:solidFill>
                <a:latin typeface="Arial"/>
              </a:defRPr>
            </a:pPr>
            <a:r>
              <a:rPr lang="en-NZ" sz="1000" b="1" i="0">
                <a:solidFill>
                  <a:srgbClr val="757575"/>
                </a:solidFill>
                <a:latin typeface="Arial"/>
              </a:rPr>
              <a:t>NOPAT / EBITDA Margin Profile
Forecast ($m)
</a:t>
            </a:r>
          </a:p>
        </c:rich>
      </c:tx>
      <c:layout>
        <c:manualLayout>
          <c:xMode val="edge"/>
          <c:yMode val="edge"/>
          <c:x val="1.1596675415573054E-3"/>
          <c:y val="0"/>
        </c:manualLayout>
      </c:layout>
      <c:overlay val="0"/>
    </c:title>
    <c:autoTitleDeleted val="0"/>
    <c:plotArea>
      <c:layout>
        <c:manualLayout>
          <c:xMode val="edge"/>
          <c:yMode val="edge"/>
          <c:x val="0.14042030182443285"/>
          <c:y val="0.21759259259259259"/>
          <c:w val="0.74219041453255974"/>
          <c:h val="0.70379629629629625"/>
        </c:manualLayout>
      </c:layout>
      <c:barChart>
        <c:barDir val="col"/>
        <c:grouping val="clustered"/>
        <c:varyColors val="1"/>
        <c:ser>
          <c:idx val="0"/>
          <c:order val="0"/>
          <c:tx>
            <c:v>Net Operating Profit After Tax</c:v>
          </c:tx>
          <c:spPr>
            <a:solidFill>
              <a:srgbClr val="5B9BD5"/>
            </a:solidFill>
            <a:ln cmpd="sng">
              <a:solidFill>
                <a:srgbClr val="000000"/>
              </a:solidFill>
            </a:ln>
          </c:spPr>
          <c:invertIfNegative val="1"/>
          <c:cat>
            <c:numRef>
              <c:f>'&gt;&gt; DCF'!$N$4:$W$4</c:f>
              <c:numCache>
                <c:formatCode>"FY"yy</c:formatCode>
                <c:ptCount val="10"/>
                <c:pt idx="0">
                  <c:v>45291</c:v>
                </c:pt>
                <c:pt idx="1">
                  <c:v>45657</c:v>
                </c:pt>
                <c:pt idx="2">
                  <c:v>46022</c:v>
                </c:pt>
                <c:pt idx="3">
                  <c:v>46387</c:v>
                </c:pt>
                <c:pt idx="4">
                  <c:v>46752</c:v>
                </c:pt>
                <c:pt idx="5">
                  <c:v>47118</c:v>
                </c:pt>
                <c:pt idx="6">
                  <c:v>47483</c:v>
                </c:pt>
                <c:pt idx="7">
                  <c:v>47848</c:v>
                </c:pt>
                <c:pt idx="8">
                  <c:v>48213</c:v>
                </c:pt>
                <c:pt idx="9">
                  <c:v>48579</c:v>
                </c:pt>
              </c:numCache>
            </c:numRef>
          </c:cat>
          <c:val>
            <c:numRef>
              <c:f>'&gt;&gt; DCF'!$N$23:$W$23</c:f>
              <c:numCache>
                <c:formatCode>#,##0.0_);\(#,##0.0\);"-"_);@_)</c:formatCode>
                <c:ptCount val="10"/>
                <c:pt idx="0">
                  <c:v>2163.9528</c:v>
                </c:pt>
                <c:pt idx="1">
                  <c:v>3414.8520000000008</c:v>
                </c:pt>
                <c:pt idx="2">
                  <c:v>796.14603979939079</c:v>
                </c:pt>
                <c:pt idx="3">
                  <c:v>689.4435558599705</c:v>
                </c:pt>
                <c:pt idx="4">
                  <c:v>690.27766966817921</c:v>
                </c:pt>
                <c:pt idx="5">
                  <c:v>692.05229672696839</c:v>
                </c:pt>
                <c:pt idx="6">
                  <c:v>694.35079843761082</c:v>
                </c:pt>
                <c:pt idx="7">
                  <c:v>694.16315338155164</c:v>
                </c:pt>
                <c:pt idx="8">
                  <c:v>697.64459761421801</c:v>
                </c:pt>
                <c:pt idx="9">
                  <c:v>701.65006632094537</c:v>
                </c:pt>
              </c:numCache>
            </c:numRef>
          </c:val>
          <c:extLst>
            <c:ext xmlns:c14="http://schemas.microsoft.com/office/drawing/2007/8/2/chart" uri="{6F2FDCE9-48DA-4B69-8628-5D25D57E5C99}">
              <c14:invertSolidFillFmt>
                <c14:spPr xmlns:c14="http://schemas.microsoft.com/office/drawing/2007/8/2/chart">
                  <a:solidFill>
                    <a:srgbClr val="FFFFFF"/>
                  </a:solidFill>
                  <a:ln cmpd="sng">
                    <a:solidFill>
                      <a:srgbClr val="000000"/>
                    </a:solidFill>
                  </a:ln>
                </c14:spPr>
              </c14:invertSolidFillFmt>
            </c:ext>
            <c:ext xmlns:c16="http://schemas.microsoft.com/office/drawing/2014/chart" uri="{C3380CC4-5D6E-409C-BE32-E72D297353CC}">
              <c16:uniqueId val="{00000000-BDE2-4E94-B03B-594B3E863EF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690579371"/>
        <c:axId val="568808707"/>
      </c:barChart>
      <c:dateAx>
        <c:axId val="690579371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endParaRPr lang="en-NZ"/>
              </a:p>
            </c:rich>
          </c:tx>
          <c:overlay val="0"/>
        </c:title>
        <c:numFmt formatCode="&quot;FY&quot;yy" sourceLinked="1"/>
        <c:majorTickMark val="none"/>
        <c:minorTickMark val="none"/>
        <c:tickLblPos val="nextTo"/>
        <c:txPr>
          <a:bodyPr/>
          <a:lstStyle/>
          <a:p>
            <a:pPr lvl="0">
              <a:defRPr sz="900" b="0" i="0">
                <a:solidFill>
                  <a:srgbClr val="000000"/>
                </a:solidFill>
                <a:latin typeface="Arial"/>
              </a:defRPr>
            </a:pPr>
            <a:endParaRPr lang="en-US"/>
          </a:p>
        </c:txPr>
        <c:crossAx val="568808707"/>
        <c:crosses val="autoZero"/>
        <c:auto val="1"/>
        <c:lblOffset val="100"/>
        <c:baseTimeUnit val="years"/>
      </c:dateAx>
      <c:valAx>
        <c:axId val="568808707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title>
          <c:tx>
            <c:rich>
              <a:bodyPr/>
              <a:lstStyle/>
              <a:p>
                <a:pPr lvl="0">
                  <a:defRPr sz="1000" b="0" i="0">
                    <a:solidFill>
                      <a:srgbClr val="000000"/>
                    </a:solidFill>
                    <a:latin typeface="Arial"/>
                  </a:defRPr>
                </a:pPr>
                <a:r>
                  <a:rPr lang="en-NZ" sz="1000" b="0" i="0">
                    <a:solidFill>
                      <a:srgbClr val="000000"/>
                    </a:solidFill>
                    <a:latin typeface="Arial"/>
                  </a:rPr>
                  <a:t>EBITDA Margin</a:t>
                </a:r>
              </a:p>
            </c:rich>
          </c:tx>
          <c:overlay val="0"/>
        </c:title>
        <c:numFmt formatCode="#,##0.0_);\(#,##0.0\);&quot;-&quot;_);@_)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sz="900" b="0" i="0">
                <a:solidFill>
                  <a:srgbClr val="000000"/>
                </a:solidFill>
                <a:latin typeface="Arial"/>
              </a:defRPr>
            </a:pPr>
            <a:endParaRPr lang="en-US"/>
          </a:p>
        </c:txPr>
        <c:crossAx val="690579371"/>
        <c:crosses val="autoZero"/>
        <c:crossBetween val="between"/>
      </c:valAx>
    </c:plotArea>
    <c:legend>
      <c:legendPos val="b"/>
      <c:layout>
        <c:manualLayout>
          <c:xMode val="edge"/>
          <c:yMode val="edge"/>
          <c:x val="0.33326038860781482"/>
          <c:y val="0.10211186549332711"/>
        </c:manualLayout>
      </c:layout>
      <c:overlay val="0"/>
      <c:txPr>
        <a:bodyPr/>
        <a:lstStyle/>
        <a:p>
          <a:pPr lvl="0" rtl="0">
            <a:defRPr sz="1000" b="0" i="0">
              <a:solidFill>
                <a:srgbClr val="1A1A1A"/>
              </a:solidFill>
              <a:latin typeface="Arial"/>
            </a:defRPr>
          </a:pPr>
          <a:endParaRPr lang="en-US"/>
        </a:p>
      </c:txPr>
    </c:legend>
    <c:plotVisOnly val="1"/>
    <c:dispBlanksAs val="zero"/>
    <c:showDLblsOverMax val="1"/>
  </c:chart>
  <c:spPr>
    <a:ln>
      <a:noFill/>
    </a:ln>
  </c:spPr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8</xdr:col>
      <xdr:colOff>304800</xdr:colOff>
      <xdr:row>4</xdr:row>
      <xdr:rowOff>114300</xdr:rowOff>
    </xdr:from>
    <xdr:ext cx="7191375" cy="4400550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63FCD76D-FEED-4B18-ABD3-2E7FB099C24E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 fLocksWithSheet="0"/>
  </xdr:oneCellAnchor>
  <xdr:oneCellAnchor>
    <xdr:from>
      <xdr:col>18</xdr:col>
      <xdr:colOff>666751</xdr:colOff>
      <xdr:row>4</xdr:row>
      <xdr:rowOff>104775</xdr:rowOff>
    </xdr:from>
    <xdr:ext cx="6819900" cy="4419600"/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73CFFB22-E298-4098-956D-D273B1B5AE4F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 fLocksWithSheet="0"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347FDA-008C-47DF-A09F-582CE254FBE1}">
  <sheetPr>
    <tabColor rgb="FFDEEAF6"/>
  </sheetPr>
  <dimension ref="A1"/>
  <sheetViews>
    <sheetView showGridLines="0" workbookViewId="0">
      <selection activeCell="M31" sqref="M31"/>
    </sheetView>
  </sheetViews>
  <sheetFormatPr baseColWidth="10" defaultColWidth="14.5" defaultRowHeight="15" customHeight="1" x14ac:dyDescent="0.2"/>
  <cols>
    <col min="1" max="26" width="8.83203125" customWidth="1"/>
  </cols>
  <sheetData/>
  <pageMargins left="0.7" right="0.7" top="0.75" bottom="0.75" header="0" footer="0"/>
  <pageSetup orientation="landscape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7EFEC2-8D28-4352-AA23-C67A2A399B4B}">
  <sheetPr>
    <tabColor rgb="FFAEABAB"/>
  </sheetPr>
  <dimension ref="A2:AI147"/>
  <sheetViews>
    <sheetView showGridLines="0" workbookViewId="0">
      <selection activeCell="G46" sqref="G46"/>
    </sheetView>
  </sheetViews>
  <sheetFormatPr baseColWidth="10" defaultColWidth="14.5" defaultRowHeight="15" customHeight="1" x14ac:dyDescent="0.2"/>
  <cols>
    <col min="1" max="2" width="2.6640625" customWidth="1"/>
    <col min="3" max="3" width="1.6640625" customWidth="1"/>
    <col min="4" max="4" width="2.83203125" customWidth="1"/>
    <col min="5" max="5" width="37.6640625" customWidth="1"/>
    <col min="6" max="6" width="13.5" customWidth="1"/>
    <col min="7" max="7" width="16.6640625" bestFit="1" customWidth="1"/>
    <col min="8" max="25" width="11.1640625" customWidth="1"/>
    <col min="26" max="26" width="12.5" customWidth="1"/>
    <col min="27" max="35" width="9.1640625" customWidth="1"/>
  </cols>
  <sheetData>
    <row r="2" spans="3:25" ht="12.75" customHeight="1" x14ac:dyDescent="0.2">
      <c r="C2" s="1" t="s">
        <v>0</v>
      </c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</row>
    <row r="3" spans="3:25" ht="12.75" customHeight="1" x14ac:dyDescent="0.2">
      <c r="C3" s="1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</row>
    <row r="4" spans="3:25" ht="7.5" customHeight="1" x14ac:dyDescent="0.2">
      <c r="C4" s="1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</row>
    <row r="5" spans="3:25" ht="12.75" customHeight="1" x14ac:dyDescent="0.2">
      <c r="C5" s="3"/>
      <c r="D5" s="4" t="s">
        <v>1</v>
      </c>
      <c r="E5" s="3"/>
      <c r="F5" s="5" t="str">
        <f>'&gt;&gt; DCF'!F4</f>
        <v>Year &gt;&gt;&gt;</v>
      </c>
      <c r="G5" s="5" t="s">
        <v>2</v>
      </c>
      <c r="H5" s="6">
        <f t="shared" ref="H5:M5" si="0">EOMONTH(I5,-12)</f>
        <v>43100</v>
      </c>
      <c r="I5" s="6">
        <f t="shared" si="0"/>
        <v>43465</v>
      </c>
      <c r="J5" s="6">
        <f t="shared" si="0"/>
        <v>43830</v>
      </c>
      <c r="K5" s="6">
        <f t="shared" si="0"/>
        <v>44196</v>
      </c>
      <c r="L5" s="6">
        <f t="shared" si="0"/>
        <v>44561</v>
      </c>
      <c r="M5" s="6">
        <f t="shared" si="0"/>
        <v>44926</v>
      </c>
      <c r="N5" s="6">
        <f>EOMONTH(O5,-12)</f>
        <v>45291</v>
      </c>
      <c r="O5" s="6">
        <f>$G$17</f>
        <v>45655</v>
      </c>
      <c r="P5" s="6">
        <f>EOMONTH(O5,12)</f>
        <v>46022</v>
      </c>
      <c r="Q5" s="6">
        <f t="shared" ref="Q5:Y5" si="1">EOMONTH(P5,12)</f>
        <v>46387</v>
      </c>
      <c r="R5" s="6">
        <f t="shared" si="1"/>
        <v>46752</v>
      </c>
      <c r="S5" s="6">
        <f t="shared" si="1"/>
        <v>47118</v>
      </c>
      <c r="T5" s="6">
        <f t="shared" si="1"/>
        <v>47483</v>
      </c>
      <c r="U5" s="6">
        <f t="shared" si="1"/>
        <v>47848</v>
      </c>
      <c r="V5" s="6">
        <f t="shared" si="1"/>
        <v>48213</v>
      </c>
      <c r="W5" s="6">
        <f t="shared" si="1"/>
        <v>48579</v>
      </c>
      <c r="X5" s="6">
        <f t="shared" si="1"/>
        <v>48944</v>
      </c>
      <c r="Y5" s="6">
        <f t="shared" si="1"/>
        <v>49309</v>
      </c>
    </row>
    <row r="6" spans="3:25" ht="12.75" customHeight="1" x14ac:dyDescent="0.2">
      <c r="C6" s="7"/>
      <c r="D6" s="7"/>
      <c r="E6" s="7" t="str">
        <f>'&gt;&gt; DCF'!E5</f>
        <v>Period</v>
      </c>
      <c r="F6" s="8" t="str">
        <f>'&gt;&gt; DCF'!F5</f>
        <v>Units</v>
      </c>
      <c r="G6" s="8"/>
      <c r="H6" s="9">
        <f>'&gt;&gt; DCF'!H5</f>
        <v>-6</v>
      </c>
      <c r="I6" s="9">
        <f>'&gt;&gt; DCF'!I5</f>
        <v>-5</v>
      </c>
      <c r="J6" s="9">
        <f>'&gt;&gt; DCF'!J5</f>
        <v>-4</v>
      </c>
      <c r="K6" s="9">
        <f>'&gt;&gt; DCF'!K5</f>
        <v>-3</v>
      </c>
      <c r="L6" s="9">
        <f>'&gt;&gt; DCF'!L5</f>
        <v>-2</v>
      </c>
      <c r="M6" s="9">
        <f>'&gt;&gt; DCF'!M5</f>
        <v>-1</v>
      </c>
      <c r="N6" s="9">
        <f>'&gt;&gt; DCF'!N5</f>
        <v>0</v>
      </c>
      <c r="O6" s="9">
        <f>'&gt;&gt; DCF'!O5</f>
        <v>0</v>
      </c>
      <c r="P6" s="9">
        <f>'&gt;&gt; DCF'!P5</f>
        <v>1</v>
      </c>
      <c r="Q6" s="9">
        <f>'&gt;&gt; DCF'!Q5</f>
        <v>2</v>
      </c>
      <c r="R6" s="9">
        <f>'&gt;&gt; DCF'!R5</f>
        <v>3</v>
      </c>
      <c r="S6" s="9">
        <f>'&gt;&gt; DCF'!S5</f>
        <v>4</v>
      </c>
      <c r="T6" s="9">
        <f>'&gt;&gt; DCF'!T5</f>
        <v>5</v>
      </c>
      <c r="U6" s="9">
        <f>'&gt;&gt; DCF'!U5</f>
        <v>6</v>
      </c>
      <c r="V6" s="9">
        <f>'&gt;&gt; DCF'!V5</f>
        <v>7</v>
      </c>
      <c r="W6" s="9">
        <f>'&gt;&gt; DCF'!W5</f>
        <v>8</v>
      </c>
      <c r="X6" s="9">
        <f>'&gt;&gt; DCF'!X5</f>
        <v>9</v>
      </c>
      <c r="Y6" s="9">
        <f>'&gt;&gt; DCF'!Y5</f>
        <v>10</v>
      </c>
    </row>
    <row r="7" spans="3:25" ht="12.75" customHeight="1" x14ac:dyDescent="0.2">
      <c r="C7" s="7"/>
      <c r="D7" s="7"/>
      <c r="E7" s="7" t="str">
        <f>'&gt;&gt; DCF'!E6</f>
        <v>Mid Year Factor</v>
      </c>
      <c r="F7" s="10" t="str">
        <f>'&gt;&gt; DCF'!F6</f>
        <v>TVM Factor</v>
      </c>
      <c r="G7" s="10"/>
      <c r="H7" s="11">
        <f>'&gt;&gt; DCF'!H6</f>
        <v>0</v>
      </c>
      <c r="I7" s="11">
        <f>'&gt;&gt; DCF'!I6</f>
        <v>0</v>
      </c>
      <c r="J7" s="11">
        <f>'&gt;&gt; DCF'!J6</f>
        <v>0</v>
      </c>
      <c r="K7" s="11">
        <f>'&gt;&gt; DCF'!K6</f>
        <v>0.5</v>
      </c>
      <c r="L7" s="11">
        <f>'&gt;&gt; DCF'!L6</f>
        <v>1.5</v>
      </c>
      <c r="M7" s="11">
        <f>'&gt;&gt; DCF'!M6</f>
        <v>2.5</v>
      </c>
      <c r="N7" s="11">
        <f>'&gt;&gt; DCF'!N6</f>
        <v>3.5</v>
      </c>
      <c r="O7" s="11">
        <f>'&gt;&gt; DCF'!O6</f>
        <v>4.5</v>
      </c>
      <c r="P7" s="11">
        <f>'&gt;&gt; DCF'!P6</f>
        <v>5.5</v>
      </c>
      <c r="Q7" s="11">
        <f>'&gt;&gt; DCF'!Q6</f>
        <v>6.5</v>
      </c>
      <c r="R7" s="11">
        <f>'&gt;&gt; DCF'!R6</f>
        <v>7.5</v>
      </c>
      <c r="S7" s="11">
        <f>'&gt;&gt; DCF'!S6</f>
        <v>8.5</v>
      </c>
      <c r="T7" s="11">
        <f>'&gt;&gt; DCF'!T6</f>
        <v>9.5</v>
      </c>
      <c r="U7" s="11">
        <f>'&gt;&gt; DCF'!U6</f>
        <v>10.5</v>
      </c>
      <c r="V7" s="11">
        <f>'&gt;&gt; DCF'!V6</f>
        <v>11.5</v>
      </c>
      <c r="W7" s="11">
        <f>'&gt;&gt; DCF'!W6</f>
        <v>12.5</v>
      </c>
      <c r="X7" s="11">
        <f>'&gt;&gt; DCF'!X6</f>
        <v>13.5</v>
      </c>
      <c r="Y7" s="11">
        <f>'&gt;&gt; DCF'!Y6</f>
        <v>14.5</v>
      </c>
    </row>
    <row r="8" spans="3:25" ht="12.75" customHeight="1" x14ac:dyDescent="0.2">
      <c r="C8" s="7"/>
      <c r="D8" s="7"/>
      <c r="E8" s="7" t="str">
        <f>'&gt;&gt; DCF'!E7</f>
        <v>Financial Year Start</v>
      </c>
      <c r="F8" s="10" t="str">
        <f>'&gt;&gt; DCF'!F7</f>
        <v>Abc</v>
      </c>
      <c r="G8" s="10"/>
      <c r="H8" s="12">
        <f>'&gt;&gt; DCF'!H7</f>
        <v>42370</v>
      </c>
      <c r="I8" s="12">
        <f>'&gt;&gt; DCF'!I7</f>
        <v>42736</v>
      </c>
      <c r="J8" s="12">
        <f>'&gt;&gt; DCF'!J7</f>
        <v>43101</v>
      </c>
      <c r="K8" s="12">
        <f>'&gt;&gt; DCF'!K7</f>
        <v>43466</v>
      </c>
      <c r="L8" s="12">
        <f>'&gt;&gt; DCF'!L7</f>
        <v>43831</v>
      </c>
      <c r="M8" s="12">
        <f>'&gt;&gt; DCF'!M7</f>
        <v>44197</v>
      </c>
      <c r="N8" s="12">
        <f>'&gt;&gt; DCF'!N7</f>
        <v>44562</v>
      </c>
      <c r="O8" s="12">
        <f>'&gt;&gt; DCF'!O7</f>
        <v>44927</v>
      </c>
      <c r="P8" s="12">
        <f>'&gt;&gt; DCF'!P7</f>
        <v>45292</v>
      </c>
      <c r="Q8" s="12">
        <f>'&gt;&gt; DCF'!Q7</f>
        <v>45658</v>
      </c>
      <c r="R8" s="12">
        <f>'&gt;&gt; DCF'!R7</f>
        <v>46023</v>
      </c>
      <c r="S8" s="12">
        <f>'&gt;&gt; DCF'!S7</f>
        <v>46388</v>
      </c>
      <c r="T8" s="12">
        <f>'&gt;&gt; DCF'!T7</f>
        <v>46753</v>
      </c>
      <c r="U8" s="12">
        <f>'&gt;&gt; DCF'!U7</f>
        <v>47119</v>
      </c>
      <c r="V8" s="12">
        <f>'&gt;&gt; DCF'!V7</f>
        <v>47484</v>
      </c>
      <c r="W8" s="12">
        <f>'&gt;&gt; DCF'!W7</f>
        <v>47849</v>
      </c>
      <c r="X8" s="12">
        <f>'&gt;&gt; DCF'!X7</f>
        <v>48214</v>
      </c>
      <c r="Y8" s="12">
        <f>'&gt;&gt; DCF'!Y7</f>
        <v>48580</v>
      </c>
    </row>
    <row r="9" spans="3:25" ht="12.75" customHeight="1" x14ac:dyDescent="0.2">
      <c r="C9" s="7"/>
      <c r="D9" s="7"/>
      <c r="E9" s="7" t="str">
        <f>'&gt;&gt; DCF'!E8</f>
        <v>Financial Year End</v>
      </c>
      <c r="F9" s="10" t="str">
        <f>'&gt;&gt; DCF'!F8</f>
        <v>Abc</v>
      </c>
      <c r="G9" s="10"/>
      <c r="H9" s="12">
        <f>'&gt;&gt; DCF'!H8</f>
        <v>42735</v>
      </c>
      <c r="I9" s="12">
        <f>'&gt;&gt; DCF'!I8</f>
        <v>43100</v>
      </c>
      <c r="J9" s="12">
        <f>'&gt;&gt; DCF'!J8</f>
        <v>43465</v>
      </c>
      <c r="K9" s="12">
        <f>'&gt;&gt; DCF'!K8</f>
        <v>43830</v>
      </c>
      <c r="L9" s="12">
        <f>'&gt;&gt; DCF'!L8</f>
        <v>44196</v>
      </c>
      <c r="M9" s="12">
        <f>'&gt;&gt; DCF'!M8</f>
        <v>44561</v>
      </c>
      <c r="N9" s="12">
        <f>'&gt;&gt; DCF'!N8</f>
        <v>44926</v>
      </c>
      <c r="O9" s="12">
        <f>'&gt;&gt; DCF'!O8</f>
        <v>45291</v>
      </c>
      <c r="P9" s="12">
        <f>'&gt;&gt; DCF'!P8</f>
        <v>45657</v>
      </c>
      <c r="Q9" s="12">
        <f>'&gt;&gt; DCF'!Q8</f>
        <v>46022</v>
      </c>
      <c r="R9" s="12">
        <f>'&gt;&gt; DCF'!R8</f>
        <v>46387</v>
      </c>
      <c r="S9" s="12">
        <f>'&gt;&gt; DCF'!S8</f>
        <v>46752</v>
      </c>
      <c r="T9" s="12">
        <f>'&gt;&gt; DCF'!T8</f>
        <v>47118</v>
      </c>
      <c r="U9" s="12">
        <f>'&gt;&gt; DCF'!U8</f>
        <v>47483</v>
      </c>
      <c r="V9" s="12">
        <f>'&gt;&gt; DCF'!V8</f>
        <v>47848</v>
      </c>
      <c r="W9" s="12">
        <f>'&gt;&gt; DCF'!W8</f>
        <v>48213</v>
      </c>
      <c r="X9" s="12">
        <f>'&gt;&gt; DCF'!X8</f>
        <v>48579</v>
      </c>
      <c r="Y9" s="12">
        <f>'&gt;&gt; DCF'!Y8</f>
        <v>48944</v>
      </c>
    </row>
    <row r="10" spans="3:25" ht="15" customHeight="1" x14ac:dyDescent="0.2">
      <c r="C10" s="7"/>
      <c r="D10" s="7"/>
      <c r="E10" s="7" t="str">
        <f>'&gt;&gt; DCF'!E9</f>
        <v>Actual / Forecast</v>
      </c>
      <c r="F10" s="10" t="str">
        <f>'&gt;&gt; DCF'!F9</f>
        <v>#</v>
      </c>
      <c r="G10" s="10"/>
      <c r="H10" s="13" t="str">
        <f ca="1">'&gt;&gt; DCF'!H9</f>
        <v>Actual</v>
      </c>
      <c r="I10" s="13" t="str">
        <f ca="1">'&gt;&gt; DCF'!I9</f>
        <v>Actual</v>
      </c>
      <c r="J10" s="13" t="str">
        <f ca="1">'&gt;&gt; DCF'!J9</f>
        <v>Actual</v>
      </c>
      <c r="K10" s="13" t="str">
        <f ca="1">'&gt;&gt; DCF'!K9</f>
        <v>Actual</v>
      </c>
      <c r="L10" s="13" t="str">
        <f ca="1">'&gt;&gt; DCF'!L9</f>
        <v>Actual</v>
      </c>
      <c r="M10" s="13" t="str">
        <f ca="1">'&gt;&gt; DCF'!M9</f>
        <v>Actual</v>
      </c>
      <c r="N10" s="13" t="str">
        <f ca="1">'&gt;&gt; DCF'!N9</f>
        <v>Actual</v>
      </c>
      <c r="O10" s="13" t="str">
        <f ca="1">'&gt;&gt; DCF'!O9</f>
        <v>Actual</v>
      </c>
      <c r="P10" s="13" t="str">
        <f ca="1">'&gt;&gt; DCF'!P9</f>
        <v>Actual</v>
      </c>
      <c r="Q10" s="13" t="str">
        <f ca="1">'&gt;&gt; DCF'!Q9</f>
        <v>Forecast</v>
      </c>
      <c r="R10" s="13" t="str">
        <f ca="1">'&gt;&gt; DCF'!R9</f>
        <v>Forecast</v>
      </c>
      <c r="S10" s="13" t="str">
        <f ca="1">'&gt;&gt; DCF'!S9</f>
        <v>Forecast</v>
      </c>
      <c r="T10" s="13" t="str">
        <f ca="1">'&gt;&gt; DCF'!T9</f>
        <v>Forecast</v>
      </c>
      <c r="U10" s="14" t="str">
        <f ca="1">'&gt;&gt; DCF'!U9</f>
        <v>Forecast</v>
      </c>
      <c r="V10" s="14" t="str">
        <f ca="1">'&gt;&gt; DCF'!V9</f>
        <v>Forecast</v>
      </c>
      <c r="W10" s="14" t="str">
        <f ca="1">'&gt;&gt; DCF'!W9</f>
        <v>Forecast</v>
      </c>
      <c r="X10" s="14" t="str">
        <f ca="1">'&gt;&gt; DCF'!X9</f>
        <v>Forecast</v>
      </c>
      <c r="Y10" s="14" t="str">
        <f ca="1">'&gt;&gt; DCF'!Y9</f>
        <v>Forecast</v>
      </c>
    </row>
    <row r="11" spans="3:25" ht="15" customHeight="1" x14ac:dyDescent="0.2">
      <c r="C11" s="15"/>
      <c r="D11" s="15"/>
      <c r="E11" s="15"/>
      <c r="F11" s="15"/>
      <c r="G11" s="15"/>
      <c r="H11" s="15"/>
      <c r="I11" s="15"/>
      <c r="J11" s="15"/>
      <c r="K11" s="15"/>
      <c r="L11" s="15"/>
      <c r="M11" s="15"/>
      <c r="N11" s="15"/>
      <c r="O11" s="15"/>
      <c r="P11" s="15"/>
      <c r="Q11" s="15"/>
      <c r="R11" s="15"/>
      <c r="S11" s="15"/>
      <c r="T11" s="15"/>
      <c r="U11" s="2"/>
      <c r="V11" s="2"/>
      <c r="W11" s="2"/>
      <c r="X11" s="2"/>
      <c r="Y11" s="2"/>
    </row>
    <row r="12" spans="3:25" ht="15" customHeight="1" x14ac:dyDescent="0.2"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</row>
    <row r="13" spans="3:25" ht="15" customHeight="1" x14ac:dyDescent="0.2">
      <c r="C13" s="2"/>
      <c r="D13" s="1" t="s">
        <v>3</v>
      </c>
      <c r="E13" s="2"/>
      <c r="F13" s="2"/>
      <c r="G13" s="2"/>
      <c r="H13" s="16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</row>
    <row r="14" spans="3:25" ht="15" customHeight="1" x14ac:dyDescent="0.2">
      <c r="C14" s="2"/>
      <c r="D14" s="1"/>
      <c r="E14" s="2" t="s">
        <v>4</v>
      </c>
      <c r="F14" s="16" t="s">
        <v>5</v>
      </c>
      <c r="G14" s="17" t="s">
        <v>271</v>
      </c>
      <c r="H14" s="2"/>
      <c r="I14" s="340"/>
      <c r="J14" s="2"/>
      <c r="K14" s="2"/>
      <c r="L14" s="2"/>
      <c r="M14" s="355"/>
      <c r="N14" s="356"/>
      <c r="O14" s="356"/>
      <c r="P14" s="356"/>
      <c r="Q14" s="356"/>
      <c r="R14" s="2"/>
      <c r="S14" s="2"/>
      <c r="T14" s="2"/>
      <c r="U14" s="2"/>
      <c r="V14" s="2"/>
      <c r="W14" s="2"/>
      <c r="X14" s="2"/>
      <c r="Y14" s="2"/>
    </row>
    <row r="15" spans="3:25" ht="15" customHeight="1" x14ac:dyDescent="0.2">
      <c r="C15" s="2"/>
      <c r="D15" s="2"/>
      <c r="E15" s="2" t="s">
        <v>6</v>
      </c>
      <c r="F15" s="16" t="s">
        <v>7</v>
      </c>
      <c r="G15" s="262">
        <f>'&gt;&gt; Dash'!K43</f>
        <v>4.7929615227546005E-2</v>
      </c>
      <c r="H15" s="2"/>
      <c r="I15" s="341"/>
      <c r="J15" s="2"/>
      <c r="K15" s="2"/>
      <c r="L15" s="2"/>
      <c r="M15" s="2"/>
      <c r="N15" s="2"/>
      <c r="O15" s="1"/>
      <c r="P15" s="1"/>
      <c r="Q15" s="1"/>
      <c r="R15" s="2"/>
      <c r="S15" s="2"/>
      <c r="T15" s="2"/>
      <c r="U15" s="2"/>
      <c r="V15" s="2"/>
      <c r="W15" s="2"/>
      <c r="X15" s="2"/>
      <c r="Y15" s="2"/>
    </row>
    <row r="16" spans="3:25" ht="15" customHeight="1" x14ac:dyDescent="0.2">
      <c r="C16" s="2"/>
      <c r="D16" s="2"/>
      <c r="E16" s="2" t="s">
        <v>8</v>
      </c>
      <c r="F16" s="16" t="s">
        <v>7</v>
      </c>
      <c r="G16" s="262">
        <f>'&gt;&gt; Dash'!F49</f>
        <v>0.106110496</v>
      </c>
      <c r="H16" s="2"/>
      <c r="I16" s="341"/>
      <c r="J16" s="2"/>
      <c r="K16" s="2"/>
      <c r="L16" s="2"/>
      <c r="M16" s="2"/>
      <c r="N16" s="2"/>
      <c r="O16" s="19"/>
      <c r="P16" s="20"/>
      <c r="Q16" s="20"/>
      <c r="R16" s="2"/>
      <c r="S16" s="2"/>
      <c r="T16" s="2"/>
      <c r="U16" s="2"/>
      <c r="V16" s="2"/>
      <c r="W16" s="2"/>
      <c r="X16" s="2"/>
      <c r="Y16" s="2"/>
    </row>
    <row r="17" spans="4:7" ht="15" customHeight="1" x14ac:dyDescent="0.2">
      <c r="D17" s="2"/>
      <c r="E17" s="2" t="s">
        <v>9</v>
      </c>
      <c r="F17" s="16" t="s">
        <v>10</v>
      </c>
      <c r="G17" s="260">
        <v>45655</v>
      </c>
    </row>
    <row r="18" spans="4:7" ht="15" customHeight="1" x14ac:dyDescent="0.2">
      <c r="D18" s="2"/>
      <c r="E18" s="2" t="s">
        <v>11</v>
      </c>
      <c r="F18" s="16" t="s">
        <v>12</v>
      </c>
      <c r="G18" s="260">
        <v>42735</v>
      </c>
    </row>
    <row r="19" spans="4:7" ht="15" customHeight="1" x14ac:dyDescent="0.2">
      <c r="D19" s="2"/>
      <c r="E19" s="2" t="s">
        <v>13</v>
      </c>
      <c r="F19" s="16"/>
      <c r="G19" s="260">
        <v>45655</v>
      </c>
    </row>
    <row r="20" spans="4:7" ht="15" customHeight="1" x14ac:dyDescent="0.2">
      <c r="D20" s="2"/>
      <c r="E20" s="2" t="s">
        <v>14</v>
      </c>
      <c r="F20" s="16" t="s">
        <v>12</v>
      </c>
      <c r="G20" s="261">
        <f ca="1">G26</f>
        <v>45658</v>
      </c>
    </row>
    <row r="21" spans="4:7" ht="15" customHeight="1" x14ac:dyDescent="0.2">
      <c r="D21" s="2"/>
      <c r="E21" s="2" t="s">
        <v>15</v>
      </c>
      <c r="F21" s="16" t="s">
        <v>16</v>
      </c>
      <c r="G21" s="181">
        <v>0.99</v>
      </c>
    </row>
    <row r="22" spans="4:7" ht="15" customHeight="1" x14ac:dyDescent="0.2">
      <c r="D22" s="2"/>
      <c r="E22" s="2"/>
      <c r="F22" s="16"/>
      <c r="G22" s="21"/>
    </row>
    <row r="23" spans="4:7" ht="15" customHeight="1" x14ac:dyDescent="0.2">
      <c r="D23" s="2"/>
      <c r="E23" s="2"/>
      <c r="F23" s="16"/>
      <c r="G23" s="22"/>
    </row>
    <row r="24" spans="4:7" ht="15" customHeight="1" x14ac:dyDescent="0.2">
      <c r="D24" s="1" t="s">
        <v>17</v>
      </c>
      <c r="E24" s="2"/>
      <c r="F24" s="16"/>
      <c r="G24" s="22"/>
    </row>
    <row r="25" spans="4:7" ht="15" customHeight="1" x14ac:dyDescent="0.2">
      <c r="D25" s="1"/>
      <c r="E25" s="2" t="s">
        <v>18</v>
      </c>
      <c r="F25" s="16" t="s">
        <v>12</v>
      </c>
      <c r="G25" s="267">
        <f>EOMONTH( G19, 12 )</f>
        <v>46022</v>
      </c>
    </row>
    <row r="26" spans="4:7" ht="15" customHeight="1" x14ac:dyDescent="0.2">
      <c r="D26" s="2"/>
      <c r="E26" s="2" t="s">
        <v>19</v>
      </c>
      <c r="F26" s="16" t="s">
        <v>12</v>
      </c>
      <c r="G26" s="267">
        <f ca="1">TODAY()</f>
        <v>45658</v>
      </c>
    </row>
    <row r="27" spans="4:7" ht="15" customHeight="1" x14ac:dyDescent="0.2">
      <c r="D27" s="2"/>
      <c r="E27" s="2"/>
      <c r="F27" s="2"/>
      <c r="G27" s="23"/>
    </row>
    <row r="28" spans="4:7" ht="15" customHeight="1" x14ac:dyDescent="0.2">
      <c r="D28" s="1" t="s">
        <v>20</v>
      </c>
      <c r="E28" s="2"/>
      <c r="F28" s="2"/>
      <c r="G28" s="23"/>
    </row>
    <row r="29" spans="4:7" ht="15" customHeight="1" x14ac:dyDescent="0.2">
      <c r="D29" s="1"/>
      <c r="E29" s="1" t="s">
        <v>21</v>
      </c>
      <c r="F29" s="2"/>
      <c r="G29" s="23"/>
    </row>
    <row r="30" spans="4:7" ht="15" customHeight="1" x14ac:dyDescent="0.2">
      <c r="D30" s="2"/>
      <c r="E30" s="19" t="s">
        <v>22</v>
      </c>
      <c r="F30" s="24" t="s">
        <v>12</v>
      </c>
      <c r="G30" s="25" t="s">
        <v>23</v>
      </c>
    </row>
    <row r="31" spans="4:7" ht="15" customHeight="1" x14ac:dyDescent="0.2">
      <c r="D31" s="2"/>
      <c r="E31" s="2"/>
      <c r="F31" s="2"/>
      <c r="G31" s="2"/>
    </row>
    <row r="32" spans="4:7" ht="15" customHeight="1" x14ac:dyDescent="0.2">
      <c r="D32" s="1"/>
      <c r="E32" s="2" t="s">
        <v>24</v>
      </c>
      <c r="F32" s="16" t="s">
        <v>25</v>
      </c>
      <c r="G32" s="263">
        <f>'&gt;&gt; Fin Stmts'!O64+'&gt;&gt; Fin Stmts'!O53</f>
        <v>3767.08</v>
      </c>
    </row>
    <row r="33" spans="4:25" ht="15" customHeight="1" x14ac:dyDescent="0.2">
      <c r="E33" s="2" t="s">
        <v>26</v>
      </c>
      <c r="F33" s="16" t="s">
        <v>25</v>
      </c>
      <c r="G33" s="263">
        <f>'&gt;&gt; Fin Stmts'!O55+'&gt;&gt; Fin Stmts'!O62</f>
        <v>-18925.46</v>
      </c>
    </row>
    <row r="34" spans="4:25" ht="15" customHeight="1" x14ac:dyDescent="0.2">
      <c r="E34" s="2" t="s">
        <v>27</v>
      </c>
      <c r="F34" s="16" t="s">
        <v>25</v>
      </c>
      <c r="G34" s="263">
        <f>'&gt;&gt; Fin Stmts'!O29</f>
        <v>629.62</v>
      </c>
    </row>
    <row r="35" spans="4:25" ht="15" customHeight="1" x14ac:dyDescent="0.2">
      <c r="E35" s="2" t="s">
        <v>28</v>
      </c>
      <c r="F35" s="16" t="s">
        <v>25</v>
      </c>
      <c r="G35" s="264">
        <f>SUM(G32:G34)</f>
        <v>-14528.759999999998</v>
      </c>
      <c r="H35" s="302"/>
    </row>
    <row r="36" spans="4:25" ht="15" customHeight="1" x14ac:dyDescent="0.2">
      <c r="E36" s="15"/>
      <c r="F36" s="15"/>
      <c r="G36" s="15"/>
    </row>
    <row r="37" spans="4:25" ht="15" customHeight="1" x14ac:dyDescent="0.2">
      <c r="D37" s="1" t="s">
        <v>29</v>
      </c>
      <c r="E37" s="2"/>
      <c r="F37" s="2"/>
      <c r="G37" s="2"/>
    </row>
    <row r="38" spans="4:25" ht="15" customHeight="1" x14ac:dyDescent="0.2">
      <c r="D38" s="2"/>
      <c r="E38" s="2" t="s">
        <v>30</v>
      </c>
      <c r="F38" s="16" t="s">
        <v>25</v>
      </c>
      <c r="G38" s="265">
        <f t="array" aca="1" ref="G38" ca="1">INDEX( '&gt;&gt; DCF'!$I$16:$AB$16, MATCH( G41, '&gt;&gt; DCF'!$I$5:$AB$5, 0 ) )</f>
        <v>5864.976911926522</v>
      </c>
    </row>
    <row r="39" spans="4:25" ht="15" customHeight="1" x14ac:dyDescent="0.2">
      <c r="D39" s="2"/>
      <c r="E39" s="2" t="s">
        <v>32</v>
      </c>
      <c r="F39" s="16" t="s">
        <v>7</v>
      </c>
      <c r="G39" s="266">
        <f>'&gt;&gt; Dash'!F43</f>
        <v>0.02</v>
      </c>
    </row>
    <row r="40" spans="4:25" ht="15" customHeight="1" x14ac:dyDescent="0.2">
      <c r="D40" s="2"/>
      <c r="E40" s="2"/>
      <c r="F40" s="16"/>
      <c r="G40" s="32"/>
    </row>
    <row r="41" spans="4:25" ht="15" customHeight="1" x14ac:dyDescent="0.2">
      <c r="D41" s="2"/>
      <c r="E41" s="2" t="s">
        <v>33</v>
      </c>
      <c r="F41" s="16" t="s">
        <v>34</v>
      </c>
      <c r="G41" s="182">
        <v>10</v>
      </c>
    </row>
    <row r="42" spans="4:25" ht="15" customHeight="1" x14ac:dyDescent="0.2">
      <c r="D42" s="2"/>
      <c r="E42" s="2" t="s">
        <v>35</v>
      </c>
      <c r="F42" s="16" t="s">
        <v>10</v>
      </c>
      <c r="G42" s="34">
        <f>G41</f>
        <v>10</v>
      </c>
    </row>
    <row r="43" spans="4:25" ht="15" customHeight="1" x14ac:dyDescent="0.2">
      <c r="D43" s="2"/>
      <c r="E43" s="2"/>
      <c r="F43" s="2"/>
      <c r="G43" s="2"/>
    </row>
    <row r="44" spans="4:25" ht="15" customHeight="1" x14ac:dyDescent="0.2">
      <c r="D44" s="2"/>
      <c r="E44" s="15"/>
      <c r="F44" s="35"/>
      <c r="G44" s="35"/>
    </row>
    <row r="45" spans="4:25" ht="15" customHeight="1" x14ac:dyDescent="0.2">
      <c r="D45" s="2"/>
      <c r="E45" s="2" t="s">
        <v>36</v>
      </c>
      <c r="F45" s="16" t="s">
        <v>7</v>
      </c>
      <c r="G45" s="16"/>
      <c r="H45" s="268">
        <f t="shared" ref="H45:N45" si="2">IF(H6&lt;1,1,MIN(((H9-$G20)/DiY),1))</f>
        <v>1</v>
      </c>
      <c r="I45" s="268">
        <f t="shared" si="2"/>
        <v>1</v>
      </c>
      <c r="J45" s="268">
        <f t="shared" si="2"/>
        <v>1</v>
      </c>
      <c r="K45" s="268">
        <f t="shared" si="2"/>
        <v>1</v>
      </c>
      <c r="L45" s="268">
        <f t="shared" si="2"/>
        <v>1</v>
      </c>
      <c r="M45" s="268">
        <f t="shared" si="2"/>
        <v>1</v>
      </c>
      <c r="N45" s="268">
        <f t="shared" si="2"/>
        <v>1</v>
      </c>
      <c r="O45" s="36">
        <v>1</v>
      </c>
      <c r="P45" s="268">
        <f t="shared" ref="P45:Y45" ca="1" si="3">IF(P6&lt;1,1,MIN(((P9-$G20)/DiY),1))</f>
        <v>-2.7397260273972603E-3</v>
      </c>
      <c r="Q45" s="268">
        <f t="shared" ca="1" si="3"/>
        <v>0.99726027397260275</v>
      </c>
      <c r="R45" s="268">
        <f t="shared" ca="1" si="3"/>
        <v>1</v>
      </c>
      <c r="S45" s="268">
        <f t="shared" ca="1" si="3"/>
        <v>1</v>
      </c>
      <c r="T45" s="268">
        <f t="shared" ca="1" si="3"/>
        <v>1</v>
      </c>
      <c r="U45" s="268">
        <f t="shared" ca="1" si="3"/>
        <v>1</v>
      </c>
      <c r="V45" s="268">
        <f t="shared" ca="1" si="3"/>
        <v>1</v>
      </c>
      <c r="W45" s="268">
        <f t="shared" ca="1" si="3"/>
        <v>1</v>
      </c>
      <c r="X45" s="268">
        <f t="shared" ca="1" si="3"/>
        <v>1</v>
      </c>
      <c r="Y45" s="268">
        <f t="shared" ca="1" si="3"/>
        <v>1</v>
      </c>
    </row>
    <row r="46" spans="4:25" ht="15" customHeight="1" x14ac:dyDescent="0.2">
      <c r="D46" s="2"/>
      <c r="E46" s="2" t="s">
        <v>37</v>
      </c>
      <c r="F46" s="16" t="s">
        <v>7</v>
      </c>
      <c r="G46" s="183">
        <v>0.28000000000000003</v>
      </c>
      <c r="H46" s="2"/>
      <c r="I46" s="2"/>
      <c r="J46" s="37"/>
      <c r="K46" s="37"/>
      <c r="L46" s="37"/>
      <c r="M46" s="37"/>
      <c r="N46" s="37"/>
      <c r="O46" s="37"/>
      <c r="P46" s="37"/>
      <c r="Q46" s="37"/>
      <c r="R46" s="37"/>
      <c r="S46" s="37"/>
      <c r="T46" s="37"/>
      <c r="U46" s="37"/>
      <c r="V46" s="37"/>
      <c r="W46" s="37"/>
      <c r="X46" s="37"/>
      <c r="Y46" s="37"/>
    </row>
    <row r="47" spans="4:25" ht="15" customHeight="1" x14ac:dyDescent="0.2">
      <c r="D47" s="2"/>
      <c r="E47" s="2" t="s">
        <v>38</v>
      </c>
      <c r="F47" s="38" t="s">
        <v>39</v>
      </c>
      <c r="G47" s="184">
        <v>378.75604099999998</v>
      </c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</row>
    <row r="48" spans="4:25" ht="15" customHeight="1" x14ac:dyDescent="0.2"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79"/>
      <c r="V48" s="79"/>
      <c r="W48" s="79"/>
      <c r="X48" s="79"/>
      <c r="Y48" s="79"/>
    </row>
    <row r="49" spans="1:27" ht="15" customHeight="1" x14ac:dyDescent="0.2">
      <c r="D49" s="2"/>
      <c r="E49" s="15"/>
      <c r="F49" s="15"/>
      <c r="G49" s="15"/>
      <c r="H49" s="15"/>
      <c r="I49" s="15"/>
      <c r="J49" s="15"/>
      <c r="K49" s="15"/>
      <c r="L49" s="15"/>
      <c r="M49" s="15"/>
      <c r="N49" s="15"/>
      <c r="O49" s="15"/>
      <c r="P49" s="15"/>
      <c r="Q49" s="15"/>
      <c r="R49" s="15"/>
      <c r="S49" s="15"/>
      <c r="T49" s="15"/>
      <c r="U49" s="2"/>
      <c r="V49" s="2"/>
      <c r="W49" s="2"/>
      <c r="X49" s="2"/>
      <c r="Y49" s="2"/>
    </row>
    <row r="50" spans="1:27" ht="15" customHeight="1" x14ac:dyDescent="0.2">
      <c r="D50" s="1" t="s">
        <v>40</v>
      </c>
      <c r="E50" s="2"/>
      <c r="F50" s="2"/>
      <c r="G50" s="2"/>
      <c r="H50" s="2"/>
      <c r="I50" s="39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</row>
    <row r="51" spans="1:27" ht="15" customHeight="1" x14ac:dyDescent="0.2">
      <c r="D51" s="2"/>
      <c r="E51" s="2" t="s">
        <v>41</v>
      </c>
      <c r="F51" s="24" t="s">
        <v>12</v>
      </c>
      <c r="G51" s="269">
        <v>12</v>
      </c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</row>
    <row r="52" spans="1:27" ht="15" customHeight="1" x14ac:dyDescent="0.2">
      <c r="D52" s="2"/>
      <c r="E52" s="2" t="s">
        <v>42</v>
      </c>
      <c r="F52" s="24" t="s">
        <v>10</v>
      </c>
      <c r="G52" s="269">
        <v>1000000</v>
      </c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</row>
    <row r="53" spans="1:27" ht="15" customHeight="1" x14ac:dyDescent="0.2">
      <c r="D53" s="2"/>
      <c r="E53" s="2" t="s">
        <v>43</v>
      </c>
      <c r="F53" s="24" t="s">
        <v>10</v>
      </c>
      <c r="G53" s="269">
        <f>10 ^ 3</f>
        <v>1000</v>
      </c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</row>
    <row r="54" spans="1:27" ht="15" customHeight="1" x14ac:dyDescent="0.2">
      <c r="D54" s="2"/>
      <c r="E54" s="2" t="s">
        <v>44</v>
      </c>
      <c r="F54" s="24" t="s">
        <v>12</v>
      </c>
      <c r="G54" s="269">
        <v>365</v>
      </c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</row>
    <row r="55" spans="1:27" ht="15" customHeight="1" x14ac:dyDescent="0.2">
      <c r="D55" s="2"/>
      <c r="E55" s="2"/>
      <c r="F55" s="24"/>
      <c r="G55" s="40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</row>
    <row r="56" spans="1:27" ht="15" customHeight="1" x14ac:dyDescent="0.2">
      <c r="B56" s="2"/>
      <c r="C56" s="2"/>
      <c r="D56" s="1"/>
      <c r="E56" s="2"/>
      <c r="F56" s="2"/>
      <c r="G56" s="2"/>
      <c r="H56" s="2"/>
    </row>
    <row r="57" spans="1:27" ht="15" customHeight="1" x14ac:dyDescent="0.2">
      <c r="B57" s="2"/>
      <c r="C57" s="2"/>
      <c r="D57" s="2"/>
      <c r="E57" s="2"/>
      <c r="F57" s="2"/>
      <c r="G57" s="2"/>
      <c r="H57" s="2"/>
    </row>
    <row r="58" spans="1:27" ht="15" customHeight="1" x14ac:dyDescent="0.2">
      <c r="A58" s="41"/>
      <c r="B58" s="41" t="s">
        <v>45</v>
      </c>
      <c r="C58" s="42"/>
      <c r="D58" s="42"/>
      <c r="E58" s="42"/>
      <c r="F58" s="42"/>
      <c r="G58" s="42"/>
      <c r="H58" s="42"/>
      <c r="I58" s="42"/>
      <c r="J58" s="42"/>
      <c r="K58" s="42"/>
      <c r="L58" s="42"/>
      <c r="M58" s="42"/>
      <c r="N58" s="42"/>
      <c r="O58" s="42"/>
      <c r="P58" s="42"/>
      <c r="Q58" s="42"/>
      <c r="R58" s="42"/>
      <c r="S58" s="42"/>
      <c r="T58" s="42"/>
      <c r="U58" s="42"/>
      <c r="V58" s="42"/>
      <c r="W58" s="42"/>
      <c r="X58" s="42"/>
      <c r="Y58" s="42"/>
      <c r="Z58" s="42"/>
      <c r="AA58" s="42"/>
    </row>
    <row r="134" spans="31:35" ht="12.75" customHeight="1" x14ac:dyDescent="0.2">
      <c r="AE134" s="2"/>
      <c r="AF134" s="43" t="s">
        <v>46</v>
      </c>
      <c r="AG134" s="43" t="s">
        <v>47</v>
      </c>
      <c r="AH134" s="2"/>
      <c r="AI134" s="2"/>
    </row>
    <row r="135" spans="31:35" ht="12.75" customHeight="1" x14ac:dyDescent="0.2">
      <c r="AE135" s="2"/>
      <c r="AF135" s="2"/>
      <c r="AG135" s="2"/>
      <c r="AH135" s="2"/>
      <c r="AI135" s="2"/>
    </row>
    <row r="136" spans="31:35" ht="12.75" customHeight="1" x14ac:dyDescent="0.2">
      <c r="AE136" s="2"/>
      <c r="AF136" s="2"/>
      <c r="AG136" s="2"/>
      <c r="AH136" s="2"/>
      <c r="AI136" s="2"/>
    </row>
    <row r="137" spans="31:35" ht="12.75" customHeight="1" x14ac:dyDescent="0.2">
      <c r="AE137" s="2" t="s">
        <v>48</v>
      </c>
      <c r="AF137" s="27">
        <v>20820</v>
      </c>
      <c r="AG137" s="27">
        <v>24093</v>
      </c>
      <c r="AH137" s="2"/>
      <c r="AI137" s="2"/>
    </row>
    <row r="138" spans="31:35" ht="12.75" customHeight="1" x14ac:dyDescent="0.2">
      <c r="AE138" s="2"/>
      <c r="AF138" s="2"/>
      <c r="AG138" s="2"/>
      <c r="AH138" s="2"/>
      <c r="AI138" s="2"/>
    </row>
    <row r="139" spans="31:35" ht="12.75" customHeight="1" x14ac:dyDescent="0.2">
      <c r="AE139" s="2"/>
      <c r="AF139" s="2"/>
      <c r="AG139" s="2"/>
      <c r="AH139" s="2"/>
      <c r="AI139" s="2"/>
    </row>
    <row r="140" spans="31:35" ht="12.75" customHeight="1" x14ac:dyDescent="0.2">
      <c r="AE140" s="2" t="s">
        <v>49</v>
      </c>
      <c r="AF140" s="27">
        <v>213</v>
      </c>
      <c r="AG140" s="27">
        <v>3002</v>
      </c>
      <c r="AH140" s="2"/>
      <c r="AI140" s="2"/>
    </row>
    <row r="141" spans="31:35" ht="12.75" customHeight="1" x14ac:dyDescent="0.2">
      <c r="AE141" s="2" t="s">
        <v>50</v>
      </c>
      <c r="AF141" s="27">
        <v>175000</v>
      </c>
      <c r="AG141" s="27">
        <v>175455</v>
      </c>
      <c r="AH141" s="2"/>
      <c r="AI141" s="2"/>
    </row>
    <row r="142" spans="31:35" ht="12.75" customHeight="1" x14ac:dyDescent="0.2">
      <c r="AE142" s="2" t="s">
        <v>51</v>
      </c>
      <c r="AF142" s="44">
        <f t="shared" ref="AF142:AG142" si="4">AF137 / AF141</f>
        <v>0.11897142857142858</v>
      </c>
      <c r="AG142" s="44">
        <f t="shared" si="4"/>
        <v>0.13731726083611182</v>
      </c>
      <c r="AH142" s="2"/>
      <c r="AI142" s="2"/>
    </row>
    <row r="143" spans="31:35" ht="12.75" customHeight="1" x14ac:dyDescent="0.2">
      <c r="AE143" s="2" t="s">
        <v>52</v>
      </c>
      <c r="AF143" s="2"/>
      <c r="AG143" s="27">
        <f>AI144</f>
        <v>4200</v>
      </c>
      <c r="AH143" s="2"/>
      <c r="AI143" s="2">
        <f>3.7 +4.7</f>
        <v>8.4</v>
      </c>
    </row>
    <row r="144" spans="31:35" ht="12.75" customHeight="1" x14ac:dyDescent="0.2">
      <c r="AE144" s="2" t="s">
        <v>53</v>
      </c>
      <c r="AF144" s="2"/>
      <c r="AG144" s="44">
        <f>AG143 / AG141</f>
        <v>2.3937761819269897E-2</v>
      </c>
      <c r="AH144" s="2"/>
      <c r="AI144" s="2">
        <f>AI143 / 2 * 1000</f>
        <v>4200</v>
      </c>
    </row>
    <row r="145" spans="31:35" ht="12.75" customHeight="1" x14ac:dyDescent="0.2">
      <c r="AE145" s="2"/>
      <c r="AF145" s="2"/>
      <c r="AG145" s="2"/>
      <c r="AH145" s="2"/>
      <c r="AI145" s="2"/>
    </row>
    <row r="146" spans="31:35" ht="12.75" customHeight="1" x14ac:dyDescent="0.2">
      <c r="AE146" s="2" t="s">
        <v>54</v>
      </c>
      <c r="AF146" s="2"/>
      <c r="AG146" s="2">
        <v>0.9</v>
      </c>
      <c r="AH146" s="2"/>
      <c r="AI146" s="2"/>
    </row>
    <row r="147" spans="31:35" ht="12.75" customHeight="1" x14ac:dyDescent="0.2">
      <c r="AE147" s="2"/>
      <c r="AF147" s="2"/>
      <c r="AG147" s="28">
        <f>AG144 / AG146</f>
        <v>2.6597513132522108E-2</v>
      </c>
      <c r="AH147" s="2"/>
      <c r="AI147" s="2"/>
    </row>
  </sheetData>
  <mergeCells count="1">
    <mergeCell ref="M14:Q14"/>
  </mergeCells>
  <conditionalFormatting sqref="G38">
    <cfRule type="expression" dxfId="3" priority="9">
      <formula>#REF!=#REF!</formula>
    </cfRule>
    <cfRule type="expression" dxfId="2" priority="10">
      <formula>#REF! = $E$38</formula>
    </cfRule>
  </conditionalFormatting>
  <conditionalFormatting sqref="G51:G54">
    <cfRule type="expression" dxfId="1" priority="1">
      <formula>#REF!=#REF!</formula>
    </cfRule>
    <cfRule type="expression" dxfId="0" priority="2">
      <formula>#REF! = $E$38</formula>
    </cfRule>
  </conditionalFormatting>
  <dataValidations count="2">
    <dataValidation type="list" allowBlank="1" showErrorMessage="1" sqref="G30" xr:uid="{8FAB3979-B369-41FD-A008-21EC50A8EE72}">
      <formula1>#REF!</formula1>
    </dataValidation>
    <dataValidation type="list" allowBlank="1" showDropDown="1" showInputMessage="1" showErrorMessage="1" sqref="I14:I16" xr:uid="{2F93E69D-F98C-4349-B8DB-CEB9CE90FECE}">
      <formula1>$P$69:$P$71</formula1>
    </dataValidation>
  </dataValidations>
  <pageMargins left="0.7" right="0.7" top="0.75" bottom="0.75" header="0" footer="0"/>
  <pageSetup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6CB5BE-8532-44ED-A101-CC1A07704773}">
  <sheetPr>
    <tabColor rgb="FF44546A"/>
  </sheetPr>
  <dimension ref="A2:AA65"/>
  <sheetViews>
    <sheetView showGridLines="0" topLeftCell="A3" zoomScale="107" workbookViewId="0">
      <selection activeCell="H16" sqref="H16"/>
    </sheetView>
  </sheetViews>
  <sheetFormatPr baseColWidth="10" defaultColWidth="14.5" defaultRowHeight="15" customHeight="1" x14ac:dyDescent="0.2"/>
  <cols>
    <col min="1" max="2" width="2.5" customWidth="1"/>
    <col min="3" max="3" width="1.33203125" customWidth="1"/>
    <col min="4" max="4" width="3.33203125" customWidth="1"/>
    <col min="5" max="5" width="38" customWidth="1"/>
    <col min="6" max="6" width="16" customWidth="1"/>
    <col min="7" max="7" width="11.1640625" customWidth="1"/>
    <col min="8" max="8" width="11.1640625" style="383" customWidth="1"/>
    <col min="9" max="9" width="17.5" customWidth="1"/>
    <col min="10" max="11" width="11.1640625" customWidth="1"/>
    <col min="12" max="12" width="13.1640625" customWidth="1"/>
    <col min="13" max="18" width="11.1640625" customWidth="1"/>
    <col min="19" max="19" width="23.6640625" customWidth="1"/>
    <col min="20" max="20" width="12.5" bestFit="1" customWidth="1"/>
    <col min="21" max="21" width="9.1640625" customWidth="1"/>
    <col min="22" max="22" width="10.6640625" customWidth="1"/>
    <col min="23" max="24" width="9.1640625" customWidth="1"/>
    <col min="25" max="25" width="12.33203125" customWidth="1"/>
    <col min="26" max="26" width="17.5" customWidth="1"/>
    <col min="27" max="27" width="17.33203125" customWidth="1"/>
    <col min="28" max="28" width="15.6640625" customWidth="1"/>
    <col min="29" max="30" width="9.1640625" customWidth="1"/>
  </cols>
  <sheetData>
    <row r="2" spans="3:27" ht="12.75" customHeight="1" x14ac:dyDescent="0.2">
      <c r="C2" s="4"/>
      <c r="D2" s="4" t="s">
        <v>55</v>
      </c>
      <c r="E2" s="4"/>
      <c r="F2" s="3"/>
      <c r="G2" s="3"/>
      <c r="H2" s="369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3"/>
    </row>
    <row r="3" spans="3:27" ht="12.75" customHeight="1" x14ac:dyDescent="0.2">
      <c r="C3" s="7"/>
      <c r="D3" s="7"/>
      <c r="E3" s="7"/>
      <c r="F3" s="7"/>
      <c r="G3" s="7"/>
      <c r="H3" s="370"/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7"/>
      <c r="W3" s="7"/>
      <c r="X3" s="7"/>
      <c r="Y3" s="7"/>
      <c r="Z3" s="7"/>
      <c r="AA3" s="7"/>
    </row>
    <row r="4" spans="3:27" ht="15" customHeight="1" x14ac:dyDescent="0.2">
      <c r="C4" s="15"/>
      <c r="D4" s="15"/>
      <c r="E4" s="15"/>
      <c r="F4" s="15"/>
      <c r="G4" s="15"/>
      <c r="H4" s="371"/>
      <c r="I4" s="15"/>
      <c r="J4" s="15"/>
      <c r="K4" s="15"/>
      <c r="L4" s="15"/>
      <c r="M4" s="15"/>
      <c r="N4" s="15"/>
      <c r="O4" s="15"/>
      <c r="P4" s="15"/>
      <c r="Q4" s="15"/>
      <c r="R4" s="15"/>
      <c r="S4" s="15"/>
      <c r="T4" s="15"/>
      <c r="U4" s="15"/>
      <c r="V4" s="15"/>
      <c r="W4" s="15"/>
      <c r="X4" s="15"/>
      <c r="Y4" s="15"/>
      <c r="Z4" s="15"/>
      <c r="AA4" s="15"/>
    </row>
    <row r="5" spans="3:27" ht="15" customHeight="1" x14ac:dyDescent="0.2">
      <c r="C5" s="4"/>
      <c r="D5" s="4" t="s">
        <v>236</v>
      </c>
      <c r="E5" s="4"/>
      <c r="F5" s="4"/>
      <c r="G5" s="4"/>
      <c r="H5" s="372"/>
    </row>
    <row r="6" spans="3:27" ht="15" customHeight="1" x14ac:dyDescent="0.2">
      <c r="C6" s="45"/>
      <c r="D6" s="45"/>
      <c r="E6" s="45"/>
      <c r="F6" s="45"/>
      <c r="G6" s="45"/>
      <c r="H6" s="373"/>
    </row>
    <row r="7" spans="3:27" ht="15" customHeight="1" x14ac:dyDescent="0.2">
      <c r="C7" s="46"/>
      <c r="D7" s="46"/>
      <c r="E7" s="46"/>
      <c r="F7" s="46"/>
      <c r="G7" s="46"/>
      <c r="H7" s="374"/>
    </row>
    <row r="8" spans="3:27" ht="15" customHeight="1" x14ac:dyDescent="0.2">
      <c r="D8" s="2"/>
      <c r="E8" s="2" t="s">
        <v>64</v>
      </c>
      <c r="F8" s="24" t="s">
        <v>65</v>
      </c>
      <c r="G8" s="24"/>
      <c r="H8" s="375">
        <f t="array" ref="H8">INDEX( '&gt;&gt; DCF'!$H$71:$H$97, MATCH( '&gt;&gt; Dash'!E8, '&gt;&gt; DCF'!$E$71:$E$97, 0 ) )</f>
        <v>378.75604099999998</v>
      </c>
    </row>
    <row r="9" spans="3:27" ht="15" customHeight="1" x14ac:dyDescent="0.2">
      <c r="D9" s="2"/>
      <c r="E9" s="1" t="s">
        <v>123</v>
      </c>
      <c r="F9" s="24" t="s">
        <v>66</v>
      </c>
      <c r="G9" s="48"/>
      <c r="H9" s="376">
        <f ca="1">'&gt;&gt; DCF'!H76</f>
        <v>25.115870050987866</v>
      </c>
    </row>
    <row r="10" spans="3:27" ht="15" customHeight="1" x14ac:dyDescent="0.2">
      <c r="D10" s="2"/>
      <c r="E10" s="2" t="s">
        <v>68</v>
      </c>
      <c r="F10" s="24" t="s">
        <v>7</v>
      </c>
      <c r="G10" s="48"/>
      <c r="H10" s="377">
        <f ca="1">H9/H16-1</f>
        <v>24.369565708068553</v>
      </c>
    </row>
    <row r="11" spans="3:27" ht="15" customHeight="1" x14ac:dyDescent="0.2">
      <c r="D11" s="2"/>
      <c r="E11" s="1" t="s">
        <v>232</v>
      </c>
      <c r="F11" s="24" t="s">
        <v>66</v>
      </c>
      <c r="G11" s="48"/>
      <c r="H11" s="376">
        <f ca="1">'&gt;&gt; DCF'!H96</f>
        <v>11.43788074631088</v>
      </c>
    </row>
    <row r="12" spans="3:27" ht="15" customHeight="1" x14ac:dyDescent="0.2">
      <c r="D12" s="2"/>
      <c r="E12" s="2" t="s">
        <v>68</v>
      </c>
      <c r="F12" s="24" t="s">
        <v>7</v>
      </c>
      <c r="G12" s="48"/>
      <c r="H12" s="377">
        <f ca="1">H11/H16-1</f>
        <v>10.553414895263515</v>
      </c>
    </row>
    <row r="13" spans="3:27" ht="15" customHeight="1" x14ac:dyDescent="0.2">
      <c r="D13" s="2"/>
      <c r="E13" s="1" t="s">
        <v>237</v>
      </c>
      <c r="F13" s="24" t="s">
        <v>66</v>
      </c>
      <c r="G13" s="48"/>
      <c r="H13" s="376">
        <f ca="1">'&gt;&gt; DDM'!H43</f>
        <v>56.025447039392226</v>
      </c>
    </row>
    <row r="14" spans="3:27" ht="15" customHeight="1" x14ac:dyDescent="0.2">
      <c r="D14" s="2"/>
      <c r="E14" s="2" t="s">
        <v>68</v>
      </c>
      <c r="F14" s="24" t="s">
        <v>7</v>
      </c>
      <c r="G14" s="48"/>
      <c r="H14" s="377">
        <f ca="1">H13/H16-1</f>
        <v>55.591360645850735</v>
      </c>
    </row>
    <row r="16" spans="3:27" ht="15" customHeight="1" x14ac:dyDescent="0.2">
      <c r="D16" s="2"/>
      <c r="E16" s="2" t="s">
        <v>67</v>
      </c>
      <c r="F16" s="24" t="s">
        <v>66</v>
      </c>
      <c r="G16" s="48"/>
      <c r="H16" s="378">
        <f>'&gt;&gt; Inputs'!G21</f>
        <v>0.99</v>
      </c>
    </row>
    <row r="17" spans="4:27" ht="15" customHeight="1" x14ac:dyDescent="0.2">
      <c r="D17" s="2"/>
      <c r="E17" s="2"/>
      <c r="F17" s="24"/>
      <c r="G17" s="48"/>
      <c r="H17" s="377"/>
    </row>
    <row r="18" spans="4:27" ht="15" customHeight="1" x14ac:dyDescent="0.2">
      <c r="D18" s="2"/>
      <c r="E18" s="2" t="s">
        <v>8</v>
      </c>
      <c r="F18" s="24" t="s">
        <v>7</v>
      </c>
      <c r="G18" s="48"/>
      <c r="H18" s="377">
        <f>$F$49</f>
        <v>0.106110496</v>
      </c>
    </row>
    <row r="19" spans="4:27" ht="15" customHeight="1" x14ac:dyDescent="0.2">
      <c r="D19" s="2"/>
      <c r="E19" s="2" t="s">
        <v>69</v>
      </c>
      <c r="F19" s="24" t="s">
        <v>7</v>
      </c>
      <c r="G19" s="48"/>
      <c r="H19" s="377">
        <f>$K$43</f>
        <v>4.7929615227546005E-2</v>
      </c>
    </row>
    <row r="20" spans="4:27" ht="15" customHeight="1" x14ac:dyDescent="0.2">
      <c r="D20" s="2"/>
      <c r="E20" s="2"/>
      <c r="F20" s="24"/>
      <c r="G20" s="2"/>
      <c r="H20" s="379"/>
    </row>
    <row r="21" spans="4:27" ht="15" customHeight="1" x14ac:dyDescent="0.2">
      <c r="D21" s="2"/>
      <c r="E21" s="2" t="s">
        <v>70</v>
      </c>
      <c r="F21" s="24" t="s">
        <v>71</v>
      </c>
      <c r="G21" s="24"/>
      <c r="H21" s="380">
        <f t="array" aca="1" ref="H21" ca="1">INDEX( '&gt;&gt; DCF'!$H$71:$H$97, MATCH( '&gt;&gt; Dash'!E21, '&gt;&gt; DCF'!$E$71:$E$97, 0 ) )</f>
        <v>1.9996063982911907</v>
      </c>
    </row>
    <row r="22" spans="4:27" ht="15" customHeight="1" x14ac:dyDescent="0.2">
      <c r="D22" s="2"/>
      <c r="E22" s="2" t="s">
        <v>72</v>
      </c>
      <c r="F22" s="24" t="s">
        <v>71</v>
      </c>
      <c r="G22" s="24"/>
      <c r="H22" s="380">
        <f t="array" aca="1" ref="H22" ca="1">INDEX( '&gt;&gt; DCF'!$H$71:$H$97, MATCH( '&gt;&gt; Dash'!E22, '&gt;&gt; DCF'!$E$71:$E$97, 0 ) )</f>
        <v>2.0057112299108404</v>
      </c>
    </row>
    <row r="23" spans="4:27" ht="15" customHeight="1" x14ac:dyDescent="0.2">
      <c r="D23" s="2"/>
      <c r="E23" s="2" t="s">
        <v>73</v>
      </c>
      <c r="F23" s="24" t="s">
        <v>71</v>
      </c>
      <c r="G23" s="24"/>
      <c r="H23" s="380">
        <f t="array" aca="1" ref="H23" ca="1">INDEX( '&gt;&gt; DCF'!$H$71:$H$97, MATCH( '&gt;&gt; Dash'!E23, '&gt;&gt; DCF'!$E$71:$E$97, 0 ) )</f>
        <v>13.332587818812021</v>
      </c>
    </row>
    <row r="24" spans="4:27" ht="15" customHeight="1" x14ac:dyDescent="0.2">
      <c r="D24" s="2"/>
      <c r="E24" s="2" t="s">
        <v>74</v>
      </c>
      <c r="F24" s="24" t="s">
        <v>71</v>
      </c>
      <c r="G24" s="24"/>
      <c r="H24" s="380">
        <f t="array" aca="1" ref="H24" ca="1">INDEX( '&gt;&gt; DCF'!$H$71:$H$97, MATCH( '&gt;&gt; Dash'!E24, '&gt;&gt; DCF'!$E$71:$E$97, 0 ) )</f>
        <v>13.478286607729238</v>
      </c>
    </row>
    <row r="25" spans="4:27" ht="15" customHeight="1" x14ac:dyDescent="0.2">
      <c r="D25" s="2"/>
      <c r="E25" s="2"/>
      <c r="F25" s="24"/>
      <c r="G25" s="24"/>
      <c r="H25" s="380"/>
    </row>
    <row r="26" spans="4:27" ht="15" customHeight="1" x14ac:dyDescent="0.2">
      <c r="D26" s="1" t="s">
        <v>75</v>
      </c>
      <c r="E26" s="2"/>
      <c r="F26" s="24"/>
      <c r="G26" s="24"/>
      <c r="H26" s="380"/>
    </row>
    <row r="27" spans="4:27" ht="15" customHeight="1" x14ac:dyDescent="0.2">
      <c r="D27" s="2"/>
      <c r="E27" s="2" t="s">
        <v>76</v>
      </c>
      <c r="F27" s="24" t="s">
        <v>7</v>
      </c>
      <c r="G27" s="24"/>
      <c r="H27" s="377">
        <f ca="1">'&gt;&gt; Summary'!G13</f>
        <v>39.980463176959638</v>
      </c>
    </row>
    <row r="28" spans="4:27" ht="15" customHeight="1" x14ac:dyDescent="0.2">
      <c r="D28" s="2"/>
      <c r="E28" s="2" t="str">
        <f>"Forecast FY" &amp; TEXT(YEAR(EOMONTH('&gt;&gt; Inputs'!$G$17, 12)), "00") &amp; " Dividend Yield"</f>
        <v>Forecast FY2025 Dividend Yield</v>
      </c>
      <c r="F28" s="24" t="s">
        <v>7</v>
      </c>
      <c r="G28" s="24"/>
      <c r="H28" s="377">
        <f ca="1">'&gt;&gt; DDM'!H25/'&gt;&gt; Summary'!G11</f>
        <v>0.12985905190102556</v>
      </c>
    </row>
    <row r="29" spans="4:27" ht="15" customHeight="1" x14ac:dyDescent="0.2">
      <c r="D29" s="2"/>
      <c r="E29" s="2" t="s">
        <v>77</v>
      </c>
      <c r="F29" s="24" t="s">
        <v>7</v>
      </c>
      <c r="G29" s="24"/>
      <c r="H29" s="377">
        <f ca="1">H27 + H28</f>
        <v>40.110322228860667</v>
      </c>
    </row>
    <row r="31" spans="4:27" ht="15" customHeight="1" x14ac:dyDescent="0.2">
      <c r="D31" s="2"/>
      <c r="E31" s="15"/>
      <c r="F31" s="15"/>
      <c r="G31" s="15"/>
      <c r="H31" s="371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</row>
    <row r="32" spans="4:27" ht="15" customHeight="1" x14ac:dyDescent="0.2">
      <c r="D32" s="2"/>
      <c r="E32" s="2"/>
      <c r="F32" s="2"/>
      <c r="G32" s="2"/>
      <c r="H32" s="379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</row>
    <row r="33" spans="4:27" ht="15" customHeight="1" x14ac:dyDescent="0.2">
      <c r="D33" s="3"/>
      <c r="E33" s="4" t="s">
        <v>78</v>
      </c>
      <c r="F33" s="3"/>
      <c r="G33" s="3"/>
      <c r="H33" s="369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  <c r="AA33" s="3"/>
    </row>
    <row r="34" spans="4:27" ht="15" customHeight="1" x14ac:dyDescent="0.2">
      <c r="D34" s="7"/>
      <c r="E34" s="7"/>
      <c r="F34" s="7"/>
      <c r="G34" s="7"/>
      <c r="H34" s="370"/>
      <c r="I34" s="7"/>
      <c r="J34" s="7"/>
      <c r="K34" s="7"/>
      <c r="L34" s="7"/>
      <c r="M34" s="7"/>
      <c r="N34" s="7"/>
      <c r="O34" s="7"/>
      <c r="P34" s="7"/>
      <c r="Q34" s="7"/>
      <c r="R34" s="7"/>
      <c r="S34" s="7"/>
      <c r="T34" s="7"/>
      <c r="U34" s="7"/>
      <c r="V34" s="7"/>
      <c r="W34" s="7"/>
      <c r="X34" s="7"/>
      <c r="Y34" s="7"/>
      <c r="Z34" s="7"/>
      <c r="AA34" s="7"/>
    </row>
    <row r="35" spans="4:27" ht="15" customHeight="1" x14ac:dyDescent="0.2">
      <c r="D35" s="15"/>
      <c r="E35" s="15"/>
      <c r="F35" s="15"/>
      <c r="G35" s="15"/>
      <c r="H35" s="371"/>
      <c r="I35" s="15"/>
      <c r="J35" s="15"/>
      <c r="K35" s="15"/>
      <c r="L35" s="15"/>
      <c r="M35" s="15"/>
      <c r="N35" s="15"/>
      <c r="O35" s="15"/>
      <c r="P35" s="15"/>
      <c r="Q35" s="15"/>
      <c r="R35" s="15"/>
      <c r="S35" s="15"/>
      <c r="T35" s="15"/>
      <c r="U35" s="15"/>
      <c r="V35" s="15"/>
      <c r="W35" s="15"/>
      <c r="X35" s="15"/>
      <c r="Y35" s="15"/>
      <c r="Z35" s="15"/>
      <c r="AA35" s="15"/>
    </row>
    <row r="36" spans="4:27" ht="15" customHeight="1" x14ac:dyDescent="0.2">
      <c r="D36" s="1" t="s">
        <v>79</v>
      </c>
      <c r="E36" s="2"/>
      <c r="F36" s="2"/>
      <c r="H36" s="381" t="s">
        <v>270</v>
      </c>
      <c r="I36" s="2"/>
      <c r="J36" s="2"/>
      <c r="K36" s="2"/>
      <c r="L36" s="2"/>
      <c r="M36" s="1"/>
      <c r="N36" s="2"/>
      <c r="O36" s="2"/>
      <c r="P36" s="2"/>
      <c r="Q36" s="2"/>
      <c r="S36" s="2"/>
      <c r="W36" s="2"/>
      <c r="X36" s="2"/>
    </row>
    <row r="37" spans="4:27" ht="15" customHeight="1" x14ac:dyDescent="0.2">
      <c r="D37" s="2"/>
      <c r="E37" s="2"/>
      <c r="F37" s="2"/>
      <c r="H37" s="379"/>
      <c r="I37" s="2"/>
      <c r="J37" s="2"/>
      <c r="K37" s="2"/>
      <c r="L37" s="2"/>
      <c r="M37" s="2"/>
      <c r="N37" s="2"/>
      <c r="O37" s="2"/>
      <c r="P37" s="2"/>
      <c r="Q37" s="2"/>
      <c r="S37" s="2"/>
      <c r="W37" s="2"/>
      <c r="X37" s="2"/>
    </row>
    <row r="38" spans="4:27" ht="15" customHeight="1" x14ac:dyDescent="0.2">
      <c r="D38" s="2" t="s">
        <v>81</v>
      </c>
      <c r="E38" s="2"/>
      <c r="F38" s="345">
        <v>0.28299999999999997</v>
      </c>
      <c r="H38" s="379" t="s">
        <v>80</v>
      </c>
      <c r="J38" s="16" t="s">
        <v>7</v>
      </c>
      <c r="K38" s="52"/>
      <c r="L38" s="2"/>
      <c r="W38" s="2"/>
      <c r="X38" s="2"/>
    </row>
    <row r="39" spans="4:27" ht="15" customHeight="1" x14ac:dyDescent="0.2">
      <c r="D39" s="2" t="s">
        <v>304</v>
      </c>
      <c r="E39" s="2"/>
      <c r="F39" s="345">
        <v>5.4420000000000003E-2</v>
      </c>
      <c r="H39" s="379" t="s">
        <v>291</v>
      </c>
      <c r="J39" s="16" t="s">
        <v>7</v>
      </c>
      <c r="K39" s="180">
        <v>0.20399999999999999</v>
      </c>
      <c r="L39" s="2"/>
      <c r="W39" s="2"/>
      <c r="X39" s="2"/>
    </row>
    <row r="40" spans="4:27" ht="15" customHeight="1" x14ac:dyDescent="0.2">
      <c r="D40" s="2"/>
      <c r="E40" s="2"/>
      <c r="H40" s="379" t="s">
        <v>292</v>
      </c>
      <c r="J40" s="16"/>
      <c r="K40" s="354">
        <v>6.3E-2</v>
      </c>
      <c r="L40" s="2"/>
      <c r="W40" s="2"/>
      <c r="X40" s="2"/>
    </row>
    <row r="41" spans="4:27" ht="15" customHeight="1" x14ac:dyDescent="0.2">
      <c r="D41" s="2"/>
      <c r="E41" s="2"/>
      <c r="H41" s="382" t="s">
        <v>293</v>
      </c>
      <c r="J41" s="16"/>
      <c r="K41" s="354">
        <v>4.6656000000000003E-2</v>
      </c>
      <c r="L41" s="2"/>
      <c r="W41" s="2"/>
      <c r="X41" s="2"/>
    </row>
    <row r="42" spans="4:27" ht="15" customHeight="1" x14ac:dyDescent="0.2">
      <c r="D42" s="2" t="s">
        <v>82</v>
      </c>
      <c r="E42" s="2"/>
      <c r="F42" s="345">
        <f>F53-F39</f>
        <v>3.3279999999999997E-2</v>
      </c>
      <c r="H42" s="379"/>
      <c r="J42" s="2"/>
      <c r="K42" s="2"/>
      <c r="L42" s="2"/>
      <c r="M42" s="24"/>
      <c r="P42" s="2"/>
      <c r="Q42" s="2"/>
      <c r="W42" s="2"/>
      <c r="X42" s="2"/>
    </row>
    <row r="43" spans="4:27" ht="15" customHeight="1" x14ac:dyDescent="0.2">
      <c r="D43" s="2" t="s">
        <v>32</v>
      </c>
      <c r="E43" s="2"/>
      <c r="F43" s="345">
        <v>0.02</v>
      </c>
      <c r="H43" s="379" t="s">
        <v>6</v>
      </c>
      <c r="J43" s="16" t="s">
        <v>7</v>
      </c>
      <c r="K43" s="270">
        <f>(F48*F54)+(F47*F39*(1-F38))</f>
        <v>4.7929615227546005E-2</v>
      </c>
      <c r="L43" s="353"/>
      <c r="M43" s="137"/>
      <c r="W43" s="2"/>
      <c r="X43" s="2"/>
    </row>
    <row r="44" spans="4:27" ht="15" customHeight="1" x14ac:dyDescent="0.2">
      <c r="D44" s="2"/>
      <c r="E44" s="2"/>
      <c r="F44" s="55"/>
      <c r="H44" s="379"/>
      <c r="J44" s="2"/>
      <c r="K44" s="2"/>
      <c r="L44" s="2"/>
      <c r="W44" s="2"/>
      <c r="X44" s="2"/>
    </row>
    <row r="45" spans="4:27" ht="15" customHeight="1" x14ac:dyDescent="0.2">
      <c r="D45" s="2" t="s">
        <v>296</v>
      </c>
      <c r="E45" s="2"/>
      <c r="F45" s="346">
        <v>1.5531999999999999</v>
      </c>
      <c r="H45" s="379" t="s">
        <v>32</v>
      </c>
      <c r="J45" s="16" t="s">
        <v>7</v>
      </c>
      <c r="K45" s="271">
        <f>F43</f>
        <v>0.02</v>
      </c>
      <c r="M45" s="2"/>
      <c r="P45" s="24"/>
      <c r="Q45" s="56"/>
      <c r="W45" s="2"/>
      <c r="X45" s="2"/>
    </row>
    <row r="46" spans="4:27" ht="15" customHeight="1" x14ac:dyDescent="0.2">
      <c r="H46" s="382" t="s">
        <v>31</v>
      </c>
      <c r="J46" s="274" t="s">
        <v>7</v>
      </c>
      <c r="K46" s="271">
        <f ca="1">'&gt;&gt; Segments'!Y53</f>
        <v>0.17100358677887753</v>
      </c>
      <c r="W46" s="2"/>
      <c r="X46" s="2"/>
    </row>
    <row r="47" spans="4:27" ht="15" customHeight="1" x14ac:dyDescent="0.2">
      <c r="D47" s="2" t="s">
        <v>302</v>
      </c>
      <c r="E47" s="2"/>
      <c r="F47" s="345">
        <f>F58/(F58+F57)</f>
        <v>0.86718892330114772</v>
      </c>
      <c r="K47" s="2"/>
      <c r="L47" s="2"/>
      <c r="W47" s="2"/>
      <c r="X47" s="2"/>
    </row>
    <row r="48" spans="4:27" ht="15" customHeight="1" x14ac:dyDescent="0.2">
      <c r="D48" s="2" t="s">
        <v>303</v>
      </c>
      <c r="E48" s="2"/>
      <c r="F48" s="345">
        <f>F57/(F58+F57)</f>
        <v>0.13281107669885225</v>
      </c>
      <c r="K48" s="2"/>
      <c r="L48" s="2"/>
      <c r="W48" s="2"/>
      <c r="X48" s="2"/>
    </row>
    <row r="49" spans="1:27" ht="15" customHeight="1" x14ac:dyDescent="0.2">
      <c r="D49" s="2" t="s">
        <v>294</v>
      </c>
      <c r="E49" s="2"/>
      <c r="F49" s="347">
        <f>F39+F45*F42</f>
        <v>0.106110496</v>
      </c>
      <c r="L49" s="2"/>
      <c r="M49" s="2"/>
      <c r="N49" s="2"/>
      <c r="O49" s="2"/>
      <c r="P49" s="2"/>
      <c r="Q49" s="2"/>
      <c r="R49" s="2"/>
      <c r="S49" s="2"/>
      <c r="T49" s="16"/>
      <c r="U49" s="2"/>
      <c r="V49" s="57"/>
      <c r="W49" s="2"/>
      <c r="X49" s="2"/>
    </row>
    <row r="50" spans="1:27" ht="15" customHeight="1" x14ac:dyDescent="0.2">
      <c r="D50" s="2" t="s">
        <v>295</v>
      </c>
      <c r="E50" s="2"/>
      <c r="F50" s="350">
        <f>(F56/F58)</f>
        <v>8.5831932773109243E-2</v>
      </c>
      <c r="G50" s="289"/>
      <c r="H50" s="384" t="s">
        <v>258</v>
      </c>
      <c r="K50" s="352">
        <v>102.636</v>
      </c>
      <c r="L50" s="351"/>
      <c r="M50" s="2"/>
      <c r="N50" s="2"/>
      <c r="O50" s="2"/>
      <c r="P50" s="2"/>
      <c r="Q50" s="2"/>
      <c r="R50" s="2"/>
      <c r="S50" s="2" t="s">
        <v>209</v>
      </c>
      <c r="T50" s="16"/>
      <c r="U50" s="2"/>
      <c r="V50" s="58"/>
      <c r="W50" s="2"/>
      <c r="X50" s="2"/>
    </row>
    <row r="51" spans="1:27" ht="15" customHeight="1" x14ac:dyDescent="0.2">
      <c r="D51" s="2" t="s">
        <v>290</v>
      </c>
      <c r="E51" s="2"/>
      <c r="F51" s="350">
        <f>F50*(1-F38)</f>
        <v>6.1541495798319336E-2</v>
      </c>
      <c r="G51" s="289"/>
      <c r="L51" s="2"/>
      <c r="M51" s="2"/>
      <c r="N51" s="2"/>
      <c r="O51" s="2"/>
      <c r="P51" s="2"/>
      <c r="Q51" s="2"/>
      <c r="R51" s="2"/>
      <c r="S51" s="2"/>
      <c r="T51" s="16"/>
      <c r="U51" s="2"/>
      <c r="V51" s="58"/>
      <c r="W51" s="2"/>
      <c r="X51" s="2"/>
    </row>
    <row r="52" spans="1:27" ht="15" customHeight="1" x14ac:dyDescent="0.2">
      <c r="D52" s="2" t="s">
        <v>298</v>
      </c>
      <c r="F52" s="345">
        <v>7.3000000000000001E-3</v>
      </c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</row>
    <row r="53" spans="1:27" ht="15" customHeight="1" x14ac:dyDescent="0.2">
      <c r="D53" s="2" t="s">
        <v>299</v>
      </c>
      <c r="F53" s="345">
        <v>8.77E-2</v>
      </c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</row>
    <row r="54" spans="1:27" ht="15" customHeight="1" x14ac:dyDescent="0.2">
      <c r="D54" s="2" t="s">
        <v>297</v>
      </c>
      <c r="F54" s="345">
        <f>F39+F45*(F53-F39)</f>
        <v>0.106110496</v>
      </c>
    </row>
    <row r="55" spans="1:27" ht="15" customHeight="1" x14ac:dyDescent="0.2">
      <c r="D55" s="2" t="s">
        <v>289</v>
      </c>
      <c r="F55" s="345"/>
    </row>
    <row r="56" spans="1:27" ht="15" customHeight="1" x14ac:dyDescent="0.2">
      <c r="D56" s="2" t="s">
        <v>157</v>
      </c>
      <c r="F56" s="349">
        <v>408.56</v>
      </c>
      <c r="M56" s="2"/>
      <c r="N56" s="2"/>
      <c r="O56" s="2"/>
      <c r="P56" s="2"/>
    </row>
    <row r="57" spans="1:27" ht="15" customHeight="1" x14ac:dyDescent="0.2">
      <c r="D57" s="2" t="s">
        <v>300</v>
      </c>
      <c r="F57" s="348">
        <v>729</v>
      </c>
      <c r="M57" s="2"/>
      <c r="N57" s="2"/>
      <c r="O57" s="2"/>
      <c r="P57" s="2"/>
    </row>
    <row r="58" spans="1:27" ht="15" customHeight="1" x14ac:dyDescent="0.2">
      <c r="D58" s="2" t="s">
        <v>301</v>
      </c>
      <c r="F58" s="348">
        <v>4760</v>
      </c>
      <c r="M58" s="2"/>
      <c r="N58" s="2"/>
      <c r="O58" s="2"/>
      <c r="P58" s="2"/>
    </row>
    <row r="59" spans="1:27" ht="15" customHeight="1" x14ac:dyDescent="0.2">
      <c r="A59" s="41"/>
      <c r="B59" s="41" t="s">
        <v>45</v>
      </c>
      <c r="C59" s="42"/>
      <c r="D59" s="42"/>
      <c r="E59" s="42"/>
      <c r="F59" s="42"/>
      <c r="G59" s="42"/>
      <c r="H59" s="385"/>
      <c r="I59" s="42"/>
      <c r="J59" s="42"/>
      <c r="K59" s="42"/>
      <c r="L59" s="42"/>
      <c r="M59" s="42"/>
      <c r="N59" s="42"/>
      <c r="O59" s="42"/>
      <c r="P59" s="42"/>
      <c r="Q59" s="42"/>
      <c r="R59" s="42"/>
      <c r="S59" s="42"/>
      <c r="T59" s="42"/>
      <c r="U59" s="42"/>
      <c r="V59" s="42"/>
      <c r="W59" s="42"/>
      <c r="X59" s="42"/>
      <c r="Y59" s="42"/>
      <c r="Z59" s="42"/>
      <c r="AA59" s="42"/>
    </row>
    <row r="61" spans="1:27" ht="12.75" customHeight="1" x14ac:dyDescent="0.2"/>
    <row r="62" spans="1:27" ht="12.75" customHeight="1" x14ac:dyDescent="0.2"/>
    <row r="63" spans="1:27" ht="12.75" customHeight="1" x14ac:dyDescent="0.2"/>
    <row r="64" spans="1:27" ht="12.75" customHeight="1" x14ac:dyDescent="0.2"/>
    <row r="65" ht="12.75" customHeight="1" x14ac:dyDescent="0.2"/>
  </sheetData>
  <pageMargins left="0.7" right="0.7" top="0.75" bottom="0.75" header="0" footer="0"/>
  <pageSetup orientation="portrait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EC506E-D8DF-4FF4-B854-09B39F6FC084}">
  <sheetPr>
    <tabColor rgb="FF8496B0"/>
  </sheetPr>
  <dimension ref="A2:AA112"/>
  <sheetViews>
    <sheetView showGridLines="0" zoomScaleNormal="100" workbookViewId="0">
      <selection activeCell="H86" sqref="H86"/>
    </sheetView>
  </sheetViews>
  <sheetFormatPr baseColWidth="10" defaultColWidth="14.5" defaultRowHeight="15" customHeight="1" x14ac:dyDescent="0.2"/>
  <cols>
    <col min="1" max="2" width="2.6640625" customWidth="1"/>
    <col min="3" max="3" width="1.5" customWidth="1"/>
    <col min="4" max="4" width="3.5" customWidth="1"/>
    <col min="5" max="5" width="44.5" customWidth="1"/>
    <col min="6" max="25" width="11.1640625" customWidth="1"/>
    <col min="26" max="37" width="9.1640625" customWidth="1"/>
  </cols>
  <sheetData>
    <row r="2" spans="3:25" x14ac:dyDescent="0.2">
      <c r="C2" s="63" t="s">
        <v>56</v>
      </c>
      <c r="E2" s="2"/>
      <c r="F2" s="2"/>
      <c r="G2" s="2"/>
      <c r="H2" s="360" t="s">
        <v>86</v>
      </c>
      <c r="I2" s="360"/>
      <c r="J2" s="360"/>
      <c r="K2" s="360"/>
      <c r="L2" s="360"/>
      <c r="M2" s="360"/>
      <c r="N2" s="360"/>
      <c r="O2" s="360"/>
      <c r="P2" s="2"/>
      <c r="Q2" s="2"/>
      <c r="R2" s="2"/>
      <c r="S2" s="2"/>
      <c r="T2" s="2"/>
      <c r="U2" s="2"/>
      <c r="V2" s="2"/>
      <c r="W2" s="2"/>
      <c r="X2" s="2"/>
      <c r="Y2" s="2"/>
    </row>
    <row r="3" spans="3:25" ht="9" customHeight="1" x14ac:dyDescent="0.2"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</row>
    <row r="4" spans="3:25" x14ac:dyDescent="0.2">
      <c r="C4" s="3"/>
      <c r="D4" s="4" t="s">
        <v>87</v>
      </c>
      <c r="E4" s="3"/>
      <c r="F4" s="5" t="s">
        <v>88</v>
      </c>
      <c r="G4" s="5"/>
      <c r="H4" s="6">
        <f t="shared" ref="H4:M4" si="0">EOMONTH(I4,-12)</f>
        <v>43100</v>
      </c>
      <c r="I4" s="6">
        <f t="shared" si="0"/>
        <v>43465</v>
      </c>
      <c r="J4" s="6">
        <f t="shared" si="0"/>
        <v>43830</v>
      </c>
      <c r="K4" s="6">
        <f t="shared" si="0"/>
        <v>44196</v>
      </c>
      <c r="L4" s="6">
        <f t="shared" si="0"/>
        <v>44561</v>
      </c>
      <c r="M4" s="6">
        <f t="shared" si="0"/>
        <v>44926</v>
      </c>
      <c r="N4" s="6">
        <f>EOMONTH(O4,-12)</f>
        <v>45291</v>
      </c>
      <c r="O4" s="6">
        <f>EOMONTH('&gt;&gt; Inputs'!$G$17,0)</f>
        <v>45657</v>
      </c>
      <c r="P4" s="6">
        <f>EOMONTH(O4,12)</f>
        <v>46022</v>
      </c>
      <c r="Q4" s="6">
        <f t="shared" ref="Q4:Y4" si="1">EOMONTH(P4,12)</f>
        <v>46387</v>
      </c>
      <c r="R4" s="6">
        <f t="shared" si="1"/>
        <v>46752</v>
      </c>
      <c r="S4" s="6">
        <f t="shared" si="1"/>
        <v>47118</v>
      </c>
      <c r="T4" s="6">
        <f t="shared" si="1"/>
        <v>47483</v>
      </c>
      <c r="U4" s="6">
        <f t="shared" si="1"/>
        <v>47848</v>
      </c>
      <c r="V4" s="6">
        <f t="shared" si="1"/>
        <v>48213</v>
      </c>
      <c r="W4" s="6">
        <f t="shared" si="1"/>
        <v>48579</v>
      </c>
      <c r="X4" s="6">
        <f t="shared" si="1"/>
        <v>48944</v>
      </c>
      <c r="Y4" s="6">
        <f t="shared" si="1"/>
        <v>49309</v>
      </c>
    </row>
    <row r="5" spans="3:25" ht="12.75" customHeight="1" x14ac:dyDescent="0.2">
      <c r="C5" s="7"/>
      <c r="D5" s="7"/>
      <c r="E5" s="7" t="s">
        <v>89</v>
      </c>
      <c r="F5" s="8" t="s">
        <v>90</v>
      </c>
      <c r="G5" s="8"/>
      <c r="H5" s="11">
        <f t="shared" ref="H5:M5" si="2">I5-1</f>
        <v>-6</v>
      </c>
      <c r="I5" s="11">
        <f t="shared" si="2"/>
        <v>-5</v>
      </c>
      <c r="J5" s="11">
        <f t="shared" si="2"/>
        <v>-4</v>
      </c>
      <c r="K5" s="11">
        <f t="shared" si="2"/>
        <v>-3</v>
      </c>
      <c r="L5" s="11">
        <f t="shared" si="2"/>
        <v>-2</v>
      </c>
      <c r="M5" s="11">
        <f t="shared" si="2"/>
        <v>-1</v>
      </c>
      <c r="N5" s="11">
        <v>0</v>
      </c>
      <c r="O5" s="11">
        <v>0</v>
      </c>
      <c r="P5" s="11">
        <f t="shared" ref="P5:Y5" si="3">O5 + 1</f>
        <v>1</v>
      </c>
      <c r="Q5" s="11">
        <f t="shared" si="3"/>
        <v>2</v>
      </c>
      <c r="R5" s="11">
        <f t="shared" si="3"/>
        <v>3</v>
      </c>
      <c r="S5" s="11">
        <f t="shared" si="3"/>
        <v>4</v>
      </c>
      <c r="T5" s="11">
        <f t="shared" si="3"/>
        <v>5</v>
      </c>
      <c r="U5" s="11">
        <f t="shared" si="3"/>
        <v>6</v>
      </c>
      <c r="V5" s="11">
        <f t="shared" si="3"/>
        <v>7</v>
      </c>
      <c r="W5" s="11">
        <f t="shared" si="3"/>
        <v>8</v>
      </c>
      <c r="X5" s="11">
        <f t="shared" si="3"/>
        <v>9</v>
      </c>
      <c r="Y5" s="11">
        <f t="shared" si="3"/>
        <v>10</v>
      </c>
    </row>
    <row r="6" spans="3:25" ht="12.75" customHeight="1" x14ac:dyDescent="0.2">
      <c r="C6" s="7"/>
      <c r="D6" s="7"/>
      <c r="E6" s="7" t="s">
        <v>91</v>
      </c>
      <c r="F6" s="10" t="s">
        <v>92</v>
      </c>
      <c r="G6" s="10"/>
      <c r="H6" s="11">
        <v>0</v>
      </c>
      <c r="I6" s="11">
        <v>0</v>
      </c>
      <c r="J6" s="11">
        <v>0</v>
      </c>
      <c r="K6" s="11">
        <v>0.5</v>
      </c>
      <c r="L6" s="11">
        <f t="shared" ref="L6:Y6" si="4">K6 + 1</f>
        <v>1.5</v>
      </c>
      <c r="M6" s="11">
        <f t="shared" si="4"/>
        <v>2.5</v>
      </c>
      <c r="N6" s="11">
        <f t="shared" si="4"/>
        <v>3.5</v>
      </c>
      <c r="O6" s="11">
        <f t="shared" si="4"/>
        <v>4.5</v>
      </c>
      <c r="P6" s="11">
        <f t="shared" si="4"/>
        <v>5.5</v>
      </c>
      <c r="Q6" s="11">
        <f t="shared" si="4"/>
        <v>6.5</v>
      </c>
      <c r="R6" s="11">
        <f t="shared" si="4"/>
        <v>7.5</v>
      </c>
      <c r="S6" s="11">
        <f t="shared" si="4"/>
        <v>8.5</v>
      </c>
      <c r="T6" s="11">
        <f t="shared" si="4"/>
        <v>9.5</v>
      </c>
      <c r="U6" s="11">
        <f t="shared" si="4"/>
        <v>10.5</v>
      </c>
      <c r="V6" s="11">
        <f t="shared" si="4"/>
        <v>11.5</v>
      </c>
      <c r="W6" s="11">
        <f t="shared" si="4"/>
        <v>12.5</v>
      </c>
      <c r="X6" s="11">
        <f t="shared" si="4"/>
        <v>13.5</v>
      </c>
      <c r="Y6" s="11">
        <f t="shared" si="4"/>
        <v>14.5</v>
      </c>
    </row>
    <row r="7" spans="3:25" ht="12.75" customHeight="1" x14ac:dyDescent="0.2">
      <c r="C7" s="7"/>
      <c r="D7" s="7"/>
      <c r="E7" s="7" t="s">
        <v>93</v>
      </c>
      <c r="F7" s="10" t="s">
        <v>5</v>
      </c>
      <c r="G7" s="10"/>
      <c r="H7" s="12">
        <f>EOMONTH( H8, -12 ) + 1</f>
        <v>42370</v>
      </c>
      <c r="I7" s="59">
        <f t="shared" ref="I7:Y7" si="5">H8 + 1</f>
        <v>42736</v>
      </c>
      <c r="J7" s="59">
        <f t="shared" si="5"/>
        <v>43101</v>
      </c>
      <c r="K7" s="59">
        <f t="shared" si="5"/>
        <v>43466</v>
      </c>
      <c r="L7" s="59">
        <f t="shared" si="5"/>
        <v>43831</v>
      </c>
      <c r="M7" s="59">
        <f t="shared" si="5"/>
        <v>44197</v>
      </c>
      <c r="N7" s="59">
        <f t="shared" si="5"/>
        <v>44562</v>
      </c>
      <c r="O7" s="59">
        <f t="shared" si="5"/>
        <v>44927</v>
      </c>
      <c r="P7" s="59">
        <f t="shared" si="5"/>
        <v>45292</v>
      </c>
      <c r="Q7" s="59">
        <f t="shared" si="5"/>
        <v>45658</v>
      </c>
      <c r="R7" s="59">
        <f t="shared" si="5"/>
        <v>46023</v>
      </c>
      <c r="S7" s="59">
        <f t="shared" si="5"/>
        <v>46388</v>
      </c>
      <c r="T7" s="59">
        <f t="shared" si="5"/>
        <v>46753</v>
      </c>
      <c r="U7" s="59">
        <f t="shared" si="5"/>
        <v>47119</v>
      </c>
      <c r="V7" s="59">
        <f t="shared" si="5"/>
        <v>47484</v>
      </c>
      <c r="W7" s="59">
        <f t="shared" si="5"/>
        <v>47849</v>
      </c>
      <c r="X7" s="59">
        <f t="shared" si="5"/>
        <v>48214</v>
      </c>
      <c r="Y7" s="59">
        <f t="shared" si="5"/>
        <v>48580</v>
      </c>
    </row>
    <row r="8" spans="3:25" ht="12.75" customHeight="1" x14ac:dyDescent="0.2">
      <c r="C8" s="7"/>
      <c r="D8" s="7"/>
      <c r="E8" s="7" t="s">
        <v>94</v>
      </c>
      <c r="F8" s="10" t="s">
        <v>5</v>
      </c>
      <c r="G8" s="10"/>
      <c r="H8" s="12">
        <f>'&gt;&gt; Inputs'!G18</f>
        <v>42735</v>
      </c>
      <c r="I8" s="12">
        <f t="shared" ref="I8:Y8" si="6">EOMONTH( I7, 11 )</f>
        <v>43100</v>
      </c>
      <c r="J8" s="12">
        <f t="shared" si="6"/>
        <v>43465</v>
      </c>
      <c r="K8" s="12">
        <f t="shared" si="6"/>
        <v>43830</v>
      </c>
      <c r="L8" s="12">
        <f t="shared" si="6"/>
        <v>44196</v>
      </c>
      <c r="M8" s="12">
        <f t="shared" si="6"/>
        <v>44561</v>
      </c>
      <c r="N8" s="12">
        <f t="shared" si="6"/>
        <v>44926</v>
      </c>
      <c r="O8" s="12">
        <f t="shared" si="6"/>
        <v>45291</v>
      </c>
      <c r="P8" s="12">
        <f t="shared" si="6"/>
        <v>45657</v>
      </c>
      <c r="Q8" s="12">
        <f t="shared" si="6"/>
        <v>46022</v>
      </c>
      <c r="R8" s="12">
        <f t="shared" si="6"/>
        <v>46387</v>
      </c>
      <c r="S8" s="12">
        <f t="shared" si="6"/>
        <v>46752</v>
      </c>
      <c r="T8" s="12">
        <f t="shared" si="6"/>
        <v>47118</v>
      </c>
      <c r="U8" s="12">
        <f t="shared" si="6"/>
        <v>47483</v>
      </c>
      <c r="V8" s="12">
        <f t="shared" si="6"/>
        <v>47848</v>
      </c>
      <c r="W8" s="12">
        <f t="shared" si="6"/>
        <v>48213</v>
      </c>
      <c r="X8" s="12">
        <f t="shared" si="6"/>
        <v>48579</v>
      </c>
      <c r="Y8" s="12">
        <f t="shared" si="6"/>
        <v>48944</v>
      </c>
    </row>
    <row r="9" spans="3:25" ht="12.75" customHeight="1" x14ac:dyDescent="0.2">
      <c r="C9" s="7"/>
      <c r="D9" s="7"/>
      <c r="E9" s="7" t="s">
        <v>95</v>
      </c>
      <c r="F9" s="10" t="s">
        <v>10</v>
      </c>
      <c r="G9" s="10"/>
      <c r="H9" s="13" t="str">
        <f ca="1">IF( H8 &gt; '&gt;&gt; Inputs'!$G20, "Forecast", "Actual" )</f>
        <v>Actual</v>
      </c>
      <c r="I9" s="13" t="str">
        <f ca="1">IF( I8 &gt; '&gt;&gt; Inputs'!$G20, "Forecast", "Actual" )</f>
        <v>Actual</v>
      </c>
      <c r="J9" s="13" t="str">
        <f ca="1">IF( J8 &gt; '&gt;&gt; Inputs'!$G20, "Forecast", "Actual" )</f>
        <v>Actual</v>
      </c>
      <c r="K9" s="13" t="str">
        <f ca="1">IF( K8 &gt; '&gt;&gt; Inputs'!$G20, "Forecast", "Actual" )</f>
        <v>Actual</v>
      </c>
      <c r="L9" s="13" t="str">
        <f ca="1">IF( L8 &gt; '&gt;&gt; Inputs'!$G20, "Forecast", "Actual" )</f>
        <v>Actual</v>
      </c>
      <c r="M9" s="13" t="str">
        <f ca="1">IF( M8 &gt; '&gt;&gt; Inputs'!$G20, "Forecast", "Actual" )</f>
        <v>Actual</v>
      </c>
      <c r="N9" s="13" t="str">
        <f ca="1">IF( N8 &gt; '&gt;&gt; Inputs'!$G20, "Forecast", "Actual" )</f>
        <v>Actual</v>
      </c>
      <c r="O9" s="13" t="str">
        <f ca="1">IF( O8 &gt; '&gt;&gt; Inputs'!$G20, "Forecast", "Actual" )</f>
        <v>Actual</v>
      </c>
      <c r="P9" s="13" t="str">
        <f ca="1">IF( P8 &gt; '&gt;&gt; Inputs'!$G20, "Forecast", "Actual" )</f>
        <v>Actual</v>
      </c>
      <c r="Q9" s="13" t="str">
        <f ca="1">IF( Q8 &gt; '&gt;&gt; Inputs'!$G20, "Forecast", "Actual" )</f>
        <v>Forecast</v>
      </c>
      <c r="R9" s="13" t="str">
        <f ca="1">IF( R8 &gt; '&gt;&gt; Inputs'!$G20, "Forecast", "Actual" )</f>
        <v>Forecast</v>
      </c>
      <c r="S9" s="13" t="str">
        <f ca="1">IF( S8 &gt; '&gt;&gt; Inputs'!$G20, "Forecast", "Actual" )</f>
        <v>Forecast</v>
      </c>
      <c r="T9" s="13" t="str">
        <f ca="1">IF( T8 &gt; '&gt;&gt; Inputs'!$G20, "Forecast", "Actual" )</f>
        <v>Forecast</v>
      </c>
      <c r="U9" s="13" t="str">
        <f ca="1">IF( U8 &gt; '&gt;&gt; Inputs'!$G20, "Forecast", "Actual" )</f>
        <v>Forecast</v>
      </c>
      <c r="V9" s="13" t="str">
        <f ca="1">IF( V8 &gt; '&gt;&gt; Inputs'!$G20, "Forecast", "Actual" )</f>
        <v>Forecast</v>
      </c>
      <c r="W9" s="13" t="str">
        <f ca="1">IF( W8 &gt; '&gt;&gt; Inputs'!$G20, "Forecast", "Actual" )</f>
        <v>Forecast</v>
      </c>
      <c r="X9" s="13" t="str">
        <f ca="1">IF( X8 &gt; '&gt;&gt; Inputs'!$G20, "Forecast", "Actual" )</f>
        <v>Forecast</v>
      </c>
      <c r="Y9" s="13" t="str">
        <f ca="1">IF( Y8 &gt; '&gt;&gt; Inputs'!$G20, "Forecast", "Actual" )</f>
        <v>Forecast</v>
      </c>
    </row>
    <row r="10" spans="3:25" ht="15" customHeight="1" x14ac:dyDescent="0.2"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</row>
    <row r="11" spans="3:25" ht="15" customHeight="1" x14ac:dyDescent="0.2">
      <c r="C11" s="2"/>
      <c r="D11" s="2"/>
      <c r="E11" s="2" t="s">
        <v>96</v>
      </c>
      <c r="F11" s="24" t="s">
        <v>10</v>
      </c>
      <c r="G11" s="24"/>
      <c r="H11" s="50">
        <f>IF( AND( H5 &lt;= '&gt;&gt; Inputs'!$G41, H5 &gt;= 1 ), 1, 0 )</f>
        <v>0</v>
      </c>
      <c r="I11" s="50">
        <f>IF( AND( I5 &lt;= '&gt;&gt; Inputs'!$G41, I5 &gt;= 1 ), 1, 0 )</f>
        <v>0</v>
      </c>
      <c r="J11" s="50">
        <f>IF( AND( J5 &lt;= '&gt;&gt; Inputs'!$G41, J5 &gt;= 1 ), 1, 0 )</f>
        <v>0</v>
      </c>
      <c r="K11" s="50">
        <f>IF( AND( K5 &lt;= '&gt;&gt; Inputs'!$G41, K5 &gt;= 1 ), 1, 0 )</f>
        <v>0</v>
      </c>
      <c r="L11" s="50">
        <f>IF( AND( L5 &lt;= '&gt;&gt; Inputs'!$G41, L5 &gt;= 1 ), 1, 0 )</f>
        <v>0</v>
      </c>
      <c r="M11" s="50">
        <f>IF( AND( M5 &lt;= '&gt;&gt; Inputs'!$G41, M5 &gt;= 1 ), 1, 0 )</f>
        <v>0</v>
      </c>
      <c r="N11" s="60">
        <f>IF( AND( N5 &lt;= '&gt;&gt; Inputs'!$G41, N5 &gt;= 1 ), 1, 0 )</f>
        <v>0</v>
      </c>
      <c r="O11" s="60">
        <f>IF( AND( O5 &lt;= '&gt;&gt; Inputs'!$G41, O5 &gt;= 1 ), 1, 0 )</f>
        <v>0</v>
      </c>
      <c r="P11" s="60">
        <f>IF( AND( P5 &lt;= '&gt;&gt; Inputs'!$G41, P5 &gt;= 1 ), 1, 0 )</f>
        <v>1</v>
      </c>
      <c r="Q11" s="60">
        <f>IF( AND( Q5 &lt;= '&gt;&gt; Inputs'!$G41, Q5 &gt;= 1 ), 1, 0 )</f>
        <v>1</v>
      </c>
      <c r="R11" s="60">
        <f>IF( AND( R5 &lt;= '&gt;&gt; Inputs'!$G41, R5 &gt;= 1 ), 1, 0 )</f>
        <v>1</v>
      </c>
      <c r="S11" s="60">
        <f>IF( AND( S5 &lt;= '&gt;&gt; Inputs'!$G41, S5 &gt;= 1 ), 1, 0 )</f>
        <v>1</v>
      </c>
      <c r="T11" s="60">
        <f>IF( AND( T5 &lt;= '&gt;&gt; Inputs'!$G41, T5 &gt;= 1 ), 1, 0 )</f>
        <v>1</v>
      </c>
      <c r="U11" s="60">
        <f>IF( AND( U5 &lt;= '&gt;&gt; Inputs'!$G41, U5 &gt;= 1 ), 1, 0 )</f>
        <v>1</v>
      </c>
      <c r="V11" s="60">
        <f>IF( AND( V5 &lt;= '&gt;&gt; Inputs'!$G41, V5 &gt;= 1 ), 1, 0 )</f>
        <v>1</v>
      </c>
      <c r="W11" s="60">
        <f>IF( AND( W5 &lt;= '&gt;&gt; Inputs'!$G41, W5 &gt;= 1 ), 1, 0 )</f>
        <v>1</v>
      </c>
      <c r="X11" s="60">
        <f>IF( AND( X5 &lt;= '&gt;&gt; Inputs'!$G41, X5 &gt;= 1 ), 1, 0 )</f>
        <v>1</v>
      </c>
      <c r="Y11" s="60">
        <f>IF( AND( Y5 &lt;= '&gt;&gt; Inputs'!$G41, Y5 &gt;= 1 ), 1, 0 )</f>
        <v>1</v>
      </c>
    </row>
    <row r="12" spans="3:25" ht="15" customHeight="1" x14ac:dyDescent="0.2">
      <c r="C12" s="2"/>
      <c r="D12" s="2"/>
      <c r="E12" s="2" t="s">
        <v>97</v>
      </c>
      <c r="F12" s="24" t="s">
        <v>10</v>
      </c>
      <c r="G12" s="24"/>
      <c r="H12" s="50">
        <f>IF( H5 = '&gt;&gt; Inputs'!$G41, 1, 0 )</f>
        <v>0</v>
      </c>
      <c r="I12" s="50">
        <f>IF( I5 = '&gt;&gt; Inputs'!$G41, 1, 0 )</f>
        <v>0</v>
      </c>
      <c r="J12" s="50">
        <f>IF( J5 = '&gt;&gt; Inputs'!$G41, 1, 0 )</f>
        <v>0</v>
      </c>
      <c r="K12" s="50">
        <f>IF( K5 = '&gt;&gt; Inputs'!$G41, 1, 0 )</f>
        <v>0</v>
      </c>
      <c r="L12" s="50">
        <f>IF( L5 = '&gt;&gt; Inputs'!$G41, 1, 0 )</f>
        <v>0</v>
      </c>
      <c r="M12" s="50">
        <f>IF( M5 = '&gt;&gt; Inputs'!$G41, 1, 0 )</f>
        <v>0</v>
      </c>
      <c r="N12" s="50">
        <f>IF( N5 = '&gt;&gt; Inputs'!$G41, 1, 0 )</f>
        <v>0</v>
      </c>
      <c r="O12" s="50">
        <f>IF( O5 = '&gt;&gt; Inputs'!$G41, 1, 0 )</f>
        <v>0</v>
      </c>
      <c r="P12" s="50">
        <f>IF( P5 = '&gt;&gt; Inputs'!$G41, 1, 0 )</f>
        <v>0</v>
      </c>
      <c r="Q12" s="50">
        <f>IF( Q5 = '&gt;&gt; Inputs'!$G41, 1, 0 )</f>
        <v>0</v>
      </c>
      <c r="R12" s="50">
        <f>IF( R5 = '&gt;&gt; Inputs'!$G41, 1, 0 )</f>
        <v>0</v>
      </c>
      <c r="S12" s="50">
        <f>IF( S5 = '&gt;&gt; Inputs'!$G41, 1, 0 )</f>
        <v>0</v>
      </c>
      <c r="T12" s="50">
        <f>IF( T5 = '&gt;&gt; Inputs'!$G41, 1, 0 )</f>
        <v>0</v>
      </c>
      <c r="U12" s="50">
        <f>IF( U5 = '&gt;&gt; Inputs'!$G41, 1, 0 )</f>
        <v>0</v>
      </c>
      <c r="V12" s="50">
        <f>IF( V5 = '&gt;&gt; Inputs'!$G41, 1, 0 )</f>
        <v>0</v>
      </c>
      <c r="W12" s="50">
        <f>IF( W5 = '&gt;&gt; Inputs'!$G41, 1, 0 )</f>
        <v>0</v>
      </c>
      <c r="X12" s="50">
        <f>IF( X5 = '&gt;&gt; Inputs'!$G41, 1, 0 )</f>
        <v>0</v>
      </c>
      <c r="Y12" s="50">
        <f>IF( Y5 = '&gt;&gt; Inputs'!$G41, 1, 0 )</f>
        <v>1</v>
      </c>
    </row>
    <row r="13" spans="3:25" ht="15" customHeight="1" x14ac:dyDescent="0.2">
      <c r="C13" s="2"/>
      <c r="D13" s="2"/>
      <c r="E13" s="15"/>
      <c r="F13" s="29"/>
      <c r="G13" s="29"/>
      <c r="H13" s="15"/>
      <c r="I13" s="15"/>
      <c r="J13" s="15"/>
      <c r="K13" s="62"/>
      <c r="L13" s="62"/>
      <c r="M13" s="62"/>
      <c r="N13" s="62"/>
      <c r="O13" s="62"/>
      <c r="P13" s="62"/>
      <c r="Q13" s="62"/>
      <c r="R13" s="62"/>
      <c r="S13" s="62"/>
      <c r="T13" s="62"/>
      <c r="U13" s="62"/>
      <c r="V13" s="62"/>
      <c r="W13" s="62"/>
      <c r="X13" s="62"/>
      <c r="Y13" s="62"/>
    </row>
    <row r="14" spans="3:25" ht="15" customHeight="1" x14ac:dyDescent="0.2">
      <c r="C14" s="63" t="s">
        <v>98</v>
      </c>
      <c r="D14" s="2"/>
      <c r="E14" s="2"/>
      <c r="F14" s="24"/>
      <c r="G14" s="24"/>
      <c r="H14" s="64"/>
      <c r="I14" s="2"/>
      <c r="J14" s="2"/>
      <c r="K14" s="61"/>
      <c r="L14" s="61"/>
      <c r="M14" s="61"/>
      <c r="N14" s="61"/>
      <c r="O14" s="61"/>
      <c r="P14" s="61"/>
      <c r="Q14" s="61"/>
      <c r="R14" s="61"/>
      <c r="S14" s="61"/>
      <c r="T14" s="61"/>
      <c r="U14" s="61"/>
      <c r="V14" s="61"/>
      <c r="W14" s="61"/>
      <c r="X14" s="61"/>
      <c r="Y14" s="61"/>
    </row>
    <row r="16" spans="3:25" ht="15" customHeight="1" x14ac:dyDescent="0.2">
      <c r="D16" s="2"/>
      <c r="E16" s="2" t="s">
        <v>99</v>
      </c>
      <c r="F16" s="24" t="s">
        <v>25</v>
      </c>
      <c r="G16" s="24"/>
      <c r="H16" s="27"/>
      <c r="I16" s="27">
        <f>'&gt;&gt; Fin Stmts'!I13</f>
        <v>4819.6400000000003</v>
      </c>
      <c r="J16" s="27">
        <f>'&gt;&gt; Fin Stmts'!J13</f>
        <v>4493.4760000000006</v>
      </c>
      <c r="K16" s="27">
        <f>'&gt;&gt; Fin Stmts'!K13</f>
        <v>2352.1480000000001</v>
      </c>
      <c r="L16" s="27">
        <f>'&gt;&gt; Fin Stmts'!L13</f>
        <v>3488.77</v>
      </c>
      <c r="M16" s="27">
        <f>'&gt;&gt; Fin Stmts'!M13</f>
        <v>3788.5360000000001</v>
      </c>
      <c r="N16" s="27">
        <f>'&gt;&gt; Fin Stmts'!N13</f>
        <v>2890.99</v>
      </c>
      <c r="O16" s="27">
        <f>'&gt;&gt; Fin Stmts'!O13</f>
        <v>4617.9400000000005</v>
      </c>
      <c r="P16" s="27">
        <f ca="1">'&gt;&gt; Fin Stmts'!P13</f>
        <v>4708.2743327019325</v>
      </c>
      <c r="Q16" s="27">
        <f ca="1">'&gt;&gt; Fin Stmts'!Q13</f>
        <v>4825.2156014756165</v>
      </c>
      <c r="R16" s="27">
        <f ca="1">'&gt;&gt; Fin Stmts'!R13</f>
        <v>4937.7437768013033</v>
      </c>
      <c r="S16" s="27">
        <f ca="1">'&gt;&gt; Fin Stmts'!S13</f>
        <v>5039.7410711213333</v>
      </c>
      <c r="T16" s="27">
        <f ca="1">'&gt;&gt; Fin Stmts'!T13</f>
        <v>5155.7394928401109</v>
      </c>
      <c r="U16" s="27">
        <f ca="1">'&gt;&gt; Fin Stmts'!U13</f>
        <v>5286.6576359344244</v>
      </c>
      <c r="V16" s="27">
        <f ca="1">'&gt;&gt; Fin Stmts'!V13</f>
        <v>5428.1500346873509</v>
      </c>
      <c r="W16" s="27">
        <f ca="1">'&gt;&gt; Fin Stmts'!W13</f>
        <v>5564.6104759983891</v>
      </c>
      <c r="X16" s="27">
        <f ca="1">'&gt;&gt; Fin Stmts'!X13</f>
        <v>5710.9602148803642</v>
      </c>
      <c r="Y16" s="27">
        <f ca="1">'&gt;&gt; Fin Stmts'!Y13</f>
        <v>5864.976911926522</v>
      </c>
    </row>
    <row r="17" spans="4:25" ht="15" customHeight="1" x14ac:dyDescent="0.2">
      <c r="D17" s="2" t="s">
        <v>60</v>
      </c>
      <c r="E17" s="2" t="s">
        <v>100</v>
      </c>
      <c r="F17" s="24" t="s">
        <v>25</v>
      </c>
      <c r="G17" s="24"/>
      <c r="H17" s="27"/>
      <c r="I17" s="27">
        <f>'&gt;&gt; Fin Stmts'!I14</f>
        <v>80.430000000000007</v>
      </c>
      <c r="J17" s="27">
        <f>'&gt;&gt; Fin Stmts'!J14</f>
        <v>85.8</v>
      </c>
      <c r="K17" s="27">
        <f>'&gt;&gt; Fin Stmts'!K14</f>
        <v>106.79</v>
      </c>
      <c r="L17" s="27">
        <f>'&gt;&gt; Fin Stmts'!L14</f>
        <v>117.66</v>
      </c>
      <c r="M17" s="27">
        <f>'&gt;&gt; Fin Stmts'!M14</f>
        <v>116.75</v>
      </c>
      <c r="N17" s="27">
        <f>'&gt;&gt; Fin Stmts'!N14</f>
        <v>128.08000000000001</v>
      </c>
      <c r="O17" s="27">
        <f>'&gt;&gt; Fin Stmts'!O14</f>
        <v>139.38999999999999</v>
      </c>
      <c r="P17" s="27">
        <f ca="1">'&gt;&gt; Fin Stmts'!P14</f>
        <v>-3590.4321940916675</v>
      </c>
      <c r="Q17" s="27">
        <f ca="1">'&gt;&gt; Fin Stmts'!Q14</f>
        <v>-3854.3732322256574</v>
      </c>
      <c r="R17" s="27">
        <f ca="1">'&gt;&gt; Fin Stmts'!R14</f>
        <v>-3965.0788224010544</v>
      </c>
      <c r="S17" s="27">
        <f ca="1">'&gt;&gt; Fin Stmts'!S14</f>
        <v>-4063.9140584797105</v>
      </c>
      <c r="T17" s="27">
        <f ca="1">'&gt;&gt; Fin Stmts'!T14</f>
        <v>-4175.9879533521098</v>
      </c>
      <c r="U17" s="27">
        <f ca="1">'&gt;&gt; Fin Stmts'!U14</f>
        <v>-4306.3979430524951</v>
      </c>
      <c r="V17" s="27">
        <f ca="1">'&gt;&gt; Fin Stmts'!V14</f>
        <v>-4442.2477924896739</v>
      </c>
      <c r="W17" s="27">
        <f ca="1">'&gt;&gt; Fin Stmts'!W14</f>
        <v>-4572.2975122102498</v>
      </c>
      <c r="X17" s="27">
        <f ca="1">'&gt;&gt; Fin Stmts'!X14</f>
        <v>-4712.4986248791274</v>
      </c>
      <c r="Y17" s="27">
        <f ca="1">'&gt;&gt; Fin Stmts'!Y14</f>
        <v>-4862.0448236117818</v>
      </c>
    </row>
    <row r="18" spans="4:25" ht="15" customHeight="1" x14ac:dyDescent="0.2">
      <c r="D18" s="2"/>
      <c r="E18" s="65" t="s">
        <v>84</v>
      </c>
      <c r="F18" s="29" t="s">
        <v>25</v>
      </c>
      <c r="G18" s="29"/>
      <c r="H18" s="66"/>
      <c r="I18" s="66">
        <f>SUM(I16:I17)</f>
        <v>4900.0700000000006</v>
      </c>
      <c r="J18" s="66">
        <f t="shared" ref="J18:Y18" si="7">SUM(J16:J17)</f>
        <v>4579.2760000000007</v>
      </c>
      <c r="K18" s="66">
        <f t="shared" si="7"/>
        <v>2458.9380000000001</v>
      </c>
      <c r="L18" s="66">
        <f t="shared" si="7"/>
        <v>3606.43</v>
      </c>
      <c r="M18" s="66">
        <f t="shared" si="7"/>
        <v>3905.2860000000001</v>
      </c>
      <c r="N18" s="66">
        <f t="shared" si="7"/>
        <v>3019.0699999999997</v>
      </c>
      <c r="O18" s="66">
        <f t="shared" si="7"/>
        <v>4757.3300000000008</v>
      </c>
      <c r="P18" s="66">
        <f t="shared" ca="1" si="7"/>
        <v>1117.842138610265</v>
      </c>
      <c r="Q18" s="66">
        <f t="shared" ca="1" si="7"/>
        <v>970.84236924995912</v>
      </c>
      <c r="R18" s="66">
        <f t="shared" ca="1" si="7"/>
        <v>972.66495440024892</v>
      </c>
      <c r="S18" s="66">
        <f t="shared" ca="1" si="7"/>
        <v>975.82701264162279</v>
      </c>
      <c r="T18" s="66">
        <f t="shared" ca="1" si="7"/>
        <v>979.75153948800107</v>
      </c>
      <c r="U18" s="66">
        <f t="shared" ca="1" si="7"/>
        <v>980.25969288192937</v>
      </c>
      <c r="V18" s="66">
        <f t="shared" ca="1" si="7"/>
        <v>985.90224219767697</v>
      </c>
      <c r="W18" s="66">
        <f t="shared" ca="1" si="7"/>
        <v>992.31296378813931</v>
      </c>
      <c r="X18" s="66">
        <f t="shared" ca="1" si="7"/>
        <v>998.4615900012368</v>
      </c>
      <c r="Y18" s="66">
        <f t="shared" ca="1" si="7"/>
        <v>1002.9320883147402</v>
      </c>
    </row>
    <row r="19" spans="4:25" ht="15" customHeight="1" x14ac:dyDescent="0.2">
      <c r="D19" s="2"/>
      <c r="E19" s="1"/>
      <c r="F19" s="24"/>
      <c r="G19" s="24"/>
      <c r="H19" s="16"/>
      <c r="I19" s="27"/>
      <c r="J19" s="27"/>
      <c r="K19" s="33"/>
      <c r="L19" s="33"/>
      <c r="M19" s="33"/>
      <c r="N19" s="33"/>
      <c r="O19" s="33"/>
      <c r="P19" s="33"/>
      <c r="Q19" s="33"/>
      <c r="R19" s="33"/>
      <c r="S19" s="33"/>
      <c r="T19" s="33"/>
      <c r="U19" s="33"/>
      <c r="V19" s="33"/>
      <c r="W19" s="33"/>
      <c r="X19" s="33"/>
      <c r="Y19" s="33"/>
    </row>
    <row r="20" spans="4:25" ht="15" customHeight="1" x14ac:dyDescent="0.2">
      <c r="D20" s="24" t="s">
        <v>60</v>
      </c>
      <c r="E20" s="2" t="s">
        <v>260</v>
      </c>
      <c r="F20" s="24" t="s">
        <v>25</v>
      </c>
      <c r="G20" s="24"/>
      <c r="H20" s="33"/>
      <c r="I20" s="33">
        <f>'&gt;&gt; Segments'!I57</f>
        <v>8.41</v>
      </c>
      <c r="J20" s="33">
        <f>'&gt;&gt; Segments'!J57</f>
        <v>9.120000000000001</v>
      </c>
      <c r="K20" s="33">
        <f>'&gt;&gt; Segments'!K57</f>
        <v>12.8</v>
      </c>
      <c r="L20" s="33">
        <f>'&gt;&gt; Segments'!L57</f>
        <v>17.420000000000002</v>
      </c>
      <c r="M20" s="33">
        <f>'&gt;&gt; Segments'!M57</f>
        <v>13.79</v>
      </c>
      <c r="N20" s="33">
        <f>'&gt;&gt; Segments'!N57</f>
        <v>13.58</v>
      </c>
      <c r="O20" s="33">
        <f>'&gt;&gt; Segments'!O57</f>
        <v>14.48</v>
      </c>
      <c r="P20" s="33">
        <f>'&gt;&gt; Segments'!P57</f>
        <v>12.083750000000002</v>
      </c>
      <c r="Q20" s="33">
        <f>'&gt;&gt; Segments'!Q57</f>
        <v>13.281875000000001</v>
      </c>
      <c r="R20" s="33">
        <f>'&gt;&gt; Segments'!R57</f>
        <v>13.945968750000002</v>
      </c>
      <c r="S20" s="33">
        <f>'&gt;&gt; Segments'!S57</f>
        <v>14.643267187500003</v>
      </c>
      <c r="T20" s="33">
        <f>'&gt;&gt; Segments'!T57</f>
        <v>15.375430546875004</v>
      </c>
      <c r="U20" s="33">
        <f>'&gt;&gt; Segments'!U57</f>
        <v>16.144202074218754</v>
      </c>
      <c r="V20" s="33">
        <f>'&gt;&gt; Segments'!V57</f>
        <v>16.951412177929694</v>
      </c>
      <c r="W20" s="33">
        <f>'&gt;&gt; Segments'!W57</f>
        <v>17.79898278682618</v>
      </c>
      <c r="X20" s="33">
        <f>'&gt;&gt; Segments'!X57</f>
        <v>18.688931926167491</v>
      </c>
      <c r="Y20" s="33">
        <f>'&gt;&gt; Segments'!Y57</f>
        <v>19.623378522475868</v>
      </c>
    </row>
    <row r="21" spans="4:25" ht="15" customHeight="1" x14ac:dyDescent="0.2">
      <c r="D21" s="24" t="s">
        <v>62</v>
      </c>
      <c r="E21" s="65" t="s">
        <v>101</v>
      </c>
      <c r="F21" s="29" t="s">
        <v>25</v>
      </c>
      <c r="G21" s="29"/>
      <c r="H21" s="67"/>
      <c r="I21" s="67">
        <f>I18 - I20</f>
        <v>4891.6600000000008</v>
      </c>
      <c r="J21" s="67">
        <f t="shared" ref="J21:Y21" si="8">J18 - J20</f>
        <v>4570.1560000000009</v>
      </c>
      <c r="K21" s="67">
        <f t="shared" si="8"/>
        <v>2446.1379999999999</v>
      </c>
      <c r="L21" s="67">
        <f t="shared" si="8"/>
        <v>3589.0099999999998</v>
      </c>
      <c r="M21" s="67">
        <f t="shared" si="8"/>
        <v>3891.4960000000001</v>
      </c>
      <c r="N21" s="67">
        <f t="shared" si="8"/>
        <v>3005.49</v>
      </c>
      <c r="O21" s="67">
        <f t="shared" si="8"/>
        <v>4742.8500000000013</v>
      </c>
      <c r="P21" s="67">
        <f t="shared" ca="1" si="8"/>
        <v>1105.758388610265</v>
      </c>
      <c r="Q21" s="67">
        <f t="shared" ca="1" si="8"/>
        <v>957.56049424995911</v>
      </c>
      <c r="R21" s="67">
        <f t="shared" ca="1" si="8"/>
        <v>958.7189856502489</v>
      </c>
      <c r="S21" s="67">
        <f t="shared" ca="1" si="8"/>
        <v>961.1837454541228</v>
      </c>
      <c r="T21" s="67">
        <f t="shared" ca="1" si="8"/>
        <v>964.37610894112606</v>
      </c>
      <c r="U21" s="67">
        <f t="shared" ca="1" si="8"/>
        <v>964.11549080771056</v>
      </c>
      <c r="V21" s="67">
        <f t="shared" ca="1" si="8"/>
        <v>968.95083001974729</v>
      </c>
      <c r="W21" s="67">
        <f t="shared" ca="1" si="8"/>
        <v>974.51398100131314</v>
      </c>
      <c r="X21" s="67">
        <f t="shared" ca="1" si="8"/>
        <v>979.77265807506933</v>
      </c>
      <c r="Y21" s="67">
        <f t="shared" ca="1" si="8"/>
        <v>983.30870979226438</v>
      </c>
    </row>
    <row r="22" spans="4:25" ht="15" customHeight="1" x14ac:dyDescent="0.2">
      <c r="D22" s="24" t="s">
        <v>60</v>
      </c>
      <c r="E22" s="2" t="s">
        <v>102</v>
      </c>
      <c r="F22" s="24" t="s">
        <v>25</v>
      </c>
      <c r="G22" s="24"/>
      <c r="H22" s="33"/>
      <c r="I22" s="33">
        <f>0 - ( '&gt;&gt; Inputs'!$G$46 * I21 )</f>
        <v>-1369.6648000000002</v>
      </c>
      <c r="J22" s="33">
        <f>0 - ( '&gt;&gt; Inputs'!$G$46 * J21 )</f>
        <v>-1279.6436800000004</v>
      </c>
      <c r="K22" s="33">
        <f>0 - ( '&gt;&gt; Inputs'!$G$46 * K21 )</f>
        <v>-684.9186400000001</v>
      </c>
      <c r="L22" s="33">
        <f>0 - ( '&gt;&gt; Inputs'!$G$46 * L21 )</f>
        <v>-1004.9228000000001</v>
      </c>
      <c r="M22" s="33">
        <f>0 - ( '&gt;&gt; Inputs'!$G$46 * M21 )</f>
        <v>-1089.6188800000002</v>
      </c>
      <c r="N22" s="33">
        <f>0 - ( '&gt;&gt; Inputs'!$G$46 * N21 )</f>
        <v>-841.53719999999998</v>
      </c>
      <c r="O22" s="33">
        <f>0 - ( '&gt;&gt; Inputs'!$G$46 * O21 )</f>
        <v>-1327.9980000000005</v>
      </c>
      <c r="P22" s="33">
        <f ca="1">0 - ( '&gt;&gt; Inputs'!$G$46 * P21 )</f>
        <v>-309.61234881087421</v>
      </c>
      <c r="Q22" s="33">
        <f ca="1">0 - ( '&gt;&gt; Inputs'!$G$46 * Q21 )</f>
        <v>-268.11693838998855</v>
      </c>
      <c r="R22" s="33">
        <f ca="1">0 - ( '&gt;&gt; Inputs'!$G$46 * R21 )</f>
        <v>-268.44131598206974</v>
      </c>
      <c r="S22" s="33">
        <f ca="1">0 - ( '&gt;&gt; Inputs'!$G$46 * S21 )</f>
        <v>-269.13144872715441</v>
      </c>
      <c r="T22" s="33">
        <f ca="1">0 - ( '&gt;&gt; Inputs'!$G$46 * T21 )</f>
        <v>-270.0253105035153</v>
      </c>
      <c r="U22" s="33">
        <f ca="1">0 - ( '&gt;&gt; Inputs'!$G$46 * U21 )</f>
        <v>-269.95233742615898</v>
      </c>
      <c r="V22" s="33">
        <f ca="1">0 - ( '&gt;&gt; Inputs'!$G$46 * V21 )</f>
        <v>-271.30623240552927</v>
      </c>
      <c r="W22" s="33">
        <f ca="1">0 - ( '&gt;&gt; Inputs'!$G$46 * W21 )</f>
        <v>-272.86391468036771</v>
      </c>
      <c r="X22" s="33">
        <f ca="1">0 - ( '&gt;&gt; Inputs'!$G$46 * X21 )</f>
        <v>-274.33634426101946</v>
      </c>
      <c r="Y22" s="33">
        <f ca="1">0 - ( '&gt;&gt; Inputs'!$G$46 * Y21 )</f>
        <v>-275.32643874183407</v>
      </c>
    </row>
    <row r="23" spans="4:25" ht="15" customHeight="1" x14ac:dyDescent="0.2">
      <c r="D23" s="54" t="s">
        <v>62</v>
      </c>
      <c r="E23" s="65" t="s">
        <v>103</v>
      </c>
      <c r="F23" s="29" t="s">
        <v>25</v>
      </c>
      <c r="G23" s="29"/>
      <c r="H23" s="67"/>
      <c r="I23" s="67">
        <f>SUM(I21:I22)</f>
        <v>3521.9952000000003</v>
      </c>
      <c r="J23" s="67">
        <f t="shared" ref="J23:Y23" si="9">SUM(J21:J22)</f>
        <v>3290.5123200000007</v>
      </c>
      <c r="K23" s="67">
        <f t="shared" si="9"/>
        <v>1761.2193599999998</v>
      </c>
      <c r="L23" s="67">
        <f t="shared" si="9"/>
        <v>2584.0871999999999</v>
      </c>
      <c r="M23" s="67">
        <f t="shared" si="9"/>
        <v>2801.8771200000001</v>
      </c>
      <c r="N23" s="67">
        <f t="shared" si="9"/>
        <v>2163.9528</v>
      </c>
      <c r="O23" s="67">
        <f t="shared" si="9"/>
        <v>3414.8520000000008</v>
      </c>
      <c r="P23" s="67">
        <f t="shared" ca="1" si="9"/>
        <v>796.14603979939079</v>
      </c>
      <c r="Q23" s="67">
        <f t="shared" ca="1" si="9"/>
        <v>689.4435558599705</v>
      </c>
      <c r="R23" s="67">
        <f t="shared" ca="1" si="9"/>
        <v>690.27766966817921</v>
      </c>
      <c r="S23" s="67">
        <f t="shared" ca="1" si="9"/>
        <v>692.05229672696839</v>
      </c>
      <c r="T23" s="67">
        <f t="shared" ca="1" si="9"/>
        <v>694.35079843761082</v>
      </c>
      <c r="U23" s="67">
        <f t="shared" ca="1" si="9"/>
        <v>694.16315338155164</v>
      </c>
      <c r="V23" s="67">
        <f t="shared" ca="1" si="9"/>
        <v>697.64459761421801</v>
      </c>
      <c r="W23" s="67">
        <f t="shared" ca="1" si="9"/>
        <v>701.65006632094537</v>
      </c>
      <c r="X23" s="67">
        <f t="shared" ca="1" si="9"/>
        <v>705.43631381404987</v>
      </c>
      <c r="Y23" s="67">
        <f t="shared" ca="1" si="9"/>
        <v>707.98227105043031</v>
      </c>
    </row>
    <row r="25" spans="4:25" ht="15" customHeight="1" x14ac:dyDescent="0.2">
      <c r="D25" s="2" t="s">
        <v>58</v>
      </c>
      <c r="E25" s="2" t="s">
        <v>210</v>
      </c>
      <c r="F25" s="24" t="s">
        <v>25</v>
      </c>
      <c r="G25" s="24"/>
      <c r="H25" s="33"/>
      <c r="I25" s="33">
        <f t="shared" ref="I25:Y25" si="10" xml:space="preserve"> I20</f>
        <v>8.41</v>
      </c>
      <c r="J25" s="33">
        <f t="shared" si="10"/>
        <v>9.120000000000001</v>
      </c>
      <c r="K25" s="33">
        <f t="shared" si="10"/>
        <v>12.8</v>
      </c>
      <c r="L25" s="33">
        <f t="shared" si="10"/>
        <v>17.420000000000002</v>
      </c>
      <c r="M25" s="33">
        <f t="shared" si="10"/>
        <v>13.79</v>
      </c>
      <c r="N25" s="33">
        <f t="shared" si="10"/>
        <v>13.58</v>
      </c>
      <c r="O25" s="33">
        <f t="shared" si="10"/>
        <v>14.48</v>
      </c>
      <c r="P25" s="33">
        <f t="shared" si="10"/>
        <v>12.083750000000002</v>
      </c>
      <c r="Q25" s="33">
        <f t="shared" si="10"/>
        <v>13.281875000000001</v>
      </c>
      <c r="R25" s="33">
        <f t="shared" si="10"/>
        <v>13.945968750000002</v>
      </c>
      <c r="S25" s="33">
        <f t="shared" si="10"/>
        <v>14.643267187500003</v>
      </c>
      <c r="T25" s="33">
        <f t="shared" si="10"/>
        <v>15.375430546875004</v>
      </c>
      <c r="U25" s="33">
        <f t="shared" si="10"/>
        <v>16.144202074218754</v>
      </c>
      <c r="V25" s="33">
        <f t="shared" si="10"/>
        <v>16.951412177929694</v>
      </c>
      <c r="W25" s="33">
        <f t="shared" si="10"/>
        <v>17.79898278682618</v>
      </c>
      <c r="X25" s="33">
        <f t="shared" si="10"/>
        <v>18.688931926167491</v>
      </c>
      <c r="Y25" s="33">
        <f t="shared" si="10"/>
        <v>19.623378522475868</v>
      </c>
    </row>
    <row r="26" spans="4:25" ht="15" customHeight="1" x14ac:dyDescent="0.2">
      <c r="D26" s="19" t="s">
        <v>60</v>
      </c>
      <c r="E26" s="2" t="s">
        <v>104</v>
      </c>
      <c r="F26" s="24" t="s">
        <v>25</v>
      </c>
      <c r="G26" s="24"/>
      <c r="H26" s="27"/>
      <c r="I26" s="27">
        <f>-'&gt;&gt; Fin Stmts'!I75</f>
        <v>-2871.5570000000007</v>
      </c>
      <c r="J26" s="27">
        <f>-'&gt;&gt; Fin Stmts'!J75</f>
        <v>835.6339999999982</v>
      </c>
      <c r="K26" s="27">
        <f>-'&gt;&gt; Fin Stmts'!K75</f>
        <v>12819.185000000005</v>
      </c>
      <c r="L26" s="27">
        <f>-'&gt;&gt; Fin Stmts'!L75</f>
        <v>-14344.169000000002</v>
      </c>
      <c r="M26" s="27">
        <f>-'&gt;&gt; Fin Stmts'!M75</f>
        <v>44287.587</v>
      </c>
      <c r="N26" s="27">
        <f>-'&gt;&gt; Fin Stmts'!N75</f>
        <v>-7909.8700000000026</v>
      </c>
      <c r="O26" s="27">
        <f>-'&gt;&gt; Fin Stmts'!O75</f>
        <v>-20978.716</v>
      </c>
      <c r="P26" s="27">
        <f>-'&gt;&gt; Fin Stmts'!P75</f>
        <v>266.30070714605245</v>
      </c>
      <c r="Q26" s="27">
        <f>-'&gt;&gt; Fin Stmts'!Q75</f>
        <v>2.3486694241219084</v>
      </c>
      <c r="R26" s="27">
        <f>-'&gt;&gt; Fin Stmts'!R75</f>
        <v>2.3684202279910096</v>
      </c>
      <c r="S26" s="27">
        <f>-'&gt;&gt; Fin Stmts'!S75</f>
        <v>2.3883369341710932</v>
      </c>
      <c r="T26" s="27">
        <f>-'&gt;&gt; Fin Stmts'!T75</f>
        <v>-3.1284506694646552E-2</v>
      </c>
      <c r="U26" s="27">
        <f>-'&gt;&gt; Fin Stmts'!U75</f>
        <v>0.92729525984759675</v>
      </c>
      <c r="V26" s="27">
        <f>-'&gt;&gt; Fin Stmts'!V75</f>
        <v>1.8919859603556688</v>
      </c>
      <c r="W26" s="27">
        <f>-'&gt;&gt; Fin Stmts'!W75</f>
        <v>2.8724865880576544</v>
      </c>
      <c r="X26" s="27">
        <f>-'&gt;&gt; Fin Stmts'!X75</f>
        <v>3.8787070272373967</v>
      </c>
      <c r="Y26" s="27">
        <f>-'&gt;&gt; Fin Stmts'!Y75</f>
        <v>4.9209340980451088</v>
      </c>
    </row>
    <row r="27" spans="4:25" ht="15" customHeight="1" x14ac:dyDescent="0.2">
      <c r="D27" s="19" t="s">
        <v>60</v>
      </c>
      <c r="E27" s="2" t="s">
        <v>105</v>
      </c>
      <c r="F27" s="24" t="s">
        <v>25</v>
      </c>
      <c r="G27" s="24"/>
      <c r="H27" s="33"/>
      <c r="I27" s="33">
        <f>'&gt;&gt; Fin Stmts'!I81</f>
        <v>8.84</v>
      </c>
      <c r="J27" s="33">
        <f>'&gt;&gt; Fin Stmts'!J81</f>
        <v>4.51</v>
      </c>
      <c r="K27" s="33">
        <f>'&gt;&gt; Fin Stmts'!K81</f>
        <v>6.62</v>
      </c>
      <c r="L27" s="33">
        <f>'&gt;&gt; Fin Stmts'!L81</f>
        <v>7.56</v>
      </c>
      <c r="M27" s="33">
        <f>'&gt;&gt; Fin Stmts'!M81</f>
        <v>9.81</v>
      </c>
      <c r="N27" s="33">
        <f>'&gt;&gt; Fin Stmts'!N81</f>
        <v>28.61</v>
      </c>
      <c r="O27" s="33">
        <f>'&gt;&gt; Fin Stmts'!O81</f>
        <v>28.09</v>
      </c>
      <c r="P27" s="33">
        <f>'&gt;&gt; Fin Stmts'!P81</f>
        <v>29.494500000000002</v>
      </c>
      <c r="Q27" s="33">
        <f>'&gt;&gt; Fin Stmts'!Q81</f>
        <v>30.969225000000005</v>
      </c>
      <c r="R27" s="33">
        <f>'&gt;&gt; Fin Stmts'!R81</f>
        <v>32.517686250000004</v>
      </c>
      <c r="S27" s="33">
        <f>'&gt;&gt; Fin Stmts'!S81</f>
        <v>34.143570562500003</v>
      </c>
      <c r="T27" s="33">
        <f>'&gt;&gt; Fin Stmts'!T81</f>
        <v>35.850749090625001</v>
      </c>
      <c r="U27" s="33">
        <f>'&gt;&gt; Fin Stmts'!U81</f>
        <v>37.643286545156251</v>
      </c>
      <c r="V27" s="33">
        <f>'&gt;&gt; Fin Stmts'!V81</f>
        <v>39.525450872414062</v>
      </c>
      <c r="W27" s="33">
        <f>'&gt;&gt; Fin Stmts'!W81</f>
        <v>41.501723416034764</v>
      </c>
      <c r="X27" s="33">
        <f>'&gt;&gt; Fin Stmts'!X81</f>
        <v>43.576809586836504</v>
      </c>
      <c r="Y27" s="33">
        <f>'&gt;&gt; Fin Stmts'!Y81</f>
        <v>45.755650066178333</v>
      </c>
    </row>
    <row r="28" spans="4:25" ht="15" customHeight="1" x14ac:dyDescent="0.2">
      <c r="D28" s="19" t="s">
        <v>60</v>
      </c>
      <c r="E28" s="2" t="s">
        <v>106</v>
      </c>
      <c r="F28" s="24" t="s">
        <v>25</v>
      </c>
      <c r="G28" s="24"/>
      <c r="H28" s="33"/>
      <c r="I28" s="33">
        <f>'&gt;&gt; Fin Stmts'!H80</f>
        <v>-342</v>
      </c>
      <c r="J28" s="33">
        <f>'&gt;&gt; Fin Stmts'!I80</f>
        <v>-2100</v>
      </c>
      <c r="K28" s="33">
        <f>'&gt;&gt; Fin Stmts'!J80</f>
        <v>-4182</v>
      </c>
      <c r="L28" s="33">
        <f>'&gt;&gt; Fin Stmts'!K80</f>
        <v>-4576</v>
      </c>
      <c r="M28" s="33">
        <f>'&gt;&gt; Fin Stmts'!L80</f>
        <v>-3800</v>
      </c>
      <c r="N28" s="33">
        <f>'&gt;&gt; Fin Stmts'!M80</f>
        <v>-2972</v>
      </c>
      <c r="O28" s="33">
        <f>'&gt;&gt; Fin Stmts'!N80</f>
        <v>-1529</v>
      </c>
      <c r="P28" s="33">
        <f>'&gt;&gt; Fin Stmts'!O80</f>
        <v>-1465</v>
      </c>
      <c r="Q28" s="33">
        <f>'&gt;&gt; Fin Stmts'!P80</f>
        <v>0</v>
      </c>
      <c r="R28" s="33">
        <f>'&gt;&gt; Fin Stmts'!Q80</f>
        <v>0</v>
      </c>
      <c r="S28" s="33">
        <f>'&gt;&gt; Fin Stmts'!R80</f>
        <v>0</v>
      </c>
      <c r="T28" s="33">
        <f>'&gt;&gt; Fin Stmts'!S80</f>
        <v>0</v>
      </c>
      <c r="U28" s="33">
        <f>'&gt;&gt; Fin Stmts'!T80</f>
        <v>0</v>
      </c>
      <c r="V28" s="33">
        <f>'&gt;&gt; Fin Stmts'!U80</f>
        <v>0</v>
      </c>
      <c r="W28" s="33">
        <f>'&gt;&gt; Fin Stmts'!V80</f>
        <v>0</v>
      </c>
      <c r="X28" s="33">
        <f>'&gt;&gt; Fin Stmts'!W80</f>
        <v>0</v>
      </c>
      <c r="Y28" s="33">
        <f>'&gt;&gt; Fin Stmts'!X80</f>
        <v>0</v>
      </c>
    </row>
    <row r="29" spans="4:25" ht="15" customHeight="1" x14ac:dyDescent="0.2">
      <c r="D29" s="19" t="s">
        <v>60</v>
      </c>
      <c r="E29" s="2" t="s">
        <v>107</v>
      </c>
      <c r="F29" s="24" t="s">
        <v>25</v>
      </c>
      <c r="G29" s="24"/>
      <c r="H29" s="33"/>
      <c r="I29" s="33"/>
      <c r="J29" s="33"/>
      <c r="K29" s="33"/>
      <c r="L29" s="33"/>
      <c r="M29" s="33"/>
      <c r="N29" s="33"/>
      <c r="O29" s="33"/>
      <c r="P29" s="33"/>
      <c r="Q29" s="33"/>
      <c r="R29" s="33"/>
      <c r="S29" s="33"/>
      <c r="T29" s="33"/>
      <c r="U29" s="33"/>
      <c r="V29" s="33"/>
      <c r="W29" s="33"/>
      <c r="X29" s="33"/>
      <c r="Y29" s="33"/>
    </row>
    <row r="30" spans="4:25" ht="15" customHeight="1" x14ac:dyDescent="0.2">
      <c r="D30" s="19"/>
      <c r="E30" s="65" t="s">
        <v>108</v>
      </c>
      <c r="F30" s="29" t="s">
        <v>25</v>
      </c>
      <c r="G30" s="29"/>
      <c r="H30" s="66"/>
      <c r="I30" s="66">
        <f>SUM( I23:I29 )</f>
        <v>325.68819999999948</v>
      </c>
      <c r="J30" s="66">
        <f t="shared" ref="J30:Y30" si="11">SUM( J23:J29 )</f>
        <v>2039.776319999999</v>
      </c>
      <c r="K30" s="66">
        <f t="shared" si="11"/>
        <v>10417.824360000006</v>
      </c>
      <c r="L30" s="66">
        <f t="shared" si="11"/>
        <v>-16311.101800000002</v>
      </c>
      <c r="M30" s="66">
        <f t="shared" si="11"/>
        <v>43313.064119999995</v>
      </c>
      <c r="N30" s="66">
        <f t="shared" si="11"/>
        <v>-8675.727200000003</v>
      </c>
      <c r="O30" s="66">
        <f t="shared" si="11"/>
        <v>-19050.293999999998</v>
      </c>
      <c r="P30" s="66">
        <f t="shared" ca="1" si="11"/>
        <v>-360.97500305455674</v>
      </c>
      <c r="Q30" s="66">
        <f t="shared" ca="1" si="11"/>
        <v>736.04332528409248</v>
      </c>
      <c r="R30" s="66">
        <f t="shared" ca="1" si="11"/>
        <v>739.10974489617024</v>
      </c>
      <c r="S30" s="66">
        <f t="shared" ca="1" si="11"/>
        <v>743.2274714111395</v>
      </c>
      <c r="T30" s="66">
        <f t="shared" ca="1" si="11"/>
        <v>745.54569356841614</v>
      </c>
      <c r="U30" s="66">
        <f t="shared" ca="1" si="11"/>
        <v>748.87793726077427</v>
      </c>
      <c r="V30" s="66">
        <f t="shared" ca="1" si="11"/>
        <v>756.01344662491738</v>
      </c>
      <c r="W30" s="66">
        <f t="shared" ca="1" si="11"/>
        <v>763.82325911186399</v>
      </c>
      <c r="X30" s="66">
        <f t="shared" ca="1" si="11"/>
        <v>771.58076235429121</v>
      </c>
      <c r="Y30" s="66">
        <f t="shared" ca="1" si="11"/>
        <v>778.28223373712956</v>
      </c>
    </row>
    <row r="31" spans="4:25" ht="15" customHeight="1" x14ac:dyDescent="0.2">
      <c r="D31" s="19"/>
      <c r="E31" s="185" t="s">
        <v>114</v>
      </c>
      <c r="F31" s="24" t="s">
        <v>25</v>
      </c>
      <c r="G31" s="24"/>
      <c r="H31" s="2"/>
      <c r="I31" s="27"/>
      <c r="J31" s="27"/>
      <c r="K31" s="33"/>
      <c r="L31" s="33"/>
      <c r="M31" s="33"/>
      <c r="N31" s="33"/>
      <c r="O31" s="33"/>
      <c r="P31" s="33"/>
      <c r="Q31" s="33"/>
      <c r="R31" s="33"/>
      <c r="S31" s="33"/>
      <c r="T31" s="33"/>
      <c r="U31" s="33"/>
      <c r="V31" s="33"/>
      <c r="W31" s="33"/>
      <c r="X31" s="33"/>
      <c r="Y31" s="69">
        <f ca="1">(Y30*(1+'&gt;&gt; Dash'!$F$43))/('&gt;&gt; Dash'!$K$43-'&gt;&gt; Dash'!$F$43)</f>
        <v>28423.158426791637</v>
      </c>
    </row>
    <row r="32" spans="4:25" ht="15" customHeight="1" x14ac:dyDescent="0.2">
      <c r="D32" s="19"/>
      <c r="E32" s="15"/>
      <c r="F32" s="29"/>
      <c r="G32" s="29"/>
      <c r="H32" s="26"/>
      <c r="I32" s="26"/>
      <c r="J32" s="26"/>
      <c r="K32" s="26"/>
      <c r="L32" s="26"/>
      <c r="M32" s="26"/>
      <c r="N32" s="26"/>
      <c r="O32" s="26"/>
      <c r="P32" s="26"/>
      <c r="Q32" s="26"/>
      <c r="R32" s="26"/>
      <c r="S32" s="26"/>
      <c r="T32" s="26"/>
      <c r="U32" s="26"/>
      <c r="V32" s="26"/>
      <c r="W32" s="26"/>
      <c r="X32" s="26"/>
      <c r="Y32" s="26"/>
    </row>
    <row r="33" spans="4:25" ht="15" customHeight="1" x14ac:dyDescent="0.2">
      <c r="D33" s="19"/>
      <c r="E33" s="2" t="s">
        <v>36</v>
      </c>
      <c r="F33" s="24" t="s">
        <v>7</v>
      </c>
      <c r="G33" s="24"/>
      <c r="H33" s="28"/>
      <c r="I33" s="294"/>
      <c r="J33" s="28"/>
      <c r="K33" s="21"/>
      <c r="L33" s="21"/>
      <c r="M33" s="21"/>
      <c r="N33" s="21"/>
      <c r="O33" s="21"/>
      <c r="P33" s="21">
        <f ca="1">P11 * '&gt;&gt; Inputs'!P45</f>
        <v>-2.7397260273972603E-3</v>
      </c>
      <c r="Q33" s="21">
        <f ca="1">Q11 * '&gt;&gt; Inputs'!Q45</f>
        <v>0.99726027397260275</v>
      </c>
      <c r="R33" s="21">
        <f ca="1">R11 * '&gt;&gt; Inputs'!R45</f>
        <v>1</v>
      </c>
      <c r="S33" s="21">
        <f ca="1">S11 * '&gt;&gt; Inputs'!S45</f>
        <v>1</v>
      </c>
      <c r="T33" s="21">
        <f ca="1">T11 * '&gt;&gt; Inputs'!T45</f>
        <v>1</v>
      </c>
      <c r="U33" s="21">
        <f ca="1">U11 * '&gt;&gt; Inputs'!U45</f>
        <v>1</v>
      </c>
      <c r="V33" s="21">
        <f ca="1">V11 * '&gt;&gt; Inputs'!V45</f>
        <v>1</v>
      </c>
      <c r="W33" s="21">
        <f ca="1">W11 * '&gt;&gt; Inputs'!W45</f>
        <v>1</v>
      </c>
      <c r="X33" s="21">
        <f ca="1">X11 * '&gt;&gt; Inputs'!X45</f>
        <v>1</v>
      </c>
      <c r="Y33" s="21">
        <f ca="1">Y11 * '&gt;&gt; Inputs'!Y45</f>
        <v>1</v>
      </c>
    </row>
    <row r="34" spans="4:25" ht="15" customHeight="1" x14ac:dyDescent="0.2">
      <c r="D34" s="19"/>
      <c r="E34" s="2" t="s">
        <v>109</v>
      </c>
      <c r="F34" s="24" t="s">
        <v>25</v>
      </c>
      <c r="G34" s="24"/>
      <c r="H34" s="27"/>
      <c r="I34" s="27"/>
      <c r="J34" s="27"/>
      <c r="K34" s="33"/>
      <c r="L34" s="33"/>
      <c r="M34" s="33"/>
      <c r="N34" s="33"/>
      <c r="O34" s="33"/>
      <c r="P34" s="33">
        <f ca="1">( P33 * P30 )</f>
        <v>0.98897261110837464</v>
      </c>
      <c r="Q34" s="33">
        <f t="shared" ref="Q34:Y34" ca="1" si="12">( Q33 * Q30 )</f>
        <v>734.02676822851959</v>
      </c>
      <c r="R34" s="33">
        <f t="shared" ca="1" si="12"/>
        <v>739.10974489617024</v>
      </c>
      <c r="S34" s="33">
        <f t="shared" ca="1" si="12"/>
        <v>743.2274714111395</v>
      </c>
      <c r="T34" s="33">
        <f t="shared" ca="1" si="12"/>
        <v>745.54569356841614</v>
      </c>
      <c r="U34" s="33">
        <f t="shared" ca="1" si="12"/>
        <v>748.87793726077427</v>
      </c>
      <c r="V34" s="33">
        <f t="shared" ca="1" si="12"/>
        <v>756.01344662491738</v>
      </c>
      <c r="W34" s="33">
        <f t="shared" ca="1" si="12"/>
        <v>763.82325911186399</v>
      </c>
      <c r="X34" s="33">
        <f t="shared" ca="1" si="12"/>
        <v>771.58076235429121</v>
      </c>
      <c r="Y34" s="33">
        <f t="shared" ca="1" si="12"/>
        <v>778.28223373712956</v>
      </c>
    </row>
    <row r="35" spans="4:25" ht="15" customHeight="1" x14ac:dyDescent="0.2">
      <c r="D35" s="19"/>
      <c r="E35" s="2" t="s">
        <v>110</v>
      </c>
      <c r="F35" s="24" t="s">
        <v>25</v>
      </c>
      <c r="G35" s="24"/>
      <c r="H35" s="27"/>
      <c r="I35" s="27"/>
      <c r="J35" s="27"/>
      <c r="K35" s="33"/>
      <c r="L35" s="33"/>
      <c r="M35" s="33"/>
      <c r="N35" s="33"/>
      <c r="O35" s="33"/>
      <c r="P35" s="33"/>
      <c r="Q35" s="33"/>
      <c r="R35" s="33"/>
      <c r="S35" s="33"/>
      <c r="T35" s="33"/>
      <c r="U35" s="33"/>
      <c r="V35" s="33"/>
      <c r="W35" s="33"/>
      <c r="X35" s="33"/>
      <c r="Y35" s="33">
        <f ca="1">Y33 * Y31</f>
        <v>28423.158426791637</v>
      </c>
    </row>
    <row r="36" spans="4:25" ht="15" customHeight="1" x14ac:dyDescent="0.2">
      <c r="D36" s="19"/>
      <c r="E36" s="2"/>
      <c r="F36" s="24"/>
      <c r="G36" s="24"/>
      <c r="H36" s="16"/>
      <c r="I36" s="27"/>
      <c r="J36" s="27"/>
      <c r="K36" s="33"/>
      <c r="L36" s="33"/>
      <c r="M36" s="33"/>
      <c r="N36" s="33"/>
      <c r="O36" s="33"/>
      <c r="P36" s="33"/>
      <c r="Q36" s="33"/>
      <c r="R36" s="33"/>
      <c r="S36" s="33"/>
      <c r="T36" s="33"/>
      <c r="U36" s="33"/>
      <c r="V36" s="33"/>
      <c r="W36" s="33"/>
      <c r="X36" s="33"/>
      <c r="Y36" s="33"/>
    </row>
    <row r="37" spans="4:25" ht="15" customHeight="1" x14ac:dyDescent="0.2">
      <c r="D37" s="19"/>
      <c r="E37" s="2" t="s">
        <v>111</v>
      </c>
      <c r="F37" s="16" t="s">
        <v>10</v>
      </c>
      <c r="G37" s="16"/>
      <c r="H37" s="27"/>
      <c r="I37" s="27"/>
      <c r="J37" s="27"/>
      <c r="K37" s="60"/>
      <c r="L37" s="60"/>
      <c r="M37" s="60"/>
      <c r="N37" s="60"/>
      <c r="O37" s="60"/>
      <c r="P37" s="60">
        <f ca="1">IF( P11 = 1, ( P8 - '&gt;&gt; Inputs'!$G$26 ) / DiY, 0 )</f>
        <v>-2.7397260273972603E-3</v>
      </c>
      <c r="Q37" s="60">
        <f ca="1">IF( Q11 = 1, ( Q8 - '&gt;&gt; Inputs'!$G$26 ) / DiY, 0 )</f>
        <v>0.99726027397260275</v>
      </c>
      <c r="R37" s="60">
        <f ca="1">IF( R11 = 1, ( R8 - '&gt;&gt; Inputs'!$G$26 ) / DiY, 0 )</f>
        <v>1.9972602739726026</v>
      </c>
      <c r="S37" s="60">
        <f ca="1">IF( S11 = 1, ( S8 - '&gt;&gt; Inputs'!$G$26 ) / DiY, 0 )</f>
        <v>2.9972602739726026</v>
      </c>
      <c r="T37" s="60">
        <f ca="1">IF( T11 = 1, ( T8 - '&gt;&gt; Inputs'!$G$26 ) / DiY, 0 )</f>
        <v>4</v>
      </c>
      <c r="U37" s="60">
        <f ca="1">IF( U11 = 1, ( U8 - '&gt;&gt; Inputs'!$G$26 ) / DiY, 0 )</f>
        <v>5</v>
      </c>
      <c r="V37" s="60">
        <f ca="1">IF( V11 = 1, ( V8 - '&gt;&gt; Inputs'!$G$26 ) / DiY, 0 )</f>
        <v>6</v>
      </c>
      <c r="W37" s="60">
        <f ca="1">IF( W11 = 1, ( W8 - '&gt;&gt; Inputs'!$G$26 ) / DiY, 0 )</f>
        <v>7</v>
      </c>
      <c r="X37" s="60">
        <f ca="1">IF( X11 = 1, ( X8 - '&gt;&gt; Inputs'!$G$26 ) / DiY, 0 )</f>
        <v>8.0027397260273965</v>
      </c>
      <c r="Y37" s="60">
        <f ca="1">IF( Y11 = 1, ( Y8 - '&gt;&gt; Inputs'!$G$26 ) / DiY, 0 )</f>
        <v>9.0027397260273965</v>
      </c>
    </row>
    <row r="38" spans="4:25" ht="15" customHeight="1" x14ac:dyDescent="0.2">
      <c r="D38" s="19"/>
      <c r="E38" s="2" t="s">
        <v>112</v>
      </c>
      <c r="F38" s="24" t="s">
        <v>10</v>
      </c>
      <c r="G38" s="24"/>
      <c r="H38" s="44"/>
      <c r="I38" s="44"/>
      <c r="J38" s="44"/>
      <c r="K38" s="22"/>
      <c r="L38" s="22"/>
      <c r="M38" s="22"/>
      <c r="N38" s="22"/>
      <c r="O38" s="22"/>
      <c r="P38" s="22">
        <f ca="1">P11 * ( 1 / ( 1 +'&gt;&gt; Dash'!$K$43 ) ^ P$37 )</f>
        <v>1.0001282723977103</v>
      </c>
      <c r="Q38" s="22">
        <f ca="1">Q11 * ( 1 / ( 1 +'&gt;&gt; Dash'!$K$43 ) ^ Q$37 )</f>
        <v>0.95438496809782758</v>
      </c>
      <c r="R38" s="22">
        <f ca="1">R11 * ( 1 / ( 1 +'&gt;&gt; Dash'!$K$43 ) ^ R$37 )</f>
        <v>0.91073384531707691</v>
      </c>
      <c r="S38" s="22">
        <f ca="1">S11 * ( 1 / ( 1 +'&gt;&gt; Dash'!$K$43 ) ^ S$37 )</f>
        <v>0.8690792130340943</v>
      </c>
      <c r="T38" s="22">
        <f ca="1">T11 * ( 1 / ( 1 +'&gt;&gt; Dash'!$K$43 ) ^ T$37 )</f>
        <v>0.82922339041709459</v>
      </c>
      <c r="U38" s="22">
        <f ca="1">U11 * ( 1 / ( 1 +'&gt;&gt; Dash'!$K$43 ) ^ U$37 )</f>
        <v>0.79129683746654889</v>
      </c>
      <c r="V38" s="22">
        <f ca="1">V11 * ( 1 / ( 1 +'&gt;&gt; Dash'!$K$43 ) ^ V$37 )</f>
        <v>0.75510494785923954</v>
      </c>
      <c r="W38" s="22">
        <f ca="1">W11 * ( 1 / ( 1 +'&gt;&gt; Dash'!$K$43 ) ^ W$37 )</f>
        <v>0.72056838253900957</v>
      </c>
      <c r="X38" s="22">
        <f ca="1">X11 * ( 1 / ( 1 +'&gt;&gt; Dash'!$K$43 ) ^ X$37 )</f>
        <v>0.68752324096022155</v>
      </c>
      <c r="Y38" s="22">
        <f ca="1">Y11 * ( 1 / ( 1 +'&gt;&gt; Dash'!$K$43 ) ^ Y$37 )</f>
        <v>0.65607768973198999</v>
      </c>
    </row>
    <row r="40" spans="4:25" ht="15" customHeight="1" x14ac:dyDescent="0.2">
      <c r="D40" s="19"/>
      <c r="E40" s="188" t="s">
        <v>113</v>
      </c>
      <c r="F40" s="189" t="s">
        <v>25</v>
      </c>
      <c r="G40" s="189"/>
      <c r="H40" s="190"/>
      <c r="I40" s="190"/>
      <c r="J40" s="190"/>
      <c r="K40" s="191"/>
      <c r="L40" s="191"/>
      <c r="M40" s="191"/>
      <c r="N40" s="191"/>
      <c r="O40" s="191"/>
      <c r="P40" s="192">
        <f ca="1">P34 * P38</f>
        <v>0.98909946899647128</v>
      </c>
      <c r="Q40" s="192">
        <f t="shared" ref="Q40:X40" ca="1" si="13">Q34 * Q38</f>
        <v>700.54411377872714</v>
      </c>
      <c r="R40" s="192">
        <f t="shared" ca="1" si="13"/>
        <v>673.13226008061292</v>
      </c>
      <c r="S40" s="192">
        <f t="shared" ca="1" si="13"/>
        <v>645.92354595931295</v>
      </c>
      <c r="T40" s="192">
        <f t="shared" ca="1" si="13"/>
        <v>618.22392773166632</v>
      </c>
      <c r="U40" s="192">
        <f t="shared" ca="1" si="13"/>
        <v>592.58474340292332</v>
      </c>
      <c r="V40" s="192">
        <f t="shared" ca="1" si="13"/>
        <v>570.86949419459222</v>
      </c>
      <c r="W40" s="192">
        <f t="shared" ca="1" si="13"/>
        <v>550.38689036391065</v>
      </c>
      <c r="X40" s="192">
        <f t="shared" ca="1" si="13"/>
        <v>530.47970639638083</v>
      </c>
      <c r="Y40" s="192">
        <f ca="1">Y34 * Y38</f>
        <v>510.61360986970863</v>
      </c>
    </row>
    <row r="41" spans="4:25" ht="15" customHeight="1" x14ac:dyDescent="0.2">
      <c r="D41" s="19"/>
      <c r="E41" s="185" t="s">
        <v>239</v>
      </c>
      <c r="F41" s="78" t="s">
        <v>25</v>
      </c>
      <c r="G41" s="78"/>
      <c r="H41" s="79"/>
      <c r="I41" s="79"/>
      <c r="J41" s="79"/>
      <c r="K41" s="79"/>
      <c r="L41" s="204"/>
      <c r="M41" s="79"/>
      <c r="N41" s="79"/>
      <c r="O41" s="193"/>
      <c r="P41" s="193"/>
      <c r="Q41" s="193"/>
      <c r="R41" s="193"/>
      <c r="S41" s="193"/>
      <c r="T41" s="193"/>
      <c r="U41" s="193"/>
      <c r="V41" s="193"/>
      <c r="W41" s="193"/>
      <c r="X41" s="193"/>
      <c r="Y41" s="205">
        <f ca="1">Y35 * Y38</f>
        <v>18647.8001155358</v>
      </c>
    </row>
    <row r="42" spans="4:25" ht="15" customHeight="1" x14ac:dyDescent="0.2">
      <c r="D42" s="19"/>
      <c r="E42" s="2"/>
      <c r="F42" s="24"/>
      <c r="G42" s="24"/>
      <c r="H42" s="27"/>
      <c r="I42" s="27"/>
      <c r="J42" s="27"/>
      <c r="K42" s="27"/>
      <c r="M42" s="27"/>
      <c r="N42" s="33"/>
      <c r="O42" s="33"/>
      <c r="P42" s="33"/>
      <c r="Q42" s="33"/>
      <c r="R42" s="33"/>
      <c r="S42" s="33"/>
      <c r="T42" s="33"/>
      <c r="U42" s="33"/>
      <c r="V42" s="33"/>
      <c r="W42" s="33"/>
      <c r="X42" s="33"/>
      <c r="Y42" s="33"/>
    </row>
    <row r="43" spans="4:25" ht="15" customHeight="1" x14ac:dyDescent="0.2">
      <c r="D43" s="19"/>
      <c r="E43" s="2" t="s">
        <v>24</v>
      </c>
      <c r="F43" s="24" t="s">
        <v>25</v>
      </c>
      <c r="G43" s="24"/>
      <c r="H43" s="71">
        <f>'&gt;&gt; Fin Stmts'!H64+'&gt;&gt; Fin Stmts'!H53</f>
        <v>3429741</v>
      </c>
      <c r="I43" s="71">
        <f>'&gt;&gt; Fin Stmts'!I64+'&gt;&gt; Fin Stmts'!I53</f>
        <v>1480.46</v>
      </c>
      <c r="J43" s="71">
        <f>'&gt;&gt; Fin Stmts'!J64+'&gt;&gt; Fin Stmts'!J53</f>
        <v>1544.26</v>
      </c>
      <c r="K43" s="71">
        <f>'&gt;&gt; Fin Stmts'!K64+'&gt;&gt; Fin Stmts'!K53</f>
        <v>1955.22</v>
      </c>
      <c r="L43" s="71">
        <f>'&gt;&gt; Fin Stmts'!L64+'&gt;&gt; Fin Stmts'!L53</f>
        <v>3094.41</v>
      </c>
      <c r="M43" s="71">
        <f>'&gt;&gt; Fin Stmts'!M64+'&gt;&gt; Fin Stmts'!M53</f>
        <v>5145.28</v>
      </c>
      <c r="N43" s="71">
        <f>'&gt;&gt; Fin Stmts'!N64+'&gt;&gt; Fin Stmts'!N53</f>
        <v>4721.96</v>
      </c>
      <c r="O43" s="71">
        <f>'&gt;&gt; Fin Stmts'!O64+'&gt;&gt; Fin Stmts'!O53</f>
        <v>3767.08</v>
      </c>
      <c r="P43" s="71">
        <f>'&gt;&gt; Fin Stmts'!P64+'&gt;&gt; Fin Stmts'!P53</f>
        <v>3839.8232880598225</v>
      </c>
      <c r="Q43" s="71">
        <f>'&gt;&gt; Fin Stmts'!Q64+'&gt;&gt; Fin Stmts'!Q53</f>
        <v>4253.9449163497338</v>
      </c>
      <c r="R43" s="71">
        <f>'&gt;&gt; Fin Stmts'!R64+'&gt;&gt; Fin Stmts'!R53</f>
        <v>4835.657963728916</v>
      </c>
      <c r="S43" s="71">
        <f>'&gt;&gt; Fin Stmts'!S64+'&gt;&gt; Fin Stmts'!S53</f>
        <v>5544.8394217165696</v>
      </c>
      <c r="T43" s="71">
        <f>'&gt;&gt; Fin Stmts'!T64+'&gt;&gt; Fin Stmts'!T53</f>
        <v>6006.5010675866797</v>
      </c>
      <c r="U43" s="71">
        <f>'&gt;&gt; Fin Stmts'!U64+'&gt;&gt; Fin Stmts'!U53</f>
        <v>5420.0210416203199</v>
      </c>
      <c r="V43" s="71">
        <f>'&gt;&gt; Fin Stmts'!V64+'&gt;&gt; Fin Stmts'!V53</f>
        <v>4704.8699143294471</v>
      </c>
      <c r="W43" s="71">
        <f>'&gt;&gt; Fin Stmts'!W64+'&gt;&gt; Fin Stmts'!W53</f>
        <v>4474.0842881977624</v>
      </c>
      <c r="X43" s="71">
        <f>'&gt;&gt; Fin Stmts'!X64+'&gt;&gt; Fin Stmts'!X53</f>
        <v>4515.6084422539134</v>
      </c>
      <c r="Y43" s="71">
        <f>'&gt;&gt; Fin Stmts'!Y64+'&gt;&gt; Fin Stmts'!Y53</f>
        <v>4708.7325065417572</v>
      </c>
    </row>
    <row r="44" spans="4:25" ht="15" customHeight="1" x14ac:dyDescent="0.2">
      <c r="D44" s="19"/>
      <c r="E44" s="2" t="s">
        <v>26</v>
      </c>
      <c r="F44" s="24" t="s">
        <v>25</v>
      </c>
      <c r="G44" s="24"/>
      <c r="H44" s="71">
        <f>'&gt;&gt; Fin Stmts'!H55+'&gt;&gt; Fin Stmts'!H62</f>
        <v>3709.76</v>
      </c>
      <c r="I44" s="71">
        <f>'&gt;&gt; Fin Stmts'!I55+'&gt;&gt; Fin Stmts'!I62</f>
        <v>2643.25</v>
      </c>
      <c r="J44" s="71">
        <f>'&gt;&gt; Fin Stmts'!J55+'&gt;&gt; Fin Stmts'!J62</f>
        <v>10056.57</v>
      </c>
      <c r="K44" s="71">
        <f>'&gt;&gt; Fin Stmts'!K55+'&gt;&gt; Fin Stmts'!K62</f>
        <v>2345.59</v>
      </c>
      <c r="L44" s="71">
        <f>'&gt;&gt; Fin Stmts'!L55+'&gt;&gt; Fin Stmts'!L62</f>
        <v>5085.3</v>
      </c>
      <c r="M44" s="71">
        <f>'&gt;&gt; Fin Stmts'!M55+'&gt;&gt; Fin Stmts'!M62</f>
        <v>40297.449999999997</v>
      </c>
      <c r="N44" s="71">
        <f>'&gt;&gt; Fin Stmts'!N55+'&gt;&gt; Fin Stmts'!N62</f>
        <v>-5992.34</v>
      </c>
      <c r="O44" s="71">
        <f>'&gt;&gt; Fin Stmts'!O55+'&gt;&gt; Fin Stmts'!O62</f>
        <v>-18925.46</v>
      </c>
      <c r="P44" s="71">
        <f>'&gt;&gt; Fin Stmts'!P55+'&gt;&gt; Fin Stmts'!P62</f>
        <v>-18925.46</v>
      </c>
      <c r="Q44" s="71">
        <f>'&gt;&gt; Fin Stmts'!Q55+'&gt;&gt; Fin Stmts'!Q62</f>
        <v>-18925.46</v>
      </c>
      <c r="R44" s="71">
        <f>'&gt;&gt; Fin Stmts'!R55+'&gt;&gt; Fin Stmts'!R62</f>
        <v>-18925.46</v>
      </c>
      <c r="S44" s="71">
        <f>'&gt;&gt; Fin Stmts'!S55+'&gt;&gt; Fin Stmts'!S62</f>
        <v>-18925.46</v>
      </c>
      <c r="T44" s="71">
        <f>'&gt;&gt; Fin Stmts'!T55+'&gt;&gt; Fin Stmts'!T62</f>
        <v>-18925.46</v>
      </c>
      <c r="U44" s="71">
        <f>'&gt;&gt; Fin Stmts'!U55+'&gt;&gt; Fin Stmts'!U62</f>
        <v>-18925.46</v>
      </c>
      <c r="V44" s="71">
        <f>'&gt;&gt; Fin Stmts'!V55+'&gt;&gt; Fin Stmts'!V62</f>
        <v>-18925.46</v>
      </c>
      <c r="W44" s="71">
        <f>'&gt;&gt; Fin Stmts'!W55+'&gt;&gt; Fin Stmts'!W62</f>
        <v>-18925.46</v>
      </c>
      <c r="X44" s="71">
        <f>'&gt;&gt; Fin Stmts'!X55+'&gt;&gt; Fin Stmts'!X62</f>
        <v>-18925.46</v>
      </c>
      <c r="Y44" s="71">
        <f>'&gt;&gt; Fin Stmts'!Y55+'&gt;&gt; Fin Stmts'!Y62</f>
        <v>-18925.46</v>
      </c>
    </row>
    <row r="45" spans="4:25" ht="15" customHeight="1" x14ac:dyDescent="0.2">
      <c r="D45" s="19"/>
      <c r="E45" s="2" t="s">
        <v>27</v>
      </c>
      <c r="F45" s="24" t="s">
        <v>25</v>
      </c>
      <c r="G45" s="24"/>
      <c r="H45" s="71">
        <f>'&gt;&gt; Fin Stmts'!H29</f>
        <v>57.04</v>
      </c>
      <c r="I45" s="71">
        <f>'&gt;&gt; Fin Stmts'!I29</f>
        <v>49.59</v>
      </c>
      <c r="J45" s="71">
        <f>'&gt;&gt; Fin Stmts'!J29</f>
        <v>74.5</v>
      </c>
      <c r="K45" s="71">
        <f>'&gt;&gt; Fin Stmts'!K29</f>
        <v>147.18</v>
      </c>
      <c r="L45" s="71">
        <f>'&gt;&gt; Fin Stmts'!L29</f>
        <v>182.33</v>
      </c>
      <c r="M45" s="71">
        <f>'&gt;&gt; Fin Stmts'!M29</f>
        <v>310.76</v>
      </c>
      <c r="N45" s="71">
        <f>'&gt;&gt; Fin Stmts'!N29</f>
        <v>311.5</v>
      </c>
      <c r="O45" s="71">
        <f>'&gt;&gt; Fin Stmts'!O29</f>
        <v>629.62</v>
      </c>
      <c r="P45" s="71">
        <f>'&gt;&gt; Fin Stmts'!P29</f>
        <v>13900.812910661596</v>
      </c>
      <c r="Q45" s="71">
        <f>'&gt;&gt; Fin Stmts'!Q29</f>
        <v>14017.859708414853</v>
      </c>
      <c r="R45" s="71">
        <f>'&gt;&gt; Fin Stmts'!R29</f>
        <v>14135.890794685678</v>
      </c>
      <c r="S45" s="71">
        <f>'&gt;&gt; Fin Stmts'!S29</f>
        <v>14254.914437276668</v>
      </c>
      <c r="T45" s="71">
        <f>'&gt;&gt; Fin Stmts'!T29</f>
        <v>14253.355362469998</v>
      </c>
      <c r="U45" s="71">
        <f>'&gt;&gt; Fin Stmts'!U29</f>
        <v>14299.567460104032</v>
      </c>
      <c r="V45" s="71">
        <f>'&gt;&gt; Fin Stmts'!V29</f>
        <v>14393.855270801936</v>
      </c>
      <c r="W45" s="71">
        <f>'&gt;&gt; Fin Stmts'!W29</f>
        <v>14537.006688054938</v>
      </c>
      <c r="X45" s="71">
        <f>'&gt;&gt; Fin Stmts'!X29</f>
        <v>14730.303468052571</v>
      </c>
      <c r="Y45" s="71">
        <f>'&gt;&gt; Fin Stmts'!Y29</f>
        <v>14975.540014420278</v>
      </c>
    </row>
    <row r="46" spans="4:25" ht="15" customHeight="1" x14ac:dyDescent="0.2">
      <c r="D46" s="19"/>
      <c r="E46" s="2" t="s">
        <v>28</v>
      </c>
      <c r="F46" s="24" t="s">
        <v>25</v>
      </c>
      <c r="G46" s="24"/>
      <c r="H46" s="71">
        <f t="shared" ref="H46:N46" si="14">SUM(H43:H45)</f>
        <v>3433507.8</v>
      </c>
      <c r="I46" s="71">
        <f t="shared" si="14"/>
        <v>4173.3</v>
      </c>
      <c r="J46" s="71">
        <f t="shared" si="14"/>
        <v>11675.33</v>
      </c>
      <c r="K46" s="71">
        <f t="shared" si="14"/>
        <v>4447.9900000000007</v>
      </c>
      <c r="L46" s="71">
        <f t="shared" si="14"/>
        <v>8362.0400000000009</v>
      </c>
      <c r="M46" s="71">
        <f t="shared" si="14"/>
        <v>45753.49</v>
      </c>
      <c r="N46" s="71">
        <f t="shared" si="14"/>
        <v>-958.88000000000011</v>
      </c>
      <c r="O46" s="71">
        <f>SUM(O43:O45)</f>
        <v>-14528.759999999998</v>
      </c>
      <c r="P46" s="71">
        <f>SUM(P43:P45)</f>
        <v>-1184.8238012785805</v>
      </c>
      <c r="Q46" s="71">
        <f t="shared" ref="Q46:Y46" si="15">SUM(Q43:Q45)</f>
        <v>-653.65537523541207</v>
      </c>
      <c r="R46" s="71">
        <f t="shared" si="15"/>
        <v>46.088758414594849</v>
      </c>
      <c r="S46" s="71">
        <f t="shared" si="15"/>
        <v>874.29385899323825</v>
      </c>
      <c r="T46" s="71">
        <f t="shared" si="15"/>
        <v>1334.3964300566786</v>
      </c>
      <c r="U46" s="71">
        <f t="shared" si="15"/>
        <v>794.12850172435174</v>
      </c>
      <c r="V46" s="71">
        <f t="shared" si="15"/>
        <v>173.26518513138399</v>
      </c>
      <c r="W46" s="71">
        <f t="shared" si="15"/>
        <v>85.630976252701657</v>
      </c>
      <c r="X46" s="71">
        <f t="shared" si="15"/>
        <v>320.45191030648493</v>
      </c>
      <c r="Y46" s="71">
        <f t="shared" si="15"/>
        <v>758.81252096203571</v>
      </c>
    </row>
    <row r="47" spans="4:25" ht="15" customHeight="1" x14ac:dyDescent="0.2">
      <c r="D47" s="19"/>
      <c r="E47" s="2" t="s">
        <v>115</v>
      </c>
      <c r="F47" s="24" t="s">
        <v>25</v>
      </c>
      <c r="G47" s="24"/>
      <c r="H47" s="71">
        <f t="shared" ref="H47:O47" si="16">G46-H46</f>
        <v>-3433507.8</v>
      </c>
      <c r="I47" s="71">
        <f t="shared" si="16"/>
        <v>3429334.5</v>
      </c>
      <c r="J47" s="71">
        <f t="shared" si="16"/>
        <v>-7502.03</v>
      </c>
      <c r="K47" s="71">
        <f t="shared" si="16"/>
        <v>7227.3399999999992</v>
      </c>
      <c r="L47" s="71">
        <f t="shared" si="16"/>
        <v>-3914.05</v>
      </c>
      <c r="M47" s="71">
        <f t="shared" si="16"/>
        <v>-37391.449999999997</v>
      </c>
      <c r="N47" s="71">
        <f t="shared" si="16"/>
        <v>46712.369999999995</v>
      </c>
      <c r="O47" s="71">
        <f t="shared" si="16"/>
        <v>13569.879999999997</v>
      </c>
      <c r="P47" s="71">
        <f>O46-P46</f>
        <v>-13343.936198721418</v>
      </c>
      <c r="Q47" s="71">
        <f t="shared" ref="Q47:Y47" si="17">P46-Q46</f>
        <v>-531.16842604316844</v>
      </c>
      <c r="R47" s="71">
        <f t="shared" si="17"/>
        <v>-699.74413365000692</v>
      </c>
      <c r="S47" s="71">
        <f t="shared" si="17"/>
        <v>-828.2051005786434</v>
      </c>
      <c r="T47" s="71">
        <f t="shared" si="17"/>
        <v>-460.10257106344034</v>
      </c>
      <c r="U47" s="71">
        <f t="shared" si="17"/>
        <v>540.26792833232685</v>
      </c>
      <c r="V47" s="71">
        <f t="shared" si="17"/>
        <v>620.86331659296775</v>
      </c>
      <c r="W47" s="71">
        <f t="shared" si="17"/>
        <v>87.63420887868233</v>
      </c>
      <c r="X47" s="71">
        <f t="shared" si="17"/>
        <v>-234.82093405378328</v>
      </c>
      <c r="Y47" s="71">
        <f t="shared" si="17"/>
        <v>-438.36061065555077</v>
      </c>
    </row>
    <row r="48" spans="4:25" ht="15" customHeight="1" x14ac:dyDescent="0.2">
      <c r="D48" s="19"/>
      <c r="E48" s="2"/>
      <c r="F48" s="24"/>
      <c r="G48" s="24"/>
      <c r="H48" s="2"/>
      <c r="I48" s="2"/>
      <c r="J48" s="2"/>
      <c r="K48" s="2"/>
      <c r="L48" s="2"/>
      <c r="M48" s="2"/>
      <c r="N48" s="2"/>
      <c r="O48" s="71"/>
      <c r="P48" s="71"/>
      <c r="Q48" s="71"/>
      <c r="R48" s="71"/>
      <c r="S48" s="71"/>
      <c r="T48" s="71"/>
      <c r="U48" s="71"/>
      <c r="V48" s="71"/>
      <c r="W48" s="71"/>
      <c r="X48" s="71"/>
      <c r="Y48" s="71"/>
    </row>
    <row r="49" spans="4:25" ht="15" customHeight="1" x14ac:dyDescent="0.2">
      <c r="E49" s="2" t="s">
        <v>116</v>
      </c>
      <c r="F49" s="24" t="s">
        <v>25</v>
      </c>
      <c r="O49" s="73"/>
      <c r="P49" s="73">
        <f t="shared" ref="P49:Y49" ca="1" si="18">P30*P33</f>
        <v>0.98897261110837464</v>
      </c>
      <c r="Q49" s="73">
        <f t="shared" ca="1" si="18"/>
        <v>734.02676822851959</v>
      </c>
      <c r="R49" s="73">
        <f t="shared" ca="1" si="18"/>
        <v>739.10974489617024</v>
      </c>
      <c r="S49" s="73">
        <f t="shared" ca="1" si="18"/>
        <v>743.2274714111395</v>
      </c>
      <c r="T49" s="73">
        <f t="shared" ca="1" si="18"/>
        <v>745.54569356841614</v>
      </c>
      <c r="U49" s="73">
        <f t="shared" ca="1" si="18"/>
        <v>748.87793726077427</v>
      </c>
      <c r="V49" s="73">
        <f t="shared" ca="1" si="18"/>
        <v>756.01344662491738</v>
      </c>
      <c r="W49" s="73">
        <f t="shared" ca="1" si="18"/>
        <v>763.82325911186399</v>
      </c>
      <c r="X49" s="73">
        <f t="shared" ca="1" si="18"/>
        <v>771.58076235429121</v>
      </c>
      <c r="Y49" s="73">
        <f t="shared" ca="1" si="18"/>
        <v>778.28223373712956</v>
      </c>
    </row>
    <row r="50" spans="4:25" ht="15" customHeight="1" x14ac:dyDescent="0.2">
      <c r="D50" s="19" t="s">
        <v>60</v>
      </c>
      <c r="E50" s="2" t="s">
        <v>263</v>
      </c>
      <c r="F50" s="24" t="s">
        <v>25</v>
      </c>
      <c r="G50" s="53"/>
      <c r="H50" s="327">
        <v>0</v>
      </c>
      <c r="I50" s="328">
        <v>-0.2</v>
      </c>
      <c r="J50" s="328">
        <v>-0.5</v>
      </c>
      <c r="K50" s="328">
        <v>-1.2</v>
      </c>
      <c r="L50" s="328">
        <v>-0.9</v>
      </c>
      <c r="M50" s="328">
        <v>-2.8</v>
      </c>
      <c r="N50" s="328">
        <v>-1.9</v>
      </c>
      <c r="O50" s="329">
        <v>0</v>
      </c>
      <c r="P50" s="71">
        <f>P46*P51</f>
        <v>-0.24578624884679026</v>
      </c>
      <c r="Q50" s="71">
        <f t="shared" ref="Q50:Y50" si="19">Q46*Q51</f>
        <v>-0.13559780158389825</v>
      </c>
      <c r="R50" s="71">
        <f t="shared" si="19"/>
        <v>9.5609009816521474E-3</v>
      </c>
      <c r="S50" s="71">
        <f t="shared" si="19"/>
        <v>0.1813682403745086</v>
      </c>
      <c r="T50" s="71">
        <f t="shared" si="19"/>
        <v>0.27681440283715592</v>
      </c>
      <c r="U50" s="71">
        <f t="shared" si="19"/>
        <v>0.16473830567086772</v>
      </c>
      <c r="V50" s="71">
        <f t="shared" si="19"/>
        <v>3.5943065849311458E-2</v>
      </c>
      <c r="W50" s="71">
        <f t="shared" si="19"/>
        <v>1.7763752226725806E-2</v>
      </c>
      <c r="X50" s="71">
        <f t="shared" si="19"/>
        <v>6.6476275109449812E-2</v>
      </c>
      <c r="Y50" s="71">
        <f t="shared" si="19"/>
        <v>0.15741216787168777</v>
      </c>
    </row>
    <row r="51" spans="4:25" ht="15" customHeight="1" x14ac:dyDescent="0.2">
      <c r="D51" s="19"/>
      <c r="E51" s="18" t="s">
        <v>85</v>
      </c>
      <c r="F51" s="24" t="s">
        <v>7</v>
      </c>
      <c r="G51" s="37"/>
      <c r="H51" s="305"/>
      <c r="I51" s="305">
        <f>I50/I46</f>
        <v>-4.792370546090624E-5</v>
      </c>
      <c r="J51" s="305">
        <f t="shared" ref="J51:O51" si="20">J50/J46</f>
        <v>-4.2825341981768395E-5</v>
      </c>
      <c r="K51" s="305">
        <f t="shared" si="20"/>
        <v>-2.6978477919239921E-4</v>
      </c>
      <c r="L51" s="305">
        <f t="shared" si="20"/>
        <v>-1.0762923879818799E-4</v>
      </c>
      <c r="M51" s="305">
        <f t="shared" si="20"/>
        <v>-6.1197517391569479E-5</v>
      </c>
      <c r="N51" s="305">
        <f t="shared" si="20"/>
        <v>1.9814783914566991E-3</v>
      </c>
      <c r="O51" s="330">
        <f t="shared" si="20"/>
        <v>0</v>
      </c>
      <c r="P51" s="331">
        <f>AVERAGE(I51:O51)</f>
        <v>2.0744540123312396E-4</v>
      </c>
      <c r="Q51" s="332">
        <f>P51</f>
        <v>2.0744540123312396E-4</v>
      </c>
      <c r="R51" s="332">
        <f t="shared" ref="R51:Y51" si="21">Q51</f>
        <v>2.0744540123312396E-4</v>
      </c>
      <c r="S51" s="332">
        <f t="shared" si="21"/>
        <v>2.0744540123312396E-4</v>
      </c>
      <c r="T51" s="332">
        <f t="shared" si="21"/>
        <v>2.0744540123312396E-4</v>
      </c>
      <c r="U51" s="332">
        <f t="shared" si="21"/>
        <v>2.0744540123312396E-4</v>
      </c>
      <c r="V51" s="332">
        <f t="shared" si="21"/>
        <v>2.0744540123312396E-4</v>
      </c>
      <c r="W51" s="332">
        <f t="shared" si="21"/>
        <v>2.0744540123312396E-4</v>
      </c>
      <c r="X51" s="332">
        <f t="shared" si="21"/>
        <v>2.0744540123312396E-4</v>
      </c>
      <c r="Y51" s="333">
        <f t="shared" si="21"/>
        <v>2.0744540123312396E-4</v>
      </c>
    </row>
    <row r="52" spans="4:25" ht="15" customHeight="1" x14ac:dyDescent="0.2">
      <c r="D52" s="19" t="s">
        <v>58</v>
      </c>
      <c r="E52" s="2" t="s">
        <v>117</v>
      </c>
      <c r="F52" s="24" t="s">
        <v>25</v>
      </c>
      <c r="G52" s="24"/>
      <c r="H52" s="2"/>
      <c r="I52" s="2"/>
      <c r="J52" s="2"/>
      <c r="K52" s="2"/>
      <c r="L52" s="2"/>
      <c r="M52" s="2"/>
      <c r="N52" s="2"/>
      <c r="O52" s="71"/>
      <c r="P52" s="73">
        <f t="shared" ref="P52:Y52" si="22">P47</f>
        <v>-13343.936198721418</v>
      </c>
      <c r="Q52" s="73">
        <f t="shared" si="22"/>
        <v>-531.16842604316844</v>
      </c>
      <c r="R52" s="73">
        <f t="shared" si="22"/>
        <v>-699.74413365000692</v>
      </c>
      <c r="S52" s="73">
        <f t="shared" si="22"/>
        <v>-828.2051005786434</v>
      </c>
      <c r="T52" s="73">
        <f t="shared" si="22"/>
        <v>-460.10257106344034</v>
      </c>
      <c r="U52" s="73">
        <f t="shared" si="22"/>
        <v>540.26792833232685</v>
      </c>
      <c r="V52" s="73">
        <f t="shared" si="22"/>
        <v>620.86331659296775</v>
      </c>
      <c r="W52" s="73">
        <f t="shared" si="22"/>
        <v>87.63420887868233</v>
      </c>
      <c r="X52" s="73">
        <f t="shared" si="22"/>
        <v>-234.82093405378328</v>
      </c>
      <c r="Y52" s="73">
        <f t="shared" si="22"/>
        <v>-438.36061065555077</v>
      </c>
    </row>
    <row r="53" spans="4:25" ht="15" customHeight="1" x14ac:dyDescent="0.2">
      <c r="D53" s="19"/>
      <c r="E53" s="188" t="s">
        <v>118</v>
      </c>
      <c r="F53" s="189" t="s">
        <v>25</v>
      </c>
      <c r="G53" s="189"/>
      <c r="H53" s="194"/>
      <c r="I53" s="194"/>
      <c r="J53" s="194"/>
      <c r="K53" s="194"/>
      <c r="L53" s="194"/>
      <c r="M53" s="194"/>
      <c r="N53" s="194"/>
      <c r="O53" s="208"/>
      <c r="P53" s="209">
        <f ca="1">SUM(P49:P50,P52)</f>
        <v>-13343.193012359156</v>
      </c>
      <c r="Q53" s="209">
        <f t="shared" ref="Q53:Y53" ca="1" si="23">SUM(Q49:Q50,Q52)</f>
        <v>202.72274438376724</v>
      </c>
      <c r="R53" s="209">
        <f t="shared" ca="1" si="23"/>
        <v>39.375172147145008</v>
      </c>
      <c r="S53" s="209">
        <f t="shared" ca="1" si="23"/>
        <v>-84.796260927129424</v>
      </c>
      <c r="T53" s="209">
        <f t="shared" ca="1" si="23"/>
        <v>285.71993690781301</v>
      </c>
      <c r="U53" s="209">
        <f t="shared" ca="1" si="23"/>
        <v>1289.3106038987721</v>
      </c>
      <c r="V53" s="209">
        <f t="shared" ca="1" si="23"/>
        <v>1376.9127062837345</v>
      </c>
      <c r="W53" s="209">
        <f t="shared" ca="1" si="23"/>
        <v>851.47523174277308</v>
      </c>
      <c r="X53" s="209">
        <f t="shared" ca="1" si="23"/>
        <v>536.82630457561743</v>
      </c>
      <c r="Y53" s="209">
        <f t="shared" ca="1" si="23"/>
        <v>340.0790352494505</v>
      </c>
    </row>
    <row r="54" spans="4:25" ht="15" customHeight="1" x14ac:dyDescent="0.2">
      <c r="D54" s="19"/>
      <c r="E54" s="185" t="s">
        <v>120</v>
      </c>
      <c r="F54" s="78" t="s">
        <v>25</v>
      </c>
      <c r="G54" s="78"/>
      <c r="H54" s="79"/>
      <c r="I54" s="79"/>
      <c r="J54" s="79"/>
      <c r="K54" s="79"/>
      <c r="L54" s="79"/>
      <c r="M54" s="79"/>
      <c r="N54" s="79"/>
      <c r="O54" s="193"/>
      <c r="P54" s="210"/>
      <c r="Q54" s="210"/>
      <c r="R54" s="210"/>
      <c r="S54" s="210"/>
      <c r="T54" s="210"/>
      <c r="U54" s="210"/>
      <c r="V54" s="210"/>
      <c r="W54" s="210"/>
      <c r="X54" s="210"/>
      <c r="Y54" s="211">
        <f ca="1">(Y53*(1+'&gt;&gt; Dash'!F43))/('&gt;&gt; Dash'!$F$49-'&gt;&gt; Dash'!$F$43)</f>
        <v>4028.3197991849861</v>
      </c>
    </row>
    <row r="55" spans="4:25" ht="15" customHeight="1" x14ac:dyDescent="0.2">
      <c r="D55" s="19"/>
      <c r="E55" s="2"/>
      <c r="F55" s="24"/>
      <c r="G55" s="24"/>
      <c r="H55" s="2"/>
      <c r="I55" s="2"/>
      <c r="J55" s="2"/>
      <c r="K55" s="2"/>
      <c r="L55" s="2"/>
      <c r="M55" s="2"/>
      <c r="N55" s="2"/>
      <c r="O55" s="71"/>
      <c r="P55" s="74"/>
      <c r="Q55" s="74"/>
      <c r="R55" s="74"/>
      <c r="S55" s="74"/>
      <c r="T55" s="74"/>
      <c r="U55" s="74"/>
      <c r="V55" s="74"/>
      <c r="W55" s="74"/>
      <c r="X55" s="74"/>
      <c r="Y55" s="74"/>
    </row>
    <row r="56" spans="4:25" ht="15" customHeight="1" x14ac:dyDescent="0.2">
      <c r="D56" s="19"/>
      <c r="E56" s="2" t="s">
        <v>36</v>
      </c>
      <c r="F56" s="24" t="s">
        <v>7</v>
      </c>
      <c r="G56" s="24"/>
      <c r="H56" s="28"/>
      <c r="I56" s="28"/>
      <c r="J56" s="28"/>
      <c r="K56" s="21"/>
      <c r="L56" s="21"/>
      <c r="M56" s="21"/>
      <c r="N56" s="21"/>
      <c r="O56" s="21"/>
      <c r="P56" s="21">
        <f ca="1">P11 * '&gt;&gt; Inputs'!P45</f>
        <v>-2.7397260273972603E-3</v>
      </c>
      <c r="Q56" s="21">
        <f ca="1">Q11 * '&gt;&gt; Inputs'!Q45</f>
        <v>0.99726027397260275</v>
      </c>
      <c r="R56" s="21">
        <f ca="1">R11 * '&gt;&gt; Inputs'!R45</f>
        <v>1</v>
      </c>
      <c r="S56" s="21">
        <f ca="1">S11 * '&gt;&gt; Inputs'!S45</f>
        <v>1</v>
      </c>
      <c r="T56" s="21">
        <f ca="1">T11 * '&gt;&gt; Inputs'!T45</f>
        <v>1</v>
      </c>
      <c r="U56" s="21">
        <f ca="1">U11 * '&gt;&gt; Inputs'!U45</f>
        <v>1</v>
      </c>
      <c r="V56" s="21">
        <f ca="1">V11 * '&gt;&gt; Inputs'!V45</f>
        <v>1</v>
      </c>
      <c r="W56" s="21">
        <f ca="1">W11 * '&gt;&gt; Inputs'!W45</f>
        <v>1</v>
      </c>
      <c r="X56" s="21">
        <f ca="1">X11 * '&gt;&gt; Inputs'!X45</f>
        <v>1</v>
      </c>
      <c r="Y56" s="21">
        <f ca="1">Y11 * '&gt;&gt; Inputs'!Y45</f>
        <v>1</v>
      </c>
    </row>
    <row r="57" spans="4:25" ht="15" customHeight="1" x14ac:dyDescent="0.2">
      <c r="D57" s="19"/>
      <c r="E57" s="2" t="s">
        <v>109</v>
      </c>
      <c r="F57" s="24" t="s">
        <v>25</v>
      </c>
      <c r="G57" s="24"/>
      <c r="H57" s="27"/>
      <c r="I57" s="27"/>
      <c r="J57" s="27"/>
      <c r="K57" s="33"/>
      <c r="L57" s="33"/>
      <c r="M57" s="33"/>
      <c r="N57" s="33"/>
      <c r="O57" s="33"/>
      <c r="P57" s="33">
        <f ca="1">( P56 * P53 )</f>
        <v>36.55669318454563</v>
      </c>
      <c r="Q57" s="33">
        <f t="shared" ref="Q57:Y57" ca="1" si="24">( Q56 * Q53 )</f>
        <v>202.16733960463364</v>
      </c>
      <c r="R57" s="33">
        <f t="shared" ca="1" si="24"/>
        <v>39.375172147145008</v>
      </c>
      <c r="S57" s="33">
        <f t="shared" ca="1" si="24"/>
        <v>-84.796260927129424</v>
      </c>
      <c r="T57" s="33">
        <f t="shared" ca="1" si="24"/>
        <v>285.71993690781301</v>
      </c>
      <c r="U57" s="33">
        <f t="shared" ca="1" si="24"/>
        <v>1289.3106038987721</v>
      </c>
      <c r="V57" s="33">
        <f t="shared" ca="1" si="24"/>
        <v>1376.9127062837345</v>
      </c>
      <c r="W57" s="33">
        <f t="shared" ca="1" si="24"/>
        <v>851.47523174277308</v>
      </c>
      <c r="X57" s="33">
        <f t="shared" ca="1" si="24"/>
        <v>536.82630457561743</v>
      </c>
      <c r="Y57" s="33">
        <f t="shared" ca="1" si="24"/>
        <v>340.0790352494505</v>
      </c>
    </row>
    <row r="58" spans="4:25" ht="15" customHeight="1" x14ac:dyDescent="0.2">
      <c r="D58" s="19"/>
      <c r="E58" s="2" t="s">
        <v>110</v>
      </c>
      <c r="F58" s="24" t="s">
        <v>25</v>
      </c>
      <c r="G58" s="24"/>
      <c r="H58" s="27"/>
      <c r="I58" s="27"/>
      <c r="J58" s="27"/>
      <c r="K58" s="33"/>
      <c r="L58" s="33"/>
      <c r="M58" s="33"/>
      <c r="N58" s="33"/>
      <c r="O58" s="33"/>
      <c r="P58" s="33">
        <f t="shared" ref="P58:X58" ca="1" si="25">P56 * P55</f>
        <v>0</v>
      </c>
      <c r="Q58" s="33">
        <f t="shared" ca="1" si="25"/>
        <v>0</v>
      </c>
      <c r="R58" s="33">
        <f t="shared" ca="1" si="25"/>
        <v>0</v>
      </c>
      <c r="S58" s="33">
        <f t="shared" ca="1" si="25"/>
        <v>0</v>
      </c>
      <c r="T58" s="33">
        <f t="shared" ca="1" si="25"/>
        <v>0</v>
      </c>
      <c r="U58" s="33">
        <f t="shared" ca="1" si="25"/>
        <v>0</v>
      </c>
      <c r="V58" s="33">
        <f t="shared" ca="1" si="25"/>
        <v>0</v>
      </c>
      <c r="W58" s="33">
        <f t="shared" ca="1" si="25"/>
        <v>0</v>
      </c>
      <c r="X58" s="33">
        <f t="shared" ca="1" si="25"/>
        <v>0</v>
      </c>
      <c r="Y58" s="33">
        <f ca="1">Y56 * Y54</f>
        <v>4028.3197991849861</v>
      </c>
    </row>
    <row r="59" spans="4:25" ht="15" customHeight="1" x14ac:dyDescent="0.2">
      <c r="D59" s="19"/>
      <c r="E59" s="2"/>
      <c r="F59" s="24"/>
      <c r="G59" s="24"/>
      <c r="H59" s="16"/>
      <c r="I59" s="27"/>
      <c r="J59" s="27"/>
      <c r="K59" s="33"/>
      <c r="L59" s="33"/>
      <c r="M59" s="33"/>
      <c r="N59" s="33"/>
      <c r="O59" s="33"/>
      <c r="P59" s="33"/>
      <c r="Q59" s="33"/>
      <c r="R59" s="33"/>
      <c r="S59" s="33"/>
      <c r="T59" s="33"/>
      <c r="U59" s="33"/>
      <c r="V59" s="33"/>
      <c r="W59" s="33"/>
      <c r="X59" s="33"/>
      <c r="Y59" s="33"/>
    </row>
    <row r="60" spans="4:25" ht="15" customHeight="1" x14ac:dyDescent="0.2">
      <c r="D60" s="19"/>
      <c r="E60" s="2" t="s">
        <v>111</v>
      </c>
      <c r="F60" s="16" t="s">
        <v>10</v>
      </c>
      <c r="G60" s="16"/>
      <c r="H60" s="27"/>
      <c r="I60" s="27"/>
      <c r="J60" s="27"/>
      <c r="K60" s="60"/>
      <c r="L60" s="60"/>
      <c r="M60" s="60"/>
      <c r="N60" s="60"/>
      <c r="O60" s="60"/>
      <c r="P60" s="60">
        <f ca="1">IF( P11 = 1, ( P8 - '&gt;&gt; Inputs'!$G$26 ) / DiY, 0 )</f>
        <v>-2.7397260273972603E-3</v>
      </c>
      <c r="Q60" s="60">
        <f ca="1">IF( Q11 = 1, ( Q8 - '&gt;&gt; Inputs'!$G$26 ) / DiY, 0 )</f>
        <v>0.99726027397260275</v>
      </c>
      <c r="R60" s="60">
        <f ca="1">IF( R11 = 1, ( R8 - '&gt;&gt; Inputs'!$G$26 ) / DiY, 0 )</f>
        <v>1.9972602739726026</v>
      </c>
      <c r="S60" s="60">
        <f ca="1">IF( S11 = 1, ( S8 - '&gt;&gt; Inputs'!$G$26 ) / DiY, 0 )</f>
        <v>2.9972602739726026</v>
      </c>
      <c r="T60" s="60">
        <f ca="1">IF( T11 = 1, ( T8 - '&gt;&gt; Inputs'!$G$26 ) / DiY, 0 )</f>
        <v>4</v>
      </c>
      <c r="U60" s="60">
        <f ca="1">IF( U11 = 1, ( U8 - '&gt;&gt; Inputs'!$G$26 ) / DiY, 0 )</f>
        <v>5</v>
      </c>
      <c r="V60" s="60">
        <f ca="1">IF( V11 = 1, ( V8 - '&gt;&gt; Inputs'!$G$26 ) / DiY, 0 )</f>
        <v>6</v>
      </c>
      <c r="W60" s="60">
        <f ca="1">IF( W11 = 1, ( W8 - '&gt;&gt; Inputs'!$G$26 ) / DiY, 0 )</f>
        <v>7</v>
      </c>
      <c r="X60" s="60">
        <f ca="1">IF( X11 = 1, ( X8 - '&gt;&gt; Inputs'!$G$26 ) / DiY, 0 )</f>
        <v>8.0027397260273965</v>
      </c>
      <c r="Y60" s="60">
        <f ca="1">IF( Y11 = 1, ( Y8 - '&gt;&gt; Inputs'!$G$26 ) / DiY, 0 )</f>
        <v>9.0027397260273965</v>
      </c>
    </row>
    <row r="61" spans="4:25" ht="15" customHeight="1" x14ac:dyDescent="0.2">
      <c r="D61" s="19"/>
      <c r="E61" s="2" t="s">
        <v>112</v>
      </c>
      <c r="F61" s="24" t="s">
        <v>10</v>
      </c>
      <c r="G61" s="24"/>
      <c r="H61" s="44"/>
      <c r="I61" s="44"/>
      <c r="J61" s="44"/>
      <c r="K61" s="22"/>
      <c r="L61" s="22"/>
      <c r="M61" s="22"/>
      <c r="N61" s="22"/>
      <c r="O61" s="22"/>
      <c r="P61" s="22">
        <f ca="1">P11 * ( 1 / ( 1 + '&gt;&gt; Dash'!$F$49 ) ^ '&gt;&gt; DCF'!P$60 )</f>
        <v>1.0002763390076796</v>
      </c>
      <c r="Q61" s="22">
        <f ca="1">Q11 * ( 1 / ( 1 + '&gt;&gt; Dash'!$F$49 ) ^ '&gt;&gt; DCF'!Q$60 )</f>
        <v>0.90431863961598247</v>
      </c>
      <c r="R61" s="22">
        <f ca="1">R11 * ( 1 / ( 1 + '&gt;&gt; Dash'!$F$49 ) ^ '&gt;&gt; DCF'!R$60 )</f>
        <v>0.81756627650334002</v>
      </c>
      <c r="S61" s="22">
        <f ca="1">S11 * ( 1 / ( 1 + '&gt;&gt; Dash'!$F$49 ) ^ '&gt;&gt; DCF'!S$60 )</f>
        <v>0.73913617080742366</v>
      </c>
      <c r="T61" s="22">
        <f ca="1">T11 * ( 1 / ( 1 + '&gt;&gt; Dash'!$F$49 ) ^ '&gt;&gt; DCF'!T$60 )</f>
        <v>0.66804535148239652</v>
      </c>
      <c r="U61" s="22">
        <f ca="1">U11 * ( 1 / ( 1 + '&gt;&gt; Dash'!$F$49 ) ^ '&gt;&gt; DCF'!U$60 )</f>
        <v>0.60395896603298893</v>
      </c>
      <c r="V61" s="22">
        <f ca="1">V11 * ( 1 / ( 1 + '&gt;&gt; Dash'!$F$49 ) ^ '&gt;&gt; DCF'!V$60 )</f>
        <v>0.54602046379369051</v>
      </c>
      <c r="W61" s="22">
        <f ca="1">W11 * ( 1 / ( 1 + '&gt;&gt; Dash'!$F$49 ) ^ '&gt;&gt; DCF'!W$60 )</f>
        <v>0.49364007101302343</v>
      </c>
      <c r="X61" s="22">
        <f ca="1">X11 * ( 1 / ( 1 + '&gt;&gt; Dash'!$F$49 ) ^ '&gt;&gt; DCF'!X$60 )</f>
        <v>0.44616129986636849</v>
      </c>
      <c r="Y61" s="22">
        <f ca="1">Y11 * ( 1 / ( 1 + '&gt;&gt; Dash'!$F$49 ) ^ '&gt;&gt; DCF'!Y$60 )</f>
        <v>0.4033605154998624</v>
      </c>
    </row>
    <row r="62" spans="4:25" ht="15" customHeight="1" x14ac:dyDescent="0.2">
      <c r="D62" s="19"/>
      <c r="E62" s="70"/>
      <c r="F62" s="24"/>
      <c r="G62" s="24"/>
      <c r="H62" s="2"/>
      <c r="I62" s="2"/>
      <c r="J62" s="2"/>
      <c r="K62" s="2"/>
      <c r="L62" s="2"/>
      <c r="M62" s="2"/>
      <c r="N62" s="2"/>
      <c r="O62" s="71"/>
      <c r="P62" s="71"/>
      <c r="Q62" s="71"/>
      <c r="R62" s="71"/>
      <c r="S62" s="71"/>
      <c r="T62" s="71"/>
      <c r="U62" s="71"/>
      <c r="V62" s="71"/>
      <c r="W62" s="71"/>
      <c r="X62" s="71"/>
      <c r="Y62" s="71"/>
    </row>
    <row r="63" spans="4:25" ht="15" customHeight="1" x14ac:dyDescent="0.2">
      <c r="D63" s="19"/>
      <c r="E63" s="188" t="s">
        <v>119</v>
      </c>
      <c r="F63" s="189" t="s">
        <v>25</v>
      </c>
      <c r="G63" s="189"/>
      <c r="H63" s="194"/>
      <c r="I63" s="194"/>
      <c r="J63" s="194"/>
      <c r="K63" s="194"/>
      <c r="L63" s="194"/>
      <c r="M63" s="194"/>
      <c r="N63" s="194"/>
      <c r="O63" s="195"/>
      <c r="P63" s="196">
        <f ca="1">P61*P57</f>
        <v>36.566795224864293</v>
      </c>
      <c r="Q63" s="196">
        <f t="shared" ref="Q63:Y63" ca="1" si="26">Q61*Q57</f>
        <v>182.82369352604462</v>
      </c>
      <c r="R63" s="196">
        <f t="shared" ca="1" si="26"/>
        <v>32.191812879019366</v>
      </c>
      <c r="S63" s="196">
        <f t="shared" ca="1" si="26"/>
        <v>-62.675983600465599</v>
      </c>
      <c r="T63" s="196">
        <f t="shared" ca="1" si="26"/>
        <v>190.87387567710809</v>
      </c>
      <c r="U63" s="196">
        <f t="shared" ca="1" si="26"/>
        <v>778.69069922607093</v>
      </c>
      <c r="V63" s="196">
        <f t="shared" ca="1" si="26"/>
        <v>751.82251448847023</v>
      </c>
      <c r="W63" s="196">
        <f t="shared" ca="1" si="26"/>
        <v>420.32229386333307</v>
      </c>
      <c r="X63" s="196">
        <f t="shared" ca="1" si="26"/>
        <v>239.5111218519165</v>
      </c>
      <c r="Y63" s="196">
        <f t="shared" ca="1" si="26"/>
        <v>137.17445496891423</v>
      </c>
    </row>
    <row r="64" spans="4:25" ht="15" customHeight="1" x14ac:dyDescent="0.2">
      <c r="E64" s="185" t="s">
        <v>240</v>
      </c>
      <c r="F64" s="78" t="s">
        <v>25</v>
      </c>
      <c r="G64" s="78"/>
      <c r="H64" s="79"/>
      <c r="I64" s="79"/>
      <c r="J64" s="79"/>
      <c r="K64" s="79"/>
      <c r="L64" s="79"/>
      <c r="M64" s="79"/>
      <c r="N64" s="79"/>
      <c r="O64" s="186"/>
      <c r="P64" s="187"/>
      <c r="Q64" s="187"/>
      <c r="R64" s="187"/>
      <c r="S64" s="187"/>
      <c r="T64" s="187"/>
      <c r="U64" s="187"/>
      <c r="V64" s="187"/>
      <c r="W64" s="187"/>
      <c r="X64" s="187"/>
      <c r="Y64" s="205">
        <f ca="1">Y58 * Y61</f>
        <v>1624.8651507975583</v>
      </c>
    </row>
    <row r="65" spans="5:25" ht="15" customHeight="1" x14ac:dyDescent="0.2">
      <c r="E65" s="70"/>
      <c r="F65" s="24"/>
      <c r="G65" s="24"/>
      <c r="H65" s="2"/>
      <c r="I65" s="2"/>
      <c r="J65" s="2"/>
      <c r="K65" s="2"/>
      <c r="L65" s="2"/>
      <c r="M65" s="2"/>
      <c r="N65" s="2"/>
      <c r="O65" s="34"/>
      <c r="P65" s="72"/>
      <c r="Q65" s="72"/>
      <c r="R65" s="72"/>
      <c r="S65" s="72"/>
      <c r="T65" s="72"/>
      <c r="U65" s="72"/>
      <c r="V65" s="72"/>
      <c r="W65" s="72"/>
      <c r="X65" s="72"/>
      <c r="Y65" s="72"/>
    </row>
    <row r="66" spans="5:25" ht="15" customHeight="1" x14ac:dyDescent="0.2">
      <c r="E66" s="2"/>
      <c r="F66" s="24"/>
      <c r="G66" s="24"/>
      <c r="H66" s="2"/>
      <c r="I66" s="2"/>
      <c r="J66" s="2"/>
      <c r="K66" s="2"/>
      <c r="L66" s="2"/>
      <c r="M66" s="2"/>
      <c r="N66" s="2"/>
      <c r="O66" s="34"/>
      <c r="Y66" s="75"/>
    </row>
    <row r="67" spans="5:25" ht="15" customHeight="1" x14ac:dyDescent="0.2">
      <c r="E67" s="357" t="s">
        <v>121</v>
      </c>
      <c r="F67" s="358"/>
      <c r="G67" s="358"/>
      <c r="H67" s="359"/>
      <c r="I67" s="2"/>
      <c r="J67" s="2"/>
      <c r="K67" s="2"/>
      <c r="L67" s="2"/>
      <c r="M67" s="2"/>
      <c r="N67" s="2"/>
      <c r="O67" s="2"/>
      <c r="Q67" s="2"/>
      <c r="R67" s="2"/>
      <c r="S67" s="2"/>
      <c r="T67" s="2"/>
      <c r="U67" s="2"/>
      <c r="V67" s="2"/>
      <c r="W67" s="2"/>
      <c r="X67" s="2"/>
      <c r="Y67" s="2"/>
    </row>
    <row r="68" spans="5:25" ht="15" customHeight="1" x14ac:dyDescent="0.2">
      <c r="E68" s="2"/>
      <c r="F68" s="24"/>
      <c r="G68" s="24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</row>
    <row r="69" spans="5:25" ht="15" customHeight="1" x14ac:dyDescent="0.2">
      <c r="E69" s="76" t="s">
        <v>122</v>
      </c>
      <c r="F69" s="24" t="s">
        <v>25</v>
      </c>
      <c r="G69" s="24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</row>
    <row r="70" spans="5:25" ht="15" customHeight="1" x14ac:dyDescent="0.2">
      <c r="E70" s="2" t="s">
        <v>57</v>
      </c>
      <c r="F70" s="24" t="s">
        <v>25</v>
      </c>
      <c r="G70" s="24"/>
      <c r="H70" s="47">
        <f ca="1">SUM(P40:Y41)</f>
        <v>24041.54750678263</v>
      </c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</row>
    <row r="71" spans="5:25" ht="15" customHeight="1" x14ac:dyDescent="0.2">
      <c r="E71" s="2" t="s">
        <v>59</v>
      </c>
      <c r="F71" s="24" t="s">
        <v>25</v>
      </c>
      <c r="G71" s="24"/>
      <c r="H71" s="17">
        <v>0</v>
      </c>
      <c r="I71" s="77"/>
      <c r="J71" s="47"/>
      <c r="K71" s="2"/>
      <c r="L71" s="2"/>
      <c r="M71" s="2"/>
      <c r="N71" s="2"/>
      <c r="O71" s="2"/>
      <c r="P71" s="47"/>
      <c r="Q71" s="2"/>
      <c r="R71" s="2"/>
      <c r="S71" s="2"/>
      <c r="T71" s="2"/>
      <c r="U71" s="2"/>
      <c r="V71" s="2"/>
      <c r="W71" s="2"/>
      <c r="X71" s="2"/>
      <c r="Y71" s="2"/>
    </row>
    <row r="72" spans="5:25" ht="15" customHeight="1" x14ac:dyDescent="0.2">
      <c r="E72" s="2" t="s">
        <v>61</v>
      </c>
      <c r="F72" s="24" t="s">
        <v>25</v>
      </c>
      <c r="G72" s="24"/>
      <c r="H72" s="27">
        <f>'&gt;&gt; Inputs'!$G$35</f>
        <v>-14528.759999999998</v>
      </c>
      <c r="I72" s="2"/>
      <c r="J72" s="47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</row>
    <row r="73" spans="5:25" ht="15" customHeight="1" x14ac:dyDescent="0.2">
      <c r="E73" s="15" t="s">
        <v>63</v>
      </c>
      <c r="F73" s="29" t="s">
        <v>25</v>
      </c>
      <c r="G73" s="29"/>
      <c r="H73" s="26">
        <f ca="1">H70 + H71 + H72</f>
        <v>9512.7875067826317</v>
      </c>
      <c r="I73" s="2"/>
      <c r="J73" s="34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</row>
    <row r="74" spans="5:25" ht="15" customHeight="1" x14ac:dyDescent="0.2">
      <c r="E74" s="2"/>
      <c r="F74" s="2"/>
      <c r="G74" s="2"/>
      <c r="H74" s="2"/>
      <c r="I74" s="47"/>
      <c r="J74" s="27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</row>
    <row r="75" spans="5:25" ht="15" customHeight="1" x14ac:dyDescent="0.2">
      <c r="E75" s="2" t="s">
        <v>64</v>
      </c>
      <c r="F75" s="16" t="s">
        <v>65</v>
      </c>
      <c r="G75" s="16"/>
      <c r="H75" s="27">
        <f>'&gt;&gt; Inputs'!$G$47</f>
        <v>378.75604099999998</v>
      </c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</row>
    <row r="76" spans="5:25" ht="15" customHeight="1" x14ac:dyDescent="0.2">
      <c r="E76" s="1" t="s">
        <v>123</v>
      </c>
      <c r="F76" s="48" t="s">
        <v>66</v>
      </c>
      <c r="G76" s="48"/>
      <c r="H76" s="49">
        <f ca="1">H73 / H75</f>
        <v>25.115870050987866</v>
      </c>
      <c r="I76" s="2"/>
      <c r="J76" s="34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</row>
    <row r="77" spans="5:25" ht="15" customHeight="1" x14ac:dyDescent="0.2">
      <c r="E77" s="1"/>
      <c r="F77" s="48"/>
      <c r="G77" s="48"/>
      <c r="H77" s="49"/>
      <c r="I77" s="2"/>
      <c r="J77" s="34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</row>
    <row r="78" spans="5:25" ht="15" customHeight="1" x14ac:dyDescent="0.2">
      <c r="E78" s="2" t="s">
        <v>67</v>
      </c>
      <c r="F78" s="16" t="s">
        <v>66</v>
      </c>
      <c r="G78" s="16"/>
      <c r="H78" s="50">
        <f>'&gt;&gt; Inputs'!G21</f>
        <v>0.99</v>
      </c>
      <c r="I78" s="2"/>
      <c r="J78" s="34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</row>
    <row r="79" spans="5:25" ht="15" customHeight="1" x14ac:dyDescent="0.2">
      <c r="E79" s="2" t="s">
        <v>68</v>
      </c>
      <c r="F79" s="16" t="s">
        <v>7</v>
      </c>
      <c r="G79" s="16"/>
      <c r="H79" s="28">
        <f ca="1">H76 / H78 - 1</f>
        <v>24.369565708068553</v>
      </c>
      <c r="I79" s="2"/>
      <c r="J79" s="34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</row>
    <row r="80" spans="5:25" ht="15" customHeight="1" x14ac:dyDescent="0.2">
      <c r="E80" s="2"/>
      <c r="F80" s="16"/>
      <c r="G80" s="16"/>
      <c r="H80" s="28"/>
      <c r="I80" s="2"/>
      <c r="J80" s="34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</row>
    <row r="81" spans="5:25" ht="15" customHeight="1" x14ac:dyDescent="0.2">
      <c r="E81" s="2" t="s">
        <v>257</v>
      </c>
      <c r="F81" s="16" t="s">
        <v>7</v>
      </c>
      <c r="G81" s="16"/>
      <c r="H81" s="28">
        <f>'&gt;&gt; Dash'!$K$43</f>
        <v>4.7929615227546005E-2</v>
      </c>
      <c r="I81" s="2"/>
      <c r="J81" s="34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</row>
    <row r="82" spans="5:25" ht="15" customHeight="1" x14ac:dyDescent="0.2">
      <c r="E82" s="2"/>
      <c r="F82" s="274"/>
      <c r="G82" s="274"/>
      <c r="H82" s="2"/>
      <c r="I82" s="2"/>
      <c r="J82" s="34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</row>
    <row r="83" spans="5:25" ht="15" customHeight="1" x14ac:dyDescent="0.2">
      <c r="E83" s="2" t="str">
        <f>"Forecast FY" &amp; TEXT(YEAR(EOMONTH('&gt;&gt; Inputs'!$G$17, 12)), "00") &amp; " EBITDA"</f>
        <v>Forecast FY2025 EBITDA</v>
      </c>
      <c r="F83" s="274" t="s">
        <v>25</v>
      </c>
      <c r="G83" s="274"/>
      <c r="H83" s="47">
        <f ca="1">P18</f>
        <v>1117.842138610265</v>
      </c>
      <c r="I83" s="2"/>
      <c r="J83" s="34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</row>
    <row r="84" spans="5:25" ht="15" customHeight="1" x14ac:dyDescent="0.2">
      <c r="E84" s="2" t="str">
        <f>"Forecast FY" &amp; TEXT(YEAR(EOMONTH('&gt;&gt; Inputs'!$G$17, 12)), "00") &amp; " EBIT"</f>
        <v>Forecast FY2025 EBIT</v>
      </c>
      <c r="F84" s="274" t="s">
        <v>25</v>
      </c>
      <c r="G84" s="274"/>
      <c r="H84" s="47">
        <f ca="1">P21</f>
        <v>1105.758388610265</v>
      </c>
      <c r="I84" s="2"/>
      <c r="J84" s="34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</row>
    <row r="85" spans="5:25" ht="15" customHeight="1" x14ac:dyDescent="0.2">
      <c r="I85" s="2"/>
      <c r="J85" s="34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</row>
    <row r="86" spans="5:25" ht="15" customHeight="1" x14ac:dyDescent="0.2">
      <c r="E86" s="2" t="s">
        <v>70</v>
      </c>
      <c r="F86" s="16" t="s">
        <v>71</v>
      </c>
      <c r="G86" s="16"/>
      <c r="H86" s="31">
        <f ca="1">H73 / '&gt;&gt; Fin Stmts'!O15</f>
        <v>1.9996063982911907</v>
      </c>
      <c r="I86" s="2"/>
      <c r="J86" s="34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</row>
    <row r="87" spans="5:25" ht="15" customHeight="1" x14ac:dyDescent="0.2">
      <c r="E87" s="2" t="s">
        <v>72</v>
      </c>
      <c r="F87" s="16" t="s">
        <v>71</v>
      </c>
      <c r="G87" s="16"/>
      <c r="H87" s="31">
        <f ca="1">H73/ '&gt;&gt; Fin Stmts'!O17</f>
        <v>2.0057112299108404</v>
      </c>
      <c r="I87" s="2"/>
      <c r="J87" s="34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</row>
    <row r="88" spans="5:25" ht="15" customHeight="1" x14ac:dyDescent="0.2">
      <c r="E88" s="2" t="s">
        <v>73</v>
      </c>
      <c r="F88" s="16" t="s">
        <v>71</v>
      </c>
      <c r="G88" s="16"/>
      <c r="H88" s="31">
        <f ca="1">( ( H75 * H78 ) + ( 0 - H72 ) ) / H83</f>
        <v>13.332587818812021</v>
      </c>
      <c r="I88" s="2"/>
      <c r="J88" s="34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</row>
    <row r="89" spans="5:25" ht="15" customHeight="1" x14ac:dyDescent="0.2">
      <c r="E89" s="2" t="s">
        <v>74</v>
      </c>
      <c r="F89" s="16" t="s">
        <v>71</v>
      </c>
      <c r="G89" s="16"/>
      <c r="H89" s="31">
        <f ca="1">( ( H75 * H78 ) + ( 0 - H72 ) ) / H84</f>
        <v>13.478286607729238</v>
      </c>
      <c r="I89" s="2"/>
      <c r="J89" s="49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</row>
    <row r="90" spans="5:25" ht="15" customHeight="1" x14ac:dyDescent="0.2">
      <c r="E90" s="2"/>
      <c r="F90" s="16"/>
      <c r="G90" s="16"/>
      <c r="H90" s="31"/>
      <c r="I90" s="2"/>
      <c r="J90" s="49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</row>
    <row r="91" spans="5:25" ht="15" customHeight="1" x14ac:dyDescent="0.2">
      <c r="E91" s="357" t="s">
        <v>124</v>
      </c>
      <c r="F91" s="358"/>
      <c r="G91" s="358"/>
      <c r="H91" s="359"/>
      <c r="I91" s="2"/>
      <c r="J91" s="49"/>
      <c r="K91" s="2"/>
      <c r="L91" s="2"/>
      <c r="Q91" s="2"/>
      <c r="R91" s="2"/>
      <c r="S91" s="2"/>
      <c r="T91" s="2"/>
      <c r="U91" s="2"/>
      <c r="V91" s="2"/>
      <c r="W91" s="2"/>
      <c r="X91" s="2"/>
      <c r="Y91" s="2"/>
    </row>
    <row r="92" spans="5:25" ht="15" customHeight="1" x14ac:dyDescent="0.2">
      <c r="E92" s="159"/>
    </row>
    <row r="93" spans="5:25" ht="15" customHeight="1" x14ac:dyDescent="0.2">
      <c r="E93" s="2" t="s">
        <v>63</v>
      </c>
      <c r="F93" s="24" t="s">
        <v>25</v>
      </c>
      <c r="G93" s="24"/>
      <c r="H93" s="47">
        <f ca="1">SUM(P63:Y64)</f>
        <v>4332.166428902834</v>
      </c>
    </row>
    <row r="95" spans="5:25" ht="15" customHeight="1" x14ac:dyDescent="0.2">
      <c r="E95" s="2" t="s">
        <v>64</v>
      </c>
      <c r="F95" s="16" t="s">
        <v>65</v>
      </c>
      <c r="G95" s="16"/>
      <c r="H95" s="27">
        <f>'&gt;&gt; Inputs'!$G$47</f>
        <v>378.75604099999998</v>
      </c>
    </row>
    <row r="96" spans="5:25" ht="15" customHeight="1" x14ac:dyDescent="0.2">
      <c r="E96" s="1" t="s">
        <v>232</v>
      </c>
      <c r="F96" s="48" t="s">
        <v>66</v>
      </c>
      <c r="G96" s="48"/>
      <c r="H96" s="49">
        <f ca="1">H93 / H95</f>
        <v>11.43788074631088</v>
      </c>
    </row>
    <row r="98" spans="1:27" ht="15" customHeight="1" x14ac:dyDescent="0.2">
      <c r="E98" s="2" t="s">
        <v>67</v>
      </c>
      <c r="F98" s="16" t="s">
        <v>66</v>
      </c>
      <c r="G98" s="16"/>
      <c r="H98" s="50">
        <f>'&gt;&gt; Inputs'!G21</f>
        <v>0.99</v>
      </c>
    </row>
    <row r="99" spans="1:27" ht="15" customHeight="1" x14ac:dyDescent="0.2">
      <c r="E99" s="2" t="s">
        <v>68</v>
      </c>
      <c r="F99" s="16" t="s">
        <v>7</v>
      </c>
      <c r="G99" s="16"/>
      <c r="H99" s="28">
        <f ca="1">H96 / H98 - 1</f>
        <v>10.553414895263515</v>
      </c>
    </row>
    <row r="100" spans="1:27" ht="15" customHeight="1" x14ac:dyDescent="0.2">
      <c r="E100" s="2"/>
      <c r="F100" s="16"/>
      <c r="G100" s="16"/>
      <c r="H100" s="51"/>
    </row>
    <row r="101" spans="1:27" ht="15" customHeight="1" x14ac:dyDescent="0.2">
      <c r="E101" s="2" t="s">
        <v>8</v>
      </c>
      <c r="F101" s="16" t="s">
        <v>7</v>
      </c>
      <c r="G101" s="16"/>
      <c r="H101" s="28">
        <f>'&gt;&gt; Inputs'!G16</f>
        <v>0.106110496</v>
      </c>
    </row>
    <row r="102" spans="1:27" ht="15" customHeight="1" x14ac:dyDescent="0.2">
      <c r="E102" s="2"/>
      <c r="F102" s="274"/>
      <c r="G102" s="274"/>
      <c r="H102" s="2"/>
    </row>
    <row r="103" spans="1:27" ht="15" customHeight="1" x14ac:dyDescent="0.2">
      <c r="E103" s="2" t="str">
        <f>"Forecast FY" &amp; TEXT(YEAR(EOMONTH('&gt;&gt; Inputs'!$G$17, 12)), "00") &amp; " EBITDA"</f>
        <v>Forecast FY2025 EBITDA</v>
      </c>
      <c r="F103" s="274" t="s">
        <v>25</v>
      </c>
      <c r="G103" s="274"/>
      <c r="H103" s="47">
        <f ca="1">P18</f>
        <v>1117.842138610265</v>
      </c>
    </row>
    <row r="104" spans="1:27" ht="15" customHeight="1" x14ac:dyDescent="0.2">
      <c r="E104" s="2" t="str">
        <f>"Forecast FY" &amp; TEXT(YEAR(EOMONTH('&gt;&gt; Inputs'!$G$17, 12)), "00") &amp; " EBIT"</f>
        <v>Forecast FY2025 EBIT</v>
      </c>
      <c r="F104" s="274" t="s">
        <v>25</v>
      </c>
      <c r="G104" s="274"/>
      <c r="H104" s="47">
        <f ca="1">P21</f>
        <v>1105.758388610265</v>
      </c>
    </row>
    <row r="106" spans="1:27" ht="15" customHeight="1" x14ac:dyDescent="0.2">
      <c r="B106" s="2"/>
      <c r="C106" s="2"/>
      <c r="D106" s="2"/>
      <c r="E106" s="2" t="s">
        <v>70</v>
      </c>
      <c r="F106" s="16" t="s">
        <v>71</v>
      </c>
      <c r="G106" s="16"/>
      <c r="H106" s="31">
        <f ca="1">H93 / '&gt;&gt; Fin Stmts'!O15</f>
        <v>0.91062979211087591</v>
      </c>
    </row>
    <row r="107" spans="1:27" ht="15" customHeight="1" x14ac:dyDescent="0.2">
      <c r="B107" s="2"/>
      <c r="C107" s="2"/>
      <c r="D107" s="2"/>
      <c r="E107" s="2" t="s">
        <v>72</v>
      </c>
      <c r="F107" s="16" t="s">
        <v>71</v>
      </c>
      <c r="G107" s="16"/>
      <c r="H107" s="31">
        <f ca="1">H93 / '&gt;&gt; Fin Stmts'!O17</f>
        <v>0.91340996002463348</v>
      </c>
    </row>
    <row r="108" spans="1:27" ht="15" customHeight="1" x14ac:dyDescent="0.2">
      <c r="B108" s="2"/>
      <c r="C108" s="2"/>
      <c r="D108" s="2"/>
      <c r="E108" s="2" t="s">
        <v>73</v>
      </c>
      <c r="F108" s="16" t="s">
        <v>71</v>
      </c>
      <c r="G108" s="16"/>
      <c r="H108" s="31">
        <f ca="1">( ( H98 * H95 )  ) / H103</f>
        <v>0.33543956488898519</v>
      </c>
    </row>
    <row r="109" spans="1:27" ht="15" customHeight="1" x14ac:dyDescent="0.2">
      <c r="B109" s="2"/>
      <c r="C109" s="2"/>
      <c r="D109" s="2"/>
      <c r="E109" s="2" t="s">
        <v>74</v>
      </c>
      <c r="F109" s="16" t="s">
        <v>71</v>
      </c>
      <c r="G109" s="16"/>
      <c r="H109" s="31">
        <f ca="1">( ( H98 * H95 )  ) / H104</f>
        <v>0.3391052552278318</v>
      </c>
    </row>
    <row r="110" spans="1:27" ht="15" customHeight="1" x14ac:dyDescent="0.2">
      <c r="B110" s="2"/>
      <c r="C110" s="2"/>
      <c r="D110" s="2"/>
    </row>
    <row r="111" spans="1:27" ht="15" customHeight="1" x14ac:dyDescent="0.2">
      <c r="B111" s="2"/>
      <c r="C111" s="2"/>
      <c r="D111" s="2"/>
    </row>
    <row r="112" spans="1:27" ht="15" customHeight="1" x14ac:dyDescent="0.2">
      <c r="A112" s="41"/>
      <c r="B112" s="41" t="s">
        <v>45</v>
      </c>
      <c r="C112" s="42"/>
      <c r="D112" s="42"/>
      <c r="E112" s="42"/>
      <c r="F112" s="42"/>
      <c r="G112" s="42"/>
      <c r="H112" s="42"/>
      <c r="I112" s="42"/>
      <c r="J112" s="42"/>
      <c r="K112" s="42"/>
      <c r="L112" s="42"/>
      <c r="M112" s="42"/>
      <c r="N112" s="42"/>
      <c r="O112" s="42"/>
      <c r="P112" s="42"/>
      <c r="Q112" s="42"/>
      <c r="R112" s="42"/>
      <c r="S112" s="42"/>
      <c r="T112" s="42"/>
      <c r="U112" s="42"/>
      <c r="V112" s="42"/>
      <c r="W112" s="42"/>
      <c r="X112" s="42"/>
      <c r="Y112" s="42"/>
      <c r="Z112" s="42"/>
      <c r="AA112" s="42"/>
    </row>
  </sheetData>
  <mergeCells count="3">
    <mergeCell ref="E67:H67"/>
    <mergeCell ref="E91:H91"/>
    <mergeCell ref="H2:O2"/>
  </mergeCells>
  <pageMargins left="0.7" right="0.7" top="0.75" bottom="0.75" header="0" footer="0"/>
  <pageSetup orientation="portrait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77EF47-9951-4963-9FFE-497781B76D7D}">
  <sheetPr>
    <tabColor rgb="FF8496B0"/>
  </sheetPr>
  <dimension ref="A2:AA58"/>
  <sheetViews>
    <sheetView showGridLines="0" topLeftCell="A20" workbookViewId="0">
      <selection activeCell="G6" sqref="G6"/>
    </sheetView>
  </sheetViews>
  <sheetFormatPr baseColWidth="10" defaultColWidth="14.5" defaultRowHeight="15" customHeight="1" x14ac:dyDescent="0.2"/>
  <cols>
    <col min="1" max="2" width="2.5" customWidth="1"/>
    <col min="3" max="3" width="1.33203125" customWidth="1"/>
    <col min="4" max="4" width="3.33203125" customWidth="1"/>
    <col min="5" max="5" width="38" customWidth="1"/>
    <col min="6" max="17" width="11.1640625" customWidth="1"/>
    <col min="18" max="18" width="15.1640625" bestFit="1" customWidth="1"/>
    <col min="19" max="26" width="11.1640625" customWidth="1"/>
    <col min="27" max="28" width="9.1640625" customWidth="1"/>
    <col min="29" max="29" width="12.33203125" customWidth="1"/>
    <col min="30" max="30" width="17.5" customWidth="1"/>
    <col min="31" max="31" width="17.33203125" customWidth="1"/>
    <col min="32" max="32" width="15.6640625" customWidth="1"/>
    <col min="33" max="34" width="9.1640625" customWidth="1"/>
  </cols>
  <sheetData>
    <row r="2" spans="3:26" ht="15" customHeight="1" x14ac:dyDescent="0.2">
      <c r="C2" s="63" t="s">
        <v>241</v>
      </c>
      <c r="E2" s="2"/>
      <c r="F2" s="2"/>
      <c r="G2" s="2"/>
      <c r="H2" s="2"/>
      <c r="Q2" s="2"/>
      <c r="R2" s="2"/>
      <c r="S2" s="2"/>
      <c r="T2" s="2"/>
      <c r="U2" s="2"/>
      <c r="V2" s="2"/>
      <c r="W2" s="2"/>
      <c r="X2" s="2"/>
      <c r="Y2" s="2"/>
      <c r="Z2" s="2"/>
    </row>
    <row r="3" spans="3:26" ht="15" customHeight="1" x14ac:dyDescent="0.2"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spans="3:26" ht="15" customHeight="1" x14ac:dyDescent="0.2">
      <c r="C4" s="3"/>
      <c r="D4" s="4" t="s">
        <v>87</v>
      </c>
      <c r="E4" s="3"/>
      <c r="F4" s="5" t="s">
        <v>88</v>
      </c>
      <c r="G4" s="6">
        <f>EOMONTH('&gt;&gt; Inputs'!$G$17,0)</f>
        <v>45657</v>
      </c>
      <c r="H4" s="6">
        <f>EOMONTH(G4,12)</f>
        <v>46022</v>
      </c>
      <c r="I4" s="6">
        <f t="shared" ref="I4:Q4" si="0">EOMONTH(H4,12)</f>
        <v>46387</v>
      </c>
      <c r="J4" s="6">
        <f t="shared" si="0"/>
        <v>46752</v>
      </c>
      <c r="K4" s="6">
        <f t="shared" si="0"/>
        <v>47118</v>
      </c>
      <c r="L4" s="6">
        <f t="shared" si="0"/>
        <v>47483</v>
      </c>
      <c r="M4" s="6">
        <f t="shared" si="0"/>
        <v>47848</v>
      </c>
      <c r="N4" s="6">
        <f t="shared" si="0"/>
        <v>48213</v>
      </c>
      <c r="O4" s="6">
        <f t="shared" si="0"/>
        <v>48579</v>
      </c>
      <c r="P4" s="6">
        <f t="shared" si="0"/>
        <v>48944</v>
      </c>
      <c r="Q4" s="6">
        <f t="shared" si="0"/>
        <v>49309</v>
      </c>
    </row>
    <row r="5" spans="3:26" ht="15" customHeight="1" x14ac:dyDescent="0.2">
      <c r="C5" s="7"/>
      <c r="D5" s="7"/>
      <c r="E5" s="7" t="s">
        <v>89</v>
      </c>
      <c r="F5" s="8" t="s">
        <v>90</v>
      </c>
      <c r="G5" s="11">
        <v>0</v>
      </c>
      <c r="H5" s="11">
        <f t="shared" ref="H5:Q5" si="1">G5 + 1</f>
        <v>1</v>
      </c>
      <c r="I5" s="11">
        <f t="shared" si="1"/>
        <v>2</v>
      </c>
      <c r="J5" s="11">
        <f t="shared" si="1"/>
        <v>3</v>
      </c>
      <c r="K5" s="11">
        <f t="shared" si="1"/>
        <v>4</v>
      </c>
      <c r="L5" s="11">
        <f t="shared" si="1"/>
        <v>5</v>
      </c>
      <c r="M5" s="11">
        <f t="shared" si="1"/>
        <v>6</v>
      </c>
      <c r="N5" s="11">
        <f t="shared" si="1"/>
        <v>7</v>
      </c>
      <c r="O5" s="11">
        <f t="shared" si="1"/>
        <v>8</v>
      </c>
      <c r="P5" s="11">
        <f t="shared" si="1"/>
        <v>9</v>
      </c>
      <c r="Q5" s="11">
        <f t="shared" si="1"/>
        <v>10</v>
      </c>
    </row>
    <row r="6" spans="3:26" ht="15" customHeight="1" x14ac:dyDescent="0.2">
      <c r="C6" s="7"/>
      <c r="D6" s="7"/>
      <c r="E6" s="7" t="s">
        <v>91</v>
      </c>
      <c r="F6" s="10" t="s">
        <v>92</v>
      </c>
      <c r="G6" s="11">
        <f>'&gt;&gt; DCF'!O6</f>
        <v>4.5</v>
      </c>
      <c r="H6" s="11">
        <f t="shared" ref="H6:Q6" si="2">G6 + 1</f>
        <v>5.5</v>
      </c>
      <c r="I6" s="11">
        <f t="shared" si="2"/>
        <v>6.5</v>
      </c>
      <c r="J6" s="11">
        <f t="shared" si="2"/>
        <v>7.5</v>
      </c>
      <c r="K6" s="11">
        <f t="shared" si="2"/>
        <v>8.5</v>
      </c>
      <c r="L6" s="11">
        <f t="shared" si="2"/>
        <v>9.5</v>
      </c>
      <c r="M6" s="11">
        <f t="shared" si="2"/>
        <v>10.5</v>
      </c>
      <c r="N6" s="11">
        <f t="shared" si="2"/>
        <v>11.5</v>
      </c>
      <c r="O6" s="11">
        <f t="shared" si="2"/>
        <v>12.5</v>
      </c>
      <c r="P6" s="11">
        <f t="shared" si="2"/>
        <v>13.5</v>
      </c>
      <c r="Q6" s="11">
        <f t="shared" si="2"/>
        <v>14.5</v>
      </c>
    </row>
    <row r="7" spans="3:26" ht="15" customHeight="1" x14ac:dyDescent="0.2">
      <c r="C7" s="7"/>
      <c r="D7" s="7"/>
      <c r="E7" s="7" t="s">
        <v>93</v>
      </c>
      <c r="F7" s="10" t="s">
        <v>5</v>
      </c>
      <c r="G7" s="59">
        <f>'&gt;&gt; DCF'!O7</f>
        <v>44927</v>
      </c>
      <c r="H7" s="59">
        <f t="shared" ref="H7:Q7" si="3">G8 + 1</f>
        <v>45292</v>
      </c>
      <c r="I7" s="59">
        <f t="shared" si="3"/>
        <v>45658</v>
      </c>
      <c r="J7" s="59">
        <f t="shared" si="3"/>
        <v>46023</v>
      </c>
      <c r="K7" s="59">
        <f t="shared" si="3"/>
        <v>46388</v>
      </c>
      <c r="L7" s="59">
        <f t="shared" si="3"/>
        <v>46753</v>
      </c>
      <c r="M7" s="59">
        <f t="shared" si="3"/>
        <v>47119</v>
      </c>
      <c r="N7" s="59">
        <f t="shared" si="3"/>
        <v>47484</v>
      </c>
      <c r="O7" s="59">
        <f t="shared" si="3"/>
        <v>47849</v>
      </c>
      <c r="P7" s="59">
        <f t="shared" si="3"/>
        <v>48214</v>
      </c>
      <c r="Q7" s="59">
        <f t="shared" si="3"/>
        <v>48580</v>
      </c>
    </row>
    <row r="8" spans="3:26" ht="15" customHeight="1" x14ac:dyDescent="0.2">
      <c r="C8" s="7"/>
      <c r="D8" s="7"/>
      <c r="E8" s="7" t="s">
        <v>94</v>
      </c>
      <c r="F8" s="10" t="s">
        <v>5</v>
      </c>
      <c r="G8" s="12">
        <f t="shared" ref="G8:Q8" si="4">EOMONTH( G7, 11 )</f>
        <v>45291</v>
      </c>
      <c r="H8" s="12">
        <f t="shared" si="4"/>
        <v>45657</v>
      </c>
      <c r="I8" s="12">
        <f t="shared" si="4"/>
        <v>46022</v>
      </c>
      <c r="J8" s="12">
        <f t="shared" si="4"/>
        <v>46387</v>
      </c>
      <c r="K8" s="12">
        <f t="shared" si="4"/>
        <v>46752</v>
      </c>
      <c r="L8" s="12">
        <f t="shared" si="4"/>
        <v>47118</v>
      </c>
      <c r="M8" s="12">
        <f t="shared" si="4"/>
        <v>47483</v>
      </c>
      <c r="N8" s="12">
        <f t="shared" si="4"/>
        <v>47848</v>
      </c>
      <c r="O8" s="12">
        <f t="shared" si="4"/>
        <v>48213</v>
      </c>
      <c r="P8" s="12">
        <f t="shared" si="4"/>
        <v>48579</v>
      </c>
      <c r="Q8" s="12">
        <f t="shared" si="4"/>
        <v>48944</v>
      </c>
    </row>
    <row r="9" spans="3:26" ht="15" customHeight="1" x14ac:dyDescent="0.2">
      <c r="C9" s="7"/>
      <c r="D9" s="7"/>
      <c r="E9" s="7" t="s">
        <v>95</v>
      </c>
      <c r="F9" s="10" t="s">
        <v>10</v>
      </c>
      <c r="G9" s="13" t="str">
        <f ca="1">IF( G8 &gt; '&gt;&gt; Inputs'!$G20, "Forecast", "Actual" )</f>
        <v>Actual</v>
      </c>
      <c r="H9" s="13" t="str">
        <f ca="1">IF( H8 &gt; '&gt;&gt; Inputs'!$G20, "Forecast", "Actual" )</f>
        <v>Actual</v>
      </c>
      <c r="I9" s="13" t="str">
        <f ca="1">IF( I8 &gt; '&gt;&gt; Inputs'!$G20, "Forecast", "Actual" )</f>
        <v>Forecast</v>
      </c>
      <c r="J9" s="13" t="str">
        <f ca="1">IF( J8 &gt; '&gt;&gt; Inputs'!$G20, "Forecast", "Actual" )</f>
        <v>Forecast</v>
      </c>
      <c r="K9" s="13" t="str">
        <f ca="1">IF( K8 &gt; '&gt;&gt; Inputs'!$G20, "Forecast", "Actual" )</f>
        <v>Forecast</v>
      </c>
      <c r="L9" s="13" t="str">
        <f ca="1">IF( L8 &gt; '&gt;&gt; Inputs'!$G20, "Forecast", "Actual" )</f>
        <v>Forecast</v>
      </c>
      <c r="M9" s="13" t="str">
        <f ca="1">IF( M8 &gt; '&gt;&gt; Inputs'!$G20, "Forecast", "Actual" )</f>
        <v>Forecast</v>
      </c>
      <c r="N9" s="13" t="str">
        <f ca="1">IF( N8 &gt; '&gt;&gt; Inputs'!$G20, "Forecast", "Actual" )</f>
        <v>Forecast</v>
      </c>
      <c r="O9" s="13" t="str">
        <f ca="1">IF( O8 &gt; '&gt;&gt; Inputs'!$G20, "Forecast", "Actual" )</f>
        <v>Forecast</v>
      </c>
      <c r="P9" s="13" t="str">
        <f ca="1">IF( P8 &gt; '&gt;&gt; Inputs'!$G20, "Forecast", "Actual" )</f>
        <v>Forecast</v>
      </c>
      <c r="Q9" s="13" t="str">
        <f ca="1">IF( Q8 &gt; '&gt;&gt; Inputs'!$G20, "Forecast", "Actual" )</f>
        <v>Forecast</v>
      </c>
    </row>
    <row r="10" spans="3:26" ht="15" customHeight="1" x14ac:dyDescent="0.2"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</row>
    <row r="11" spans="3:26" ht="15" customHeight="1" x14ac:dyDescent="0.2">
      <c r="C11" s="2"/>
      <c r="D11" s="2"/>
      <c r="E11" s="2" t="s">
        <v>96</v>
      </c>
      <c r="F11" s="24" t="s">
        <v>10</v>
      </c>
      <c r="G11" s="60">
        <f>IF( AND( G5 &lt;= '&gt;&gt; Inputs'!$G41, G5 &gt;= 1 ), 1, 0 )</f>
        <v>0</v>
      </c>
      <c r="H11" s="60">
        <f>IF( AND( H5 &lt;= '&gt;&gt; Inputs'!$G41, H5 &gt;= 1 ), 1, 0 )</f>
        <v>1</v>
      </c>
      <c r="I11" s="60">
        <f>IF( AND( I5 &lt;= '&gt;&gt; Inputs'!$G41, I5 &gt;= 1 ), 1, 0 )</f>
        <v>1</v>
      </c>
      <c r="J11" s="60">
        <f>IF( AND( J5 &lt;= '&gt;&gt; Inputs'!$G41, J5 &gt;= 1 ), 1, 0 )</f>
        <v>1</v>
      </c>
      <c r="K11" s="60">
        <f>IF( AND( K5 &lt;= '&gt;&gt; Inputs'!$G41, K5 &gt;= 1 ), 1, 0 )</f>
        <v>1</v>
      </c>
      <c r="L11" s="60">
        <f>IF( AND( L5 &lt;= '&gt;&gt; Inputs'!$G41, L5 &gt;= 1 ), 1, 0 )</f>
        <v>1</v>
      </c>
      <c r="M11" s="60">
        <f>IF( AND( M5 &lt;= '&gt;&gt; Inputs'!$G41, M5 &gt;= 1 ), 1, 0 )</f>
        <v>1</v>
      </c>
      <c r="N11" s="60">
        <f>IF( AND( N5 &lt;= '&gt;&gt; Inputs'!$G41, N5 &gt;= 1 ), 1, 0 )</f>
        <v>1</v>
      </c>
      <c r="O11" s="60">
        <f>IF( AND( O5 &lt;= '&gt;&gt; Inputs'!$G41, O5 &gt;= 1 ), 1, 0 )</f>
        <v>1</v>
      </c>
      <c r="P11" s="60">
        <f>IF( AND( P5 &lt;= '&gt;&gt; Inputs'!$G41, P5 &gt;= 1 ), 1, 0 )</f>
        <v>1</v>
      </c>
      <c r="Q11" s="60">
        <f>IF( AND( Q5 &lt;= '&gt;&gt; Inputs'!$G41, Q5 &gt;= 1 ), 1, 0 )</f>
        <v>1</v>
      </c>
    </row>
    <row r="12" spans="3:26" ht="15" customHeight="1" x14ac:dyDescent="0.2">
      <c r="C12" s="2"/>
      <c r="D12" s="2"/>
      <c r="E12" s="79" t="s">
        <v>97</v>
      </c>
      <c r="F12" s="78" t="s">
        <v>10</v>
      </c>
      <c r="G12" s="212">
        <f>IF( G5 = '&gt;&gt; Inputs'!$G41, 1, 0 )</f>
        <v>0</v>
      </c>
      <c r="H12" s="212">
        <f>IF( H5 = '&gt;&gt; Inputs'!$G41, 1, 0 )</f>
        <v>0</v>
      </c>
      <c r="I12" s="212">
        <f>IF( I5 = '&gt;&gt; Inputs'!$G41, 1, 0 )</f>
        <v>0</v>
      </c>
      <c r="J12" s="212">
        <f>IF( J5 = '&gt;&gt; Inputs'!$G41, 1, 0 )</f>
        <v>0</v>
      </c>
      <c r="K12" s="212">
        <f>IF( K5 = '&gt;&gt; Inputs'!$G41, 1, 0 )</f>
        <v>0</v>
      </c>
      <c r="L12" s="212">
        <f>IF( L5 = '&gt;&gt; Inputs'!$G41, 1, 0 )</f>
        <v>0</v>
      </c>
      <c r="M12" s="212">
        <f>IF( M5 = '&gt;&gt; Inputs'!$G41, 1, 0 )</f>
        <v>0</v>
      </c>
      <c r="N12" s="212">
        <f>IF( N5 = '&gt;&gt; Inputs'!$G41, 1, 0 )</f>
        <v>0</v>
      </c>
      <c r="O12" s="212">
        <f>IF( O5 = '&gt;&gt; Inputs'!$G41, 1, 0 )</f>
        <v>0</v>
      </c>
      <c r="P12" s="212">
        <f>IF( P5 = '&gt;&gt; Inputs'!$G41, 1, 0 )</f>
        <v>0</v>
      </c>
      <c r="Q12" s="212">
        <f>IF( Q5 = '&gt;&gt; Inputs'!$G41, 1, 0 )</f>
        <v>1</v>
      </c>
    </row>
    <row r="14" spans="3:26" ht="15" customHeight="1" x14ac:dyDescent="0.2">
      <c r="C14" s="4"/>
      <c r="D14" s="4" t="s">
        <v>248</v>
      </c>
      <c r="E14" s="4"/>
      <c r="F14" s="4"/>
      <c r="G14" s="4"/>
    </row>
    <row r="15" spans="3:26" ht="15" customHeight="1" x14ac:dyDescent="0.2">
      <c r="C15" s="45"/>
      <c r="D15" s="45"/>
      <c r="E15" s="45"/>
      <c r="F15" s="45"/>
      <c r="G15" s="45"/>
    </row>
    <row r="16" spans="3:26" ht="15" customHeight="1" x14ac:dyDescent="0.2">
      <c r="C16" s="46"/>
      <c r="D16" s="46"/>
      <c r="E16" s="46"/>
      <c r="F16" s="46"/>
      <c r="G16" s="46"/>
    </row>
    <row r="17" spans="3:26" ht="15" customHeight="1" x14ac:dyDescent="0.2">
      <c r="E17" s="2" t="s">
        <v>8</v>
      </c>
      <c r="F17" s="24" t="s">
        <v>7</v>
      </c>
      <c r="G17" s="228">
        <f>'&gt;&gt; Dash'!F49</f>
        <v>0.106110496</v>
      </c>
    </row>
    <row r="18" spans="3:26" ht="15" customHeight="1" x14ac:dyDescent="0.2">
      <c r="E18" s="2" t="s">
        <v>32</v>
      </c>
      <c r="F18" s="24" t="s">
        <v>7</v>
      </c>
      <c r="G18" s="228">
        <f>'&gt;&gt; Dash'!F43</f>
        <v>0.02</v>
      </c>
    </row>
    <row r="19" spans="3:26" ht="15" customHeight="1" x14ac:dyDescent="0.2">
      <c r="C19" s="224"/>
      <c r="D19" s="224"/>
      <c r="E19" s="224"/>
      <c r="F19" s="224"/>
      <c r="G19" s="224"/>
    </row>
    <row r="21" spans="3:26" ht="15" customHeight="1" x14ac:dyDescent="0.2">
      <c r="C21" s="63" t="s">
        <v>247</v>
      </c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</row>
    <row r="22" spans="3:26" ht="15" customHeight="1" x14ac:dyDescent="0.2"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</row>
    <row r="23" spans="3:26" ht="15" customHeight="1" x14ac:dyDescent="0.2">
      <c r="E23" s="213"/>
      <c r="F23" s="213"/>
      <c r="G23" s="198"/>
      <c r="H23" s="361" t="s">
        <v>238</v>
      </c>
      <c r="I23" s="362"/>
      <c r="J23" s="362"/>
      <c r="K23" s="362"/>
      <c r="L23" s="362"/>
      <c r="M23" s="362"/>
      <c r="N23" s="362"/>
      <c r="O23" s="362"/>
      <c r="P23" s="362"/>
      <c r="Q23" s="362"/>
      <c r="R23" s="226"/>
      <c r="S23" s="200"/>
      <c r="T23" s="200"/>
    </row>
    <row r="24" spans="3:26" ht="15" customHeight="1" x14ac:dyDescent="0.2">
      <c r="E24" s="197"/>
      <c r="F24" s="197"/>
      <c r="G24" s="199"/>
      <c r="H24" s="321">
        <f>EOMONTH('&gt;&gt; Inputs'!$G$17,12)</f>
        <v>46022</v>
      </c>
      <c r="I24" s="322">
        <f>EOMONTH(H24,12)</f>
        <v>46387</v>
      </c>
      <c r="J24" s="322">
        <f t="shared" ref="J24:Q24" si="5">EOMONTH(I24,12)</f>
        <v>46752</v>
      </c>
      <c r="K24" s="322">
        <f t="shared" si="5"/>
        <v>47118</v>
      </c>
      <c r="L24" s="322">
        <f t="shared" si="5"/>
        <v>47483</v>
      </c>
      <c r="M24" s="322">
        <f t="shared" si="5"/>
        <v>47848</v>
      </c>
      <c r="N24" s="322">
        <f t="shared" si="5"/>
        <v>48213</v>
      </c>
      <c r="O24" s="322">
        <f t="shared" si="5"/>
        <v>48579</v>
      </c>
      <c r="P24" s="322">
        <f t="shared" si="5"/>
        <v>48944</v>
      </c>
      <c r="Q24" s="323">
        <f t="shared" si="5"/>
        <v>49309</v>
      </c>
      <c r="R24" s="225"/>
      <c r="S24" s="201"/>
      <c r="T24" s="201"/>
    </row>
    <row r="25" spans="3:26" ht="15" customHeight="1" x14ac:dyDescent="0.2">
      <c r="E25" s="80" t="s">
        <v>125</v>
      </c>
      <c r="F25" s="24" t="s">
        <v>160</v>
      </c>
      <c r="G25" s="80"/>
      <c r="H25" s="81">
        <f>'&gt;&gt; Segments'!P93</f>
        <v>5.2684672536786197</v>
      </c>
      <c r="I25" s="81">
        <f>'&gt;&gt; Segments'!Q93</f>
        <v>5.2709672536786201</v>
      </c>
      <c r="J25" s="81">
        <f>'&gt;&gt; Segments'!R93</f>
        <v>5.2734672536786196</v>
      </c>
      <c r="K25" s="81">
        <f>'&gt;&gt; Segments'!S93</f>
        <v>5.27596725367862</v>
      </c>
      <c r="L25" s="81">
        <f>'&gt;&gt; Segments'!T93</f>
        <v>5.1659672536786196</v>
      </c>
      <c r="M25" s="81">
        <f>'&gt;&gt; Segments'!U93</f>
        <v>5.1659672536786196</v>
      </c>
      <c r="N25" s="81">
        <f>'&gt;&gt; Segments'!V93</f>
        <v>5.1659672536786196</v>
      </c>
      <c r="O25" s="81">
        <f ca="1">'&gt;&gt; Segments'!W93</f>
        <v>5.4954224301849006</v>
      </c>
      <c r="P25" s="81">
        <f ca="1">'&gt;&gt; Segments'!X93</f>
        <v>5.50042069698892</v>
      </c>
      <c r="Q25" s="81">
        <f ca="1">'&gt;&gt; Segments'!Y93</f>
        <v>5.5037816430343725</v>
      </c>
      <c r="S25" s="81"/>
      <c r="T25" s="81"/>
    </row>
    <row r="26" spans="3:26" ht="15" customHeight="1" x14ac:dyDescent="0.2">
      <c r="E26" s="202" t="s">
        <v>243</v>
      </c>
      <c r="F26" s="24" t="s">
        <v>160</v>
      </c>
      <c r="G26" s="80"/>
      <c r="H26" s="81"/>
      <c r="I26" s="81"/>
      <c r="J26" s="81"/>
      <c r="K26" s="81"/>
      <c r="L26" s="81"/>
      <c r="M26" s="81"/>
      <c r="N26" s="81"/>
      <c r="O26" s="81"/>
      <c r="P26" s="81"/>
      <c r="Q26" s="81">
        <f ca="1">(Q25*(1+G18))/(G17-G18)</f>
        <v>65.193646961400162</v>
      </c>
      <c r="R26" s="81"/>
      <c r="S26" s="81"/>
      <c r="T26" s="81"/>
    </row>
    <row r="27" spans="3:26" ht="15" customHeight="1" x14ac:dyDescent="0.2">
      <c r="E27" s="82" t="s">
        <v>126</v>
      </c>
      <c r="F27" s="215" t="s">
        <v>7</v>
      </c>
      <c r="I27" s="83">
        <f>I25/H25-1</f>
        <v>4.7452131324443592E-4</v>
      </c>
      <c r="J27" s="83">
        <f t="shared" ref="J27:Q27" si="6">J25/I25-1</f>
        <v>4.7429624956496497E-4</v>
      </c>
      <c r="K27" s="83">
        <f t="shared" si="6"/>
        <v>4.7407139927835296E-4</v>
      </c>
      <c r="L27" s="83">
        <f t="shared" si="6"/>
        <v>-2.0849257531555754E-2</v>
      </c>
      <c r="M27" s="83">
        <f t="shared" si="6"/>
        <v>0</v>
      </c>
      <c r="N27" s="83">
        <f t="shared" si="6"/>
        <v>0</v>
      </c>
      <c r="O27" s="83">
        <f t="shared" ca="1" si="6"/>
        <v>6.3774151156626102E-2</v>
      </c>
      <c r="P27" s="83">
        <f t="shared" ca="1" si="6"/>
        <v>9.0953277341609962E-4</v>
      </c>
      <c r="Q27" s="83">
        <f t="shared" ca="1" si="6"/>
        <v>6.110343609340152E-4</v>
      </c>
      <c r="S27" s="83"/>
      <c r="T27" s="83"/>
    </row>
    <row r="28" spans="3:26" ht="15" customHeight="1" x14ac:dyDescent="0.2">
      <c r="E28" s="82"/>
      <c r="F28" s="82"/>
      <c r="G28" s="83"/>
      <c r="H28" s="83"/>
      <c r="I28" s="83"/>
      <c r="J28" s="83"/>
      <c r="K28" s="83"/>
      <c r="L28" s="83"/>
      <c r="M28" s="83"/>
      <c r="N28" s="83"/>
      <c r="O28" s="83"/>
      <c r="P28" s="83"/>
      <c r="Q28" s="83"/>
      <c r="R28" s="83"/>
      <c r="S28" s="83"/>
      <c r="T28" s="83"/>
    </row>
    <row r="29" spans="3:26" ht="15" customHeight="1" x14ac:dyDescent="0.2">
      <c r="E29" s="2" t="s">
        <v>36</v>
      </c>
      <c r="F29" s="24" t="s">
        <v>7</v>
      </c>
      <c r="H29" s="214">
        <f ca="1">H11 * '&gt;&gt; Inputs'!P45</f>
        <v>-2.7397260273972603E-3</v>
      </c>
      <c r="I29" s="214">
        <f ca="1">I11 * '&gt;&gt; Inputs'!Q45</f>
        <v>0.99726027397260275</v>
      </c>
      <c r="J29" s="214">
        <f ca="1">J11 * '&gt;&gt; Inputs'!R45</f>
        <v>1</v>
      </c>
      <c r="K29" s="214">
        <f ca="1">K11 * '&gt;&gt; Inputs'!S45</f>
        <v>1</v>
      </c>
      <c r="L29" s="214">
        <f ca="1">L11 * '&gt;&gt; Inputs'!T45</f>
        <v>1</v>
      </c>
      <c r="M29" s="214">
        <f ca="1">M11 * '&gt;&gt; Inputs'!U45</f>
        <v>1</v>
      </c>
      <c r="N29" s="214">
        <f ca="1">N11 * '&gt;&gt; Inputs'!V45</f>
        <v>1</v>
      </c>
      <c r="O29" s="214">
        <f ca="1">O11 * '&gt;&gt; Inputs'!W45</f>
        <v>1</v>
      </c>
      <c r="P29" s="214">
        <f ca="1">P11 * '&gt;&gt; Inputs'!X45</f>
        <v>1</v>
      </c>
      <c r="Q29" s="214">
        <f ca="1">Q11 * '&gt;&gt; Inputs'!Y45</f>
        <v>1</v>
      </c>
      <c r="R29" s="214"/>
      <c r="S29" s="21"/>
      <c r="T29" s="21"/>
      <c r="U29" s="21"/>
      <c r="V29" s="21"/>
      <c r="W29" s="21"/>
      <c r="X29" s="21"/>
      <c r="Y29" s="21"/>
      <c r="Z29" s="21"/>
    </row>
    <row r="30" spans="3:26" ht="15" customHeight="1" x14ac:dyDescent="0.2">
      <c r="E30" s="2" t="s">
        <v>242</v>
      </c>
      <c r="F30" s="24" t="s">
        <v>160</v>
      </c>
      <c r="H30" s="22">
        <f t="shared" ref="H30:Q30" ca="1" si="7">H29*H25</f>
        <v>-1.4434156859393478E-2</v>
      </c>
      <c r="I30" s="22">
        <f t="shared" ca="1" si="7"/>
        <v>5.2565262475041585</v>
      </c>
      <c r="J30" s="22">
        <f t="shared" ca="1" si="7"/>
        <v>5.2734672536786196</v>
      </c>
      <c r="K30" s="22">
        <f t="shared" ca="1" si="7"/>
        <v>5.27596725367862</v>
      </c>
      <c r="L30" s="22">
        <f t="shared" ca="1" si="7"/>
        <v>5.1659672536786196</v>
      </c>
      <c r="M30" s="22">
        <f t="shared" ca="1" si="7"/>
        <v>5.1659672536786196</v>
      </c>
      <c r="N30" s="22">
        <f t="shared" ca="1" si="7"/>
        <v>5.1659672536786196</v>
      </c>
      <c r="O30" s="22">
        <f t="shared" ca="1" si="7"/>
        <v>5.4954224301849006</v>
      </c>
      <c r="P30" s="22">
        <f t="shared" ca="1" si="7"/>
        <v>5.50042069698892</v>
      </c>
      <c r="Q30" s="22">
        <f t="shared" ca="1" si="7"/>
        <v>5.5037816430343725</v>
      </c>
      <c r="R30" s="22"/>
      <c r="S30" s="60"/>
      <c r="T30" s="60"/>
      <c r="U30" s="60"/>
      <c r="V30" s="60"/>
      <c r="W30" s="60"/>
      <c r="X30" s="60"/>
      <c r="Y30" s="60"/>
      <c r="Z30" s="60"/>
    </row>
    <row r="31" spans="3:26" ht="15" customHeight="1" x14ac:dyDescent="0.2">
      <c r="E31" s="2" t="s">
        <v>110</v>
      </c>
      <c r="F31" s="24" t="s">
        <v>160</v>
      </c>
      <c r="H31" s="24"/>
      <c r="I31" s="27"/>
      <c r="J31" s="27"/>
      <c r="K31" s="27"/>
      <c r="L31" s="33"/>
      <c r="M31" s="33"/>
      <c r="N31" s="33"/>
      <c r="O31" s="33"/>
      <c r="P31" s="33"/>
      <c r="Q31" s="22">
        <f ca="1">Q26*Q29</f>
        <v>65.193646961400162</v>
      </c>
      <c r="R31" s="22"/>
      <c r="S31" s="33"/>
      <c r="T31" s="33"/>
      <c r="U31" s="33"/>
      <c r="V31" s="33"/>
      <c r="W31" s="33"/>
      <c r="X31" s="33"/>
      <c r="Y31" s="33"/>
      <c r="Z31" s="60"/>
    </row>
    <row r="32" spans="3:26" ht="15" customHeight="1" x14ac:dyDescent="0.2">
      <c r="E32" s="2"/>
      <c r="F32" s="24"/>
      <c r="H32" s="24"/>
      <c r="I32" s="16"/>
      <c r="J32" s="27"/>
      <c r="K32" s="27"/>
      <c r="L32" s="33"/>
      <c r="M32" s="33"/>
      <c r="N32" s="33"/>
      <c r="O32" s="33"/>
      <c r="P32" s="33"/>
      <c r="Q32" s="33"/>
      <c r="R32" s="33"/>
      <c r="S32" s="33"/>
      <c r="T32" s="33"/>
      <c r="U32" s="33"/>
      <c r="V32" s="33"/>
      <c r="W32" s="33"/>
      <c r="X32" s="33"/>
      <c r="Y32" s="33"/>
      <c r="Z32" s="33"/>
    </row>
    <row r="33" spans="1:27" ht="15" customHeight="1" x14ac:dyDescent="0.2">
      <c r="E33" s="2" t="s">
        <v>111</v>
      </c>
      <c r="F33" s="16" t="s">
        <v>10</v>
      </c>
      <c r="H33" s="60">
        <f ca="1">IF( H11 = 1, ( H8 - '&gt;&gt; Inputs'!$G$26 ) / DiY, 0 )</f>
        <v>-2.7397260273972603E-3</v>
      </c>
      <c r="I33" s="60">
        <f ca="1">IF( I11 = 1, ( I8 - '&gt;&gt; Inputs'!$G$26 ) / DiY, 0 )</f>
        <v>0.99726027397260275</v>
      </c>
      <c r="J33" s="60">
        <f ca="1">IF( J11 = 1, ( J8 - '&gt;&gt; Inputs'!$G$26 ) / DiY, 0 )</f>
        <v>1.9972602739726026</v>
      </c>
      <c r="K33" s="60">
        <f ca="1">IF( K11 = 1, ( K8 - '&gt;&gt; Inputs'!$G$26 ) / DiY, 0 )</f>
        <v>2.9972602739726026</v>
      </c>
      <c r="L33" s="60">
        <f ca="1">IF( L11 = 1, ( L8 - '&gt;&gt; Inputs'!$G$26 ) / DiY, 0 )</f>
        <v>4</v>
      </c>
      <c r="M33" s="60">
        <f ca="1">IF( M11 = 1, ( M8 - '&gt;&gt; Inputs'!$G$26 ) / DiY, 0 )</f>
        <v>5</v>
      </c>
      <c r="N33" s="60">
        <f ca="1">IF( N11 = 1, ( N8 - '&gt;&gt; Inputs'!$G$26 ) / DiY, 0 )</f>
        <v>6</v>
      </c>
      <c r="O33" s="60">
        <f ca="1">IF( O11 = 1, ( O8 - '&gt;&gt; Inputs'!$G$26 ) / DiY, 0 )</f>
        <v>7</v>
      </c>
      <c r="P33" s="60">
        <f ca="1">IF( P11 = 1, ( P8 - '&gt;&gt; Inputs'!$G$26 ) / DiY, 0 )</f>
        <v>8.0027397260273965</v>
      </c>
      <c r="Q33" s="60">
        <f ca="1">IF( Q11 = 1, ( Q8 - '&gt;&gt; Inputs'!$G$26 ) / DiY, 0 )</f>
        <v>9.0027397260273965</v>
      </c>
      <c r="R33" s="60"/>
      <c r="S33" s="60"/>
      <c r="T33" s="60"/>
      <c r="U33" s="60"/>
      <c r="V33" s="60"/>
      <c r="W33" s="60"/>
      <c r="X33" s="60"/>
      <c r="Y33" s="60"/>
      <c r="Z33" s="60"/>
    </row>
    <row r="34" spans="1:27" ht="15" customHeight="1" x14ac:dyDescent="0.2">
      <c r="E34" s="2" t="s">
        <v>112</v>
      </c>
      <c r="F34" s="24" t="s">
        <v>10</v>
      </c>
      <c r="H34" s="22">
        <f ca="1">H11 * ( 1 / ( 1 +'&gt;&gt; Dash'!$F$49 ) ^ H$33 )</f>
        <v>1.0002763390076796</v>
      </c>
      <c r="I34" s="22">
        <f ca="1">I11 * ( 1 / ( 1 +'&gt;&gt; Dash'!$F$49 ) ^ I$33 )</f>
        <v>0.90431863961598247</v>
      </c>
      <c r="J34" s="22">
        <f ca="1">J11 * ( 1 / ( 1 +'&gt;&gt; Dash'!$F$49 ) ^ J$33 )</f>
        <v>0.81756627650334002</v>
      </c>
      <c r="K34" s="22">
        <f ca="1">K11 * ( 1 / ( 1 +'&gt;&gt; Dash'!$F$49 ) ^ K$33 )</f>
        <v>0.73913617080742366</v>
      </c>
      <c r="L34" s="22">
        <f ca="1">L11 * ( 1 / ( 1 +'&gt;&gt; Dash'!$F$49 ) ^ L$33 )</f>
        <v>0.66804535148239652</v>
      </c>
      <c r="M34" s="22">
        <f ca="1">M11 * ( 1 / ( 1 +'&gt;&gt; Dash'!$F$49 ) ^ M$33 )</f>
        <v>0.60395896603298893</v>
      </c>
      <c r="N34" s="22">
        <f ca="1">N11 * ( 1 / ( 1 +'&gt;&gt; Dash'!$F$49 ) ^ N$33 )</f>
        <v>0.54602046379369051</v>
      </c>
      <c r="O34" s="22">
        <f ca="1">O11 * ( 1 / ( 1 +'&gt;&gt; Dash'!$F$49 ) ^ O$33 )</f>
        <v>0.49364007101302343</v>
      </c>
      <c r="P34" s="22">
        <f ca="1">P11 * ( 1 / ( 1 +'&gt;&gt; Dash'!$F$49 ) ^ P$33 )</f>
        <v>0.44616129986636849</v>
      </c>
      <c r="Q34" s="22">
        <f ca="1">Q11 * ( 1 / ( 1 +'&gt;&gt; Dash'!$F$49 ) ^ Q$33 )</f>
        <v>0.4033605154998624</v>
      </c>
      <c r="R34" s="22"/>
      <c r="S34" s="22"/>
      <c r="T34" s="22"/>
      <c r="U34" s="22"/>
      <c r="V34" s="22"/>
      <c r="W34" s="22"/>
      <c r="X34" s="22"/>
      <c r="Y34" s="22"/>
      <c r="Z34" s="22"/>
    </row>
    <row r="35" spans="1:27" ht="15" customHeight="1" x14ac:dyDescent="0.2">
      <c r="E35" s="82"/>
      <c r="F35" s="215"/>
      <c r="G35" s="83"/>
      <c r="H35" s="83"/>
      <c r="I35" s="83"/>
      <c r="J35" s="83"/>
      <c r="K35" s="83"/>
      <c r="L35" s="83"/>
      <c r="M35" s="83"/>
      <c r="N35" s="83"/>
      <c r="O35" s="83"/>
      <c r="P35" s="83"/>
      <c r="Q35" s="83"/>
      <c r="R35" s="83"/>
      <c r="S35" s="83"/>
      <c r="T35" s="83"/>
    </row>
    <row r="36" spans="1:27" ht="15" customHeight="1" x14ac:dyDescent="0.2">
      <c r="E36" s="216" t="s">
        <v>244</v>
      </c>
      <c r="F36" s="217" t="s">
        <v>160</v>
      </c>
      <c r="G36" s="218"/>
      <c r="H36" s="219">
        <f ca="1">H30*H34</f>
        <v>-1.4438145579976696E-2</v>
      </c>
      <c r="I36" s="219">
        <f t="shared" ref="I36:Q36" ca="1" si="8">I30*I34</f>
        <v>4.7535746652486655</v>
      </c>
      <c r="J36" s="219">
        <f t="shared" ca="1" si="8"/>
        <v>4.3114089868523235</v>
      </c>
      <c r="K36" s="219">
        <f t="shared" ca="1" si="8"/>
        <v>3.8996582331893745</v>
      </c>
      <c r="L36" s="219">
        <f t="shared" ca="1" si="8"/>
        <v>3.4511004097302842</v>
      </c>
      <c r="M36" s="219">
        <f t="shared" ca="1" si="8"/>
        <v>3.1200322410920185</v>
      </c>
      <c r="N36" s="219">
        <f t="shared" ca="1" si="8"/>
        <v>2.8207238357966173</v>
      </c>
      <c r="O36" s="219">
        <f t="shared" ca="1" si="8"/>
        <v>2.712760718683036</v>
      </c>
      <c r="P36" s="219">
        <f t="shared" ca="1" si="8"/>
        <v>2.4540748479804533</v>
      </c>
      <c r="Q36" s="219">
        <f t="shared" ca="1" si="8"/>
        <v>2.220008200733024</v>
      </c>
      <c r="R36" s="83"/>
      <c r="S36" s="83"/>
      <c r="T36" s="83"/>
    </row>
    <row r="37" spans="1:27" ht="15" customHeight="1" x14ac:dyDescent="0.2">
      <c r="E37" s="220" t="s">
        <v>245</v>
      </c>
      <c r="F37" s="221" t="s">
        <v>160</v>
      </c>
      <c r="G37" s="222"/>
      <c r="H37" s="222"/>
      <c r="I37" s="222"/>
      <c r="J37" s="222"/>
      <c r="K37" s="222"/>
      <c r="L37" s="222"/>
      <c r="M37" s="222"/>
      <c r="N37" s="222"/>
      <c r="O37" s="222"/>
      <c r="P37" s="222"/>
      <c r="Q37" s="223">
        <f ca="1">Q31*Q34</f>
        <v>26.296543045666407</v>
      </c>
      <c r="R37" s="83"/>
      <c r="S37" s="83"/>
      <c r="T37" s="83"/>
    </row>
    <row r="38" spans="1:27" ht="15" customHeight="1" x14ac:dyDescent="0.2">
      <c r="E38" s="82"/>
      <c r="F38" s="82"/>
      <c r="G38" s="83"/>
      <c r="H38" s="83"/>
      <c r="I38" s="83"/>
      <c r="J38" s="83"/>
      <c r="K38" s="83"/>
      <c r="L38" s="83"/>
      <c r="M38" s="83"/>
      <c r="N38" s="83"/>
      <c r="O38" s="83"/>
      <c r="P38" s="83"/>
      <c r="Q38" s="83"/>
      <c r="R38" s="83"/>
      <c r="S38" s="83"/>
      <c r="T38" s="83"/>
    </row>
    <row r="39" spans="1:27" ht="15" customHeight="1" x14ac:dyDescent="0.2">
      <c r="E39" s="82"/>
      <c r="F39" s="82"/>
      <c r="G39" s="83"/>
      <c r="H39" s="83"/>
      <c r="I39" s="83"/>
      <c r="J39" s="83"/>
      <c r="K39" s="83"/>
      <c r="L39" s="83"/>
      <c r="M39" s="83"/>
      <c r="N39" s="83"/>
      <c r="O39" s="83"/>
      <c r="P39" s="83"/>
      <c r="Q39" s="83"/>
      <c r="R39" s="83"/>
      <c r="S39" s="83"/>
      <c r="T39" s="83"/>
    </row>
    <row r="40" spans="1:27" ht="15" customHeight="1" x14ac:dyDescent="0.2">
      <c r="E40" s="357" t="s">
        <v>246</v>
      </c>
      <c r="F40" s="358"/>
      <c r="G40" s="358"/>
      <c r="H40" s="359"/>
    </row>
    <row r="42" spans="1:27" ht="15" customHeight="1" x14ac:dyDescent="0.2">
      <c r="E42" s="2" t="s">
        <v>64</v>
      </c>
      <c r="F42" s="16" t="s">
        <v>65</v>
      </c>
      <c r="H42" s="27">
        <f>'&gt;&gt; Inputs'!$G$47</f>
        <v>378.75604099999998</v>
      </c>
    </row>
    <row r="43" spans="1:27" ht="15" customHeight="1" x14ac:dyDescent="0.2">
      <c r="E43" s="1" t="s">
        <v>127</v>
      </c>
      <c r="F43" s="16" t="s">
        <v>66</v>
      </c>
      <c r="H43" s="49">
        <f ca="1">SUM(H36:Q37)</f>
        <v>56.025447039392226</v>
      </c>
    </row>
    <row r="44" spans="1:27" ht="15" customHeight="1" x14ac:dyDescent="0.2">
      <c r="E44" s="2" t="s">
        <v>67</v>
      </c>
      <c r="F44" s="16" t="s">
        <v>66</v>
      </c>
      <c r="H44" s="84">
        <f>'&gt;&gt; Inputs'!G21</f>
        <v>0.99</v>
      </c>
      <c r="J44" s="203"/>
    </row>
    <row r="45" spans="1:27" ht="15" customHeight="1" x14ac:dyDescent="0.2">
      <c r="E45" s="2" t="s">
        <v>68</v>
      </c>
      <c r="F45" s="16" t="s">
        <v>7</v>
      </c>
      <c r="H45" s="51">
        <f ca="1">H43/H44-1</f>
        <v>55.591360645850735</v>
      </c>
    </row>
    <row r="48" spans="1:27" ht="15" customHeight="1" x14ac:dyDescent="0.2">
      <c r="A48" s="41"/>
      <c r="B48" s="41" t="s">
        <v>45</v>
      </c>
      <c r="C48" s="42"/>
      <c r="D48" s="42"/>
      <c r="E48" s="42"/>
      <c r="F48" s="42"/>
      <c r="G48" s="42"/>
      <c r="H48" s="42"/>
      <c r="I48" s="42"/>
      <c r="J48" s="42"/>
      <c r="K48" s="42"/>
      <c r="L48" s="42"/>
      <c r="M48" s="42"/>
      <c r="N48" s="42"/>
      <c r="O48" s="42"/>
      <c r="P48" s="42"/>
      <c r="Q48" s="42"/>
      <c r="R48" s="42"/>
      <c r="S48" s="42"/>
      <c r="T48" s="42"/>
      <c r="U48" s="42"/>
      <c r="V48" s="42"/>
      <c r="W48" s="42"/>
      <c r="X48" s="42"/>
      <c r="Y48" s="42"/>
      <c r="Z48" s="42"/>
      <c r="AA48" s="42"/>
    </row>
    <row r="58" spans="3:26" ht="15" customHeight="1" x14ac:dyDescent="0.2">
      <c r="C58" s="2"/>
      <c r="D58" s="2"/>
      <c r="E58" s="2"/>
      <c r="F58" s="2"/>
      <c r="G58" s="24"/>
      <c r="H58" s="24"/>
      <c r="I58" s="2"/>
      <c r="J58" s="2"/>
      <c r="K58" s="2"/>
      <c r="L58" s="61"/>
      <c r="M58" s="61"/>
      <c r="N58" s="61"/>
      <c r="O58" s="61"/>
      <c r="P58" s="61"/>
      <c r="Q58" s="61"/>
      <c r="R58" s="61"/>
      <c r="S58" s="61"/>
      <c r="T58" s="61"/>
      <c r="U58" s="61"/>
      <c r="V58" s="61"/>
      <c r="W58" s="61"/>
      <c r="X58" s="61"/>
      <c r="Y58" s="61"/>
      <c r="Z58" s="61"/>
    </row>
  </sheetData>
  <mergeCells count="2">
    <mergeCell ref="H23:Q23"/>
    <mergeCell ref="E40:H40"/>
  </mergeCells>
  <pageMargins left="0.7" right="0.7" top="0.75" bottom="0.75" header="0" footer="0"/>
  <pageSetup orientation="portrait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161B10-2E72-47B7-BC76-185E91CCE67E}">
  <sheetPr>
    <tabColor rgb="FF44546A"/>
  </sheetPr>
  <dimension ref="A2:AA35"/>
  <sheetViews>
    <sheetView showGridLines="0" tabSelected="1" workbookViewId="0">
      <selection activeCell="G15" sqref="G15"/>
    </sheetView>
  </sheetViews>
  <sheetFormatPr baseColWidth="10" defaultColWidth="14.5" defaultRowHeight="15" customHeight="1" x14ac:dyDescent="0.2"/>
  <cols>
    <col min="1" max="2" width="2.5" customWidth="1"/>
    <col min="3" max="3" width="1.33203125" customWidth="1"/>
    <col min="4" max="4" width="3.33203125" customWidth="1"/>
    <col min="5" max="5" width="21.1640625" customWidth="1"/>
    <col min="6" max="6" width="11.1640625" customWidth="1"/>
    <col min="7" max="7" width="14.83203125" bestFit="1" customWidth="1"/>
    <col min="8" max="12" width="11.1640625" customWidth="1"/>
    <col min="13" max="17" width="9.1640625" customWidth="1"/>
    <col min="18" max="18" width="3.5" customWidth="1"/>
    <col min="19" max="19" width="23.6640625" customWidth="1"/>
    <col min="20" max="21" width="9.1640625" customWidth="1"/>
    <col min="22" max="22" width="10.6640625" customWidth="1"/>
    <col min="23" max="24" width="9.1640625" customWidth="1"/>
    <col min="25" max="25" width="12.33203125" customWidth="1"/>
    <col min="26" max="26" width="17.5" customWidth="1"/>
    <col min="27" max="27" width="17.33203125" customWidth="1"/>
    <col min="28" max="28" width="15.6640625" customWidth="1"/>
    <col min="29" max="30" width="9.1640625" customWidth="1"/>
  </cols>
  <sheetData>
    <row r="2" spans="3:12" ht="15" customHeight="1" x14ac:dyDescent="0.2">
      <c r="C2" s="4" t="s">
        <v>129</v>
      </c>
      <c r="D2" s="4"/>
      <c r="E2" s="3"/>
      <c r="F2" s="3"/>
      <c r="G2" s="3"/>
      <c r="H2" s="3"/>
      <c r="I2" s="3"/>
      <c r="J2" s="3"/>
      <c r="K2" s="3"/>
      <c r="L2" s="3"/>
    </row>
    <row r="3" spans="3:12" ht="15" customHeight="1" x14ac:dyDescent="0.2">
      <c r="C3" s="7"/>
      <c r="D3" s="7"/>
      <c r="E3" s="7"/>
      <c r="F3" s="7"/>
      <c r="G3" s="7"/>
      <c r="H3" s="7"/>
      <c r="I3" s="7"/>
      <c r="J3" s="7"/>
      <c r="K3" s="7"/>
      <c r="L3" s="7"/>
    </row>
    <row r="4" spans="3:12" ht="15" customHeight="1" x14ac:dyDescent="0.2">
      <c r="C4" s="15"/>
      <c r="D4" s="15"/>
      <c r="E4" s="15"/>
      <c r="F4" s="15"/>
      <c r="G4" s="15"/>
      <c r="H4" s="15"/>
      <c r="I4" s="15"/>
      <c r="J4" s="15"/>
      <c r="K4" s="15"/>
      <c r="L4" s="15"/>
    </row>
    <row r="5" spans="3:12" ht="15" customHeight="1" x14ac:dyDescent="0.2">
      <c r="D5" s="86"/>
      <c r="E5" s="235" t="s">
        <v>130</v>
      </c>
      <c r="F5" s="235"/>
      <c r="G5" s="236" t="s">
        <v>131</v>
      </c>
      <c r="H5" s="236" t="s">
        <v>132</v>
      </c>
      <c r="I5" s="86"/>
      <c r="J5" s="363" t="s">
        <v>133</v>
      </c>
      <c r="K5" s="363"/>
      <c r="L5" s="236" t="s">
        <v>134</v>
      </c>
    </row>
    <row r="6" spans="3:12" ht="15" customHeight="1" x14ac:dyDescent="0.2">
      <c r="D6" s="86"/>
      <c r="E6" s="233" t="s">
        <v>250</v>
      </c>
      <c r="F6" s="234" t="s">
        <v>66</v>
      </c>
      <c r="G6" s="240">
        <f ca="1">'&gt;&gt; DCF'!H76</f>
        <v>25.115870050987866</v>
      </c>
      <c r="H6" s="242">
        <v>0.5</v>
      </c>
      <c r="I6" s="86"/>
      <c r="J6" s="233" t="s">
        <v>136</v>
      </c>
      <c r="K6" s="240">
        <f ca="1">K7*(1+L6)</f>
        <v>42.599191472449547</v>
      </c>
      <c r="L6" s="247">
        <v>0.05</v>
      </c>
    </row>
    <row r="7" spans="3:12" ht="15" customHeight="1" x14ac:dyDescent="0.2">
      <c r="D7" s="86"/>
      <c r="E7" s="86" t="s">
        <v>249</v>
      </c>
      <c r="F7" s="16" t="s">
        <v>66</v>
      </c>
      <c r="G7" s="241">
        <f ca="1">'&gt;&gt; DCF'!H96</f>
        <v>11.43788074631088</v>
      </c>
      <c r="H7" s="243">
        <v>0</v>
      </c>
      <c r="I7" s="86"/>
      <c r="J7" s="86" t="s">
        <v>137</v>
      </c>
      <c r="K7" s="241">
        <f ca="1">G11</f>
        <v>40.570658545190042</v>
      </c>
      <c r="L7" s="246">
        <v>0</v>
      </c>
    </row>
    <row r="8" spans="3:12" ht="15" customHeight="1" x14ac:dyDescent="0.2">
      <c r="D8" s="86"/>
      <c r="E8" s="233" t="s">
        <v>135</v>
      </c>
      <c r="F8" s="234" t="s">
        <v>66</v>
      </c>
      <c r="G8" s="240">
        <f ca="1">'&gt;&gt; DDM'!H43</f>
        <v>56.025447039392226</v>
      </c>
      <c r="H8" s="242">
        <v>0.5</v>
      </c>
      <c r="I8" s="86"/>
      <c r="J8" s="233" t="s">
        <v>138</v>
      </c>
      <c r="K8" s="240">
        <f ca="1">K7*(1+L8)</f>
        <v>38.542125617930537</v>
      </c>
      <c r="L8" s="247">
        <v>-0.05</v>
      </c>
    </row>
    <row r="9" spans="3:12" ht="15" customHeight="1" x14ac:dyDescent="0.2">
      <c r="D9" s="86"/>
      <c r="E9" s="86"/>
      <c r="F9" s="86"/>
      <c r="G9" s="227"/>
      <c r="H9" s="243">
        <f>SUM(H6:H8)</f>
        <v>1</v>
      </c>
      <c r="I9" s="86"/>
      <c r="J9" s="86"/>
      <c r="K9" s="86"/>
      <c r="L9" s="86"/>
    </row>
    <row r="10" spans="3:12" ht="15" customHeight="1" x14ac:dyDescent="0.2">
      <c r="D10" s="86"/>
      <c r="E10" s="86"/>
      <c r="F10" s="86"/>
      <c r="G10" s="86"/>
      <c r="H10" s="87"/>
      <c r="I10" s="86"/>
      <c r="J10" s="86"/>
      <c r="K10" s="86"/>
      <c r="L10" s="86"/>
    </row>
    <row r="11" spans="3:12" ht="15" customHeight="1" x14ac:dyDescent="0.2">
      <c r="D11" s="86"/>
      <c r="E11" s="237" t="s">
        <v>251</v>
      </c>
      <c r="F11" s="238" t="s">
        <v>66</v>
      </c>
      <c r="G11" s="239">
        <f ca="1">SUMPRODUCT(G6:G8,H6:H8)</f>
        <v>40.570658545190042</v>
      </c>
      <c r="H11" s="86"/>
      <c r="I11" s="86"/>
      <c r="J11" s="86"/>
      <c r="K11" s="86"/>
      <c r="L11" s="86"/>
    </row>
    <row r="12" spans="3:12" ht="15" customHeight="1" x14ac:dyDescent="0.2">
      <c r="D12" s="86"/>
      <c r="E12" s="86" t="s">
        <v>139</v>
      </c>
      <c r="F12" s="16" t="s">
        <v>66</v>
      </c>
      <c r="G12" s="241">
        <f>'&gt;&gt; Inputs'!G21</f>
        <v>0.99</v>
      </c>
      <c r="H12" s="86"/>
      <c r="I12" s="86"/>
      <c r="J12" s="86"/>
      <c r="K12" s="86"/>
      <c r="L12" s="86"/>
    </row>
    <row r="13" spans="3:12" ht="15" customHeight="1" x14ac:dyDescent="0.2">
      <c r="D13" s="86"/>
      <c r="E13" s="244" t="s">
        <v>262</v>
      </c>
      <c r="F13" s="248" t="s">
        <v>7</v>
      </c>
      <c r="G13" s="245">
        <f ca="1">G11/G12-1</f>
        <v>39.980463176959638</v>
      </c>
      <c r="H13" s="86"/>
      <c r="I13" s="86"/>
      <c r="J13" s="86"/>
      <c r="K13" s="86"/>
      <c r="L13" s="86"/>
    </row>
    <row r="15" spans="3:12" ht="15" customHeight="1" x14ac:dyDescent="0.2">
      <c r="E15" s="4" t="s">
        <v>140</v>
      </c>
      <c r="F15" s="4"/>
      <c r="G15" s="236" t="str">
        <f ca="1">IF(G13 &gt;= 0.15, "BUY", IF(G13 &gt;= 0.05, "OVERWEIGHT", IF(G13 &gt;= -0.05, "HOLD", IF(G13 &gt;= -0.15, "UNDERWEIGHT", "SELL"))))</f>
        <v>BUY</v>
      </c>
    </row>
    <row r="30" spans="1:27" ht="15" customHeight="1" x14ac:dyDescent="0.2">
      <c r="A30" s="41"/>
      <c r="B30" s="41" t="s">
        <v>45</v>
      </c>
      <c r="C30" s="42"/>
      <c r="D30" s="42"/>
      <c r="E30" s="42"/>
      <c r="F30" s="42"/>
      <c r="G30" s="42"/>
      <c r="H30" s="42"/>
      <c r="I30" s="42"/>
      <c r="J30" s="42"/>
      <c r="K30" s="42"/>
      <c r="L30" s="42"/>
      <c r="M30" s="42"/>
      <c r="N30" s="42"/>
      <c r="O30" s="42"/>
      <c r="P30" s="42"/>
      <c r="Q30" s="42"/>
      <c r="R30" s="42"/>
      <c r="S30" s="42"/>
      <c r="T30" s="42"/>
      <c r="U30" s="42"/>
      <c r="V30" s="42"/>
      <c r="W30" s="42"/>
      <c r="X30" s="42"/>
      <c r="Y30" s="42"/>
      <c r="Z30" s="42"/>
      <c r="AA30" s="42"/>
    </row>
    <row r="34" ht="12.75" customHeight="1" x14ac:dyDescent="0.2"/>
    <row r="35" ht="12.75" customHeight="1" x14ac:dyDescent="0.2"/>
  </sheetData>
  <mergeCells count="1">
    <mergeCell ref="J5:K5"/>
  </mergeCells>
  <pageMargins left="0.7" right="0.7" top="0.75" bottom="0.75" header="0" footer="0"/>
  <pageSetup orientation="portrait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8FC44E-43F9-4B21-9228-989BE03EF0DE}">
  <sheetPr>
    <tabColor theme="2" tint="-0.249977111117893"/>
  </sheetPr>
  <dimension ref="A2:AF171"/>
  <sheetViews>
    <sheetView showGridLines="0" topLeftCell="A2" zoomScale="90" zoomScaleNormal="90" workbookViewId="0">
      <pane xSplit="5" ySplit="3" topLeftCell="F163" activePane="bottomRight" state="frozen"/>
      <selection activeCell="A2" sqref="A2"/>
      <selection pane="topRight" activeCell="F2" sqref="F2"/>
      <selection pane="bottomLeft" activeCell="A5" sqref="A5"/>
      <selection pane="bottomRight" activeCell="H98" sqref="H98"/>
    </sheetView>
  </sheetViews>
  <sheetFormatPr baseColWidth="10" defaultColWidth="14.5" defaultRowHeight="15" customHeight="1" x14ac:dyDescent="0.2"/>
  <cols>
    <col min="1" max="2" width="2.6640625" customWidth="1"/>
    <col min="3" max="3" width="1.5" customWidth="1"/>
    <col min="4" max="4" width="3.5" customWidth="1"/>
    <col min="5" max="5" width="44.5" customWidth="1"/>
    <col min="6" max="20" width="11.1640625" customWidth="1"/>
    <col min="21" max="21" width="13.1640625" customWidth="1"/>
    <col min="22" max="23" width="15.1640625" customWidth="1"/>
    <col min="24" max="24" width="14.6640625" customWidth="1"/>
    <col min="25" max="25" width="14" customWidth="1"/>
    <col min="26" max="26" width="11.1640625" customWidth="1"/>
    <col min="27" max="37" width="9.1640625" customWidth="1"/>
  </cols>
  <sheetData>
    <row r="2" spans="3:25" x14ac:dyDescent="0.2">
      <c r="C2" s="2"/>
      <c r="D2" s="1" t="s">
        <v>141</v>
      </c>
      <c r="E2" s="2"/>
      <c r="F2" s="2"/>
      <c r="G2" s="2"/>
      <c r="H2" s="364" t="s">
        <v>86</v>
      </c>
      <c r="I2" s="365"/>
      <c r="J2" s="365"/>
      <c r="K2" s="365"/>
      <c r="L2" s="365"/>
      <c r="M2" s="365"/>
      <c r="N2" s="365"/>
      <c r="O2" s="365"/>
      <c r="P2" s="2"/>
      <c r="Q2" s="2"/>
      <c r="R2" s="2"/>
      <c r="S2" s="2"/>
      <c r="T2" s="2"/>
      <c r="U2" s="2"/>
      <c r="V2" s="2"/>
      <c r="W2" s="2"/>
      <c r="X2" s="2"/>
      <c r="Y2" s="2"/>
    </row>
    <row r="3" spans="3:25" ht="9" customHeight="1" x14ac:dyDescent="0.2"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</row>
    <row r="4" spans="3:25" x14ac:dyDescent="0.2">
      <c r="C4" s="3"/>
      <c r="D4" s="4" t="s">
        <v>87</v>
      </c>
      <c r="E4" s="3"/>
      <c r="F4" s="5" t="s">
        <v>88</v>
      </c>
      <c r="G4" s="5"/>
      <c r="H4" s="6">
        <f t="shared" ref="H4:M4" si="0">EOMONTH(I4,-12)</f>
        <v>43100</v>
      </c>
      <c r="I4" s="6">
        <f t="shared" si="0"/>
        <v>43465</v>
      </c>
      <c r="J4" s="6">
        <f t="shared" si="0"/>
        <v>43830</v>
      </c>
      <c r="K4" s="6">
        <f t="shared" si="0"/>
        <v>44196</v>
      </c>
      <c r="L4" s="6">
        <f t="shared" si="0"/>
        <v>44561</v>
      </c>
      <c r="M4" s="6">
        <f t="shared" si="0"/>
        <v>44926</v>
      </c>
      <c r="N4" s="6">
        <f>EOMONTH(O4,-12)</f>
        <v>45291</v>
      </c>
      <c r="O4" s="6">
        <f>EOMONTH('&gt;&gt; Inputs'!$G$17,0)</f>
        <v>45657</v>
      </c>
      <c r="P4" s="6">
        <f>EOMONTH(O4,12)</f>
        <v>46022</v>
      </c>
      <c r="Q4" s="6">
        <f t="shared" ref="Q4:Y4" si="1">EOMONTH(P4,12)</f>
        <v>46387</v>
      </c>
      <c r="R4" s="6">
        <f t="shared" si="1"/>
        <v>46752</v>
      </c>
      <c r="S4" s="6">
        <f t="shared" si="1"/>
        <v>47118</v>
      </c>
      <c r="T4" s="6">
        <f t="shared" si="1"/>
        <v>47483</v>
      </c>
      <c r="U4" s="6">
        <f t="shared" si="1"/>
        <v>47848</v>
      </c>
      <c r="V4" s="6">
        <f t="shared" si="1"/>
        <v>48213</v>
      </c>
      <c r="W4" s="6">
        <f t="shared" si="1"/>
        <v>48579</v>
      </c>
      <c r="X4" s="6">
        <f t="shared" si="1"/>
        <v>48944</v>
      </c>
      <c r="Y4" s="6">
        <f t="shared" si="1"/>
        <v>49309</v>
      </c>
    </row>
    <row r="5" spans="3:25" ht="12.75" customHeight="1" x14ac:dyDescent="0.2">
      <c r="C5" s="7"/>
      <c r="D5" s="7"/>
      <c r="E5" s="7" t="s">
        <v>89</v>
      </c>
      <c r="F5" s="8" t="s">
        <v>90</v>
      </c>
      <c r="G5" s="8"/>
      <c r="H5" s="11">
        <f t="shared" ref="H5:M5" si="2">I5-1</f>
        <v>-6</v>
      </c>
      <c r="I5" s="11">
        <f t="shared" si="2"/>
        <v>-5</v>
      </c>
      <c r="J5" s="11">
        <f t="shared" si="2"/>
        <v>-4</v>
      </c>
      <c r="K5" s="11">
        <f t="shared" si="2"/>
        <v>-3</v>
      </c>
      <c r="L5" s="11">
        <f t="shared" si="2"/>
        <v>-2</v>
      </c>
      <c r="M5" s="11">
        <f t="shared" si="2"/>
        <v>-1</v>
      </c>
      <c r="N5" s="11">
        <v>0</v>
      </c>
      <c r="O5" s="11">
        <v>0</v>
      </c>
      <c r="P5" s="11">
        <f t="shared" ref="P5:Y5" si="3">O5 + 1</f>
        <v>1</v>
      </c>
      <c r="Q5" s="11">
        <f t="shared" si="3"/>
        <v>2</v>
      </c>
      <c r="R5" s="11">
        <f t="shared" si="3"/>
        <v>3</v>
      </c>
      <c r="S5" s="11">
        <f t="shared" si="3"/>
        <v>4</v>
      </c>
      <c r="T5" s="11">
        <f t="shared" si="3"/>
        <v>5</v>
      </c>
      <c r="U5" s="11">
        <f t="shared" si="3"/>
        <v>6</v>
      </c>
      <c r="V5" s="11">
        <f t="shared" si="3"/>
        <v>7</v>
      </c>
      <c r="W5" s="11">
        <f t="shared" si="3"/>
        <v>8</v>
      </c>
      <c r="X5" s="11">
        <f t="shared" si="3"/>
        <v>9</v>
      </c>
      <c r="Y5" s="11">
        <f t="shared" si="3"/>
        <v>10</v>
      </c>
    </row>
    <row r="6" spans="3:25" ht="12.75" customHeight="1" x14ac:dyDescent="0.2">
      <c r="C6" s="7"/>
      <c r="D6" s="7"/>
      <c r="E6" s="7" t="s">
        <v>91</v>
      </c>
      <c r="F6" s="10" t="s">
        <v>92</v>
      </c>
      <c r="G6" s="10"/>
      <c r="H6" s="11">
        <v>0</v>
      </c>
      <c r="I6" s="11">
        <v>0</v>
      </c>
      <c r="J6" s="11">
        <v>0</v>
      </c>
      <c r="K6" s="11">
        <v>0.5</v>
      </c>
      <c r="L6" s="11">
        <f t="shared" ref="L6:Y6" si="4">K6 + 1</f>
        <v>1.5</v>
      </c>
      <c r="M6" s="11">
        <f t="shared" si="4"/>
        <v>2.5</v>
      </c>
      <c r="N6" s="11">
        <f t="shared" si="4"/>
        <v>3.5</v>
      </c>
      <c r="O6" s="11">
        <f t="shared" si="4"/>
        <v>4.5</v>
      </c>
      <c r="P6" s="11">
        <f t="shared" si="4"/>
        <v>5.5</v>
      </c>
      <c r="Q6" s="11">
        <f t="shared" si="4"/>
        <v>6.5</v>
      </c>
      <c r="R6" s="11">
        <f t="shared" si="4"/>
        <v>7.5</v>
      </c>
      <c r="S6" s="11">
        <f t="shared" si="4"/>
        <v>8.5</v>
      </c>
      <c r="T6" s="11">
        <f t="shared" si="4"/>
        <v>9.5</v>
      </c>
      <c r="U6" s="11">
        <f t="shared" si="4"/>
        <v>10.5</v>
      </c>
      <c r="V6" s="11">
        <f t="shared" si="4"/>
        <v>11.5</v>
      </c>
      <c r="W6" s="11">
        <f t="shared" si="4"/>
        <v>12.5</v>
      </c>
      <c r="X6" s="11">
        <f t="shared" si="4"/>
        <v>13.5</v>
      </c>
      <c r="Y6" s="11">
        <f t="shared" si="4"/>
        <v>14.5</v>
      </c>
    </row>
    <row r="7" spans="3:25" ht="12.75" customHeight="1" x14ac:dyDescent="0.2">
      <c r="C7" s="7"/>
      <c r="D7" s="7"/>
      <c r="E7" s="7" t="s">
        <v>93</v>
      </c>
      <c r="F7" s="10" t="s">
        <v>5</v>
      </c>
      <c r="G7" s="10"/>
      <c r="H7" s="12">
        <f>EOMONTH( H8, -12 ) + 1</f>
        <v>42370</v>
      </c>
      <c r="I7" s="59">
        <f t="shared" ref="I7:Y7" si="5">H8 + 1</f>
        <v>42736</v>
      </c>
      <c r="J7" s="59">
        <f t="shared" si="5"/>
        <v>43101</v>
      </c>
      <c r="K7" s="59">
        <f t="shared" si="5"/>
        <v>43466</v>
      </c>
      <c r="L7" s="59">
        <f t="shared" si="5"/>
        <v>43831</v>
      </c>
      <c r="M7" s="59">
        <f t="shared" si="5"/>
        <v>44197</v>
      </c>
      <c r="N7" s="59">
        <f t="shared" si="5"/>
        <v>44562</v>
      </c>
      <c r="O7" s="59">
        <f t="shared" si="5"/>
        <v>44927</v>
      </c>
      <c r="P7" s="59">
        <f t="shared" si="5"/>
        <v>45292</v>
      </c>
      <c r="Q7" s="59">
        <f t="shared" si="5"/>
        <v>45658</v>
      </c>
      <c r="R7" s="59">
        <f t="shared" si="5"/>
        <v>46023</v>
      </c>
      <c r="S7" s="59">
        <f t="shared" si="5"/>
        <v>46388</v>
      </c>
      <c r="T7" s="59">
        <f t="shared" si="5"/>
        <v>46753</v>
      </c>
      <c r="U7" s="59">
        <f t="shared" si="5"/>
        <v>47119</v>
      </c>
      <c r="V7" s="59">
        <f t="shared" si="5"/>
        <v>47484</v>
      </c>
      <c r="W7" s="59">
        <f t="shared" si="5"/>
        <v>47849</v>
      </c>
      <c r="X7" s="59">
        <f t="shared" si="5"/>
        <v>48214</v>
      </c>
      <c r="Y7" s="59">
        <f t="shared" si="5"/>
        <v>48580</v>
      </c>
    </row>
    <row r="8" spans="3:25" ht="12.75" customHeight="1" x14ac:dyDescent="0.2">
      <c r="C8" s="7"/>
      <c r="D8" s="7"/>
      <c r="E8" s="7" t="s">
        <v>94</v>
      </c>
      <c r="F8" s="10" t="s">
        <v>5</v>
      </c>
      <c r="G8" s="10"/>
      <c r="H8" s="12">
        <f>'&gt;&gt; Inputs'!G18</f>
        <v>42735</v>
      </c>
      <c r="I8" s="12">
        <f t="shared" ref="I8:Y8" si="6">EOMONTH( I7, 11 )</f>
        <v>43100</v>
      </c>
      <c r="J8" s="12">
        <f t="shared" si="6"/>
        <v>43465</v>
      </c>
      <c r="K8" s="12">
        <f t="shared" si="6"/>
        <v>43830</v>
      </c>
      <c r="L8" s="12">
        <f t="shared" si="6"/>
        <v>44196</v>
      </c>
      <c r="M8" s="12">
        <f t="shared" si="6"/>
        <v>44561</v>
      </c>
      <c r="N8" s="12">
        <f t="shared" si="6"/>
        <v>44926</v>
      </c>
      <c r="O8" s="12">
        <f t="shared" si="6"/>
        <v>45291</v>
      </c>
      <c r="P8" s="12">
        <f t="shared" si="6"/>
        <v>45657</v>
      </c>
      <c r="Q8" s="12">
        <f t="shared" si="6"/>
        <v>46022</v>
      </c>
      <c r="R8" s="12">
        <f t="shared" si="6"/>
        <v>46387</v>
      </c>
      <c r="S8" s="12">
        <f t="shared" si="6"/>
        <v>46752</v>
      </c>
      <c r="T8" s="12">
        <f t="shared" si="6"/>
        <v>47118</v>
      </c>
      <c r="U8" s="12">
        <f t="shared" si="6"/>
        <v>47483</v>
      </c>
      <c r="V8" s="12">
        <f t="shared" si="6"/>
        <v>47848</v>
      </c>
      <c r="W8" s="12">
        <f t="shared" si="6"/>
        <v>48213</v>
      </c>
      <c r="X8" s="12">
        <f t="shared" si="6"/>
        <v>48579</v>
      </c>
      <c r="Y8" s="12">
        <f t="shared" si="6"/>
        <v>48944</v>
      </c>
    </row>
    <row r="9" spans="3:25" ht="12.75" customHeight="1" x14ac:dyDescent="0.2">
      <c r="C9" s="7"/>
      <c r="D9" s="7"/>
      <c r="E9" s="7" t="s">
        <v>95</v>
      </c>
      <c r="F9" s="10" t="s">
        <v>10</v>
      </c>
      <c r="G9" s="10"/>
      <c r="H9" s="13" t="str">
        <f ca="1">IF( H8 &gt; '&gt;&gt; Inputs'!$G20, "Forecast", "Actual" )</f>
        <v>Actual</v>
      </c>
      <c r="I9" s="13" t="str">
        <f ca="1">IF( I8 &gt; '&gt;&gt; Inputs'!$G20, "Forecast", "Actual" )</f>
        <v>Actual</v>
      </c>
      <c r="J9" s="13" t="str">
        <f ca="1">IF( J8 &gt; '&gt;&gt; Inputs'!$G20, "Forecast", "Actual" )</f>
        <v>Actual</v>
      </c>
      <c r="K9" s="13" t="str">
        <f ca="1">IF( K8 &gt; '&gt;&gt; Inputs'!$G20, "Forecast", "Actual" )</f>
        <v>Actual</v>
      </c>
      <c r="L9" s="13" t="str">
        <f ca="1">IF( L8 &gt; '&gt;&gt; Inputs'!$G20, "Forecast", "Actual" )</f>
        <v>Actual</v>
      </c>
      <c r="M9" s="13" t="str">
        <f ca="1">IF( M8 &gt; '&gt;&gt; Inputs'!$G20, "Forecast", "Actual" )</f>
        <v>Actual</v>
      </c>
      <c r="N9" s="13" t="str">
        <f ca="1">IF( N8 &gt; '&gt;&gt; Inputs'!$G20, "Forecast", "Actual" )</f>
        <v>Actual</v>
      </c>
      <c r="O9" s="13" t="str">
        <f ca="1">IF( O8 &gt; '&gt;&gt; Inputs'!$G20, "Forecast", "Actual" )</f>
        <v>Actual</v>
      </c>
      <c r="P9" s="13" t="str">
        <f ca="1">IF( P8 &gt; '&gt;&gt; Inputs'!$G20, "Forecast", "Actual" )</f>
        <v>Actual</v>
      </c>
      <c r="Q9" s="13" t="str">
        <f ca="1">IF( Q8 &gt; '&gt;&gt; Inputs'!$G20, "Forecast", "Actual" )</f>
        <v>Forecast</v>
      </c>
      <c r="R9" s="13" t="str">
        <f ca="1">IF( R8 &gt; '&gt;&gt; Inputs'!$G20, "Forecast", "Actual" )</f>
        <v>Forecast</v>
      </c>
      <c r="S9" s="13" t="str">
        <f ca="1">IF( S8 &gt; '&gt;&gt; Inputs'!$G20, "Forecast", "Actual" )</f>
        <v>Forecast</v>
      </c>
      <c r="T9" s="13" t="str">
        <f ca="1">IF( T8 &gt; '&gt;&gt; Inputs'!$G20, "Forecast", "Actual" )</f>
        <v>Forecast</v>
      </c>
      <c r="U9" s="13" t="str">
        <f ca="1">IF( U8 &gt; '&gt;&gt; Inputs'!$G20, "Forecast", "Actual" )</f>
        <v>Forecast</v>
      </c>
      <c r="V9" s="13" t="str">
        <f ca="1">IF( V8 &gt; '&gt;&gt; Inputs'!$G20, "Forecast", "Actual" )</f>
        <v>Forecast</v>
      </c>
      <c r="W9" s="13" t="str">
        <f ca="1">IF( W8 &gt; '&gt;&gt; Inputs'!$G20, "Forecast", "Actual" )</f>
        <v>Forecast</v>
      </c>
      <c r="X9" s="13" t="str">
        <f ca="1">IF( X8 &gt; '&gt;&gt; Inputs'!$G20, "Forecast", "Actual" )</f>
        <v>Forecast</v>
      </c>
      <c r="Y9" s="13" t="str">
        <f ca="1">IF( Y8 &gt; '&gt;&gt; Inputs'!$G20, "Forecast", "Actual" )</f>
        <v>Forecast</v>
      </c>
    </row>
    <row r="10" spans="3:25" ht="9" customHeight="1" x14ac:dyDescent="0.2">
      <c r="C10" s="2"/>
      <c r="D10" s="2"/>
      <c r="E10" s="2"/>
      <c r="F10" s="24"/>
      <c r="G10" s="24"/>
      <c r="H10" s="88"/>
      <c r="I10" s="88"/>
      <c r="J10" s="88"/>
      <c r="K10" s="88"/>
      <c r="L10" s="88"/>
      <c r="M10" s="88"/>
      <c r="N10" s="15"/>
      <c r="O10" s="15"/>
      <c r="P10" s="15"/>
      <c r="Q10" s="15"/>
      <c r="R10" s="15"/>
      <c r="S10" s="15"/>
      <c r="T10" s="15"/>
      <c r="U10" s="15"/>
      <c r="V10" s="15"/>
      <c r="W10" s="15"/>
      <c r="X10" s="15"/>
      <c r="Y10" s="15"/>
    </row>
    <row r="11" spans="3:25" ht="15" customHeight="1" x14ac:dyDescent="0.2">
      <c r="C11" s="2"/>
      <c r="D11" s="2"/>
      <c r="E11" s="2"/>
      <c r="F11" s="24"/>
      <c r="G11" s="24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</row>
    <row r="12" spans="3:25" ht="15" customHeight="1" x14ac:dyDescent="0.2">
      <c r="C12" s="2"/>
      <c r="D12" s="2"/>
      <c r="E12" s="2" t="s">
        <v>96</v>
      </c>
      <c r="F12" s="24" t="s">
        <v>10</v>
      </c>
      <c r="G12" s="24"/>
      <c r="H12" s="50">
        <f>IF( AND( H5 &lt;= '&gt;&gt; Inputs'!$G41, H5 &gt;= 1 ), 1, 0 )</f>
        <v>0</v>
      </c>
      <c r="I12" s="50">
        <f>IF( AND( I5 &lt;= '&gt;&gt; Inputs'!$G41, I5 &gt;= 1 ), 1, 0 )</f>
        <v>0</v>
      </c>
      <c r="J12" s="50">
        <f>IF( AND( J5 &lt;= '&gt;&gt; Inputs'!$G41, J5 &gt;= 1 ), 1, 0 )</f>
        <v>0</v>
      </c>
      <c r="K12" s="60">
        <f>IF( AND( K5 &lt;= '&gt;&gt; Inputs'!$G41, K5 &gt;= 1 ), 1, 0 )</f>
        <v>0</v>
      </c>
      <c r="L12" s="60">
        <f>IF( AND( L5 &lt;= '&gt;&gt; Inputs'!$G41, L5 &gt;= 1 ), 1, 0 )</f>
        <v>0</v>
      </c>
      <c r="M12" s="60">
        <f>IF( AND( M5 &lt;= '&gt;&gt; Inputs'!$G41, M5 &gt;= 1 ), 1, 0 )</f>
        <v>0</v>
      </c>
      <c r="N12" s="60">
        <f>IF( AND( N5 &lt;= '&gt;&gt; Inputs'!$G41, N5 &gt;= 1 ), 1, 0 )</f>
        <v>0</v>
      </c>
      <c r="O12" s="60">
        <f>IF( AND( O5 &lt;= '&gt;&gt; Inputs'!$G41, O5 &gt;= 1 ), 1, 0 )</f>
        <v>0</v>
      </c>
      <c r="P12" s="60">
        <f>IF( AND( P5 &lt;= '&gt;&gt; Inputs'!$G41, P5 &gt;= 1 ), 1, 0 )</f>
        <v>1</v>
      </c>
      <c r="Q12" s="60">
        <f>IF( AND( Q5 &lt;= '&gt;&gt; Inputs'!$G41, Q5 &gt;= 1 ), 1, 0 )</f>
        <v>1</v>
      </c>
      <c r="R12" s="60">
        <f>IF( AND( R5 &lt;= '&gt;&gt; Inputs'!$G41, R5 &gt;= 1 ), 1, 0 )</f>
        <v>1</v>
      </c>
      <c r="S12" s="60">
        <f>IF( AND( S5 &lt;= '&gt;&gt; Inputs'!$G41, S5 &gt;= 1 ), 1, 0 )</f>
        <v>1</v>
      </c>
      <c r="T12" s="60">
        <f>IF( AND( T5 &lt;= '&gt;&gt; Inputs'!$G41, T5 &gt;= 1 ), 1, 0 )</f>
        <v>1</v>
      </c>
      <c r="U12" s="60">
        <f>IF( AND( U5 &lt;= '&gt;&gt; Inputs'!$G41, U5 &gt;= 1 ), 1, 0 )</f>
        <v>1</v>
      </c>
      <c r="V12" s="60">
        <f>IF( AND( V5 &lt;= '&gt;&gt; Inputs'!$G41, V5 &gt;= 1 ), 1, 0 )</f>
        <v>1</v>
      </c>
      <c r="W12" s="60">
        <f>IF( AND( W5 &lt;= '&gt;&gt; Inputs'!$G41, W5 &gt;= 1 ), 1, 0 )</f>
        <v>1</v>
      </c>
      <c r="X12" s="60">
        <f>IF( AND( X5 &lt;= '&gt;&gt; Inputs'!$G41, X5 &gt;= 1 ), 1, 0 )</f>
        <v>1</v>
      </c>
      <c r="Y12" s="60">
        <f>IF( AND( Y5 &lt;= '&gt;&gt; Inputs'!$G41, Y5 &gt;= 1 ), 1, 0 )</f>
        <v>1</v>
      </c>
    </row>
    <row r="13" spans="3:25" ht="15" customHeight="1" x14ac:dyDescent="0.2">
      <c r="C13" s="2"/>
      <c r="D13" s="2"/>
      <c r="E13" s="2" t="s">
        <v>97</v>
      </c>
      <c r="F13" s="24" t="s">
        <v>10</v>
      </c>
      <c r="G13" s="24"/>
      <c r="H13" s="50">
        <f>IF( H5 = '&gt;&gt; Inputs'!$G41, 1, 0 )</f>
        <v>0</v>
      </c>
      <c r="I13" s="50">
        <f>IF( I5 = '&gt;&gt; Inputs'!$G41, 1, 0 )</f>
        <v>0</v>
      </c>
      <c r="J13" s="50">
        <f>IF( J5 = '&gt;&gt; Inputs'!$G41, 1, 0 )</f>
        <v>0</v>
      </c>
      <c r="K13" s="50">
        <f>IF( K5 = '&gt;&gt; Inputs'!$G41, 1, 0 )</f>
        <v>0</v>
      </c>
      <c r="L13" s="50">
        <f>IF( L5 = '&gt;&gt; Inputs'!$G41, 1, 0 )</f>
        <v>0</v>
      </c>
      <c r="M13" s="50">
        <f>IF( M5 = '&gt;&gt; Inputs'!$G41, 1, 0 )</f>
        <v>0</v>
      </c>
      <c r="N13" s="50">
        <f>IF( N5 = '&gt;&gt; Inputs'!$G41, 1, 0 )</f>
        <v>0</v>
      </c>
      <c r="O13" s="50">
        <f>IF( O5 = '&gt;&gt; Inputs'!$G41, 1, 0 )</f>
        <v>0</v>
      </c>
      <c r="P13" s="50">
        <f>IF( P5 = '&gt;&gt; Inputs'!$G41, 1, 0 )</f>
        <v>0</v>
      </c>
      <c r="Q13" s="50">
        <f>IF( Q5 = '&gt;&gt; Inputs'!$G41, 1, 0 )</f>
        <v>0</v>
      </c>
      <c r="R13" s="50">
        <f>IF( R5 = '&gt;&gt; Inputs'!$G41, 1, 0 )</f>
        <v>0</v>
      </c>
      <c r="S13" s="50">
        <f>IF( S5 = '&gt;&gt; Inputs'!$G41, 1, 0 )</f>
        <v>0</v>
      </c>
      <c r="T13" s="50">
        <f>IF( T5 = '&gt;&gt; Inputs'!$G41, 1, 0 )</f>
        <v>0</v>
      </c>
      <c r="U13" s="50">
        <f>IF( U5 = '&gt;&gt; Inputs'!$G41, 1, 0 )</f>
        <v>0</v>
      </c>
      <c r="V13" s="50">
        <f>IF( V5 = '&gt;&gt; Inputs'!$G41, 1, 0 )</f>
        <v>0</v>
      </c>
      <c r="W13" s="50">
        <f>IF( W5 = '&gt;&gt; Inputs'!$G41, 1, 0 )</f>
        <v>0</v>
      </c>
      <c r="X13" s="50">
        <f>IF( X5 = '&gt;&gt; Inputs'!$G41, 1, 0 )</f>
        <v>0</v>
      </c>
      <c r="Y13" s="50">
        <f>IF( Y5 = '&gt;&gt; Inputs'!$G41, 1, 0 )</f>
        <v>1</v>
      </c>
    </row>
    <row r="14" spans="3:25" ht="15" customHeight="1" x14ac:dyDescent="0.2">
      <c r="C14" s="2"/>
      <c r="D14" s="2"/>
      <c r="E14" s="2"/>
      <c r="F14" s="24"/>
      <c r="G14" s="24"/>
      <c r="H14" s="43"/>
      <c r="I14" s="43"/>
      <c r="J14" s="43"/>
      <c r="K14" s="43"/>
      <c r="L14" s="43"/>
      <c r="M14" s="43"/>
      <c r="N14" s="43"/>
      <c r="O14" s="43"/>
      <c r="P14" s="43"/>
      <c r="Q14" s="43"/>
      <c r="R14" s="43"/>
      <c r="S14" s="43"/>
      <c r="T14" s="43"/>
      <c r="U14" s="43"/>
      <c r="V14" s="43"/>
      <c r="W14" s="43"/>
      <c r="X14" s="43"/>
      <c r="Y14" s="43"/>
    </row>
    <row r="15" spans="3:25" ht="15" customHeight="1" x14ac:dyDescent="0.2">
      <c r="C15" s="89" t="s">
        <v>142</v>
      </c>
      <c r="D15" s="90"/>
      <c r="E15" s="90"/>
      <c r="F15" s="91"/>
      <c r="G15" s="91"/>
      <c r="H15" s="92"/>
      <c r="I15" s="92"/>
      <c r="J15" s="92"/>
      <c r="K15" s="92"/>
      <c r="L15" s="92"/>
      <c r="M15" s="92"/>
      <c r="N15" s="92"/>
      <c r="O15" s="92"/>
      <c r="P15" s="92"/>
      <c r="Q15" s="92"/>
      <c r="R15" s="92"/>
      <c r="S15" s="92"/>
      <c r="T15" s="92"/>
      <c r="U15" s="92"/>
      <c r="V15" s="92"/>
      <c r="W15" s="92"/>
      <c r="X15" s="92"/>
      <c r="Y15" s="92"/>
    </row>
    <row r="17" spans="5:25" ht="15" customHeight="1" x14ac:dyDescent="0.2">
      <c r="E17" s="2" t="s">
        <v>143</v>
      </c>
      <c r="F17" s="24" t="s">
        <v>25</v>
      </c>
      <c r="G17" s="24"/>
      <c r="H17" s="47">
        <f t="shared" ref="H17:Y17" si="7">H103</f>
        <v>1687.2</v>
      </c>
      <c r="I17" s="47">
        <f t="shared" si="7"/>
        <v>1894.5</v>
      </c>
      <c r="J17" s="47">
        <f t="shared" si="7"/>
        <v>2280.9</v>
      </c>
      <c r="K17" s="47" t="str">
        <f t="shared" si="7"/>
        <v>-</v>
      </c>
      <c r="L17" s="47" t="str">
        <f t="shared" si="7"/>
        <v>-</v>
      </c>
      <c r="M17" s="47" t="str">
        <f t="shared" si="7"/>
        <v>-</v>
      </c>
      <c r="N17" s="47" t="str">
        <f t="shared" si="7"/>
        <v>-</v>
      </c>
      <c r="O17" s="47" t="str">
        <f t="shared" si="7"/>
        <v>-</v>
      </c>
      <c r="P17" s="47">
        <f t="shared" si="7"/>
        <v>0</v>
      </c>
      <c r="Q17" s="47">
        <f t="shared" si="7"/>
        <v>0</v>
      </c>
      <c r="R17" s="47">
        <f t="shared" si="7"/>
        <v>0</v>
      </c>
      <c r="S17" s="47">
        <f t="shared" si="7"/>
        <v>0</v>
      </c>
      <c r="T17" s="47">
        <f t="shared" si="7"/>
        <v>0</v>
      </c>
      <c r="U17" s="47">
        <f t="shared" si="7"/>
        <v>0</v>
      </c>
      <c r="V17" s="47">
        <f t="shared" si="7"/>
        <v>0</v>
      </c>
      <c r="W17" s="47">
        <f t="shared" si="7"/>
        <v>0</v>
      </c>
      <c r="X17" s="47">
        <f t="shared" si="7"/>
        <v>0</v>
      </c>
      <c r="Y17" s="47">
        <f t="shared" si="7"/>
        <v>0</v>
      </c>
    </row>
    <row r="18" spans="5:25" ht="15" customHeight="1" x14ac:dyDescent="0.2">
      <c r="E18" s="2" t="s">
        <v>144</v>
      </c>
      <c r="F18" s="24" t="s">
        <v>25</v>
      </c>
      <c r="G18" s="24"/>
      <c r="H18" s="47">
        <f>H115</f>
        <v>907.2</v>
      </c>
      <c r="I18" s="47">
        <f t="shared" ref="I18:Y18" si="8">I115</f>
        <v>999.9</v>
      </c>
      <c r="J18" s="47">
        <f t="shared" si="8"/>
        <v>1048.2</v>
      </c>
      <c r="K18" s="47">
        <f t="shared" si="8"/>
        <v>1096.8</v>
      </c>
      <c r="L18" s="47">
        <f t="shared" si="8"/>
        <v>1126.5999999999999</v>
      </c>
      <c r="M18" s="47">
        <f t="shared" si="8"/>
        <v>1225.7</v>
      </c>
      <c r="N18" s="47">
        <f t="shared" si="8"/>
        <v>1387.4</v>
      </c>
      <c r="O18" s="47">
        <f t="shared" si="8"/>
        <v>1356.9</v>
      </c>
      <c r="P18" s="47">
        <f t="shared" si="8"/>
        <v>1438.6876029437828</v>
      </c>
      <c r="Q18" s="47">
        <f t="shared" si="8"/>
        <v>1525.404981107029</v>
      </c>
      <c r="R18" s="47">
        <f t="shared" si="8"/>
        <v>1609.3585961238757</v>
      </c>
      <c r="S18" s="47">
        <f t="shared" si="8"/>
        <v>1699.2870571193939</v>
      </c>
      <c r="T18" s="47">
        <f t="shared" si="8"/>
        <v>1796.2612989503018</v>
      </c>
      <c r="U18" s="47">
        <f t="shared" si="8"/>
        <v>1905.4826286849602</v>
      </c>
      <c r="V18" s="47">
        <f t="shared" si="8"/>
        <v>2014.8762718061716</v>
      </c>
      <c r="W18" s="47">
        <f t="shared" si="8"/>
        <v>2111.7829661701248</v>
      </c>
      <c r="X18" s="47">
        <f t="shared" si="8"/>
        <v>2231.8494468712238</v>
      </c>
      <c r="Y18" s="47">
        <f t="shared" si="8"/>
        <v>2357.7882983842765</v>
      </c>
    </row>
    <row r="19" spans="5:25" ht="15" customHeight="1" x14ac:dyDescent="0.2">
      <c r="E19" s="2" t="s">
        <v>145</v>
      </c>
      <c r="F19" s="24" t="s">
        <v>25</v>
      </c>
      <c r="G19" s="24"/>
      <c r="H19" s="47">
        <f>H127</f>
        <v>552.46</v>
      </c>
      <c r="I19" s="47">
        <f t="shared" ref="I19:Y19" si="9">I127</f>
        <v>675.44</v>
      </c>
      <c r="J19" s="47">
        <f t="shared" si="9"/>
        <v>654.92999999999995</v>
      </c>
      <c r="K19" s="47">
        <f t="shared" si="9"/>
        <v>650.75</v>
      </c>
      <c r="L19" s="47">
        <f t="shared" si="9"/>
        <v>604.94000000000005</v>
      </c>
      <c r="M19" s="47">
        <f t="shared" si="9"/>
        <v>586.32000000000005</v>
      </c>
      <c r="N19" s="47">
        <f t="shared" si="9"/>
        <v>687.23</v>
      </c>
      <c r="O19" s="47">
        <f t="shared" si="9"/>
        <v>712.6</v>
      </c>
      <c r="P19" s="47">
        <f t="shared" si="9"/>
        <v>720.34</v>
      </c>
      <c r="Q19" s="47">
        <f t="shared" si="9"/>
        <v>750.56389061043797</v>
      </c>
      <c r="R19" s="47">
        <f t="shared" si="9"/>
        <v>779.1384509192776</v>
      </c>
      <c r="S19" s="47">
        <f t="shared" si="9"/>
        <v>791.20728424378979</v>
      </c>
      <c r="T19" s="47">
        <f t="shared" si="9"/>
        <v>810.23146413165955</v>
      </c>
      <c r="U19" s="47">
        <f t="shared" si="9"/>
        <v>831.92827749131447</v>
      </c>
      <c r="V19" s="47">
        <f t="shared" si="9"/>
        <v>864.0270331230289</v>
      </c>
      <c r="W19" s="47">
        <f t="shared" si="9"/>
        <v>903.58078007011466</v>
      </c>
      <c r="X19" s="47">
        <f t="shared" si="9"/>
        <v>929.86403825099092</v>
      </c>
      <c r="Y19" s="47">
        <f t="shared" si="9"/>
        <v>957.94188378409547</v>
      </c>
    </row>
    <row r="20" spans="5:25" ht="15" customHeight="1" x14ac:dyDescent="0.2">
      <c r="E20" s="2" t="s">
        <v>146</v>
      </c>
      <c r="F20" s="24" t="s">
        <v>25</v>
      </c>
      <c r="G20" s="24"/>
      <c r="H20" s="47">
        <f>H139</f>
        <v>54.2</v>
      </c>
      <c r="I20" s="47">
        <f t="shared" ref="I20:Y20" si="10">I139</f>
        <v>60.8</v>
      </c>
      <c r="J20" s="47">
        <f t="shared" si="10"/>
        <v>33.1</v>
      </c>
      <c r="K20" s="47">
        <f t="shared" si="10"/>
        <v>71.971999999999994</v>
      </c>
      <c r="L20" s="47">
        <f t="shared" si="10"/>
        <v>72</v>
      </c>
      <c r="M20" s="47">
        <f t="shared" si="10"/>
        <v>87.025999999999996</v>
      </c>
      <c r="N20" s="47">
        <f t="shared" si="10"/>
        <v>95.1</v>
      </c>
      <c r="O20" s="47">
        <f t="shared" si="10"/>
        <v>95.9</v>
      </c>
      <c r="P20" s="47">
        <f t="shared" ca="1" si="10"/>
        <v>96.706729758149336</v>
      </c>
      <c r="Q20" s="47">
        <f t="shared" ca="1" si="10"/>
        <v>96.706729758149336</v>
      </c>
      <c r="R20" s="47">
        <f t="shared" ca="1" si="10"/>
        <v>96.706729758149336</v>
      </c>
      <c r="S20" s="47">
        <f t="shared" ca="1" si="10"/>
        <v>96.706729758149336</v>
      </c>
      <c r="T20" s="47">
        <f t="shared" ca="1" si="10"/>
        <v>96.706729758149336</v>
      </c>
      <c r="U20" s="47">
        <f t="shared" ca="1" si="10"/>
        <v>96.706729758149336</v>
      </c>
      <c r="V20" s="47">
        <f t="shared" ca="1" si="10"/>
        <v>96.706729758149336</v>
      </c>
      <c r="W20" s="47">
        <f t="shared" ca="1" si="10"/>
        <v>96.706729758149336</v>
      </c>
      <c r="X20" s="47">
        <f t="shared" ca="1" si="10"/>
        <v>96.706729758149336</v>
      </c>
      <c r="Y20" s="47">
        <f t="shared" ca="1" si="10"/>
        <v>96.706729758149336</v>
      </c>
    </row>
    <row r="21" spans="5:25" ht="15" customHeight="1" x14ac:dyDescent="0.2">
      <c r="E21" s="2" t="s">
        <v>147</v>
      </c>
      <c r="F21" s="24" t="s">
        <v>25</v>
      </c>
      <c r="G21" s="24"/>
      <c r="H21" s="47">
        <f>H151</f>
        <v>58</v>
      </c>
      <c r="I21" s="47">
        <f t="shared" ref="I21:Y21" si="11">I151</f>
        <v>59</v>
      </c>
      <c r="J21" s="47">
        <f t="shared" si="11"/>
        <v>22.326000000000001</v>
      </c>
      <c r="K21" s="47">
        <f t="shared" si="11"/>
        <v>22.326000000000001</v>
      </c>
      <c r="L21" s="47">
        <f t="shared" si="11"/>
        <v>1125.3</v>
      </c>
      <c r="M21" s="47">
        <f t="shared" si="11"/>
        <v>1287.98</v>
      </c>
      <c r="N21" s="47" t="str">
        <f t="shared" si="11"/>
        <v>1382..37</v>
      </c>
      <c r="O21" s="47">
        <f t="shared" si="11"/>
        <v>1563.94</v>
      </c>
      <c r="P21" s="47">
        <f t="shared" si="11"/>
        <v>1563.94</v>
      </c>
      <c r="Q21" s="47">
        <f t="shared" si="11"/>
        <v>1563.94</v>
      </c>
      <c r="R21" s="47">
        <f t="shared" si="11"/>
        <v>1563.94</v>
      </c>
      <c r="S21" s="47">
        <f t="shared" si="11"/>
        <v>1563.94</v>
      </c>
      <c r="T21" s="47">
        <f t="shared" si="11"/>
        <v>1563.94</v>
      </c>
      <c r="U21" s="47">
        <f t="shared" si="11"/>
        <v>1563.94</v>
      </c>
      <c r="V21" s="47">
        <f t="shared" si="11"/>
        <v>1563.94</v>
      </c>
      <c r="W21" s="47">
        <f t="shared" si="11"/>
        <v>1563.94</v>
      </c>
      <c r="X21" s="47">
        <f t="shared" si="11"/>
        <v>1563.94</v>
      </c>
      <c r="Y21" s="47">
        <f t="shared" si="11"/>
        <v>1563.94</v>
      </c>
    </row>
    <row r="22" spans="5:25" ht="15" customHeight="1" x14ac:dyDescent="0.2">
      <c r="E22" s="2" t="s">
        <v>288</v>
      </c>
      <c r="F22" s="24" t="s">
        <v>25</v>
      </c>
      <c r="G22" s="24"/>
      <c r="H22" s="47">
        <f>H162</f>
        <v>920.8</v>
      </c>
      <c r="I22" s="47">
        <f t="shared" ref="I22:Y22" si="12">I162</f>
        <v>1130</v>
      </c>
      <c r="J22" s="47">
        <f t="shared" si="12"/>
        <v>454.02</v>
      </c>
      <c r="K22" s="47">
        <f t="shared" si="12"/>
        <v>510.3</v>
      </c>
      <c r="L22" s="47">
        <f t="shared" si="12"/>
        <v>559.92999999999995</v>
      </c>
      <c r="M22" s="47">
        <f t="shared" si="12"/>
        <v>601.51</v>
      </c>
      <c r="N22" s="47">
        <f t="shared" si="12"/>
        <v>721.26</v>
      </c>
      <c r="O22" s="47">
        <f t="shared" si="12"/>
        <v>888.6</v>
      </c>
      <c r="P22" s="47">
        <f t="shared" si="12"/>
        <v>888.6</v>
      </c>
      <c r="Q22" s="47">
        <f t="shared" si="12"/>
        <v>888.6</v>
      </c>
      <c r="R22" s="47">
        <f t="shared" si="12"/>
        <v>888.6</v>
      </c>
      <c r="S22" s="47">
        <f t="shared" si="12"/>
        <v>888.6</v>
      </c>
      <c r="T22" s="47">
        <f t="shared" si="12"/>
        <v>888.6</v>
      </c>
      <c r="U22" s="47">
        <f>U162</f>
        <v>888.6</v>
      </c>
      <c r="V22" s="47">
        <f t="shared" si="12"/>
        <v>888.6</v>
      </c>
      <c r="W22" s="47">
        <f>W162</f>
        <v>888.6</v>
      </c>
      <c r="X22" s="47">
        <f t="shared" si="12"/>
        <v>888.6</v>
      </c>
      <c r="Y22" s="47">
        <f t="shared" si="12"/>
        <v>888.6</v>
      </c>
    </row>
    <row r="23" spans="5:25" ht="15" customHeight="1" x14ac:dyDescent="0.2">
      <c r="E23" s="1" t="s">
        <v>254</v>
      </c>
      <c r="F23" s="93" t="s">
        <v>25</v>
      </c>
      <c r="G23" s="93"/>
      <c r="H23" s="94">
        <f>SUM(H17:H22)</f>
        <v>4179.8599999999997</v>
      </c>
      <c r="I23" s="94">
        <f t="shared" ref="I23:Y23" si="13">SUM(I17:I22)</f>
        <v>4819.6400000000003</v>
      </c>
      <c r="J23" s="94">
        <f t="shared" si="13"/>
        <v>4493.4760000000006</v>
      </c>
      <c r="K23" s="94">
        <f t="shared" si="13"/>
        <v>2352.1480000000001</v>
      </c>
      <c r="L23" s="94">
        <f t="shared" si="13"/>
        <v>3488.77</v>
      </c>
      <c r="M23" s="94">
        <f t="shared" si="13"/>
        <v>3788.5360000000001</v>
      </c>
      <c r="N23" s="94">
        <f t="shared" si="13"/>
        <v>2890.99</v>
      </c>
      <c r="O23" s="94">
        <f t="shared" si="13"/>
        <v>4617.9400000000005</v>
      </c>
      <c r="P23" s="94">
        <f t="shared" ca="1" si="13"/>
        <v>4708.2743327019325</v>
      </c>
      <c r="Q23" s="94">
        <f t="shared" ca="1" si="13"/>
        <v>4825.2156014756165</v>
      </c>
      <c r="R23" s="94">
        <f t="shared" ca="1" si="13"/>
        <v>4937.7437768013033</v>
      </c>
      <c r="S23" s="94">
        <f t="shared" ca="1" si="13"/>
        <v>5039.7410711213333</v>
      </c>
      <c r="T23" s="94">
        <f t="shared" ca="1" si="13"/>
        <v>5155.7394928401109</v>
      </c>
      <c r="U23" s="94">
        <f t="shared" ca="1" si="13"/>
        <v>5286.6576359344244</v>
      </c>
      <c r="V23" s="94">
        <f t="shared" ca="1" si="13"/>
        <v>5428.1500346873509</v>
      </c>
      <c r="W23" s="94">
        <f t="shared" ca="1" si="13"/>
        <v>5564.6104759983891</v>
      </c>
      <c r="X23" s="94">
        <f t="shared" ca="1" si="13"/>
        <v>5710.9602148803642</v>
      </c>
      <c r="Y23" s="94">
        <f t="shared" ca="1" si="13"/>
        <v>5864.976911926522</v>
      </c>
    </row>
    <row r="24" spans="5:25" ht="15" customHeight="1" x14ac:dyDescent="0.2">
      <c r="E24" s="1"/>
      <c r="F24" s="93"/>
      <c r="G24" s="93"/>
      <c r="H24" s="95"/>
      <c r="I24" s="95"/>
      <c r="J24" s="95"/>
      <c r="K24" s="95"/>
      <c r="L24" s="95"/>
      <c r="M24" s="95"/>
      <c r="N24" s="95"/>
      <c r="O24" s="95"/>
      <c r="P24" s="95"/>
      <c r="Q24" s="95"/>
      <c r="R24" s="95"/>
      <c r="S24" s="95"/>
      <c r="T24" s="95"/>
      <c r="U24" s="95"/>
      <c r="V24" s="95"/>
      <c r="W24" s="95"/>
      <c r="X24" s="95"/>
      <c r="Y24" s="95"/>
    </row>
    <row r="25" spans="5:25" s="97" customFormat="1" ht="15" customHeight="1" x14ac:dyDescent="0.2">
      <c r="E25" s="1" t="s">
        <v>148</v>
      </c>
      <c r="F25" s="93" t="s">
        <v>25</v>
      </c>
      <c r="G25" s="93"/>
      <c r="H25" s="68"/>
      <c r="I25" s="96">
        <f t="shared" ref="I25:N25" si="14">I44-I23</f>
        <v>-3474.6090000000004</v>
      </c>
      <c r="J25" s="96">
        <f t="shared" si="14"/>
        <v>-3800.4260000000004</v>
      </c>
      <c r="K25" s="96">
        <f t="shared" si="14"/>
        <v>-1709.3110000000001</v>
      </c>
      <c r="L25" s="96">
        <f t="shared" si="14"/>
        <v>-2769.6460000000002</v>
      </c>
      <c r="M25" s="96">
        <f t="shared" si="14"/>
        <v>-3039.0259999999998</v>
      </c>
      <c r="N25" s="96">
        <f t="shared" si="14"/>
        <v>-2049.9459999999999</v>
      </c>
      <c r="O25" s="96">
        <f>O44-O23</f>
        <v>-3595.6750000000002</v>
      </c>
      <c r="P25" s="96">
        <f t="shared" ref="P25:Y25" ca="1" si="15">P44-P23</f>
        <v>-3590.4321940916675</v>
      </c>
      <c r="Q25" s="96">
        <f t="shared" ca="1" si="15"/>
        <v>-3854.3732322256574</v>
      </c>
      <c r="R25" s="96">
        <f t="shared" ca="1" si="15"/>
        <v>-3965.0788224010544</v>
      </c>
      <c r="S25" s="96">
        <f t="shared" ca="1" si="15"/>
        <v>-4063.9140584797105</v>
      </c>
      <c r="T25" s="96">
        <f t="shared" ca="1" si="15"/>
        <v>-4175.9879533521098</v>
      </c>
      <c r="U25" s="96">
        <f t="shared" ca="1" si="15"/>
        <v>-4306.3979430524951</v>
      </c>
      <c r="V25" s="96">
        <f t="shared" ca="1" si="15"/>
        <v>-4442.2477924896739</v>
      </c>
      <c r="W25" s="96">
        <f t="shared" ca="1" si="15"/>
        <v>-4572.2975122102498</v>
      </c>
      <c r="X25" s="96">
        <f t="shared" ca="1" si="15"/>
        <v>-4712.4986248791274</v>
      </c>
      <c r="Y25" s="96">
        <f t="shared" ca="1" si="15"/>
        <v>-4862.0448236117818</v>
      </c>
    </row>
    <row r="26" spans="5:25" s="97" customFormat="1" ht="15" customHeight="1" x14ac:dyDescent="0.2">
      <c r="E26" s="18" t="s">
        <v>128</v>
      </c>
      <c r="F26" s="16" t="s">
        <v>7</v>
      </c>
      <c r="G26" s="16"/>
      <c r="H26" s="277"/>
      <c r="I26" s="278">
        <f>IFERROR(I25/I23,"NA")</f>
        <v>-0.72092708169074871</v>
      </c>
      <c r="J26" s="278">
        <f t="shared" ref="J26:Y26" si="16">IFERROR(J25/J23,"NA")</f>
        <v>-0.84576528282336438</v>
      </c>
      <c r="K26" s="278">
        <f t="shared" si="16"/>
        <v>-0.72670214629351559</v>
      </c>
      <c r="L26" s="278">
        <f t="shared" si="16"/>
        <v>-0.79387463203363939</v>
      </c>
      <c r="M26" s="278">
        <f t="shared" si="16"/>
        <v>-0.80216368539192973</v>
      </c>
      <c r="N26" s="278">
        <f t="shared" si="16"/>
        <v>-0.7090809722620971</v>
      </c>
      <c r="O26" s="278">
        <f t="shared" si="16"/>
        <v>-0.77863181418554583</v>
      </c>
      <c r="P26" s="278">
        <f t="shared" ca="1" si="16"/>
        <v>-0.76257922550388646</v>
      </c>
      <c r="Q26" s="278">
        <f t="shared" ca="1" si="16"/>
        <v>-0.79879813682251577</v>
      </c>
      <c r="R26" s="278">
        <f t="shared" ca="1" si="16"/>
        <v>-0.80301429187758577</v>
      </c>
      <c r="S26" s="278">
        <f t="shared" ca="1" si="16"/>
        <v>-0.80637358172361362</v>
      </c>
      <c r="T26" s="278">
        <f t="shared" ca="1" si="16"/>
        <v>-0.80996876571273557</v>
      </c>
      <c r="U26" s="278">
        <f t="shared" ca="1" si="16"/>
        <v>-0.81457855598234385</v>
      </c>
      <c r="V26" s="278">
        <f t="shared" ca="1" si="16"/>
        <v>-0.81837233018662081</v>
      </c>
      <c r="W26" s="278">
        <f t="shared" ca="1" si="16"/>
        <v>-0.821674316995189</v>
      </c>
      <c r="X26" s="278">
        <f t="shared" ca="1" si="16"/>
        <v>-0.82516747579510974</v>
      </c>
      <c r="Y26" s="278">
        <f t="shared" ca="1" si="16"/>
        <v>-0.8289964132211225</v>
      </c>
    </row>
    <row r="27" spans="5:25" ht="15" customHeight="1" x14ac:dyDescent="0.2">
      <c r="E27" s="2"/>
      <c r="F27" s="24"/>
      <c r="G27" s="24"/>
      <c r="H27" s="34"/>
      <c r="I27" s="98"/>
      <c r="J27" s="98"/>
      <c r="K27" s="98"/>
      <c r="L27" s="98"/>
      <c r="M27" s="98"/>
      <c r="N27" s="98"/>
      <c r="O27" s="98"/>
      <c r="P27" s="98"/>
      <c r="Q27" s="98"/>
      <c r="R27" s="98"/>
      <c r="S27" s="98"/>
      <c r="T27" s="98"/>
      <c r="U27" s="98"/>
      <c r="V27" s="98"/>
      <c r="W27" s="98"/>
      <c r="X27" s="98"/>
      <c r="Y27" s="98"/>
    </row>
    <row r="28" spans="5:25" ht="15" customHeight="1" x14ac:dyDescent="0.2">
      <c r="E28" s="99" t="s">
        <v>255</v>
      </c>
      <c r="F28" s="93"/>
      <c r="G28" s="37"/>
      <c r="H28" s="96"/>
      <c r="I28" s="96"/>
      <c r="J28" s="96"/>
      <c r="K28" s="96"/>
      <c r="L28" s="96"/>
      <c r="M28" s="96"/>
      <c r="N28" s="96"/>
      <c r="P28" s="98"/>
      <c r="Q28" s="96"/>
      <c r="R28" s="96"/>
      <c r="S28" s="96"/>
      <c r="T28" s="96"/>
      <c r="U28" s="96"/>
      <c r="V28" s="96"/>
      <c r="W28" s="96"/>
      <c r="X28" s="96"/>
      <c r="Y28" s="96"/>
    </row>
    <row r="29" spans="5:25" ht="15" customHeight="1" x14ac:dyDescent="0.2">
      <c r="E29" s="2" t="s">
        <v>143</v>
      </c>
      <c r="F29" s="24" t="s">
        <v>7</v>
      </c>
      <c r="G29" s="37"/>
      <c r="H29" s="229"/>
      <c r="I29" s="229">
        <f>IFERROR(I17/H17-1,"NA")</f>
        <v>0.12286628733997151</v>
      </c>
      <c r="J29" s="229">
        <f t="shared" ref="J29:Y29" si="17">IFERROR(J17/I17-1,"NA")</f>
        <v>0.20395882818685673</v>
      </c>
      <c r="K29" s="229" t="str">
        <f t="shared" si="17"/>
        <v>NA</v>
      </c>
      <c r="L29" s="229" t="str">
        <f t="shared" si="17"/>
        <v>NA</v>
      </c>
      <c r="M29" s="229" t="str">
        <f t="shared" si="17"/>
        <v>NA</v>
      </c>
      <c r="N29" s="229" t="str">
        <f t="shared" si="17"/>
        <v>NA</v>
      </c>
      <c r="O29" s="229" t="str">
        <f t="shared" si="17"/>
        <v>NA</v>
      </c>
      <c r="P29" s="229" t="str">
        <f t="shared" si="17"/>
        <v>NA</v>
      </c>
      <c r="Q29" s="229" t="str">
        <f t="shared" si="17"/>
        <v>NA</v>
      </c>
      <c r="R29" s="229" t="str">
        <f t="shared" si="17"/>
        <v>NA</v>
      </c>
      <c r="S29" s="229" t="str">
        <f t="shared" si="17"/>
        <v>NA</v>
      </c>
      <c r="T29" s="229" t="str">
        <f t="shared" si="17"/>
        <v>NA</v>
      </c>
      <c r="U29" s="229" t="str">
        <f t="shared" si="17"/>
        <v>NA</v>
      </c>
      <c r="V29" s="229" t="str">
        <f t="shared" si="17"/>
        <v>NA</v>
      </c>
      <c r="W29" s="229" t="str">
        <f t="shared" si="17"/>
        <v>NA</v>
      </c>
      <c r="X29" s="229" t="str">
        <f t="shared" si="17"/>
        <v>NA</v>
      </c>
      <c r="Y29" s="229" t="str">
        <f t="shared" si="17"/>
        <v>NA</v>
      </c>
    </row>
    <row r="30" spans="5:25" ht="15" customHeight="1" x14ac:dyDescent="0.2">
      <c r="E30" s="2" t="s">
        <v>144</v>
      </c>
      <c r="F30" s="24" t="s">
        <v>7</v>
      </c>
      <c r="G30" s="37"/>
      <c r="H30" s="229"/>
      <c r="I30" s="229">
        <f t="shared" ref="I30:Y30" si="18">IFERROR(I18/H18-1,"NA")</f>
        <v>0.10218253968253954</v>
      </c>
      <c r="J30" s="229">
        <f t="shared" si="18"/>
        <v>4.8304830483048455E-2</v>
      </c>
      <c r="K30" s="229">
        <f t="shared" si="18"/>
        <v>4.6365197481396558E-2</v>
      </c>
      <c r="L30" s="229">
        <f t="shared" si="18"/>
        <v>2.7169948942377786E-2</v>
      </c>
      <c r="M30" s="229">
        <f t="shared" si="18"/>
        <v>8.7963784839339754E-2</v>
      </c>
      <c r="N30" s="229">
        <f t="shared" si="18"/>
        <v>0.13192461450599668</v>
      </c>
      <c r="O30" s="229">
        <f t="shared" si="18"/>
        <v>-2.1983566383162789E-2</v>
      </c>
      <c r="P30" s="229">
        <f t="shared" si="18"/>
        <v>6.0275335650219475E-2</v>
      </c>
      <c r="Q30" s="229">
        <f t="shared" si="18"/>
        <v>6.0275335650219475E-2</v>
      </c>
      <c r="R30" s="229">
        <f t="shared" si="18"/>
        <v>5.5036935146179466E-2</v>
      </c>
      <c r="S30" s="229">
        <f t="shared" si="18"/>
        <v>5.5878448229070843E-2</v>
      </c>
      <c r="T30" s="229">
        <f t="shared" si="18"/>
        <v>5.7067604572530017E-2</v>
      </c>
      <c r="U30" s="229">
        <f t="shared" si="18"/>
        <v>6.080481152629913E-2</v>
      </c>
      <c r="V30" s="229">
        <f t="shared" si="18"/>
        <v>5.7409939862169024E-2</v>
      </c>
      <c r="W30" s="229">
        <f t="shared" si="18"/>
        <v>4.8095605531690566E-2</v>
      </c>
      <c r="X30" s="229">
        <f t="shared" si="18"/>
        <v>5.6855502021047277E-2</v>
      </c>
      <c r="Y30" s="229">
        <f t="shared" si="18"/>
        <v>5.642802281740078E-2</v>
      </c>
    </row>
    <row r="31" spans="5:25" ht="15" customHeight="1" x14ac:dyDescent="0.2">
      <c r="E31" s="2" t="s">
        <v>145</v>
      </c>
      <c r="F31" s="24" t="s">
        <v>7</v>
      </c>
      <c r="G31" s="37"/>
      <c r="H31" s="229"/>
      <c r="I31" s="229">
        <f t="shared" ref="I31:Y31" si="19">IFERROR(I19/H19-1,"NA")</f>
        <v>0.22260435144625856</v>
      </c>
      <c r="J31" s="229">
        <f t="shared" si="19"/>
        <v>-3.0365391448537449E-2</v>
      </c>
      <c r="K31" s="229">
        <f t="shared" si="19"/>
        <v>-6.3823614737451573E-3</v>
      </c>
      <c r="L31" s="229">
        <f t="shared" si="19"/>
        <v>-7.0395697272377933E-2</v>
      </c>
      <c r="M31" s="229">
        <f t="shared" si="19"/>
        <v>-3.0779912057394165E-2</v>
      </c>
      <c r="N31" s="229">
        <f t="shared" si="19"/>
        <v>0.17210738163460215</v>
      </c>
      <c r="O31" s="229">
        <f t="shared" si="19"/>
        <v>3.6916316226008661E-2</v>
      </c>
      <c r="P31" s="229">
        <f t="shared" si="19"/>
        <v>1.0861633454953612E-2</v>
      </c>
      <c r="Q31" s="229">
        <f t="shared" si="19"/>
        <v>4.1957812436402175E-2</v>
      </c>
      <c r="R31" s="229">
        <f t="shared" si="19"/>
        <v>3.8070790063720938E-2</v>
      </c>
      <c r="S31" s="229">
        <f t="shared" si="19"/>
        <v>1.5489972687489084E-2</v>
      </c>
      <c r="T31" s="229">
        <f t="shared" si="19"/>
        <v>2.4044495376521313E-2</v>
      </c>
      <c r="U31" s="229">
        <f t="shared" si="19"/>
        <v>2.6778537146675552E-2</v>
      </c>
      <c r="V31" s="229">
        <f t="shared" si="19"/>
        <v>3.8583561227788055E-2</v>
      </c>
      <c r="W31" s="229">
        <f t="shared" si="19"/>
        <v>4.5778367378296769E-2</v>
      </c>
      <c r="X31" s="229">
        <f t="shared" si="19"/>
        <v>2.9087889827444924E-2</v>
      </c>
      <c r="Y31" s="229">
        <f t="shared" si="19"/>
        <v>3.0195646221480965E-2</v>
      </c>
    </row>
    <row r="32" spans="5:25" ht="15" customHeight="1" x14ac:dyDescent="0.2">
      <c r="E32" s="2" t="s">
        <v>146</v>
      </c>
      <c r="F32" s="24" t="s">
        <v>7</v>
      </c>
      <c r="G32" s="37"/>
      <c r="H32" s="229"/>
      <c r="I32" s="229">
        <f t="shared" ref="I32:Y32" si="20">IFERROR(I20/H20-1,"NA")</f>
        <v>0.12177121771217703</v>
      </c>
      <c r="J32" s="229">
        <f t="shared" si="20"/>
        <v>-0.45559210526315785</v>
      </c>
      <c r="K32" s="229">
        <f t="shared" si="20"/>
        <v>1.1743806646525679</v>
      </c>
      <c r="L32" s="229">
        <f t="shared" si="20"/>
        <v>3.8904018229324322E-4</v>
      </c>
      <c r="M32" s="229">
        <f t="shared" si="20"/>
        <v>0.20869444444444429</v>
      </c>
      <c r="N32" s="229">
        <f t="shared" si="20"/>
        <v>9.277687127984735E-2</v>
      </c>
      <c r="O32" s="229">
        <f t="shared" si="20"/>
        <v>8.4121976866458059E-3</v>
      </c>
      <c r="P32" s="229">
        <f t="shared" ca="1" si="20"/>
        <v>8.4121976866458059E-3</v>
      </c>
      <c r="Q32" s="229">
        <f t="shared" ca="1" si="20"/>
        <v>0</v>
      </c>
      <c r="R32" s="229">
        <f t="shared" ca="1" si="20"/>
        <v>0</v>
      </c>
      <c r="S32" s="229">
        <f t="shared" ca="1" si="20"/>
        <v>0</v>
      </c>
      <c r="T32" s="229">
        <f t="shared" ca="1" si="20"/>
        <v>0</v>
      </c>
      <c r="U32" s="229">
        <f t="shared" ca="1" si="20"/>
        <v>0</v>
      </c>
      <c r="V32" s="229">
        <f t="shared" ca="1" si="20"/>
        <v>0</v>
      </c>
      <c r="W32" s="229">
        <f t="shared" ca="1" si="20"/>
        <v>0</v>
      </c>
      <c r="X32" s="229">
        <f t="shared" ca="1" si="20"/>
        <v>0</v>
      </c>
      <c r="Y32" s="229">
        <f t="shared" ca="1" si="20"/>
        <v>0</v>
      </c>
    </row>
    <row r="33" spans="3:25" ht="15" customHeight="1" x14ac:dyDescent="0.2">
      <c r="C33" s="1"/>
      <c r="D33" s="1"/>
      <c r="E33" s="2" t="s">
        <v>147</v>
      </c>
      <c r="F33" s="24" t="s">
        <v>7</v>
      </c>
      <c r="G33" s="37"/>
      <c r="H33" s="229"/>
      <c r="I33" s="229">
        <f t="shared" ref="I33:Y33" si="21">IFERROR(I21/H21-1,"NA")</f>
        <v>1.7241379310344751E-2</v>
      </c>
      <c r="J33" s="229">
        <f t="shared" si="21"/>
        <v>-0.62159322033898312</v>
      </c>
      <c r="K33" s="229">
        <f t="shared" si="21"/>
        <v>0</v>
      </c>
      <c r="L33" s="229">
        <f t="shared" si="21"/>
        <v>49.40311744154797</v>
      </c>
      <c r="M33" s="229">
        <f t="shared" si="21"/>
        <v>0.14456589353950067</v>
      </c>
      <c r="N33" s="229" t="str">
        <f t="shared" si="21"/>
        <v>NA</v>
      </c>
      <c r="O33" s="229" t="str">
        <f t="shared" si="21"/>
        <v>NA</v>
      </c>
      <c r="P33" s="229">
        <f t="shared" si="21"/>
        <v>0</v>
      </c>
      <c r="Q33" s="229">
        <f t="shared" si="21"/>
        <v>0</v>
      </c>
      <c r="R33" s="229">
        <f t="shared" si="21"/>
        <v>0</v>
      </c>
      <c r="S33" s="229">
        <f t="shared" si="21"/>
        <v>0</v>
      </c>
      <c r="T33" s="229">
        <f t="shared" si="21"/>
        <v>0</v>
      </c>
      <c r="U33" s="229">
        <f t="shared" si="21"/>
        <v>0</v>
      </c>
      <c r="V33" s="229">
        <f t="shared" si="21"/>
        <v>0</v>
      </c>
      <c r="W33" s="229">
        <f t="shared" si="21"/>
        <v>0</v>
      </c>
      <c r="X33" s="229">
        <f t="shared" si="21"/>
        <v>0</v>
      </c>
      <c r="Y33" s="229">
        <f t="shared" si="21"/>
        <v>0</v>
      </c>
    </row>
    <row r="34" spans="3:25" ht="15" customHeight="1" x14ac:dyDescent="0.2">
      <c r="C34" s="1"/>
      <c r="D34" s="1"/>
      <c r="E34" s="1" t="s">
        <v>149</v>
      </c>
      <c r="F34" s="24" t="s">
        <v>7</v>
      </c>
      <c r="G34" s="100"/>
      <c r="H34" s="272"/>
      <c r="I34" s="272">
        <f t="shared" ref="I34:Y34" si="22">IFERROR(I23/H23-1,"NA")</f>
        <v>0.15306254276459041</v>
      </c>
      <c r="J34" s="272">
        <f t="shared" si="22"/>
        <v>-6.7673934152758242E-2</v>
      </c>
      <c r="K34" s="272">
        <f t="shared" si="22"/>
        <v>-0.47654154601026022</v>
      </c>
      <c r="L34" s="272">
        <f t="shared" si="22"/>
        <v>0.48322724590459432</v>
      </c>
      <c r="M34" s="272">
        <f t="shared" si="22"/>
        <v>8.5923119036221962E-2</v>
      </c>
      <c r="N34" s="272">
        <f t="shared" si="22"/>
        <v>-0.23691103898709165</v>
      </c>
      <c r="O34" s="272">
        <f t="shared" si="22"/>
        <v>0.59735592305749963</v>
      </c>
      <c r="P34" s="272">
        <f t="shared" ca="1" si="22"/>
        <v>1.9561608141710707E-2</v>
      </c>
      <c r="Q34" s="272">
        <f t="shared" ca="1" si="22"/>
        <v>2.4837394873415297E-2</v>
      </c>
      <c r="R34" s="272">
        <f t="shared" ca="1" si="22"/>
        <v>2.3320859546933859E-2</v>
      </c>
      <c r="S34" s="272">
        <f t="shared" ca="1" si="22"/>
        <v>2.0656659990993864E-2</v>
      </c>
      <c r="T34" s="272">
        <f t="shared" ca="1" si="22"/>
        <v>2.3016742344853958E-2</v>
      </c>
      <c r="U34" s="272">
        <f t="shared" ca="1" si="22"/>
        <v>2.5392699393776974E-2</v>
      </c>
      <c r="V34" s="272">
        <f t="shared" ca="1" si="22"/>
        <v>2.6764055570986045E-2</v>
      </c>
      <c r="W34" s="272">
        <f t="shared" ca="1" si="22"/>
        <v>2.5139401165962472E-2</v>
      </c>
      <c r="X34" s="272">
        <f t="shared" ca="1" si="22"/>
        <v>2.6300086863801031E-2</v>
      </c>
      <c r="Y34" s="272">
        <f t="shared" ca="1" si="22"/>
        <v>2.696861670386963E-2</v>
      </c>
    </row>
    <row r="35" spans="3:25" ht="15" customHeight="1" x14ac:dyDescent="0.2">
      <c r="C35" s="2"/>
      <c r="D35" s="2"/>
      <c r="E35" s="2"/>
      <c r="F35" s="24"/>
      <c r="G35" s="24"/>
      <c r="H35" s="2"/>
      <c r="I35" s="2"/>
      <c r="J35" s="2"/>
      <c r="K35" s="61"/>
      <c r="L35" s="61"/>
      <c r="M35" s="61"/>
      <c r="N35" s="101"/>
      <c r="O35" s="101"/>
      <c r="P35" s="61"/>
      <c r="Q35" s="61"/>
      <c r="R35" s="61"/>
      <c r="S35" s="61"/>
      <c r="T35" s="61"/>
      <c r="U35" s="61"/>
      <c r="V35" s="61"/>
      <c r="W35" s="61"/>
      <c r="X35" s="61"/>
      <c r="Y35" s="61"/>
    </row>
    <row r="36" spans="3:25" ht="15" customHeight="1" x14ac:dyDescent="0.2">
      <c r="C36" s="89" t="s">
        <v>266</v>
      </c>
      <c r="D36" s="90"/>
      <c r="E36" s="90"/>
      <c r="F36" s="91"/>
      <c r="G36" s="91"/>
      <c r="H36" s="92"/>
      <c r="I36" s="92"/>
      <c r="J36" s="92"/>
      <c r="K36" s="92"/>
      <c r="L36" s="92"/>
      <c r="M36" s="92"/>
      <c r="N36" s="92"/>
      <c r="O36" s="92"/>
      <c r="P36" s="92"/>
      <c r="Q36" s="92"/>
      <c r="R36" s="92"/>
      <c r="S36" s="92"/>
      <c r="T36" s="92"/>
      <c r="U36" s="92"/>
      <c r="V36" s="92"/>
      <c r="W36" s="92"/>
      <c r="X36" s="92"/>
      <c r="Y36" s="92"/>
    </row>
    <row r="37" spans="3:25" ht="15" customHeight="1" x14ac:dyDescent="0.2">
      <c r="C37" s="1"/>
      <c r="D37" s="2"/>
      <c r="E37" s="2"/>
      <c r="F37" s="24"/>
      <c r="G37" s="24"/>
      <c r="H37" s="43"/>
      <c r="I37" s="43"/>
      <c r="J37" s="43"/>
      <c r="K37" s="43"/>
      <c r="L37" s="43"/>
      <c r="M37" s="43"/>
      <c r="N37" s="43"/>
      <c r="O37" s="43"/>
      <c r="P37" s="43"/>
      <c r="Q37" s="43"/>
      <c r="R37" s="43"/>
      <c r="S37" s="43"/>
      <c r="T37" s="43"/>
      <c r="U37" s="43"/>
      <c r="V37" s="43"/>
      <c r="W37" s="43"/>
      <c r="X37" s="43"/>
      <c r="Y37" s="43"/>
    </row>
    <row r="38" spans="3:25" ht="15" customHeight="1" x14ac:dyDescent="0.2">
      <c r="C38" s="2"/>
      <c r="D38" s="2"/>
      <c r="E38" s="2" t="s">
        <v>143</v>
      </c>
      <c r="F38" s="24" t="s">
        <v>25</v>
      </c>
      <c r="G38" s="24"/>
      <c r="H38" s="47">
        <f t="shared" ref="H38:Y38" si="23">H108</f>
        <v>86.1</v>
      </c>
      <c r="I38" s="47">
        <f t="shared" si="23"/>
        <v>76</v>
      </c>
      <c r="J38" s="47">
        <f t="shared" si="23"/>
        <v>108.5</v>
      </c>
      <c r="K38" s="47" t="str">
        <f t="shared" si="23"/>
        <v>-</v>
      </c>
      <c r="L38" s="47" t="str">
        <f t="shared" si="23"/>
        <v>-</v>
      </c>
      <c r="M38" s="47" t="str">
        <f t="shared" si="23"/>
        <v>-</v>
      </c>
      <c r="N38" s="47" t="str">
        <f t="shared" si="23"/>
        <v>-</v>
      </c>
      <c r="O38" s="47" t="str">
        <f t="shared" si="23"/>
        <v>-</v>
      </c>
      <c r="P38" s="47">
        <f t="shared" si="23"/>
        <v>0</v>
      </c>
      <c r="Q38" s="47">
        <f t="shared" si="23"/>
        <v>0</v>
      </c>
      <c r="R38" s="47">
        <f t="shared" si="23"/>
        <v>0</v>
      </c>
      <c r="S38" s="47">
        <f t="shared" si="23"/>
        <v>0</v>
      </c>
      <c r="T38" s="47">
        <f t="shared" si="23"/>
        <v>0</v>
      </c>
      <c r="U38" s="47">
        <f t="shared" si="23"/>
        <v>0</v>
      </c>
      <c r="V38" s="47">
        <f t="shared" si="23"/>
        <v>0</v>
      </c>
      <c r="W38" s="47">
        <f t="shared" si="23"/>
        <v>0</v>
      </c>
      <c r="X38" s="47">
        <f t="shared" si="23"/>
        <v>0</v>
      </c>
      <c r="Y38" s="47">
        <f t="shared" si="23"/>
        <v>0</v>
      </c>
    </row>
    <row r="39" spans="3:25" ht="15" customHeight="1" x14ac:dyDescent="0.2">
      <c r="C39" s="2"/>
      <c r="D39" s="2"/>
      <c r="E39" s="2" t="s">
        <v>144</v>
      </c>
      <c r="F39" s="24" t="s">
        <v>25</v>
      </c>
      <c r="G39" s="24"/>
      <c r="H39" s="47">
        <f>H120</f>
        <v>37.466999999999999</v>
      </c>
      <c r="I39" s="47">
        <f t="shared" ref="I39:Y39" si="24">I120</f>
        <v>47.1</v>
      </c>
      <c r="J39" s="47">
        <f t="shared" si="24"/>
        <v>54.93</v>
      </c>
      <c r="K39" s="47">
        <f t="shared" si="24"/>
        <v>57.85</v>
      </c>
      <c r="L39" s="47">
        <f t="shared" si="24"/>
        <v>63.62</v>
      </c>
      <c r="M39" s="47">
        <f t="shared" si="24"/>
        <v>28.6</v>
      </c>
      <c r="N39" s="47">
        <f t="shared" si="24"/>
        <v>33.9</v>
      </c>
      <c r="O39" s="47">
        <f t="shared" si="24"/>
        <v>35.200000000000003</v>
      </c>
      <c r="P39" s="47">
        <f t="shared" si="24"/>
        <v>51.49113861026494</v>
      </c>
      <c r="Q39" s="47">
        <f t="shared" si="24"/>
        <v>53.699366497752031</v>
      </c>
      <c r="R39" s="47">
        <f t="shared" si="24"/>
        <v>54.920311277750734</v>
      </c>
      <c r="S39" s="47">
        <f t="shared" si="24"/>
        <v>55.566478047127617</v>
      </c>
      <c r="T39" s="47">
        <f t="shared" si="24"/>
        <v>56.073803164957816</v>
      </c>
      <c r="U39" s="47">
        <f t="shared" si="24"/>
        <v>56.334261937358995</v>
      </c>
      <c r="V39" s="47">
        <f t="shared" si="24"/>
        <v>61.625360636195083</v>
      </c>
      <c r="W39" s="47">
        <f t="shared" si="24"/>
        <v>66.687741001617468</v>
      </c>
      <c r="X39" s="47">
        <f t="shared" si="24"/>
        <v>72.447263447239422</v>
      </c>
      <c r="Y39" s="47">
        <f t="shared" si="24"/>
        <v>75.655504277957078</v>
      </c>
    </row>
    <row r="40" spans="3:25" ht="15" customHeight="1" x14ac:dyDescent="0.2">
      <c r="C40" s="2"/>
      <c r="D40" s="2"/>
      <c r="E40" s="2" t="s">
        <v>145</v>
      </c>
      <c r="F40" s="24" t="s">
        <v>25</v>
      </c>
      <c r="G40" s="24"/>
      <c r="H40" s="47">
        <f>H132</f>
        <v>28.416</v>
      </c>
      <c r="I40" s="47">
        <f t="shared" ref="I40:Y40" si="25">I132</f>
        <v>29.631</v>
      </c>
      <c r="J40" s="47">
        <f t="shared" si="25"/>
        <v>16.100000000000001</v>
      </c>
      <c r="K40" s="47">
        <f t="shared" si="25"/>
        <v>16.216999999999999</v>
      </c>
      <c r="L40" s="47">
        <f t="shared" si="25"/>
        <v>31.053999999999998</v>
      </c>
      <c r="M40" s="47">
        <f t="shared" si="25"/>
        <v>32.200000000000003</v>
      </c>
      <c r="N40" s="47">
        <f t="shared" si="25"/>
        <v>30.238</v>
      </c>
      <c r="O40" s="47">
        <f t="shared" si="25"/>
        <v>34.234999999999999</v>
      </c>
      <c r="P40" s="47">
        <f t="shared" si="25"/>
        <v>113.74</v>
      </c>
      <c r="Q40" s="47">
        <f t="shared" si="25"/>
        <v>28.543002752207052</v>
      </c>
      <c r="R40" s="47">
        <f t="shared" si="25"/>
        <v>29.144643122498248</v>
      </c>
      <c r="S40" s="47">
        <f t="shared" si="25"/>
        <v>31.66053459449531</v>
      </c>
      <c r="T40" s="47">
        <f t="shared" si="25"/>
        <v>35.077736323043098</v>
      </c>
      <c r="U40" s="47">
        <f t="shared" si="25"/>
        <v>35.325430944570449</v>
      </c>
      <c r="V40" s="47">
        <f t="shared" si="25"/>
        <v>35.676881561481991</v>
      </c>
      <c r="W40" s="47">
        <f t="shared" si="25"/>
        <v>37.025222786521987</v>
      </c>
      <c r="X40" s="47">
        <f t="shared" si="25"/>
        <v>37.414326553997391</v>
      </c>
      <c r="Y40" s="47">
        <f t="shared" si="25"/>
        <v>38.676584036783041</v>
      </c>
    </row>
    <row r="41" spans="3:25" ht="15" customHeight="1" x14ac:dyDescent="0.2">
      <c r="C41" s="2"/>
      <c r="D41" s="2"/>
      <c r="E41" s="2" t="s">
        <v>146</v>
      </c>
      <c r="F41" s="24" t="s">
        <v>25</v>
      </c>
      <c r="G41" s="24"/>
      <c r="H41" s="47">
        <f>H144</f>
        <v>9.5</v>
      </c>
      <c r="I41" s="47">
        <f t="shared" ref="I41:Y41" si="26">I144</f>
        <v>10.1</v>
      </c>
      <c r="J41" s="47">
        <f t="shared" si="26"/>
        <v>9.5</v>
      </c>
      <c r="K41" s="47">
        <f t="shared" si="26"/>
        <v>-0.5</v>
      </c>
      <c r="L41" s="47">
        <f t="shared" si="26"/>
        <v>2.14</v>
      </c>
      <c r="M41" s="47">
        <f t="shared" si="26"/>
        <v>18</v>
      </c>
      <c r="N41" s="47" t="str">
        <f t="shared" si="26"/>
        <v>-</v>
      </c>
      <c r="O41" s="47" t="str">
        <f t="shared" si="26"/>
        <v>-</v>
      </c>
      <c r="P41" s="47">
        <f t="shared" ca="1" si="26"/>
        <v>0</v>
      </c>
      <c r="Q41" s="47">
        <f t="shared" ca="1" si="26"/>
        <v>0</v>
      </c>
      <c r="R41" s="47">
        <f t="shared" ca="1" si="26"/>
        <v>0</v>
      </c>
      <c r="S41" s="47">
        <f t="shared" ca="1" si="26"/>
        <v>0</v>
      </c>
      <c r="T41" s="47">
        <f t="shared" ca="1" si="26"/>
        <v>0</v>
      </c>
      <c r="U41" s="47">
        <f t="shared" ca="1" si="26"/>
        <v>0</v>
      </c>
      <c r="V41" s="47">
        <f t="shared" ca="1" si="26"/>
        <v>0</v>
      </c>
      <c r="W41" s="47">
        <f t="shared" ca="1" si="26"/>
        <v>0</v>
      </c>
      <c r="X41" s="47">
        <f t="shared" ca="1" si="26"/>
        <v>0</v>
      </c>
      <c r="Y41" s="47">
        <f t="shared" ca="1" si="26"/>
        <v>0</v>
      </c>
    </row>
    <row r="42" spans="3:25" ht="15" customHeight="1" x14ac:dyDescent="0.2">
      <c r="C42" s="2"/>
      <c r="D42" s="2"/>
      <c r="E42" s="2" t="s">
        <v>147</v>
      </c>
      <c r="F42" s="24" t="s">
        <v>25</v>
      </c>
      <c r="G42" s="24"/>
      <c r="H42" s="47">
        <f t="shared" ref="H42:Y42" si="27">H156</f>
        <v>50.8</v>
      </c>
      <c r="I42" s="47">
        <f t="shared" si="27"/>
        <v>52.2</v>
      </c>
      <c r="J42" s="47">
        <f t="shared" si="27"/>
        <v>50</v>
      </c>
      <c r="K42" s="47">
        <f t="shared" si="27"/>
        <v>58.97</v>
      </c>
      <c r="L42" s="47">
        <f t="shared" si="27"/>
        <v>62.38</v>
      </c>
      <c r="M42" s="47">
        <f t="shared" si="27"/>
        <v>69.2</v>
      </c>
      <c r="N42" s="47">
        <f t="shared" si="27"/>
        <v>55.646000000000001</v>
      </c>
      <c r="O42" s="47">
        <f t="shared" si="27"/>
        <v>64.23</v>
      </c>
      <c r="P42" s="47">
        <f t="shared" si="27"/>
        <v>64.010999999999996</v>
      </c>
      <c r="Q42" s="47">
        <f t="shared" si="27"/>
        <v>0</v>
      </c>
      <c r="R42" s="47">
        <f t="shared" si="27"/>
        <v>0</v>
      </c>
      <c r="S42" s="47">
        <f t="shared" si="27"/>
        <v>0</v>
      </c>
      <c r="T42" s="47">
        <f t="shared" si="27"/>
        <v>0</v>
      </c>
      <c r="U42" s="47">
        <f t="shared" si="27"/>
        <v>0</v>
      </c>
      <c r="V42" s="47">
        <f t="shared" si="27"/>
        <v>0</v>
      </c>
      <c r="W42" s="47">
        <f t="shared" si="27"/>
        <v>0</v>
      </c>
      <c r="X42" s="47">
        <f t="shared" si="27"/>
        <v>0</v>
      </c>
      <c r="Y42" s="47">
        <f t="shared" si="27"/>
        <v>0</v>
      </c>
    </row>
    <row r="43" spans="3:25" ht="15" customHeight="1" x14ac:dyDescent="0.2">
      <c r="C43" s="2"/>
      <c r="D43" s="2"/>
      <c r="E43" s="2" t="s">
        <v>288</v>
      </c>
      <c r="F43" s="24"/>
      <c r="G43" s="24"/>
      <c r="H43" s="47">
        <f>H162</f>
        <v>920.8</v>
      </c>
      <c r="I43" s="47">
        <f t="shared" ref="I43:Y43" si="28">I162</f>
        <v>1130</v>
      </c>
      <c r="J43" s="47">
        <f t="shared" si="28"/>
        <v>454.02</v>
      </c>
      <c r="K43" s="47">
        <f t="shared" si="28"/>
        <v>510.3</v>
      </c>
      <c r="L43" s="47">
        <f t="shared" si="28"/>
        <v>559.92999999999995</v>
      </c>
      <c r="M43" s="47">
        <f t="shared" si="28"/>
        <v>601.51</v>
      </c>
      <c r="N43" s="47">
        <f t="shared" si="28"/>
        <v>721.26</v>
      </c>
      <c r="O43" s="47">
        <f t="shared" si="28"/>
        <v>888.6</v>
      </c>
      <c r="P43" s="47">
        <f t="shared" si="28"/>
        <v>888.6</v>
      </c>
      <c r="Q43" s="47">
        <f t="shared" si="28"/>
        <v>888.6</v>
      </c>
      <c r="R43" s="47">
        <f t="shared" si="28"/>
        <v>888.6</v>
      </c>
      <c r="S43" s="47">
        <f t="shared" si="28"/>
        <v>888.6</v>
      </c>
      <c r="T43" s="47">
        <f t="shared" si="28"/>
        <v>888.6</v>
      </c>
      <c r="U43" s="47">
        <f t="shared" si="28"/>
        <v>888.6</v>
      </c>
      <c r="V43" s="47">
        <f t="shared" si="28"/>
        <v>888.6</v>
      </c>
      <c r="W43" s="47">
        <f t="shared" si="28"/>
        <v>888.6</v>
      </c>
      <c r="X43" s="47">
        <f t="shared" si="28"/>
        <v>888.6</v>
      </c>
      <c r="Y43" s="47">
        <f t="shared" si="28"/>
        <v>888.6</v>
      </c>
    </row>
    <row r="44" spans="3:25" ht="15" customHeight="1" x14ac:dyDescent="0.2">
      <c r="C44" s="1"/>
      <c r="D44" s="1"/>
      <c r="E44" s="1" t="s">
        <v>150</v>
      </c>
      <c r="F44" s="93" t="s">
        <v>25</v>
      </c>
      <c r="G44" s="93"/>
      <c r="H44" s="94">
        <f>SUM(H38:H43)</f>
        <v>1133.0830000000001</v>
      </c>
      <c r="I44" s="94">
        <f t="shared" ref="I44:Y44" si="29">SUM(I38:I43)</f>
        <v>1345.0309999999999</v>
      </c>
      <c r="J44" s="94">
        <f t="shared" si="29"/>
        <v>693.05</v>
      </c>
      <c r="K44" s="94">
        <f t="shared" si="29"/>
        <v>642.83699999999999</v>
      </c>
      <c r="L44" s="94">
        <f t="shared" si="29"/>
        <v>719.12399999999991</v>
      </c>
      <c r="M44" s="94">
        <f t="shared" si="29"/>
        <v>749.51</v>
      </c>
      <c r="N44" s="94">
        <f t="shared" si="29"/>
        <v>841.04399999999998</v>
      </c>
      <c r="O44" s="94">
        <f t="shared" si="29"/>
        <v>1022.2650000000001</v>
      </c>
      <c r="P44" s="94">
        <f t="shared" ca="1" si="29"/>
        <v>1117.842138610265</v>
      </c>
      <c r="Q44" s="94">
        <f t="shared" ca="1" si="29"/>
        <v>970.84236924995912</v>
      </c>
      <c r="R44" s="94">
        <f t="shared" ca="1" si="29"/>
        <v>972.66495440024903</v>
      </c>
      <c r="S44" s="94">
        <f t="shared" ca="1" si="29"/>
        <v>975.82701264162301</v>
      </c>
      <c r="T44" s="94">
        <f t="shared" ca="1" si="29"/>
        <v>979.75153948800096</v>
      </c>
      <c r="U44" s="94">
        <f t="shared" ca="1" si="29"/>
        <v>980.25969288192948</v>
      </c>
      <c r="V44" s="94">
        <f t="shared" ca="1" si="29"/>
        <v>985.90224219767708</v>
      </c>
      <c r="W44" s="94">
        <f t="shared" ca="1" si="29"/>
        <v>992.31296378813954</v>
      </c>
      <c r="X44" s="94">
        <f t="shared" ca="1" si="29"/>
        <v>998.4615900012368</v>
      </c>
      <c r="Y44" s="94">
        <f t="shared" ca="1" si="29"/>
        <v>1002.9320883147401</v>
      </c>
    </row>
    <row r="45" spans="3:25" ht="15" customHeight="1" x14ac:dyDescent="0.2">
      <c r="C45" s="1"/>
      <c r="D45" s="1"/>
      <c r="E45" s="18" t="s">
        <v>128</v>
      </c>
      <c r="F45" s="93" t="s">
        <v>7</v>
      </c>
      <c r="G45" s="93"/>
      <c r="H45" s="95"/>
      <c r="I45" s="106">
        <f>IFERROR((I44/H44)-1,"NA")</f>
        <v>0.18705425816114074</v>
      </c>
      <c r="J45" s="106">
        <f t="shared" ref="J45" si="30">IFERROR((J44/I44)-1,"NA")</f>
        <v>-0.48473306563194452</v>
      </c>
      <c r="K45" s="106">
        <f t="shared" ref="K45" si="31">IFERROR((K44/J44)-1,"NA")</f>
        <v>-7.2452204025683531E-2</v>
      </c>
      <c r="L45" s="106">
        <f t="shared" ref="L45" si="32">IFERROR((L44/K44)-1,"NA")</f>
        <v>0.11867238506806532</v>
      </c>
      <c r="M45" s="106">
        <f t="shared" ref="M45" si="33">IFERROR((M44/L44)-1,"NA")</f>
        <v>4.2254187038675006E-2</v>
      </c>
      <c r="N45" s="106">
        <f t="shared" ref="N45" si="34">IFERROR((N44/M44)-1,"NA")</f>
        <v>0.1221251217462076</v>
      </c>
      <c r="O45" s="106">
        <f t="shared" ref="O45" si="35">IFERROR((O44/N44)-1,"NA")</f>
        <v>0.21547148543952521</v>
      </c>
      <c r="P45" s="106">
        <f t="shared" ref="P45" ca="1" si="36">IFERROR((P44/O44)-1,"NA")</f>
        <v>9.3495462145593233E-2</v>
      </c>
      <c r="Q45" s="106">
        <f t="shared" ref="Q45" ca="1" si="37">IFERROR((Q44/P44)-1,"NA")</f>
        <v>-0.13150315619972996</v>
      </c>
      <c r="R45" s="106">
        <f t="shared" ref="R45" ca="1" si="38">IFERROR((R44/Q44)-1,"NA")</f>
        <v>1.8773234543707495E-3</v>
      </c>
      <c r="S45" s="106">
        <f t="shared" ref="S45" ca="1" si="39">IFERROR((S44/R44)-1,"NA")</f>
        <v>3.2509223521102193E-3</v>
      </c>
      <c r="T45" s="106">
        <f t="shared" ref="T45" ca="1" si="40">IFERROR((T44/S44)-1,"NA")</f>
        <v>4.0217444234855737E-3</v>
      </c>
      <c r="U45" s="106">
        <f t="shared" ref="U45" ca="1" si="41">IFERROR((U44/T44)-1,"NA")</f>
        <v>5.1865536663919798E-4</v>
      </c>
      <c r="V45" s="106">
        <f t="shared" ref="V45" ca="1" si="42">IFERROR((V44/U44)-1,"NA")</f>
        <v>5.7561780380448457E-3</v>
      </c>
      <c r="W45" s="106">
        <f t="shared" ref="W45" ca="1" si="43">IFERROR((W44/V44)-1,"NA")</f>
        <v>6.5023907199686093E-3</v>
      </c>
      <c r="X45" s="106">
        <f t="shared" ref="X45" ca="1" si="44">IFERROR((X44/W44)-1,"NA")</f>
        <v>6.1962570655380578E-3</v>
      </c>
      <c r="Y45" s="106">
        <f t="shared" ref="Y45" ca="1" si="45">IFERROR((Y44/X44)-1,"NA")</f>
        <v>4.4773863694624882E-3</v>
      </c>
    </row>
    <row r="46" spans="3:25" ht="15" customHeight="1" x14ac:dyDescent="0.2">
      <c r="C46" s="2"/>
      <c r="D46" s="2"/>
      <c r="E46" s="2"/>
      <c r="F46" s="24"/>
      <c r="G46" s="24"/>
      <c r="H46" s="27"/>
      <c r="I46" s="102"/>
      <c r="J46" s="102"/>
      <c r="K46" s="102"/>
      <c r="L46" s="102"/>
      <c r="M46" s="102"/>
      <c r="N46" s="102"/>
      <c r="O46" s="102"/>
      <c r="P46" s="102"/>
      <c r="Q46" s="102"/>
      <c r="R46" s="102"/>
      <c r="S46" s="27"/>
      <c r="T46" s="27"/>
      <c r="U46" s="27"/>
      <c r="V46" s="27"/>
      <c r="W46" s="27"/>
      <c r="X46" s="27"/>
      <c r="Y46" s="27"/>
    </row>
    <row r="47" spans="3:25" ht="15" customHeight="1" x14ac:dyDescent="0.2">
      <c r="C47" s="1"/>
      <c r="D47" s="1"/>
      <c r="E47" s="99" t="s">
        <v>85</v>
      </c>
      <c r="F47" s="93"/>
      <c r="G47" s="37"/>
      <c r="H47" s="96"/>
      <c r="I47" s="96"/>
      <c r="J47" s="96"/>
      <c r="K47" s="96"/>
      <c r="L47" s="96"/>
      <c r="M47" s="96"/>
      <c r="N47" s="96"/>
      <c r="O47" s="96"/>
      <c r="P47" s="96"/>
      <c r="Q47" s="96"/>
      <c r="R47" s="96"/>
      <c r="S47" s="96"/>
      <c r="T47" s="96"/>
      <c r="U47" s="96"/>
      <c r="V47" s="96"/>
      <c r="W47" s="96"/>
      <c r="X47" s="96"/>
      <c r="Y47" s="96"/>
    </row>
    <row r="48" spans="3:25" ht="15" customHeight="1" x14ac:dyDescent="0.2">
      <c r="C48" s="1"/>
      <c r="D48" s="1"/>
      <c r="E48" s="2" t="s">
        <v>143</v>
      </c>
      <c r="F48" s="24" t="s">
        <v>7</v>
      </c>
      <c r="G48" s="37"/>
      <c r="H48" s="229">
        <f t="shared" ref="H48:Y48" si="46">IFERROR(H38/H17,"NA")</f>
        <v>5.1031294452347081E-2</v>
      </c>
      <c r="I48" s="229">
        <f t="shared" si="46"/>
        <v>4.0116125626814464E-2</v>
      </c>
      <c r="J48" s="229">
        <f t="shared" si="46"/>
        <v>4.756894208426498E-2</v>
      </c>
      <c r="K48" s="229" t="str">
        <f t="shared" si="46"/>
        <v>NA</v>
      </c>
      <c r="L48" s="229" t="str">
        <f t="shared" si="46"/>
        <v>NA</v>
      </c>
      <c r="M48" s="229" t="str">
        <f t="shared" si="46"/>
        <v>NA</v>
      </c>
      <c r="N48" s="229" t="str">
        <f t="shared" si="46"/>
        <v>NA</v>
      </c>
      <c r="O48" s="229" t="str">
        <f t="shared" si="46"/>
        <v>NA</v>
      </c>
      <c r="P48" s="229" t="str">
        <f t="shared" si="46"/>
        <v>NA</v>
      </c>
      <c r="Q48" s="229" t="str">
        <f t="shared" si="46"/>
        <v>NA</v>
      </c>
      <c r="R48" s="229" t="str">
        <f t="shared" si="46"/>
        <v>NA</v>
      </c>
      <c r="S48" s="229" t="str">
        <f t="shared" si="46"/>
        <v>NA</v>
      </c>
      <c r="T48" s="229" t="str">
        <f t="shared" si="46"/>
        <v>NA</v>
      </c>
      <c r="U48" s="229" t="str">
        <f t="shared" si="46"/>
        <v>NA</v>
      </c>
      <c r="V48" s="229" t="str">
        <f t="shared" si="46"/>
        <v>NA</v>
      </c>
      <c r="W48" s="229" t="str">
        <f t="shared" si="46"/>
        <v>NA</v>
      </c>
      <c r="X48" s="229" t="str">
        <f t="shared" si="46"/>
        <v>NA</v>
      </c>
      <c r="Y48" s="229" t="str">
        <f t="shared" si="46"/>
        <v>NA</v>
      </c>
    </row>
    <row r="49" spans="3:26" ht="15" customHeight="1" x14ac:dyDescent="0.2">
      <c r="C49" s="1"/>
      <c r="D49" s="1"/>
      <c r="E49" s="2" t="s">
        <v>144</v>
      </c>
      <c r="F49" s="24" t="s">
        <v>7</v>
      </c>
      <c r="G49" s="37"/>
      <c r="H49" s="229">
        <f t="shared" ref="H49:Y49" si="47">IFERROR(H39/H18,"NA")</f>
        <v>4.1299603174603169E-2</v>
      </c>
      <c r="I49" s="229">
        <f t="shared" si="47"/>
        <v>4.7104710471047105E-2</v>
      </c>
      <c r="J49" s="229">
        <f t="shared" si="47"/>
        <v>5.2404121350887234E-2</v>
      </c>
      <c r="K49" s="229">
        <f t="shared" si="47"/>
        <v>5.2744347191830784E-2</v>
      </c>
      <c r="L49" s="229">
        <f t="shared" si="47"/>
        <v>5.6470797088585128E-2</v>
      </c>
      <c r="M49" s="229">
        <f t="shared" si="47"/>
        <v>2.3333605286774903E-2</v>
      </c>
      <c r="N49" s="229">
        <f t="shared" si="47"/>
        <v>2.4434193455384168E-2</v>
      </c>
      <c r="O49" s="229">
        <f t="shared" si="47"/>
        <v>2.5941484265605424E-2</v>
      </c>
      <c r="P49" s="229">
        <f t="shared" si="47"/>
        <v>3.5790354003819809E-2</v>
      </c>
      <c r="Q49" s="229">
        <f t="shared" si="47"/>
        <v>3.5203350692339354E-2</v>
      </c>
      <c r="R49" s="229">
        <f t="shared" si="47"/>
        <v>3.4125589790880519E-2</v>
      </c>
      <c r="S49" s="229">
        <f t="shared" si="47"/>
        <v>3.2699877171619894E-2</v>
      </c>
      <c r="T49" s="229">
        <f t="shared" si="47"/>
        <v>3.1216952231685999E-2</v>
      </c>
      <c r="U49" s="229">
        <f t="shared" si="47"/>
        <v>2.9564300975148342E-2</v>
      </c>
      <c r="V49" s="229">
        <f t="shared" si="47"/>
        <v>3.0585183566111975E-2</v>
      </c>
      <c r="W49" s="229">
        <f t="shared" si="47"/>
        <v>3.1578880060085267E-2</v>
      </c>
      <c r="X49" s="229">
        <f t="shared" si="47"/>
        <v>3.2460640904251631E-2</v>
      </c>
      <c r="Y49" s="229">
        <f t="shared" si="47"/>
        <v>3.2087488232001825E-2</v>
      </c>
    </row>
    <row r="50" spans="3:26" ht="15" customHeight="1" x14ac:dyDescent="0.2">
      <c r="C50" s="1"/>
      <c r="D50" s="1"/>
      <c r="E50" s="2" t="s">
        <v>145</v>
      </c>
      <c r="F50" s="24" t="s">
        <v>7</v>
      </c>
      <c r="G50" s="37"/>
      <c r="H50" s="229">
        <f>IFERROR(H40/H19,"NA")</f>
        <v>5.1435398037866994E-2</v>
      </c>
      <c r="I50" s="229">
        <f t="shared" ref="I50:Y50" si="48">IFERROR(I40/I19,"NA")</f>
        <v>4.3869181570531796E-2</v>
      </c>
      <c r="J50" s="229">
        <f t="shared" si="48"/>
        <v>2.4582779839066773E-2</v>
      </c>
      <c r="K50" s="229">
        <f t="shared" si="48"/>
        <v>2.4920476373415289E-2</v>
      </c>
      <c r="L50" s="229">
        <f t="shared" si="48"/>
        <v>5.1334016596687265E-2</v>
      </c>
      <c r="M50" s="229">
        <f t="shared" si="48"/>
        <v>5.4918815663801336E-2</v>
      </c>
      <c r="N50" s="229">
        <f t="shared" si="48"/>
        <v>4.3999825385969762E-2</v>
      </c>
      <c r="O50" s="229">
        <f t="shared" si="48"/>
        <v>4.8042380016839741E-2</v>
      </c>
      <c r="P50" s="229">
        <f t="shared" si="48"/>
        <v>0.15789765943859843</v>
      </c>
      <c r="Q50" s="229">
        <f t="shared" si="48"/>
        <v>3.8028744933349859E-2</v>
      </c>
      <c r="R50" s="229">
        <f t="shared" si="48"/>
        <v>3.7406244150974099E-2</v>
      </c>
      <c r="S50" s="229">
        <f t="shared" si="48"/>
        <v>4.0015474105190296E-2</v>
      </c>
      <c r="T50" s="229">
        <f t="shared" si="48"/>
        <v>4.3293475847221721E-2</v>
      </c>
      <c r="U50" s="229">
        <f t="shared" si="48"/>
        <v>4.2462111098200118E-2</v>
      </c>
      <c r="V50" s="229">
        <f t="shared" si="48"/>
        <v>4.1291395053379025E-2</v>
      </c>
      <c r="W50" s="229">
        <f t="shared" si="48"/>
        <v>4.0976107065545331E-2</v>
      </c>
      <c r="X50" s="229">
        <f t="shared" si="48"/>
        <v>4.0236341029352113E-2</v>
      </c>
      <c r="Y50" s="229">
        <f t="shared" si="48"/>
        <v>4.0374666450538159E-2</v>
      </c>
    </row>
    <row r="51" spans="3:26" ht="15" customHeight="1" x14ac:dyDescent="0.2">
      <c r="C51" s="1"/>
      <c r="D51" s="1"/>
      <c r="E51" s="2" t="s">
        <v>146</v>
      </c>
      <c r="F51" s="24" t="s">
        <v>7</v>
      </c>
      <c r="G51" s="37"/>
      <c r="H51" s="229">
        <f t="shared" ref="H51:Y51" si="49">IFERROR(H41/H20,"NA")</f>
        <v>0.17527675276752766</v>
      </c>
      <c r="I51" s="229">
        <f t="shared" si="49"/>
        <v>0.16611842105263158</v>
      </c>
      <c r="J51" s="229">
        <f t="shared" si="49"/>
        <v>0.28700906344410876</v>
      </c>
      <c r="K51" s="229">
        <f t="shared" si="49"/>
        <v>-6.947146112377036E-3</v>
      </c>
      <c r="L51" s="229">
        <f t="shared" si="49"/>
        <v>2.9722222222222223E-2</v>
      </c>
      <c r="M51" s="229">
        <f t="shared" si="49"/>
        <v>0.20683473904350425</v>
      </c>
      <c r="N51" s="229" t="str">
        <f t="shared" si="49"/>
        <v>NA</v>
      </c>
      <c r="O51" s="229" t="str">
        <f t="shared" si="49"/>
        <v>NA</v>
      </c>
      <c r="P51" s="229">
        <f t="shared" ca="1" si="49"/>
        <v>0</v>
      </c>
      <c r="Q51" s="229">
        <f t="shared" ca="1" si="49"/>
        <v>0</v>
      </c>
      <c r="R51" s="229">
        <f t="shared" ca="1" si="49"/>
        <v>0</v>
      </c>
      <c r="S51" s="229">
        <f t="shared" ca="1" si="49"/>
        <v>0</v>
      </c>
      <c r="T51" s="229">
        <f t="shared" ca="1" si="49"/>
        <v>0</v>
      </c>
      <c r="U51" s="229">
        <f t="shared" ca="1" si="49"/>
        <v>0</v>
      </c>
      <c r="V51" s="229">
        <f t="shared" ca="1" si="49"/>
        <v>0</v>
      </c>
      <c r="W51" s="229">
        <f t="shared" ca="1" si="49"/>
        <v>0</v>
      </c>
      <c r="X51" s="229">
        <f t="shared" ca="1" si="49"/>
        <v>0</v>
      </c>
      <c r="Y51" s="229">
        <f t="shared" ca="1" si="49"/>
        <v>0</v>
      </c>
    </row>
    <row r="52" spans="3:26" ht="15" customHeight="1" x14ac:dyDescent="0.2">
      <c r="C52" s="1"/>
      <c r="D52" s="1"/>
      <c r="E52" s="2" t="s">
        <v>147</v>
      </c>
      <c r="F52" s="24" t="s">
        <v>7</v>
      </c>
      <c r="G52" s="37"/>
      <c r="H52" s="229">
        <f t="shared" ref="H52:Y52" si="50">IFERROR(H42/H21,"NA")</f>
        <v>0.87586206896551722</v>
      </c>
      <c r="I52" s="229">
        <f t="shared" si="50"/>
        <v>0.88474576271186445</v>
      </c>
      <c r="J52" s="229">
        <f t="shared" si="50"/>
        <v>2.239541341933172</v>
      </c>
      <c r="K52" s="229">
        <f t="shared" si="50"/>
        <v>2.6413150586759833</v>
      </c>
      <c r="L52" s="229">
        <f t="shared" si="50"/>
        <v>5.5434106460499427E-2</v>
      </c>
      <c r="M52" s="229">
        <f t="shared" si="50"/>
        <v>5.372754235314213E-2</v>
      </c>
      <c r="N52" s="229" t="str">
        <f t="shared" si="50"/>
        <v>NA</v>
      </c>
      <c r="O52" s="229">
        <f t="shared" si="50"/>
        <v>4.1069350486591556E-2</v>
      </c>
      <c r="P52" s="229">
        <f t="shared" si="50"/>
        <v>4.0929319539112746E-2</v>
      </c>
      <c r="Q52" s="229">
        <f t="shared" si="50"/>
        <v>0</v>
      </c>
      <c r="R52" s="229">
        <f t="shared" si="50"/>
        <v>0</v>
      </c>
      <c r="S52" s="229">
        <f t="shared" si="50"/>
        <v>0</v>
      </c>
      <c r="T52" s="229">
        <f t="shared" si="50"/>
        <v>0</v>
      </c>
      <c r="U52" s="229">
        <f t="shared" si="50"/>
        <v>0</v>
      </c>
      <c r="V52" s="229">
        <f t="shared" si="50"/>
        <v>0</v>
      </c>
      <c r="W52" s="229">
        <f t="shared" si="50"/>
        <v>0</v>
      </c>
      <c r="X52" s="229">
        <f t="shared" si="50"/>
        <v>0</v>
      </c>
      <c r="Y52" s="229">
        <f t="shared" si="50"/>
        <v>0</v>
      </c>
    </row>
    <row r="53" spans="3:26" ht="15" customHeight="1" x14ac:dyDescent="0.2">
      <c r="C53" s="1"/>
      <c r="D53" s="1"/>
      <c r="E53" s="1" t="s">
        <v>149</v>
      </c>
      <c r="F53" s="24" t="s">
        <v>7</v>
      </c>
      <c r="G53" s="100"/>
      <c r="H53" s="272">
        <f t="shared" ref="H53:X53" si="51">IFERROR(H44/H23,"NA")</f>
        <v>0.27108156732522148</v>
      </c>
      <c r="I53" s="272">
        <f t="shared" si="51"/>
        <v>0.27907291830925129</v>
      </c>
      <c r="J53" s="272">
        <f t="shared" si="51"/>
        <v>0.15423471717663562</v>
      </c>
      <c r="K53" s="272">
        <f t="shared" si="51"/>
        <v>0.27329785370648446</v>
      </c>
      <c r="L53" s="272">
        <f t="shared" si="51"/>
        <v>0.20612536796636061</v>
      </c>
      <c r="M53" s="272">
        <f t="shared" si="51"/>
        <v>0.19783631460807025</v>
      </c>
      <c r="N53" s="272">
        <f t="shared" si="51"/>
        <v>0.29091902773790296</v>
      </c>
      <c r="O53" s="272">
        <f t="shared" si="51"/>
        <v>0.22136818581445405</v>
      </c>
      <c r="P53" s="272">
        <f t="shared" ca="1" si="51"/>
        <v>0.23742077449611354</v>
      </c>
      <c r="Q53" s="272">
        <f t="shared" ca="1" si="51"/>
        <v>0.2012018631774842</v>
      </c>
      <c r="R53" s="272">
        <f t="shared" ca="1" si="51"/>
        <v>0.19698570812241428</v>
      </c>
      <c r="S53" s="272">
        <f t="shared" ca="1" si="51"/>
        <v>0.19362641827638641</v>
      </c>
      <c r="T53" s="272">
        <f t="shared" ca="1" si="51"/>
        <v>0.19003123428726443</v>
      </c>
      <c r="U53" s="272">
        <f t="shared" ca="1" si="51"/>
        <v>0.18542144401765617</v>
      </c>
      <c r="V53" s="272">
        <f t="shared" ca="1" si="51"/>
        <v>0.18162766981337922</v>
      </c>
      <c r="W53" s="272">
        <f t="shared" ca="1" si="51"/>
        <v>0.17832568300481105</v>
      </c>
      <c r="X53" s="272">
        <f t="shared" ca="1" si="51"/>
        <v>0.17483252420489032</v>
      </c>
      <c r="Y53" s="272">
        <f ca="1">IFERROR(Y44/Y23,"NA")</f>
        <v>0.17100358677887753</v>
      </c>
    </row>
    <row r="54" spans="3:26" ht="15" customHeight="1" x14ac:dyDescent="0.2">
      <c r="C54" s="1"/>
      <c r="D54" s="1"/>
      <c r="E54" s="1"/>
      <c r="F54" s="24"/>
      <c r="G54" s="100"/>
      <c r="H54" s="103"/>
      <c r="I54" s="103"/>
      <c r="J54" s="103"/>
      <c r="K54" s="103"/>
      <c r="L54" s="103"/>
      <c r="M54" s="103"/>
      <c r="N54" s="103"/>
      <c r="O54" s="103"/>
      <c r="P54" s="103"/>
      <c r="Q54" s="103"/>
      <c r="R54" s="103"/>
      <c r="S54" s="103"/>
      <c r="T54" s="103"/>
      <c r="U54" s="103"/>
      <c r="V54" s="103"/>
      <c r="W54" s="103"/>
      <c r="X54" s="103"/>
      <c r="Y54" s="103"/>
    </row>
    <row r="55" spans="3:26" ht="15" customHeight="1" x14ac:dyDescent="0.2">
      <c r="C55" s="89" t="s">
        <v>152</v>
      </c>
      <c r="D55" s="90"/>
      <c r="E55" s="90"/>
      <c r="F55" s="91"/>
      <c r="G55" s="91"/>
      <c r="H55" s="92"/>
      <c r="I55" s="92"/>
      <c r="J55" s="92"/>
      <c r="K55" s="92"/>
      <c r="L55" s="92"/>
      <c r="M55" s="92"/>
      <c r="N55" s="92"/>
      <c r="O55" s="92"/>
      <c r="P55" s="92"/>
      <c r="Q55" s="92"/>
      <c r="R55" s="92"/>
      <c r="S55" s="92"/>
      <c r="T55" s="92"/>
      <c r="U55" s="92"/>
      <c r="V55" s="92"/>
      <c r="W55" s="92"/>
      <c r="X55" s="92"/>
      <c r="Y55" s="92"/>
    </row>
    <row r="56" spans="3:26" ht="15" customHeight="1" x14ac:dyDescent="0.2">
      <c r="C56" s="1"/>
      <c r="D56" s="1"/>
      <c r="E56" s="1"/>
      <c r="F56" s="24"/>
      <c r="G56" s="100"/>
      <c r="H56" s="103"/>
      <c r="I56" s="103"/>
      <c r="J56" s="103"/>
      <c r="K56" s="103"/>
      <c r="L56" s="103"/>
      <c r="M56" s="103"/>
      <c r="N56" s="103"/>
      <c r="O56" s="103"/>
      <c r="P56" s="103"/>
      <c r="Q56" s="103"/>
      <c r="R56" s="103"/>
      <c r="S56" s="103"/>
      <c r="T56" s="103"/>
      <c r="U56" s="103"/>
      <c r="V56" s="103"/>
      <c r="W56" s="103"/>
      <c r="X56" s="103"/>
      <c r="Y56" s="103"/>
    </row>
    <row r="57" spans="3:26" ht="15" customHeight="1" x14ac:dyDescent="0.2">
      <c r="C57" s="1"/>
      <c r="D57" s="1"/>
      <c r="E57" s="1" t="s">
        <v>153</v>
      </c>
      <c r="F57" s="393" t="s">
        <v>25</v>
      </c>
      <c r="G57" s="392">
        <f>6.78+1.07</f>
        <v>7.8500000000000005</v>
      </c>
      <c r="H57" s="275">
        <f>6.06+1.01</f>
        <v>7.0699999999999994</v>
      </c>
      <c r="I57" s="275">
        <f>5.16+3.25</f>
        <v>8.41</v>
      </c>
      <c r="J57" s="275">
        <f>5.23+3.89</f>
        <v>9.120000000000001</v>
      </c>
      <c r="K57" s="275">
        <f>8.34+4.46</f>
        <v>12.8</v>
      </c>
      <c r="L57" s="275">
        <f>8.11+9.31</f>
        <v>17.420000000000002</v>
      </c>
      <c r="M57" s="275">
        <f>7.87+5.92</f>
        <v>13.79</v>
      </c>
      <c r="N57" s="275">
        <f>7.9+5.68</f>
        <v>13.58</v>
      </c>
      <c r="O57" s="275">
        <f>8.96+5.52</f>
        <v>14.48</v>
      </c>
      <c r="P57" s="275">
        <f>AVERAGE(H57:O57)</f>
        <v>12.083750000000002</v>
      </c>
      <c r="Q57" s="288">
        <f>AVERAGE(O57:P57)</f>
        <v>13.281875000000001</v>
      </c>
      <c r="R57" s="288">
        <f t="shared" ref="R57:Y57" si="52">Q57*(1+R58)</f>
        <v>13.945968750000002</v>
      </c>
      <c r="S57" s="288">
        <f t="shared" si="52"/>
        <v>14.643267187500003</v>
      </c>
      <c r="T57" s="288">
        <f t="shared" si="52"/>
        <v>15.375430546875004</v>
      </c>
      <c r="U57" s="288">
        <f t="shared" si="52"/>
        <v>16.144202074218754</v>
      </c>
      <c r="V57" s="288">
        <f t="shared" si="52"/>
        <v>16.951412177929694</v>
      </c>
      <c r="W57" s="288">
        <f t="shared" si="52"/>
        <v>17.79898278682618</v>
      </c>
      <c r="X57" s="288">
        <f t="shared" si="52"/>
        <v>18.688931926167491</v>
      </c>
      <c r="Y57" s="288">
        <f t="shared" si="52"/>
        <v>19.623378522475868</v>
      </c>
    </row>
    <row r="58" spans="3:26" ht="15" customHeight="1" x14ac:dyDescent="0.2">
      <c r="C58" s="1"/>
      <c r="D58" s="1"/>
      <c r="E58" s="30" t="s">
        <v>128</v>
      </c>
      <c r="F58" s="24" t="s">
        <v>7</v>
      </c>
      <c r="G58" s="100"/>
      <c r="H58" s="106">
        <f>IFERROR((H57/G57)-1,"NA")</f>
        <v>-9.9363057324840853E-2</v>
      </c>
      <c r="I58" s="106">
        <f>IFERROR((I57/H57)-1,"NA")</f>
        <v>0.18953323903818964</v>
      </c>
      <c r="J58" s="106">
        <f t="shared" ref="J58" si="53">IFERROR((J57/I57)-1,"NA")</f>
        <v>8.4423305588585018E-2</v>
      </c>
      <c r="K58" s="106">
        <f t="shared" ref="K58" si="54">IFERROR((K57/J57)-1,"NA")</f>
        <v>0.40350877192982448</v>
      </c>
      <c r="L58" s="106">
        <f t="shared" ref="L58" si="55">IFERROR((L57/K57)-1,"NA")</f>
        <v>0.36093750000000013</v>
      </c>
      <c r="M58" s="106">
        <f t="shared" ref="M58" si="56">IFERROR((M57/L57)-1,"NA")</f>
        <v>-0.20838117106773835</v>
      </c>
      <c r="N58" s="106">
        <f t="shared" ref="N58" si="57">IFERROR((N57/M57)-1,"NA")</f>
        <v>-1.5228426395939021E-2</v>
      </c>
      <c r="O58" s="106">
        <f t="shared" ref="O58" si="58">IFERROR((O57/N57)-1,"NA")</f>
        <v>6.6273932253313683E-2</v>
      </c>
      <c r="P58" s="106">
        <f t="shared" ref="P58" si="59">IFERROR((P57/O57)-1,"NA")</f>
        <v>-0.16548687845303856</v>
      </c>
      <c r="Q58" s="279">
        <v>0.05</v>
      </c>
      <c r="R58" s="279">
        <v>0.05</v>
      </c>
      <c r="S58" s="279">
        <v>0.05</v>
      </c>
      <c r="T58" s="279">
        <v>0.05</v>
      </c>
      <c r="U58" s="279">
        <v>0.05</v>
      </c>
      <c r="V58" s="279">
        <v>0.05</v>
      </c>
      <c r="W58" s="279">
        <v>0.05</v>
      </c>
      <c r="X58" s="279">
        <v>0.05</v>
      </c>
      <c r="Y58" s="279">
        <v>0.05</v>
      </c>
      <c r="Z58" s="280"/>
    </row>
    <row r="59" spans="3:26" ht="15" customHeight="1" x14ac:dyDescent="0.2">
      <c r="C59" s="1"/>
      <c r="D59" s="1"/>
      <c r="E59" s="30"/>
      <c r="F59" s="24"/>
      <c r="G59" s="100"/>
      <c r="H59" s="103"/>
      <c r="I59" s="106"/>
      <c r="J59" s="106"/>
      <c r="K59" s="106"/>
      <c r="L59" s="106"/>
      <c r="M59" s="106"/>
      <c r="N59" s="106"/>
      <c r="O59" s="106"/>
      <c r="P59" s="106"/>
      <c r="Q59" s="106"/>
      <c r="R59" s="106"/>
      <c r="S59" s="106"/>
      <c r="T59" s="106"/>
      <c r="U59" s="106"/>
      <c r="V59" s="106"/>
      <c r="W59" s="106"/>
      <c r="X59" s="106"/>
      <c r="Y59" s="106"/>
    </row>
    <row r="60" spans="3:26" ht="15" customHeight="1" x14ac:dyDescent="0.2">
      <c r="C60" s="89" t="s">
        <v>265</v>
      </c>
      <c r="D60" s="90"/>
      <c r="E60" s="90"/>
      <c r="F60" s="91"/>
      <c r="G60" s="91"/>
      <c r="H60" s="92"/>
      <c r="I60" s="92"/>
      <c r="J60" s="92"/>
      <c r="K60" s="92"/>
      <c r="L60" s="92"/>
      <c r="M60" s="92"/>
      <c r="N60" s="92"/>
      <c r="O60" s="92"/>
      <c r="P60" s="92"/>
      <c r="Q60" s="92"/>
      <c r="R60" s="92"/>
      <c r="S60" s="92"/>
      <c r="T60" s="92"/>
      <c r="U60" s="92"/>
      <c r="V60" s="92"/>
      <c r="W60" s="92"/>
      <c r="X60" s="92"/>
      <c r="Y60" s="92"/>
    </row>
    <row r="61" spans="3:26" ht="15" customHeight="1" x14ac:dyDescent="0.2">
      <c r="C61" s="1"/>
      <c r="D61" s="2"/>
      <c r="E61" s="2"/>
      <c r="F61" s="24"/>
      <c r="G61" s="24"/>
      <c r="H61" s="43"/>
      <c r="I61" s="43"/>
      <c r="J61" s="43"/>
      <c r="K61" s="43"/>
      <c r="L61" s="43"/>
      <c r="M61" s="43"/>
      <c r="N61" s="43"/>
      <c r="O61" s="43"/>
      <c r="P61" s="43"/>
      <c r="Q61" s="43"/>
      <c r="R61" s="43"/>
      <c r="S61" s="43"/>
      <c r="T61" s="43"/>
      <c r="U61" s="43"/>
      <c r="V61" s="43"/>
      <c r="W61" s="43"/>
      <c r="X61" s="43"/>
      <c r="Y61" s="43"/>
    </row>
    <row r="62" spans="3:26" ht="15" customHeight="1" x14ac:dyDescent="0.2">
      <c r="C62" s="1"/>
      <c r="D62" s="1"/>
      <c r="E62" s="1" t="s">
        <v>151</v>
      </c>
      <c r="F62" s="93" t="s">
        <v>25</v>
      </c>
      <c r="G62" s="93"/>
      <c r="H62" s="394">
        <f>H44-H57</f>
        <v>1126.0130000000001</v>
      </c>
      <c r="I62" s="94">
        <f>I44-I57</f>
        <v>1336.6209999999999</v>
      </c>
      <c r="J62" s="94">
        <f t="shared" ref="H62:Y62" si="60">J44-J57</f>
        <v>683.93</v>
      </c>
      <c r="K62" s="94">
        <f t="shared" si="60"/>
        <v>630.03700000000003</v>
      </c>
      <c r="L62" s="94">
        <f t="shared" si="60"/>
        <v>701.70399999999995</v>
      </c>
      <c r="M62" s="94">
        <f t="shared" si="60"/>
        <v>735.72</v>
      </c>
      <c r="N62" s="94">
        <f t="shared" si="60"/>
        <v>827.46399999999994</v>
      </c>
      <c r="O62" s="94">
        <f t="shared" si="60"/>
        <v>1007.7850000000001</v>
      </c>
      <c r="P62" s="94">
        <f t="shared" ca="1" si="60"/>
        <v>1105.758388610265</v>
      </c>
      <c r="Q62" s="94">
        <f t="shared" ca="1" si="60"/>
        <v>957.56049424995911</v>
      </c>
      <c r="R62" s="94">
        <f t="shared" ca="1" si="60"/>
        <v>958.71898565024901</v>
      </c>
      <c r="S62" s="94">
        <f t="shared" ca="1" si="60"/>
        <v>961.18374545412303</v>
      </c>
      <c r="T62" s="94">
        <f t="shared" ca="1" si="60"/>
        <v>964.37610894112595</v>
      </c>
      <c r="U62" s="94">
        <f t="shared" ca="1" si="60"/>
        <v>964.11549080771078</v>
      </c>
      <c r="V62" s="94">
        <f t="shared" ca="1" si="60"/>
        <v>968.9508300197474</v>
      </c>
      <c r="W62" s="94">
        <f t="shared" ca="1" si="60"/>
        <v>974.51398100131337</v>
      </c>
      <c r="X62" s="94">
        <f t="shared" ca="1" si="60"/>
        <v>979.77265807506933</v>
      </c>
      <c r="Y62" s="94">
        <f t="shared" ca="1" si="60"/>
        <v>983.30870979226427</v>
      </c>
    </row>
    <row r="63" spans="3:26" ht="15" customHeight="1" x14ac:dyDescent="0.2">
      <c r="C63" s="2"/>
      <c r="D63" s="2"/>
      <c r="E63" s="276" t="s">
        <v>128</v>
      </c>
      <c r="F63" s="104" t="s">
        <v>7</v>
      </c>
      <c r="G63" s="104"/>
      <c r="H63" s="72"/>
      <c r="I63" s="106">
        <f>IFERROR((I62/H62)-1,"NA")</f>
        <v>0.1870386931589596</v>
      </c>
      <c r="J63" s="106">
        <f t="shared" ref="J63" si="61">IFERROR((J62/I62)-1,"NA")</f>
        <v>-0.48831418928776371</v>
      </c>
      <c r="K63" s="106">
        <f t="shared" ref="K63" si="62">IFERROR((K62/J62)-1,"NA")</f>
        <v>-7.8798999897650268E-2</v>
      </c>
      <c r="L63" s="106">
        <f t="shared" ref="L63" si="63">IFERROR((L62/K62)-1,"NA")</f>
        <v>0.11375046227443764</v>
      </c>
      <c r="M63" s="106">
        <f t="shared" ref="M63" si="64">IFERROR((M62/L62)-1,"NA")</f>
        <v>4.8476280596946975E-2</v>
      </c>
      <c r="N63" s="106">
        <f t="shared" ref="N63" si="65">IFERROR((N62/M62)-1,"NA")</f>
        <v>0.12469961398358054</v>
      </c>
      <c r="O63" s="106">
        <f t="shared" ref="O63" si="66">IFERROR((O62/N62)-1,"NA")</f>
        <v>0.21792005452805219</v>
      </c>
      <c r="P63" s="106">
        <f t="shared" ref="P63" ca="1" si="67">IFERROR((P62/O62)-1,"NA")</f>
        <v>9.7216557708504237E-2</v>
      </c>
      <c r="Q63" s="106">
        <f t="shared" ref="Q63" ca="1" si="68">IFERROR((Q62/P62)-1,"NA")</f>
        <v>-0.13402375770946073</v>
      </c>
      <c r="R63" s="106">
        <f t="shared" ref="R63" ca="1" si="69">IFERROR((R62/Q62)-1,"NA")</f>
        <v>1.2098362529016082E-3</v>
      </c>
      <c r="S63" s="106">
        <f t="shared" ref="S63" ca="1" si="70">IFERROR((S62/R62)-1,"NA")</f>
        <v>2.5708886970694511E-3</v>
      </c>
      <c r="T63" s="106">
        <f t="shared" ref="T63" ca="1" si="71">IFERROR((T62/S62)-1,"NA")</f>
        <v>3.3212832635809431E-3</v>
      </c>
      <c r="U63" s="106">
        <f t="shared" ref="U63" ca="1" si="72">IFERROR((U62/T62)-1,"NA")</f>
        <v>-2.7024532337416307E-4</v>
      </c>
      <c r="V63" s="106">
        <f t="shared" ref="V63" ca="1" si="73">IFERROR((V62/U62)-1,"NA")</f>
        <v>5.015311192630767E-3</v>
      </c>
      <c r="W63" s="106">
        <f t="shared" ref="W63" ca="1" si="74">IFERROR((W62/V62)-1,"NA")</f>
        <v>5.7414172207814751E-3</v>
      </c>
      <c r="X63" s="106">
        <f t="shared" ref="X63" ca="1" si="75">IFERROR((X62/W62)-1,"NA")</f>
        <v>5.3962048531646101E-3</v>
      </c>
      <c r="Y63" s="106">
        <f t="shared" ref="Y63" ca="1" si="76">IFERROR((Y62/X62)-1,"NA")</f>
        <v>3.6090532717478752E-3</v>
      </c>
    </row>
    <row r="65" spans="3:32" ht="15" customHeight="1" x14ac:dyDescent="0.2">
      <c r="C65" s="1"/>
      <c r="D65" s="1"/>
      <c r="E65" s="99" t="s">
        <v>85</v>
      </c>
      <c r="F65" s="93"/>
      <c r="G65" s="37"/>
      <c r="H65" s="96"/>
      <c r="I65" s="96"/>
      <c r="J65" s="96"/>
      <c r="K65" s="98"/>
      <c r="L65" s="96"/>
      <c r="M65" s="96"/>
      <c r="N65" s="96"/>
      <c r="O65" s="96"/>
      <c r="P65" s="96"/>
      <c r="Q65" s="96"/>
      <c r="R65" s="96"/>
      <c r="S65" s="96"/>
      <c r="T65" s="96"/>
      <c r="U65" s="96"/>
      <c r="V65" s="96"/>
      <c r="W65" s="96"/>
      <c r="X65" s="96"/>
      <c r="Y65" s="96"/>
    </row>
    <row r="66" spans="3:32" ht="15" customHeight="1" x14ac:dyDescent="0.2">
      <c r="C66" s="1"/>
      <c r="D66" s="1"/>
      <c r="E66" s="1" t="s">
        <v>149</v>
      </c>
      <c r="F66" s="24" t="s">
        <v>7</v>
      </c>
      <c r="G66" s="100"/>
      <c r="H66" s="272">
        <f t="shared" ref="H66:Y66" si="77">H62 / H23</f>
        <v>0.26939012311417132</v>
      </c>
      <c r="I66" s="272">
        <f t="shared" si="77"/>
        <v>0.27732797470350479</v>
      </c>
      <c r="J66" s="272">
        <f t="shared" si="77"/>
        <v>0.15220510802772727</v>
      </c>
      <c r="K66" s="272">
        <f t="shared" si="77"/>
        <v>0.26785601926409391</v>
      </c>
      <c r="L66" s="272">
        <f t="shared" si="77"/>
        <v>0.20113220418657576</v>
      </c>
      <c r="M66" s="272">
        <f t="shared" si="77"/>
        <v>0.19419638615021739</v>
      </c>
      <c r="N66" s="272">
        <f t="shared" si="77"/>
        <v>0.28622167492796585</v>
      </c>
      <c r="O66" s="272">
        <f t="shared" si="77"/>
        <v>0.21823258855680239</v>
      </c>
      <c r="P66" s="272">
        <f t="shared" ca="1" si="77"/>
        <v>0.23485428215813087</v>
      </c>
      <c r="Q66" s="272">
        <f t="shared" ca="1" si="77"/>
        <v>0.1984492659679547</v>
      </c>
      <c r="R66" s="272">
        <f t="shared" ca="1" si="77"/>
        <v>0.19416134756820297</v>
      </c>
      <c r="S66" s="272">
        <f t="shared" ca="1" si="77"/>
        <v>0.19072085884766724</v>
      </c>
      <c r="T66" s="272">
        <f t="shared" ca="1" si="77"/>
        <v>0.18704903734573408</v>
      </c>
      <c r="U66" s="272">
        <f t="shared" ca="1" si="77"/>
        <v>0.18236768052737767</v>
      </c>
      <c r="V66" s="272">
        <f t="shared" ca="1" si="77"/>
        <v>0.17850479884083689</v>
      </c>
      <c r="W66" s="272">
        <f t="shared" ca="1" si="77"/>
        <v>0.17512707946129299</v>
      </c>
      <c r="X66" s="272">
        <f t="shared" ca="1" si="77"/>
        <v>0.17156005666476071</v>
      </c>
      <c r="Y66" s="272">
        <f t="shared" ca="1" si="77"/>
        <v>0.16765772901726017</v>
      </c>
    </row>
    <row r="67" spans="3:32" ht="15" customHeight="1" x14ac:dyDescent="0.2">
      <c r="C67" s="1"/>
      <c r="D67" s="1"/>
      <c r="E67" s="30"/>
      <c r="F67" s="24"/>
      <c r="G67" s="100"/>
      <c r="H67" s="103"/>
      <c r="I67" s="106"/>
      <c r="J67" s="106"/>
      <c r="K67" s="106"/>
      <c r="L67" s="106"/>
      <c r="M67" s="106"/>
      <c r="N67" s="106"/>
      <c r="O67" s="106"/>
      <c r="P67" s="106"/>
      <c r="Q67" s="106"/>
      <c r="R67" s="106"/>
      <c r="S67" s="106"/>
      <c r="T67" s="106"/>
      <c r="U67" s="106"/>
      <c r="V67" s="106"/>
      <c r="W67" s="106"/>
      <c r="X67" s="106"/>
      <c r="Y67" s="106"/>
    </row>
    <row r="68" spans="3:32" ht="15" customHeight="1" x14ac:dyDescent="0.2">
      <c r="C68" s="89" t="s">
        <v>154</v>
      </c>
      <c r="D68" s="90"/>
      <c r="E68" s="90"/>
      <c r="F68" s="91"/>
      <c r="G68" s="91"/>
      <c r="H68" s="92"/>
      <c r="I68" s="92"/>
      <c r="J68" s="92"/>
      <c r="K68" s="92"/>
      <c r="L68" s="92"/>
      <c r="M68" s="92"/>
      <c r="N68" s="92"/>
      <c r="O68" s="92"/>
      <c r="P68" s="92"/>
      <c r="Q68" s="92"/>
      <c r="R68" s="92"/>
      <c r="S68" s="92"/>
      <c r="T68" s="92"/>
      <c r="U68" s="92"/>
      <c r="V68" s="92"/>
      <c r="W68" s="92"/>
      <c r="X68" s="92"/>
      <c r="Y68" s="92"/>
    </row>
    <row r="69" spans="3:32" ht="15" customHeight="1" x14ac:dyDescent="0.2">
      <c r="C69" s="1"/>
      <c r="D69" s="1"/>
      <c r="E69" s="1"/>
      <c r="F69" s="24"/>
      <c r="G69" s="100"/>
      <c r="H69" s="103"/>
      <c r="I69" s="103"/>
      <c r="J69" s="103"/>
      <c r="K69" s="103"/>
      <c r="L69" s="103"/>
      <c r="M69" s="103"/>
      <c r="N69" s="103"/>
      <c r="O69" s="103"/>
      <c r="P69" s="103"/>
      <c r="Q69" s="103"/>
      <c r="R69" s="103"/>
      <c r="S69" s="103"/>
      <c r="T69" s="103"/>
      <c r="U69" s="103"/>
      <c r="V69" s="103"/>
      <c r="W69" s="103"/>
      <c r="X69" s="103"/>
      <c r="Y69" s="103"/>
    </row>
    <row r="70" spans="3:32" ht="15" customHeight="1" x14ac:dyDescent="0.2">
      <c r="C70" s="1"/>
      <c r="D70" s="1"/>
      <c r="E70" s="1" t="s">
        <v>155</v>
      </c>
      <c r="F70" s="93" t="s">
        <v>25</v>
      </c>
      <c r="G70" s="93"/>
      <c r="H70" s="94">
        <f>SUM(H44,H57)*'&gt;&gt; Dash'!$F$38</f>
        <v>322.66329899999999</v>
      </c>
      <c r="I70" s="94">
        <f>SUM(I44,I57)*'&gt;&gt; Dash'!$F$38</f>
        <v>383.02380299999999</v>
      </c>
      <c r="J70" s="94">
        <f>SUM(J44,J57)*'&gt;&gt; Dash'!$F$38</f>
        <v>198.71410999999998</v>
      </c>
      <c r="K70" s="94">
        <f>SUM(K44,K57)*'&gt;&gt; Dash'!$F$38</f>
        <v>185.54527099999996</v>
      </c>
      <c r="L70" s="94">
        <f>SUM(L44,L57)*'&gt;&gt; Dash'!$F$38</f>
        <v>208.44195199999993</v>
      </c>
      <c r="M70" s="94">
        <f>SUM(M44,M57)*'&gt;&gt; Dash'!$F$38</f>
        <v>216.01389999999998</v>
      </c>
      <c r="N70" s="94">
        <f>SUM(N44,N57)*'&gt;&gt; Dash'!$F$38</f>
        <v>241.85859199999999</v>
      </c>
      <c r="O70" s="94">
        <f>SUM(O44,O57)*'&gt;&gt; Dash'!$F$38</f>
        <v>293.39883500000002</v>
      </c>
      <c r="P70" s="94">
        <f ca="1">SUM(P44,P57)*'&gt;&gt; Dash'!$F$38</f>
        <v>319.76902647670499</v>
      </c>
      <c r="Q70" s="94">
        <f ca="1">SUM(Q44,Q57)*'&gt;&gt; Dash'!$F$38</f>
        <v>278.50716112273841</v>
      </c>
      <c r="R70" s="94">
        <f ca="1">SUM(R44,R57)*'&gt;&gt; Dash'!$F$38</f>
        <v>279.21089125152048</v>
      </c>
      <c r="S70" s="94">
        <f ca="1">SUM(S44,S57)*'&gt;&gt; Dash'!$F$38</f>
        <v>280.30308919164179</v>
      </c>
      <c r="T70" s="94">
        <f ca="1">SUM(T44,T57)*'&gt;&gt; Dash'!$F$38</f>
        <v>281.62093251986988</v>
      </c>
      <c r="U70" s="94">
        <f ca="1">SUM(U44,U57)*'&gt;&gt; Dash'!$F$38</f>
        <v>281.98230227258989</v>
      </c>
      <c r="V70" s="94">
        <f ca="1">SUM(V44,V57)*'&gt;&gt; Dash'!$F$38</f>
        <v>283.80758418829669</v>
      </c>
      <c r="W70" s="94">
        <f ca="1">SUM(W44,W57)*'&gt;&gt; Dash'!$F$38</f>
        <v>285.86168088071526</v>
      </c>
      <c r="X70" s="94">
        <f ca="1">SUM(X44,X57)*'&gt;&gt; Dash'!$F$38</f>
        <v>287.8535977054554</v>
      </c>
      <c r="Y70" s="94">
        <f ca="1">SUM(Y44,Y57)*'&gt;&gt; Dash'!$F$38</f>
        <v>289.3831971149321</v>
      </c>
    </row>
    <row r="71" spans="3:32" ht="15" customHeight="1" x14ac:dyDescent="0.2">
      <c r="C71" s="1"/>
      <c r="D71" s="1"/>
      <c r="E71" s="30" t="s">
        <v>128</v>
      </c>
      <c r="F71" s="24" t="s">
        <v>7</v>
      </c>
      <c r="G71" s="100"/>
      <c r="H71" s="103"/>
      <c r="I71" s="106">
        <f>IFERROR((I70/H70)-1,"NA")</f>
        <v>0.1870696301285879</v>
      </c>
      <c r="J71" s="106">
        <f t="shared" ref="J71" si="78">IFERROR((J70/I70)-1,"NA")</f>
        <v>-0.48119644668663064</v>
      </c>
      <c r="K71" s="106">
        <f t="shared" ref="K71" si="79">IFERROR((K70/J70)-1,"NA")</f>
        <v>-6.6270276428785135E-2</v>
      </c>
      <c r="L71" s="106">
        <f t="shared" ref="L71" si="80">IFERROR((L70/K70)-1,"NA")</f>
        <v>0.12340212648157434</v>
      </c>
      <c r="M71" s="106">
        <f t="shared" ref="M71" si="81">IFERROR((M70/L70)-1,"NA")</f>
        <v>3.6326410913672724E-2</v>
      </c>
      <c r="N71" s="106">
        <f t="shared" ref="N71" si="82">IFERROR((N70/M70)-1,"NA")</f>
        <v>0.1196436525612472</v>
      </c>
      <c r="O71" s="106">
        <f t="shared" ref="O71" si="83">IFERROR((O70/N70)-1,"NA")</f>
        <v>0.21310073201782309</v>
      </c>
      <c r="P71" s="106">
        <f t="shared" ref="P71" ca="1" si="84">IFERROR((P70/O70)-1,"NA")</f>
        <v>8.9878310105440562E-2</v>
      </c>
      <c r="Q71" s="106">
        <f t="shared" ref="Q71" ca="1" si="85">IFERROR((Q70/P70)-1,"NA")</f>
        <v>-0.12903646675414482</v>
      </c>
      <c r="R71" s="106">
        <f t="shared" ref="R71" ca="1" si="86">IFERROR((R70/Q70)-1,"NA")</f>
        <v>2.5267936592550111E-3</v>
      </c>
      <c r="S71" s="106">
        <f t="shared" ref="S71" ca="1" si="87">IFERROR((S70/R70)-1,"NA")</f>
        <v>3.9117311478276129E-3</v>
      </c>
      <c r="T71" s="106">
        <f t="shared" ref="T71" ca="1" si="88">IFERROR((T70/S70)-1,"NA")</f>
        <v>4.7014941291891876E-3</v>
      </c>
      <c r="U71" s="106">
        <f t="shared" ref="U71" ca="1" si="89">IFERROR((U70/T70)-1,"NA")</f>
        <v>1.2831778855590947E-3</v>
      </c>
      <c r="V71" s="106">
        <f t="shared" ref="V71" ca="1" si="90">IFERROR((V70/U70)-1,"NA")</f>
        <v>6.4730371409702503E-3</v>
      </c>
      <c r="W71" s="106">
        <f t="shared" ref="W71" ca="1" si="91">IFERROR((W70/V70)-1,"NA")</f>
        <v>7.2376384806396299E-3</v>
      </c>
      <c r="X71" s="106">
        <f t="shared" ref="X71" ca="1" si="92">IFERROR((X70/W70)-1,"NA")</f>
        <v>6.9681141543813663E-3</v>
      </c>
      <c r="Y71" s="106">
        <f t="shared" ref="Y71" ca="1" si="93">IFERROR((Y70/X70)-1,"NA")</f>
        <v>5.3138102899163986E-3</v>
      </c>
    </row>
    <row r="72" spans="3:32" ht="15" customHeight="1" x14ac:dyDescent="0.2">
      <c r="C72" s="1"/>
      <c r="D72" s="1"/>
      <c r="E72" s="30"/>
      <c r="F72" s="24"/>
      <c r="G72" s="100"/>
      <c r="H72" s="103"/>
      <c r="I72" s="106"/>
      <c r="J72" s="106"/>
      <c r="K72" s="106"/>
      <c r="L72" s="106"/>
      <c r="M72" s="106"/>
      <c r="N72" s="106"/>
      <c r="O72" s="106"/>
      <c r="P72" s="106"/>
      <c r="Q72" s="106"/>
      <c r="R72" s="106"/>
      <c r="S72" s="106"/>
      <c r="T72" s="106"/>
      <c r="U72" s="106"/>
      <c r="V72" s="106"/>
      <c r="W72" s="106"/>
      <c r="X72" s="106"/>
      <c r="Y72" s="106"/>
    </row>
    <row r="73" spans="3:32" ht="15" customHeight="1" x14ac:dyDescent="0.2">
      <c r="C73" s="89" t="s">
        <v>156</v>
      </c>
      <c r="D73" s="90"/>
      <c r="E73" s="90"/>
      <c r="F73" s="91"/>
      <c r="G73" s="91"/>
      <c r="H73" s="92"/>
      <c r="I73" s="92"/>
      <c r="J73" s="92"/>
      <c r="K73" s="92"/>
      <c r="L73" s="92"/>
      <c r="M73" s="92"/>
      <c r="N73" s="92"/>
      <c r="O73" s="92"/>
      <c r="P73" s="92"/>
      <c r="Q73" s="92"/>
      <c r="R73" s="92"/>
      <c r="S73" s="92"/>
      <c r="T73" s="92"/>
      <c r="U73" s="92"/>
      <c r="V73" s="92"/>
      <c r="W73" s="92"/>
      <c r="X73" s="92"/>
      <c r="Y73" s="92"/>
    </row>
    <row r="74" spans="3:32" ht="15" customHeight="1" x14ac:dyDescent="0.2">
      <c r="C74" s="1"/>
      <c r="D74" s="1"/>
      <c r="E74" s="1"/>
      <c r="F74" s="24"/>
      <c r="G74" s="100"/>
      <c r="H74" s="103"/>
      <c r="I74" s="103"/>
      <c r="J74" s="103"/>
      <c r="K74" s="103"/>
      <c r="L74" s="103"/>
      <c r="M74" s="103"/>
      <c r="N74" s="103"/>
      <c r="O74" s="103"/>
      <c r="P74" s="103"/>
      <c r="Q74" s="103"/>
      <c r="R74" s="103"/>
      <c r="S74" s="103"/>
      <c r="T74" s="103"/>
      <c r="U74" s="103"/>
      <c r="V74" s="103"/>
      <c r="W74" s="103"/>
      <c r="X74" s="103"/>
      <c r="Y74" s="103"/>
    </row>
    <row r="75" spans="3:32" ht="15" customHeight="1" x14ac:dyDescent="0.2">
      <c r="C75" s="1"/>
      <c r="D75" s="1"/>
      <c r="E75" s="2" t="s">
        <v>157</v>
      </c>
      <c r="F75" s="24" t="s">
        <v>25</v>
      </c>
      <c r="G75" s="100"/>
      <c r="H75" s="282">
        <f>'&gt;&gt; Fin Stmts'!H18</f>
        <v>115.17</v>
      </c>
      <c r="I75" s="282">
        <f>'&gt;&gt; Fin Stmts'!I18</f>
        <v>125.48</v>
      </c>
      <c r="J75" s="282">
        <f>'&gt;&gt; Fin Stmts'!J18</f>
        <v>135.72999999999999</v>
      </c>
      <c r="K75" s="282">
        <f>'&gt;&gt; Fin Stmts'!K18</f>
        <v>130.13</v>
      </c>
      <c r="L75" s="282">
        <f>'&gt;&gt; Fin Stmts'!L18</f>
        <v>94.42</v>
      </c>
      <c r="M75" s="282">
        <f>'&gt;&gt; Fin Stmts'!M18</f>
        <v>91.96</v>
      </c>
      <c r="N75" s="282">
        <f>'&gt;&gt; Fin Stmts'!N18</f>
        <v>265.83</v>
      </c>
      <c r="O75" s="282">
        <f>'&gt;&gt; Fin Stmts'!O18</f>
        <v>408.55</v>
      </c>
      <c r="P75" s="281">
        <f t="shared" ref="P75:Y75" ca="1" si="94">O75*(1+P76)</f>
        <v>627.89415227777158</v>
      </c>
      <c r="Q75" s="281">
        <f t="shared" ca="1" si="94"/>
        <v>627.89415227777158</v>
      </c>
      <c r="R75" s="281">
        <f t="shared" ca="1" si="94"/>
        <v>627.89415227777158</v>
      </c>
      <c r="S75" s="281">
        <f t="shared" ca="1" si="94"/>
        <v>627.89415227777158</v>
      </c>
      <c r="T75" s="281">
        <f t="shared" ca="1" si="94"/>
        <v>627.89415227777158</v>
      </c>
      <c r="U75" s="281">
        <f t="shared" ca="1" si="94"/>
        <v>627.89415227777158</v>
      </c>
      <c r="V75" s="281">
        <f t="shared" ca="1" si="94"/>
        <v>627.89415227777158</v>
      </c>
      <c r="W75" s="281">
        <f t="shared" ca="1" si="94"/>
        <v>627.89415227777158</v>
      </c>
      <c r="X75" s="281">
        <f t="shared" ca="1" si="94"/>
        <v>627.89415227777158</v>
      </c>
      <c r="Y75" s="281">
        <f t="shared" ca="1" si="94"/>
        <v>627.89415227777158</v>
      </c>
    </row>
    <row r="76" spans="3:32" ht="15" customHeight="1" x14ac:dyDescent="0.2">
      <c r="C76" s="1"/>
      <c r="D76" s="1"/>
      <c r="E76" s="30" t="s">
        <v>128</v>
      </c>
      <c r="F76" s="24" t="s">
        <v>7</v>
      </c>
      <c r="G76" s="100"/>
      <c r="H76" s="106"/>
      <c r="I76" s="106">
        <f>IFERROR((I75/H75)-1,"NA")</f>
        <v>8.9519840236172543E-2</v>
      </c>
      <c r="J76" s="106">
        <f t="shared" ref="J76:P76" si="95">IFERROR((J75/I75)-1,"NA")</f>
        <v>8.1686324513866593E-2</v>
      </c>
      <c r="K76" s="106">
        <f t="shared" si="95"/>
        <v>-4.1258380608561129E-2</v>
      </c>
      <c r="L76" s="106">
        <f t="shared" si="95"/>
        <v>-0.27441788980250514</v>
      </c>
      <c r="M76" s="106">
        <f t="shared" si="95"/>
        <v>-2.6053802160559303E-2</v>
      </c>
      <c r="N76" s="106">
        <f t="shared" si="95"/>
        <v>1.8907133536320138</v>
      </c>
      <c r="O76" s="106">
        <f t="shared" si="95"/>
        <v>0.53688447504043957</v>
      </c>
      <c r="P76" s="106">
        <f t="shared" ca="1" si="95"/>
        <v>0.53688447504043957</v>
      </c>
      <c r="Q76" s="306">
        <v>0</v>
      </c>
      <c r="R76" s="306">
        <v>0</v>
      </c>
      <c r="S76" s="306">
        <v>0</v>
      </c>
      <c r="T76" s="306">
        <v>0</v>
      </c>
      <c r="U76" s="306">
        <v>0</v>
      </c>
      <c r="V76" s="306">
        <v>0</v>
      </c>
      <c r="W76" s="306">
        <v>0</v>
      </c>
      <c r="X76" s="306">
        <v>0</v>
      </c>
      <c r="Y76" s="307">
        <v>0</v>
      </c>
    </row>
    <row r="78" spans="3:32" ht="15" customHeight="1" x14ac:dyDescent="0.2">
      <c r="C78" s="89" t="s">
        <v>158</v>
      </c>
      <c r="D78" s="90"/>
      <c r="E78" s="90"/>
      <c r="F78" s="91"/>
      <c r="G78" s="91"/>
      <c r="H78" s="92"/>
      <c r="I78" s="92"/>
      <c r="J78" s="92"/>
      <c r="K78" s="92"/>
      <c r="L78" s="92"/>
      <c r="M78" s="92"/>
      <c r="N78" s="92"/>
      <c r="O78" s="92"/>
      <c r="P78" s="92"/>
      <c r="Q78" s="92"/>
      <c r="R78" s="92"/>
      <c r="S78" s="92"/>
      <c r="T78" s="92"/>
      <c r="U78" s="92"/>
      <c r="V78" s="92"/>
      <c r="W78" s="92"/>
      <c r="X78" s="92"/>
      <c r="Y78" s="92"/>
    </row>
    <row r="79" spans="3:32" ht="15" customHeight="1" x14ac:dyDescent="0.2">
      <c r="C79" s="1"/>
      <c r="D79" s="1"/>
      <c r="E79" s="1"/>
      <c r="F79" s="24"/>
      <c r="G79" s="100"/>
      <c r="H79" s="103"/>
      <c r="I79" s="103"/>
      <c r="J79" s="103"/>
      <c r="K79" s="103"/>
      <c r="L79" s="103"/>
      <c r="M79" s="103"/>
      <c r="N79" s="103"/>
      <c r="O79" s="103"/>
      <c r="P79" s="103"/>
      <c r="Q79" s="103"/>
      <c r="R79" s="103"/>
      <c r="S79" s="103"/>
      <c r="T79" s="103"/>
      <c r="U79" s="103"/>
      <c r="V79" s="103"/>
      <c r="W79" s="103"/>
      <c r="X79" s="103"/>
      <c r="Y79" s="103"/>
      <c r="AE79" s="97"/>
      <c r="AF79" s="97"/>
    </row>
    <row r="80" spans="3:32" ht="15" customHeight="1" x14ac:dyDescent="0.2">
      <c r="C80" s="1"/>
      <c r="D80" s="308"/>
      <c r="E80" s="1" t="s">
        <v>181</v>
      </c>
      <c r="F80" s="93" t="s">
        <v>25</v>
      </c>
      <c r="G80" s="100"/>
      <c r="H80" s="325">
        <f>'&gt;&gt; Fin Stmts'!H24</f>
        <v>-2912.2860000000001</v>
      </c>
      <c r="I80" s="325">
        <f>'&gt;&gt; Fin Stmts'!I24</f>
        <v>-3364.1396000000004</v>
      </c>
      <c r="J80" s="325">
        <f>'&gt;&gt; Fin Stmts'!J24</f>
        <v>-3119.1667200000011</v>
      </c>
      <c r="K80" s="325">
        <f>'&gt;&gt; Fin Stmts'!K24</f>
        <v>-1595.5557599999997</v>
      </c>
      <c r="L80" s="325">
        <f>'&gt;&gt; Fin Stmts'!L24</f>
        <v>-2429.0747999999994</v>
      </c>
      <c r="M80" s="325">
        <f>'&gt;&gt; Fin Stmts'!M24</f>
        <v>-2640.5359199999998</v>
      </c>
      <c r="N80" s="325">
        <f>'&gt;&gt; Fin Stmts'!N24</f>
        <v>-1876.6851999999999</v>
      </c>
      <c r="O80" s="325">
        <f>'&gt;&gt; Fin Stmts'!O24</f>
        <v>-3046.1460000000006</v>
      </c>
      <c r="P80" s="325">
        <f ca="1">'&gt;&gt; Fin Stmts'!P24</f>
        <v>344.06225015939526</v>
      </c>
      <c r="Q80" s="325">
        <f ca="1">'&gt;&gt; Fin Stmts'!Q24</f>
        <v>237.35976621997503</v>
      </c>
      <c r="R80" s="325">
        <f ca="1">'&gt;&gt; Fin Stmts'!R24</f>
        <v>238.19388002818374</v>
      </c>
      <c r="S80" s="325">
        <f ca="1">'&gt;&gt; Fin Stmts'!S24</f>
        <v>239.96850708697303</v>
      </c>
      <c r="T80" s="325">
        <f ca="1">'&gt;&gt; Fin Stmts'!T24</f>
        <v>242.26700879761512</v>
      </c>
      <c r="U80" s="325">
        <f ca="1">'&gt;&gt; Fin Stmts'!U24</f>
        <v>242.07936374155622</v>
      </c>
      <c r="V80" s="325">
        <f ca="1">'&gt;&gt; Fin Stmts'!V24</f>
        <v>245.5608079742226</v>
      </c>
      <c r="W80" s="325">
        <f ca="1">'&gt;&gt; Fin Stmts'!W24</f>
        <v>249.56627668095007</v>
      </c>
      <c r="X80" s="325">
        <f ca="1">'&gt;&gt; Fin Stmts'!X24</f>
        <v>253.35252417405437</v>
      </c>
      <c r="Y80" s="325">
        <f ca="1">'&gt;&gt; Fin Stmts'!Y24</f>
        <v>255.89848141043473</v>
      </c>
    </row>
    <row r="81" spans="3:27" ht="15" customHeight="1" x14ac:dyDescent="0.2">
      <c r="C81" s="1"/>
      <c r="D81" s="1"/>
      <c r="E81" s="1"/>
      <c r="F81" s="93"/>
      <c r="G81" s="100"/>
      <c r="H81" s="95"/>
      <c r="I81" s="95"/>
      <c r="J81" s="95"/>
      <c r="K81" s="95"/>
      <c r="L81" s="95"/>
      <c r="M81" s="95"/>
      <c r="N81" s="95"/>
      <c r="O81" s="95"/>
      <c r="P81" s="95"/>
      <c r="Q81" s="95"/>
      <c r="R81" s="95"/>
      <c r="S81" s="95"/>
      <c r="T81" s="95"/>
      <c r="U81" s="95"/>
      <c r="V81" s="95"/>
      <c r="W81" s="95"/>
      <c r="X81" s="95"/>
      <c r="Y81" s="95"/>
    </row>
    <row r="82" spans="3:27" ht="15" customHeight="1" x14ac:dyDescent="0.2">
      <c r="C82" s="1"/>
      <c r="D82" s="1"/>
      <c r="E82" s="99" t="s">
        <v>85</v>
      </c>
      <c r="F82" s="93"/>
      <c r="G82" s="100"/>
      <c r="H82" s="96"/>
      <c r="I82" s="96"/>
      <c r="J82" s="96"/>
      <c r="K82" s="96"/>
      <c r="L82" s="96"/>
      <c r="M82" s="96"/>
      <c r="N82" s="96"/>
      <c r="O82" s="96"/>
      <c r="P82" s="96"/>
      <c r="Q82" s="96"/>
      <c r="R82" s="96"/>
      <c r="S82" s="96"/>
      <c r="T82" s="96"/>
      <c r="U82" s="96"/>
      <c r="V82" s="96"/>
      <c r="W82" s="96"/>
      <c r="X82" s="96"/>
      <c r="Y82" s="96"/>
    </row>
    <row r="83" spans="3:27" ht="15" customHeight="1" x14ac:dyDescent="0.2">
      <c r="C83" s="1"/>
      <c r="D83" s="1"/>
      <c r="E83" s="1" t="s">
        <v>149</v>
      </c>
      <c r="F83" s="24" t="s">
        <v>7</v>
      </c>
      <c r="G83" s="100"/>
      <c r="H83" s="272">
        <f t="shared" ref="H83:Y83" si="96">H80/H23</f>
        <v>-0.69674247462833694</v>
      </c>
      <c r="I83" s="272">
        <f t="shared" si="96"/>
        <v>-0.69800640711754414</v>
      </c>
      <c r="J83" s="272">
        <f t="shared" si="96"/>
        <v>-0.69415452981166492</v>
      </c>
      <c r="K83" s="272">
        <f t="shared" si="96"/>
        <v>-0.67833986636895283</v>
      </c>
      <c r="L83" s="272">
        <f t="shared" si="96"/>
        <v>-0.69625535647233827</v>
      </c>
      <c r="M83" s="272">
        <f t="shared" si="96"/>
        <v>-0.69698055396596459</v>
      </c>
      <c r="N83" s="272">
        <f t="shared" si="96"/>
        <v>-0.64914966845267541</v>
      </c>
      <c r="O83" s="272">
        <f t="shared" si="96"/>
        <v>-0.65963308314962954</v>
      </c>
      <c r="P83" s="272">
        <f t="shared" ca="1" si="96"/>
        <v>7.3076083899713762E-2</v>
      </c>
      <c r="Q83" s="272">
        <f t="shared" ca="1" si="96"/>
        <v>4.9191535845027771E-2</v>
      </c>
      <c r="R83" s="272">
        <f t="shared" ca="1" si="96"/>
        <v>4.8239416785308978E-2</v>
      </c>
      <c r="S83" s="272">
        <f t="shared" ca="1" si="96"/>
        <v>4.7615245247823908E-2</v>
      </c>
      <c r="T83" s="272">
        <f t="shared" ca="1" si="96"/>
        <v>4.6989769194905343E-2</v>
      </c>
      <c r="U83" s="272">
        <f t="shared" ca="1" si="96"/>
        <v>4.5790626216476817E-2</v>
      </c>
      <c r="V83" s="272">
        <f t="shared" ca="1" si="96"/>
        <v>4.5238397318611762E-2</v>
      </c>
      <c r="W83" s="272">
        <f t="shared" ca="1" si="96"/>
        <v>4.4848831334626971E-2</v>
      </c>
      <c r="X83" s="272">
        <f t="shared" ca="1" si="96"/>
        <v>4.4362509042511641E-2</v>
      </c>
      <c r="Y83" s="272">
        <f t="shared" ca="1" si="96"/>
        <v>4.3631626390559383E-2</v>
      </c>
      <c r="Z83" s="107"/>
      <c r="AA83" s="108"/>
    </row>
    <row r="84" spans="3:27" ht="15" customHeight="1" x14ac:dyDescent="0.2">
      <c r="D84" s="1"/>
      <c r="E84" s="1"/>
      <c r="F84" s="24"/>
      <c r="G84" s="100"/>
      <c r="Z84" s="108"/>
      <c r="AA84" s="108"/>
    </row>
    <row r="85" spans="3:27" ht="15" customHeight="1" x14ac:dyDescent="0.2">
      <c r="C85" s="89" t="s">
        <v>159</v>
      </c>
      <c r="D85" s="90"/>
      <c r="E85" s="90"/>
      <c r="F85" s="91"/>
      <c r="G85" s="91"/>
      <c r="H85" s="92"/>
      <c r="I85" s="92"/>
      <c r="J85" s="92"/>
      <c r="K85" s="92"/>
      <c r="L85" s="92"/>
      <c r="M85" s="92"/>
      <c r="N85" s="92"/>
      <c r="O85" s="92"/>
      <c r="P85" s="92"/>
      <c r="Q85" s="92"/>
      <c r="R85" s="92"/>
      <c r="S85" s="92"/>
      <c r="T85" s="92"/>
      <c r="U85" s="92"/>
      <c r="V85" s="92"/>
      <c r="W85" s="92"/>
      <c r="X85" s="92"/>
      <c r="Y85" s="92"/>
      <c r="Z85" s="108"/>
      <c r="AA85" s="108"/>
    </row>
    <row r="86" spans="3:27" ht="15" customHeight="1" x14ac:dyDescent="0.2">
      <c r="C86" s="1"/>
      <c r="D86" s="1"/>
      <c r="E86" s="1"/>
      <c r="F86" s="24"/>
      <c r="G86" s="100"/>
      <c r="O86" s="289"/>
      <c r="Q86" s="309"/>
      <c r="Z86" s="108"/>
      <c r="AA86" s="108"/>
    </row>
    <row r="87" spans="3:27" ht="15" customHeight="1" x14ac:dyDescent="0.2">
      <c r="C87" s="1"/>
      <c r="D87" s="1"/>
      <c r="E87" s="2" t="s">
        <v>269</v>
      </c>
      <c r="F87" s="24" t="s">
        <v>160</v>
      </c>
      <c r="G87" s="100"/>
      <c r="H87" s="310">
        <v>0.08</v>
      </c>
      <c r="I87" s="311">
        <v>0.09</v>
      </c>
      <c r="J87" s="311">
        <v>0.09</v>
      </c>
      <c r="K87" s="311">
        <v>0.11</v>
      </c>
      <c r="L87" s="311">
        <v>0.06</v>
      </c>
      <c r="M87" s="311">
        <v>0.12</v>
      </c>
      <c r="N87" s="311">
        <v>0.11</v>
      </c>
      <c r="O87" s="312">
        <v>0.1</v>
      </c>
      <c r="P87" s="387">
        <v>0.10249999999999999</v>
      </c>
      <c r="Q87" s="388">
        <v>0.105</v>
      </c>
      <c r="R87" s="388">
        <v>0.1075</v>
      </c>
      <c r="S87" s="387">
        <v>0.11</v>
      </c>
      <c r="T87" s="109"/>
      <c r="U87" s="109"/>
      <c r="V87" s="109"/>
      <c r="W87" s="109">
        <f ca="1">(W80*W89)/'&gt;&gt; Inputs'!$G$47</f>
        <v>0.32945517650628059</v>
      </c>
      <c r="X87" s="109">
        <f ca="1">(X80*X89)/'&gt;&gt; Inputs'!$G$47</f>
        <v>0.33445344331030008</v>
      </c>
      <c r="Y87" s="109">
        <f ca="1">(Y80*Y89)/'&gt;&gt; Inputs'!$G$47</f>
        <v>0.33781438935575253</v>
      </c>
      <c r="Z87" s="108"/>
      <c r="AA87" s="108"/>
    </row>
    <row r="88" spans="3:27" ht="15" customHeight="1" thickBot="1" x14ac:dyDescent="0.25">
      <c r="C88" s="1"/>
      <c r="D88" s="1"/>
      <c r="E88" s="30" t="s">
        <v>128</v>
      </c>
      <c r="F88" s="24" t="s">
        <v>7</v>
      </c>
      <c r="G88" s="100"/>
      <c r="H88" s="106"/>
      <c r="I88" s="106">
        <f>IFERROR((I87/H87-1),"NA")</f>
        <v>0.125</v>
      </c>
      <c r="J88" s="106">
        <f t="shared" ref="J88:P88" si="97">IFERROR((J87/I87-1),"NA")</f>
        <v>0</v>
      </c>
      <c r="K88" s="106">
        <f t="shared" si="97"/>
        <v>0.22222222222222232</v>
      </c>
      <c r="L88" s="106">
        <f t="shared" si="97"/>
        <v>-0.45454545454545459</v>
      </c>
      <c r="M88" s="106">
        <f t="shared" si="97"/>
        <v>1</v>
      </c>
      <c r="N88" s="106">
        <f t="shared" si="97"/>
        <v>-8.3333333333333259E-2</v>
      </c>
      <c r="O88" s="106">
        <f t="shared" si="97"/>
        <v>-9.0909090909090828E-2</v>
      </c>
      <c r="P88" s="106">
        <f t="shared" si="97"/>
        <v>2.4999999999999911E-2</v>
      </c>
      <c r="Q88" s="106">
        <f t="shared" ref="Q88" si="98">IFERROR((Q87/P87-1),"NA")</f>
        <v>2.4390243902439046E-2</v>
      </c>
      <c r="R88" s="106">
        <f t="shared" ref="R88" si="99">IFERROR((R87/Q87-1),"NA")</f>
        <v>2.3809523809523725E-2</v>
      </c>
      <c r="S88" s="106">
        <f t="shared" ref="S88" si="100">IFERROR((S87/R87-1),"NA")</f>
        <v>2.3255813953488413E-2</v>
      </c>
      <c r="T88" s="106">
        <f t="shared" ref="T88" si="101">IFERROR((T87/S87-1),"NA")</f>
        <v>-1</v>
      </c>
      <c r="U88" s="106" t="str">
        <f t="shared" ref="U88" si="102">IFERROR((U87/T87-1),"NA")</f>
        <v>NA</v>
      </c>
      <c r="V88" s="106" t="str">
        <f t="shared" ref="V88:W88" si="103">IFERROR((V87/U87-1),"NA")</f>
        <v>NA</v>
      </c>
      <c r="W88" s="106" t="str">
        <f t="shared" ca="1" si="103"/>
        <v>NA</v>
      </c>
      <c r="X88" s="106">
        <f t="shared" ref="X88" ca="1" si="104">IFERROR((X87/W87-1),"NA")</f>
        <v>1.5171310577128505E-2</v>
      </c>
      <c r="Y88" s="106">
        <f t="shared" ref="Y88" ca="1" si="105">IFERROR((Y87/X87-1),"NA")</f>
        <v>1.004906994584065E-2</v>
      </c>
      <c r="Z88" s="108"/>
      <c r="AA88" s="108"/>
    </row>
    <row r="89" spans="3:27" ht="15" customHeight="1" thickBot="1" x14ac:dyDescent="0.25">
      <c r="C89" s="1"/>
      <c r="D89" s="1"/>
      <c r="E89" s="2" t="s">
        <v>161</v>
      </c>
      <c r="F89" s="24" t="s">
        <v>7</v>
      </c>
      <c r="G89" s="100"/>
      <c r="H89" s="335">
        <f>H87/H98</f>
        <v>0.66666666666666674</v>
      </c>
      <c r="I89" s="335">
        <f t="shared" ref="I89:O89" si="106">I87/I98</f>
        <v>0.69230769230769229</v>
      </c>
      <c r="J89" s="335">
        <f t="shared" si="106"/>
        <v>0.69230769230769229</v>
      </c>
      <c r="K89" s="335">
        <f t="shared" si="106"/>
        <v>0.91666666666666674</v>
      </c>
      <c r="L89" s="335">
        <f t="shared" si="106"/>
        <v>0.4</v>
      </c>
      <c r="M89" s="335">
        <f t="shared" si="106"/>
        <v>0.75</v>
      </c>
      <c r="N89" s="335">
        <f t="shared" si="106"/>
        <v>0.7857142857142857</v>
      </c>
      <c r="O89" s="335">
        <f t="shared" si="106"/>
        <v>1</v>
      </c>
      <c r="P89" s="313">
        <v>0.5</v>
      </c>
      <c r="Q89" s="313">
        <v>0.5</v>
      </c>
      <c r="R89" s="313">
        <v>0.5</v>
      </c>
      <c r="S89" s="313">
        <v>0.5</v>
      </c>
      <c r="T89" s="313">
        <v>0.5</v>
      </c>
      <c r="U89" s="313">
        <v>0.5</v>
      </c>
      <c r="V89" s="313">
        <v>0.5</v>
      </c>
      <c r="W89" s="313">
        <v>0.5</v>
      </c>
      <c r="X89" s="313">
        <v>0.5</v>
      </c>
      <c r="Y89" s="313">
        <v>0.5</v>
      </c>
      <c r="Z89" s="334">
        <v>0</v>
      </c>
      <c r="AA89" s="18" t="s">
        <v>162</v>
      </c>
    </row>
    <row r="90" spans="3:27" ht="15" customHeight="1" x14ac:dyDescent="0.2">
      <c r="C90" s="1"/>
      <c r="D90" s="1"/>
      <c r="E90" s="1"/>
      <c r="F90" s="24"/>
      <c r="G90" s="100"/>
      <c r="O90" s="110"/>
      <c r="Q90" s="111"/>
      <c r="Z90" s="108"/>
      <c r="AA90" s="108"/>
    </row>
    <row r="91" spans="3:27" ht="15" customHeight="1" x14ac:dyDescent="0.2">
      <c r="C91" s="1"/>
      <c r="D91" s="1"/>
      <c r="E91" s="2" t="s">
        <v>163</v>
      </c>
      <c r="F91" s="24" t="s">
        <v>160</v>
      </c>
      <c r="G91" s="100"/>
      <c r="H91" s="324">
        <f>(H80*H89)/'&gt;&gt; Inputs'!$G$47</f>
        <v>-5.1260542138785334</v>
      </c>
      <c r="I91" s="324">
        <f>(I80*I89)/'&gt;&gt; Inputs'!$G$47</f>
        <v>-6.1491289140307686</v>
      </c>
      <c r="J91" s="324">
        <f>(J80*J89)/'&gt;&gt; Inputs'!$G$47</f>
        <v>-5.7013562295793312</v>
      </c>
      <c r="K91" s="324">
        <f>(K80*K89)/'&gt;&gt; Inputs'!$G$47</f>
        <v>-3.8615695109137547</v>
      </c>
      <c r="L91" s="324">
        <f>(L80*L89)/'&gt;&gt; Inputs'!$G$47</f>
        <v>-2.5653186083439916</v>
      </c>
      <c r="M91" s="324">
        <f>(M80*M89)/'&gt;&gt; Inputs'!$G$47</f>
        <v>-5.2287006030882024</v>
      </c>
      <c r="N91" s="324">
        <f>(N80*N89)/'&gt;&gt; Inputs'!$G$47</f>
        <v>-3.893108523194674</v>
      </c>
      <c r="O91" s="324">
        <f>(O80*O89)/'&gt;&gt; Inputs'!$G$47</f>
        <v>-8.0425014263996939</v>
      </c>
      <c r="P91" s="86"/>
      <c r="Q91" s="86"/>
      <c r="R91" s="86"/>
      <c r="S91" s="86"/>
      <c r="T91" s="86"/>
      <c r="U91" s="86"/>
      <c r="V91" s="86"/>
      <c r="W91" s="86"/>
      <c r="X91" s="86"/>
      <c r="Y91" s="86"/>
      <c r="Z91" s="108"/>
      <c r="AA91" s="108"/>
    </row>
    <row r="92" spans="3:27" ht="15" customHeight="1" thickBot="1" x14ac:dyDescent="0.25">
      <c r="C92" s="1"/>
      <c r="D92" s="1"/>
      <c r="E92" s="2" t="s">
        <v>164</v>
      </c>
      <c r="F92" s="24" t="s">
        <v>160</v>
      </c>
      <c r="G92" s="100"/>
      <c r="H92" s="324">
        <f>H87-H91</f>
        <v>5.2060542138785335</v>
      </c>
      <c r="I92" s="324">
        <f t="shared" ref="I92:O92" si="107">I87-I91</f>
        <v>6.2391289140307684</v>
      </c>
      <c r="J92" s="324">
        <f t="shared" si="107"/>
        <v>5.791356229579331</v>
      </c>
      <c r="K92" s="324">
        <f t="shared" si="107"/>
        <v>3.9715695109137545</v>
      </c>
      <c r="L92" s="324">
        <f t="shared" si="107"/>
        <v>2.6253186083439917</v>
      </c>
      <c r="M92" s="324">
        <f t="shared" si="107"/>
        <v>5.3487006030882025</v>
      </c>
      <c r="N92" s="324">
        <f t="shared" si="107"/>
        <v>4.0031085231946744</v>
      </c>
      <c r="O92" s="324">
        <f t="shared" si="107"/>
        <v>8.1425014263996935</v>
      </c>
      <c r="P92" s="86"/>
      <c r="Q92" s="86"/>
      <c r="R92" s="86"/>
      <c r="S92" s="86"/>
      <c r="T92" s="86"/>
      <c r="U92" s="86"/>
      <c r="V92" s="86"/>
      <c r="W92" s="86"/>
      <c r="X92" s="86"/>
      <c r="Y92" s="86"/>
      <c r="Z92" s="1"/>
      <c r="AA92" s="1"/>
    </row>
    <row r="93" spans="3:27" ht="15" customHeight="1" thickBot="1" x14ac:dyDescent="0.25">
      <c r="C93" s="1"/>
      <c r="D93" s="1"/>
      <c r="E93" s="1" t="s">
        <v>165</v>
      </c>
      <c r="F93" s="24" t="s">
        <v>160</v>
      </c>
      <c r="G93" s="100"/>
      <c r="H93" s="314"/>
      <c r="I93" s="207"/>
      <c r="J93" s="207"/>
      <c r="K93" s="207"/>
      <c r="L93" s="207"/>
      <c r="M93" s="207"/>
      <c r="N93" s="315"/>
      <c r="O93" s="316">
        <f t="shared" ref="O93:X93" si="108">O87+$Z$93</f>
        <v>5.2659672536786193</v>
      </c>
      <c r="P93" s="316">
        <f t="shared" si="108"/>
        <v>5.2684672536786197</v>
      </c>
      <c r="Q93" s="316">
        <f t="shared" si="108"/>
        <v>5.2709672536786201</v>
      </c>
      <c r="R93" s="316">
        <f t="shared" si="108"/>
        <v>5.2734672536786196</v>
      </c>
      <c r="S93" s="316">
        <f t="shared" si="108"/>
        <v>5.27596725367862</v>
      </c>
      <c r="T93" s="316">
        <f t="shared" si="108"/>
        <v>5.1659672536786196</v>
      </c>
      <c r="U93" s="316">
        <f t="shared" si="108"/>
        <v>5.1659672536786196</v>
      </c>
      <c r="V93" s="316">
        <f t="shared" si="108"/>
        <v>5.1659672536786196</v>
      </c>
      <c r="W93" s="316">
        <f t="shared" ca="1" si="108"/>
        <v>5.4954224301849006</v>
      </c>
      <c r="X93" s="316">
        <f t="shared" ca="1" si="108"/>
        <v>5.50042069698892</v>
      </c>
      <c r="Y93" s="317">
        <f ca="1">Y87+$Z$93</f>
        <v>5.5037816430343725</v>
      </c>
      <c r="Z93" s="391">
        <f>AVERAGE(H92:O92)</f>
        <v>5.1659672536786196</v>
      </c>
      <c r="AA93" s="18" t="s">
        <v>166</v>
      </c>
    </row>
    <row r="94" spans="3:27" ht="15" customHeight="1" x14ac:dyDescent="0.2">
      <c r="C94" s="1"/>
      <c r="D94" s="1"/>
      <c r="E94" s="18" t="s">
        <v>128</v>
      </c>
      <c r="F94" s="24" t="s">
        <v>7</v>
      </c>
      <c r="G94" s="100"/>
      <c r="H94" s="206"/>
      <c r="I94" s="206"/>
      <c r="J94" s="206"/>
      <c r="K94" s="206"/>
      <c r="L94" s="206"/>
      <c r="M94" s="206"/>
      <c r="N94" s="206"/>
      <c r="O94" s="206"/>
      <c r="P94" s="106">
        <f t="shared" ref="P94:Y94" si="109">P93/O93-1</f>
        <v>4.7474659062007873E-4</v>
      </c>
      <c r="Q94" s="106">
        <f t="shared" si="109"/>
        <v>4.7452131324443592E-4</v>
      </c>
      <c r="R94" s="106">
        <f t="shared" si="109"/>
        <v>4.7429624956496497E-4</v>
      </c>
      <c r="S94" s="106">
        <f t="shared" si="109"/>
        <v>4.7407139927835296E-4</v>
      </c>
      <c r="T94" s="106">
        <f t="shared" si="109"/>
        <v>-2.0849257531555754E-2</v>
      </c>
      <c r="U94" s="106">
        <f t="shared" si="109"/>
        <v>0</v>
      </c>
      <c r="V94" s="106">
        <f t="shared" si="109"/>
        <v>0</v>
      </c>
      <c r="W94" s="106">
        <f t="shared" ca="1" si="109"/>
        <v>6.3774151156626102E-2</v>
      </c>
      <c r="X94" s="106">
        <f t="shared" ca="1" si="109"/>
        <v>9.0953277341609962E-4</v>
      </c>
      <c r="Y94" s="106">
        <f t="shared" ca="1" si="109"/>
        <v>6.110343609340152E-4</v>
      </c>
      <c r="Z94" s="112"/>
      <c r="AA94" s="108"/>
    </row>
    <row r="95" spans="3:27" ht="15" customHeight="1" x14ac:dyDescent="0.2">
      <c r="C95" s="1"/>
      <c r="D95" s="1"/>
      <c r="E95" s="18"/>
      <c r="F95" s="24"/>
      <c r="G95" s="100"/>
      <c r="H95" s="206"/>
      <c r="I95" s="206"/>
      <c r="J95" s="206"/>
      <c r="K95" s="206"/>
      <c r="L95" s="206"/>
      <c r="M95" s="206"/>
      <c r="N95" s="206"/>
      <c r="O95" s="206"/>
      <c r="P95" s="1"/>
      <c r="Q95" s="106"/>
      <c r="R95" s="106"/>
      <c r="S95" s="106"/>
      <c r="T95" s="106"/>
      <c r="U95" s="106"/>
      <c r="V95" s="106"/>
      <c r="W95" s="106"/>
      <c r="X95" s="106"/>
      <c r="Y95" s="106"/>
      <c r="Z95" s="112"/>
      <c r="AA95" s="108"/>
    </row>
    <row r="96" spans="3:27" ht="15" customHeight="1" x14ac:dyDescent="0.2">
      <c r="C96" s="89" t="s">
        <v>167</v>
      </c>
      <c r="D96" s="90"/>
      <c r="E96" s="90"/>
      <c r="F96" s="91"/>
      <c r="G96" s="91"/>
      <c r="H96" s="92"/>
      <c r="I96" s="92"/>
      <c r="J96" s="92"/>
      <c r="K96" s="92"/>
      <c r="L96" s="92"/>
      <c r="M96" s="92"/>
      <c r="N96" s="92"/>
      <c r="O96" s="92"/>
      <c r="P96" s="92"/>
      <c r="Q96" s="92"/>
      <c r="R96" s="92"/>
      <c r="S96" s="92"/>
      <c r="T96" s="92"/>
      <c r="U96" s="92"/>
      <c r="V96" s="92"/>
      <c r="W96" s="92"/>
      <c r="X96" s="92"/>
      <c r="Y96" s="92"/>
      <c r="Z96" s="108"/>
      <c r="AA96" s="108"/>
    </row>
    <row r="97" spans="3:27" ht="15" customHeight="1" x14ac:dyDescent="0.2">
      <c r="C97" s="1"/>
      <c r="D97" s="1"/>
      <c r="E97" s="1"/>
      <c r="F97" s="24"/>
      <c r="G97" s="100"/>
      <c r="H97" s="206"/>
      <c r="I97" s="206"/>
      <c r="J97" s="206"/>
      <c r="K97" s="206"/>
      <c r="L97" s="206"/>
      <c r="M97" s="206"/>
      <c r="N97" s="206"/>
      <c r="O97" s="206"/>
      <c r="P97" s="1"/>
      <c r="Q97" s="1"/>
      <c r="R97" s="1"/>
      <c r="S97" s="1"/>
      <c r="T97" s="1"/>
      <c r="U97" s="1"/>
      <c r="V97" s="1"/>
      <c r="W97" s="1"/>
      <c r="X97" s="1"/>
      <c r="Y97" s="1"/>
      <c r="Z97" s="108"/>
      <c r="AA97" s="108"/>
    </row>
    <row r="98" spans="3:27" ht="15" customHeight="1" x14ac:dyDescent="0.2">
      <c r="C98" s="1"/>
      <c r="D98" s="1"/>
      <c r="E98" s="2" t="s">
        <v>268</v>
      </c>
      <c r="F98" s="24" t="s">
        <v>264</v>
      </c>
      <c r="G98" s="100"/>
      <c r="H98" s="207">
        <v>0.12</v>
      </c>
      <c r="I98" s="207">
        <v>0.13</v>
      </c>
      <c r="J98" s="207">
        <v>0.13</v>
      </c>
      <c r="K98" s="207">
        <v>0.12</v>
      </c>
      <c r="L98" s="207">
        <v>0.15</v>
      </c>
      <c r="M98" s="207">
        <v>0.16</v>
      </c>
      <c r="N98" s="207">
        <v>0.14000000000000001</v>
      </c>
      <c r="O98" s="113">
        <v>0.1</v>
      </c>
      <c r="P98" s="326">
        <f ca="1">'&gt;&gt; Fin Stmts'!P25</f>
        <v>90.840069309784369</v>
      </c>
      <c r="Q98" s="326">
        <f ca="1">'&gt;&gt; Fin Stmts'!Q25</f>
        <v>62.668245658417106</v>
      </c>
      <c r="R98" s="326">
        <f ca="1">'&gt;&gt; Fin Stmts'!R25</f>
        <v>62.888470214045711</v>
      </c>
      <c r="S98" s="326">
        <f ca="1">'&gt;&gt; Fin Stmts'!S25</f>
        <v>63.357011139255484</v>
      </c>
      <c r="T98" s="326">
        <f ca="1">'&gt;&gt; Fin Stmts'!T25</f>
        <v>63.963866598134381</v>
      </c>
      <c r="U98" s="326">
        <f ca="1">'&gt;&gt; Fin Stmts'!U25</f>
        <v>63.914324139203963</v>
      </c>
      <c r="V98" s="326">
        <f ca="1">'&gt;&gt; Fin Stmts'!V25</f>
        <v>64.833502675201586</v>
      </c>
      <c r="W98" s="326">
        <f ca="1">'&gt;&gt; Fin Stmts'!W25</f>
        <v>65.891035301256125</v>
      </c>
      <c r="X98" s="326">
        <f ca="1">'&gt;&gt; Fin Stmts'!X25</f>
        <v>66.890688662060015</v>
      </c>
      <c r="Y98" s="326">
        <f ca="1">'&gt;&gt; Fin Stmts'!Y25</f>
        <v>67.562877871150505</v>
      </c>
      <c r="Z98" s="108"/>
      <c r="AA98" s="108"/>
    </row>
    <row r="99" spans="3:27" ht="15" customHeight="1" x14ac:dyDescent="0.2">
      <c r="C99" s="1"/>
      <c r="D99" s="1"/>
      <c r="E99" s="18" t="s">
        <v>128</v>
      </c>
      <c r="F99" s="24" t="s">
        <v>7</v>
      </c>
      <c r="G99" s="100"/>
      <c r="H99" s="206"/>
      <c r="I99" s="206"/>
      <c r="J99" s="206"/>
      <c r="K99" s="206"/>
      <c r="L99" s="206"/>
      <c r="M99" s="206"/>
      <c r="N99" s="206"/>
      <c r="O99" s="206"/>
      <c r="P99" s="106"/>
      <c r="Q99" s="106">
        <f t="shared" ref="Q99:Y99" ca="1" si="110">Q98/P98-1</f>
        <v>-0.31012551911750774</v>
      </c>
      <c r="R99" s="106">
        <f t="shared" ca="1" si="110"/>
        <v>3.514133087895388E-3</v>
      </c>
      <c r="S99" s="106">
        <f t="shared" ca="1" si="110"/>
        <v>7.450346997073698E-3</v>
      </c>
      <c r="T99" s="106">
        <f t="shared" ca="1" si="110"/>
        <v>9.5783473362571758E-3</v>
      </c>
      <c r="U99" s="106">
        <f t="shared" ca="1" si="110"/>
        <v>-7.7453821298323344E-4</v>
      </c>
      <c r="V99" s="106">
        <f t="shared" ca="1" si="110"/>
        <v>1.4381416816606984E-2</v>
      </c>
      <c r="W99" s="106">
        <f t="shared" ca="1" si="110"/>
        <v>1.6311514609236744E-2</v>
      </c>
      <c r="X99" s="106">
        <f t="shared" ca="1" si="110"/>
        <v>1.5171310577128505E-2</v>
      </c>
      <c r="Y99" s="106">
        <f t="shared" ca="1" si="110"/>
        <v>1.004906994584065E-2</v>
      </c>
    </row>
    <row r="100" spans="3:27" ht="15" customHeight="1" x14ac:dyDescent="0.2">
      <c r="C100" s="1"/>
      <c r="D100" s="1"/>
      <c r="E100" s="1"/>
      <c r="F100" s="24"/>
      <c r="G100" s="100" t="s">
        <v>7</v>
      </c>
      <c r="H100" s="206"/>
      <c r="I100" s="206"/>
      <c r="J100" s="206"/>
      <c r="K100" s="206"/>
      <c r="L100" s="206"/>
      <c r="M100" s="206"/>
      <c r="N100" s="206"/>
      <c r="O100" s="206"/>
      <c r="P100" s="1"/>
      <c r="Q100" s="1"/>
      <c r="R100" s="1"/>
      <c r="S100" s="1"/>
      <c r="T100" s="1"/>
      <c r="U100" s="1"/>
      <c r="V100" s="1"/>
      <c r="W100" s="1"/>
      <c r="X100" s="1"/>
      <c r="Y100" s="1"/>
    </row>
    <row r="101" spans="3:27" ht="15" customHeight="1" x14ac:dyDescent="0.2">
      <c r="C101" s="114" t="s">
        <v>286</v>
      </c>
      <c r="D101" s="115"/>
      <c r="E101" s="116"/>
      <c r="F101" s="116"/>
      <c r="G101" s="116"/>
      <c r="H101" s="115"/>
      <c r="I101" s="115"/>
      <c r="J101" s="115"/>
      <c r="K101" s="117"/>
      <c r="L101" s="117"/>
      <c r="M101" s="117"/>
      <c r="N101" s="118"/>
      <c r="O101" s="117"/>
      <c r="P101" s="117"/>
      <c r="Q101" s="117"/>
      <c r="R101" s="117"/>
      <c r="S101" s="117"/>
      <c r="T101" s="117"/>
      <c r="U101" s="117"/>
      <c r="V101" s="117"/>
      <c r="W101" s="117"/>
      <c r="X101" s="117"/>
      <c r="Y101" s="117"/>
    </row>
    <row r="102" spans="3:27" ht="15" customHeight="1" x14ac:dyDescent="0.2">
      <c r="C102" s="1" t="s">
        <v>287</v>
      </c>
      <c r="D102" s="2"/>
      <c r="E102" s="2"/>
      <c r="F102" s="24"/>
      <c r="G102" s="24"/>
      <c r="H102" s="119"/>
      <c r="I102" s="119"/>
      <c r="J102" s="119"/>
      <c r="K102" s="119"/>
      <c r="L102" s="119"/>
      <c r="M102" s="119"/>
      <c r="N102" s="119"/>
      <c r="O102" s="61"/>
      <c r="P102" s="61"/>
      <c r="Q102" s="61"/>
      <c r="R102" s="61"/>
      <c r="S102" s="61"/>
      <c r="T102" s="61"/>
      <c r="U102" s="61"/>
      <c r="V102" s="61"/>
      <c r="W102" s="61"/>
      <c r="X102" s="61"/>
      <c r="Y102" s="61"/>
    </row>
    <row r="103" spans="3:27" ht="15" customHeight="1" x14ac:dyDescent="0.2">
      <c r="C103" s="1"/>
      <c r="D103" s="2"/>
      <c r="E103" s="120" t="s">
        <v>276</v>
      </c>
      <c r="F103" s="24" t="s">
        <v>25</v>
      </c>
      <c r="G103" s="24"/>
      <c r="H103" s="121">
        <v>1687.2</v>
      </c>
      <c r="I103" s="121">
        <v>1894.5</v>
      </c>
      <c r="J103" s="121">
        <v>2280.9</v>
      </c>
      <c r="K103" s="121" t="s">
        <v>274</v>
      </c>
      <c r="L103" s="121" t="s">
        <v>274</v>
      </c>
      <c r="M103" s="121" t="s">
        <v>274</v>
      </c>
      <c r="N103" s="121" t="s">
        <v>274</v>
      </c>
      <c r="O103" s="121" t="s">
        <v>274</v>
      </c>
      <c r="P103" s="122">
        <v>0</v>
      </c>
      <c r="Q103" s="122">
        <f t="shared" ref="Q103:Y103" si="111">P103*(1+Q105)</f>
        <v>0</v>
      </c>
      <c r="R103" s="122">
        <f t="shared" si="111"/>
        <v>0</v>
      </c>
      <c r="S103" s="122">
        <f t="shared" si="111"/>
        <v>0</v>
      </c>
      <c r="T103" s="122">
        <f t="shared" si="111"/>
        <v>0</v>
      </c>
      <c r="U103" s="122">
        <f t="shared" si="111"/>
        <v>0</v>
      </c>
      <c r="V103" s="122">
        <f t="shared" si="111"/>
        <v>0</v>
      </c>
      <c r="W103" s="122">
        <f t="shared" si="111"/>
        <v>0</v>
      </c>
      <c r="X103" s="122">
        <f t="shared" si="111"/>
        <v>0</v>
      </c>
      <c r="Y103" s="122">
        <f t="shared" si="111"/>
        <v>0</v>
      </c>
    </row>
    <row r="104" spans="3:27" ht="15" customHeight="1" x14ac:dyDescent="0.2">
      <c r="C104" s="1"/>
      <c r="D104" s="1"/>
      <c r="F104" s="93"/>
      <c r="G104" s="37"/>
      <c r="H104" s="96"/>
      <c r="I104" s="96"/>
      <c r="J104" s="96"/>
      <c r="K104" s="96"/>
      <c r="L104" s="96"/>
      <c r="M104" s="96"/>
      <c r="N104" s="96"/>
      <c r="O104" s="96"/>
      <c r="P104" s="96"/>
      <c r="Q104" s="96"/>
      <c r="R104" s="96"/>
      <c r="S104" s="96"/>
      <c r="T104" s="96"/>
      <c r="U104" s="96"/>
      <c r="V104" s="96"/>
      <c r="W104" s="96"/>
      <c r="X104" s="96"/>
      <c r="Y104" s="96"/>
    </row>
    <row r="105" spans="3:27" ht="15" customHeight="1" x14ac:dyDescent="0.2">
      <c r="C105" s="1"/>
      <c r="D105" s="1"/>
      <c r="E105" s="18" t="s">
        <v>168</v>
      </c>
      <c r="F105" s="24" t="s">
        <v>7</v>
      </c>
      <c r="G105" s="37"/>
      <c r="H105" s="229">
        <v>0.13830000000000001</v>
      </c>
      <c r="I105" s="229">
        <f>IFERROR((I103/H103-1),"NA")</f>
        <v>0.12286628733997151</v>
      </c>
      <c r="J105" s="229">
        <f t="shared" ref="J105:N105" si="112">IFERROR((J103/I103-1),"NA")</f>
        <v>0.20395882818685673</v>
      </c>
      <c r="K105" s="229" t="str">
        <f t="shared" si="112"/>
        <v>NA</v>
      </c>
      <c r="L105" s="229" t="str">
        <f t="shared" si="112"/>
        <v>NA</v>
      </c>
      <c r="M105" s="229" t="str">
        <f t="shared" si="112"/>
        <v>NA</v>
      </c>
      <c r="N105" s="229" t="str">
        <f t="shared" si="112"/>
        <v>NA</v>
      </c>
      <c r="O105" s="229" t="str">
        <f>IFERROR((O103/N103-1),"NA")</f>
        <v>NA</v>
      </c>
      <c r="P105" s="123"/>
      <c r="Q105" s="123"/>
      <c r="R105" s="123"/>
      <c r="S105" s="123"/>
      <c r="T105" s="123"/>
      <c r="U105" s="123"/>
      <c r="V105" s="123"/>
      <c r="W105" s="123"/>
      <c r="X105" s="123"/>
      <c r="Y105" s="123"/>
    </row>
    <row r="106" spans="3:27" ht="15" customHeight="1" x14ac:dyDescent="0.2">
      <c r="C106" s="1"/>
      <c r="D106" s="1"/>
    </row>
    <row r="107" spans="3:27" ht="15" customHeight="1" x14ac:dyDescent="0.2">
      <c r="C107" s="1"/>
      <c r="D107" s="1"/>
    </row>
    <row r="108" spans="3:27" ht="15" customHeight="1" x14ac:dyDescent="0.2">
      <c r="C108" s="1"/>
      <c r="D108" s="2"/>
      <c r="E108" s="120" t="s">
        <v>169</v>
      </c>
      <c r="F108" s="24" t="s">
        <v>25</v>
      </c>
      <c r="G108" s="24"/>
      <c r="H108" s="124">
        <v>86.1</v>
      </c>
      <c r="I108" s="124">
        <v>76</v>
      </c>
      <c r="J108" s="124">
        <v>108.5</v>
      </c>
      <c r="K108" s="124" t="s">
        <v>274</v>
      </c>
      <c r="L108" s="124" t="s">
        <v>274</v>
      </c>
      <c r="M108" s="124" t="s">
        <v>274</v>
      </c>
      <c r="N108" s="124" t="s">
        <v>274</v>
      </c>
      <c r="O108" s="124" t="s">
        <v>274</v>
      </c>
      <c r="P108" s="125">
        <f t="shared" ref="P108:Y108" si="113">P103*P110</f>
        <v>0</v>
      </c>
      <c r="Q108" s="125">
        <f t="shared" si="113"/>
        <v>0</v>
      </c>
      <c r="R108" s="125">
        <f t="shared" si="113"/>
        <v>0</v>
      </c>
      <c r="S108" s="125">
        <f t="shared" si="113"/>
        <v>0</v>
      </c>
      <c r="T108" s="125">
        <f t="shared" si="113"/>
        <v>0</v>
      </c>
      <c r="U108" s="125">
        <f t="shared" si="113"/>
        <v>0</v>
      </c>
      <c r="V108" s="125">
        <f t="shared" si="113"/>
        <v>0</v>
      </c>
      <c r="W108" s="125">
        <f t="shared" si="113"/>
        <v>0</v>
      </c>
      <c r="X108" s="125">
        <f t="shared" si="113"/>
        <v>0</v>
      </c>
      <c r="Y108" s="125">
        <f t="shared" si="113"/>
        <v>0</v>
      </c>
    </row>
    <row r="109" spans="3:27" ht="15" customHeight="1" x14ac:dyDescent="0.2">
      <c r="C109" s="1"/>
      <c r="D109" s="2"/>
      <c r="E109" s="126" t="s">
        <v>170</v>
      </c>
      <c r="F109" s="24" t="s">
        <v>7</v>
      </c>
      <c r="G109" s="24"/>
      <c r="H109" s="127"/>
      <c r="I109" s="290">
        <f>IFERROR((I108/H108-1),"NA")</f>
        <v>-0.11730545876887333</v>
      </c>
      <c r="J109" s="290">
        <f t="shared" ref="J109:O109" si="114">IFERROR((J108/I108-1),"NA")</f>
        <v>0.42763157894736836</v>
      </c>
      <c r="K109" s="290" t="str">
        <f t="shared" si="114"/>
        <v>NA</v>
      </c>
      <c r="L109" s="290" t="str">
        <f t="shared" si="114"/>
        <v>NA</v>
      </c>
      <c r="M109" s="290" t="str">
        <f t="shared" si="114"/>
        <v>NA</v>
      </c>
      <c r="N109" s="290" t="str">
        <f t="shared" si="114"/>
        <v>NA</v>
      </c>
      <c r="O109" s="290" t="str">
        <f t="shared" si="114"/>
        <v>NA</v>
      </c>
      <c r="P109" s="290" t="str">
        <f t="shared" ref="P109" si="115">IFERROR((P108/O108-1),"NA")</f>
        <v>NA</v>
      </c>
      <c r="Q109" s="290" t="str">
        <f t="shared" ref="Q109" si="116">IFERROR((Q108/P108-1),"NA")</f>
        <v>NA</v>
      </c>
      <c r="R109" s="290" t="str">
        <f t="shared" ref="R109" si="117">IFERROR((R108/Q108-1),"NA")</f>
        <v>NA</v>
      </c>
      <c r="S109" s="290" t="str">
        <f t="shared" ref="S109" si="118">IFERROR((S108/R108-1),"NA")</f>
        <v>NA</v>
      </c>
      <c r="T109" s="290" t="str">
        <f t="shared" ref="T109" si="119">IFERROR((T108/S108-1),"NA")</f>
        <v>NA</v>
      </c>
      <c r="U109" s="290" t="str">
        <f t="shared" ref="U109" si="120">IFERROR((U108/T108-1),"NA")</f>
        <v>NA</v>
      </c>
      <c r="V109" s="290" t="str">
        <f t="shared" ref="V109" si="121">IFERROR((V108/U108-1),"NA")</f>
        <v>NA</v>
      </c>
      <c r="W109" s="290" t="str">
        <f t="shared" ref="W109" si="122">IFERROR((W108/V108-1),"NA")</f>
        <v>NA</v>
      </c>
      <c r="X109" s="290" t="str">
        <f t="shared" ref="X109" si="123">IFERROR((X108/W108-1),"NA")</f>
        <v>NA</v>
      </c>
      <c r="Y109" s="290" t="str">
        <f t="shared" ref="Y109" si="124">IFERROR((Y108/X108-1),"NA")</f>
        <v>NA</v>
      </c>
    </row>
    <row r="110" spans="3:27" ht="15" customHeight="1" x14ac:dyDescent="0.2">
      <c r="C110" s="1"/>
      <c r="D110" s="2"/>
      <c r="E110" s="126" t="s">
        <v>171</v>
      </c>
      <c r="F110" s="24" t="s">
        <v>7</v>
      </c>
      <c r="G110" s="24"/>
      <c r="H110" s="106">
        <f>IFERROR(H108/H103,"NA")</f>
        <v>5.1031294452347081E-2</v>
      </c>
      <c r="I110" s="106">
        <f t="shared" ref="I110:O110" si="125">IFERROR(I108/I103,"NA")</f>
        <v>4.0116125626814464E-2</v>
      </c>
      <c r="J110" s="106">
        <f t="shared" si="125"/>
        <v>4.756894208426498E-2</v>
      </c>
      <c r="K110" s="106" t="str">
        <f t="shared" si="125"/>
        <v>NA</v>
      </c>
      <c r="L110" s="106" t="str">
        <f t="shared" si="125"/>
        <v>NA</v>
      </c>
      <c r="M110" s="106" t="str">
        <f t="shared" si="125"/>
        <v>NA</v>
      </c>
      <c r="N110" s="106" t="str">
        <f t="shared" si="125"/>
        <v>NA</v>
      </c>
      <c r="O110" s="106" t="str">
        <f t="shared" si="125"/>
        <v>NA</v>
      </c>
      <c r="P110" s="291"/>
      <c r="Q110" s="291"/>
      <c r="R110" s="291"/>
      <c r="S110" s="291"/>
      <c r="T110" s="291"/>
      <c r="U110" s="291"/>
      <c r="V110" s="291"/>
      <c r="W110" s="291"/>
      <c r="X110" s="291"/>
      <c r="Y110" s="291"/>
    </row>
    <row r="111" spans="3:27" ht="15" customHeight="1" x14ac:dyDescent="0.2">
      <c r="C111" s="249"/>
      <c r="D111" s="249"/>
      <c r="E111" s="249"/>
      <c r="F111" s="249"/>
      <c r="G111" s="249"/>
      <c r="H111" s="249"/>
      <c r="I111" s="249"/>
      <c r="J111" s="249"/>
      <c r="K111" s="249"/>
      <c r="L111" s="249"/>
      <c r="M111" s="249"/>
      <c r="N111" s="249"/>
      <c r="O111" s="249"/>
      <c r="P111" s="249"/>
      <c r="Q111" s="249"/>
      <c r="R111" s="249"/>
      <c r="S111" s="249"/>
      <c r="T111" s="249"/>
      <c r="U111" s="249"/>
      <c r="V111" s="249"/>
      <c r="W111" s="249"/>
      <c r="X111" s="249"/>
      <c r="Y111" s="249"/>
    </row>
    <row r="113" spans="3:25" ht="15" customHeight="1" x14ac:dyDescent="0.2">
      <c r="C113" s="114" t="s">
        <v>272</v>
      </c>
      <c r="D113" s="115"/>
      <c r="E113" s="115"/>
      <c r="F113" s="116"/>
      <c r="G113" s="116"/>
      <c r="H113" s="115"/>
      <c r="I113" s="115"/>
      <c r="J113" s="115"/>
      <c r="K113" s="117"/>
      <c r="L113" s="117"/>
      <c r="M113" s="117"/>
      <c r="N113" s="118"/>
      <c r="O113" s="117"/>
      <c r="P113" s="117"/>
      <c r="Q113" s="117"/>
      <c r="R113" s="117"/>
      <c r="S113" s="117"/>
      <c r="T113" s="117"/>
      <c r="U113" s="117"/>
      <c r="V113" s="117"/>
      <c r="W113" s="117"/>
      <c r="X113" s="117"/>
      <c r="Y113" s="117"/>
    </row>
    <row r="114" spans="3:25" ht="15" customHeight="1" x14ac:dyDescent="0.2">
      <c r="C114" s="1"/>
      <c r="D114" s="2"/>
      <c r="E114" s="2"/>
      <c r="F114" s="24"/>
      <c r="G114" s="24"/>
      <c r="H114" s="119"/>
      <c r="I114" s="119"/>
      <c r="J114" s="119"/>
      <c r="K114" s="119"/>
      <c r="L114" s="119"/>
      <c r="M114" s="119"/>
      <c r="N114" s="119"/>
      <c r="O114" s="61"/>
      <c r="P114" s="61"/>
      <c r="Q114" s="61"/>
      <c r="R114" s="61"/>
      <c r="S114" s="61"/>
      <c r="T114" s="61"/>
      <c r="U114" s="61"/>
      <c r="V114" s="61"/>
      <c r="W114" s="61"/>
      <c r="X114" s="61"/>
      <c r="Y114" s="61"/>
    </row>
    <row r="115" spans="3:25" ht="15" customHeight="1" x14ac:dyDescent="0.2">
      <c r="C115" s="1"/>
      <c r="D115" s="2"/>
      <c r="E115" s="120" t="s">
        <v>277</v>
      </c>
      <c r="F115" s="24" t="s">
        <v>25</v>
      </c>
      <c r="G115" s="24"/>
      <c r="H115" s="121">
        <v>907.2</v>
      </c>
      <c r="I115" s="121">
        <v>999.9</v>
      </c>
      <c r="J115" s="121">
        <v>1048.2</v>
      </c>
      <c r="K115" s="121">
        <v>1096.8</v>
      </c>
      <c r="L115" s="121">
        <v>1126.5999999999999</v>
      </c>
      <c r="M115" s="121">
        <v>1225.7</v>
      </c>
      <c r="N115" s="121">
        <v>1387.4</v>
      </c>
      <c r="O115" s="121">
        <v>1356.9</v>
      </c>
      <c r="P115" s="122">
        <f>O115*(1+P117)</f>
        <v>1438.6876029437828</v>
      </c>
      <c r="Q115" s="122">
        <f t="shared" ref="Q115:Y115" si="126">P115*(1+Q117)</f>
        <v>1525.404981107029</v>
      </c>
      <c r="R115" s="122">
        <f t="shared" si="126"/>
        <v>1609.3585961238757</v>
      </c>
      <c r="S115" s="122">
        <f t="shared" si="126"/>
        <v>1699.2870571193939</v>
      </c>
      <c r="T115" s="122">
        <f t="shared" si="126"/>
        <v>1796.2612989503018</v>
      </c>
      <c r="U115" s="122">
        <f t="shared" si="126"/>
        <v>1905.4826286849602</v>
      </c>
      <c r="V115" s="122">
        <f t="shared" si="126"/>
        <v>2014.8762718061716</v>
      </c>
      <c r="W115" s="122">
        <f t="shared" si="126"/>
        <v>2111.7829661701248</v>
      </c>
      <c r="X115" s="122">
        <f t="shared" si="126"/>
        <v>2231.8494468712238</v>
      </c>
      <c r="Y115" s="122">
        <f t="shared" si="126"/>
        <v>2357.7882983842765</v>
      </c>
    </row>
    <row r="116" spans="3:25" ht="15" customHeight="1" x14ac:dyDescent="0.2">
      <c r="C116" s="1"/>
      <c r="D116" s="1"/>
      <c r="F116" s="93"/>
      <c r="G116" s="37"/>
      <c r="H116" s="96"/>
      <c r="I116" s="96"/>
      <c r="J116" s="96"/>
      <c r="K116" s="96"/>
      <c r="L116" s="96"/>
      <c r="M116" s="96"/>
      <c r="N116" s="96"/>
      <c r="O116" s="96"/>
      <c r="P116" s="96"/>
      <c r="Q116" s="96"/>
      <c r="R116" s="96"/>
      <c r="S116" s="96"/>
      <c r="T116" s="96"/>
      <c r="U116" s="96"/>
      <c r="V116" s="96"/>
      <c r="W116" s="96"/>
      <c r="X116" s="96"/>
      <c r="Y116" s="96"/>
    </row>
    <row r="117" spans="3:25" ht="15" customHeight="1" x14ac:dyDescent="0.2">
      <c r="C117" s="1"/>
      <c r="D117" s="1"/>
      <c r="E117" s="18" t="s">
        <v>168</v>
      </c>
      <c r="F117" s="24" t="s">
        <v>7</v>
      </c>
      <c r="G117" s="37"/>
      <c r="H117" s="229"/>
      <c r="I117" s="229">
        <f>IFERROR((I115/H115-1),"NA")</f>
        <v>0.10218253968253954</v>
      </c>
      <c r="J117" s="229">
        <f t="shared" ref="J117:N117" si="127">IFERROR((J115/I115-1),"NA")</f>
        <v>4.8304830483048455E-2</v>
      </c>
      <c r="K117" s="229">
        <f t="shared" si="127"/>
        <v>4.6365197481396558E-2</v>
      </c>
      <c r="L117" s="229">
        <f t="shared" si="127"/>
        <v>2.7169948942377786E-2</v>
      </c>
      <c r="M117" s="229">
        <f t="shared" si="127"/>
        <v>8.7963784839339754E-2</v>
      </c>
      <c r="N117" s="229">
        <f t="shared" si="127"/>
        <v>0.13192461450599668</v>
      </c>
      <c r="O117" s="229">
        <f>IFERROR((O115/N115-1),"NA")</f>
        <v>-2.1983566383162789E-2</v>
      </c>
      <c r="P117" s="123">
        <f>AVERAGE(H117:O117)</f>
        <v>6.0275335650219426E-2</v>
      </c>
      <c r="Q117" s="123">
        <f t="shared" ref="Q117:Y117" si="128">AVERAGE(I117:P117)</f>
        <v>6.0275335650219426E-2</v>
      </c>
      <c r="R117" s="123">
        <f t="shared" si="128"/>
        <v>5.5036935146179411E-2</v>
      </c>
      <c r="S117" s="123">
        <f t="shared" si="128"/>
        <v>5.587844822907078E-2</v>
      </c>
      <c r="T117" s="123">
        <f t="shared" si="128"/>
        <v>5.7067604572530059E-2</v>
      </c>
      <c r="U117" s="123">
        <f t="shared" si="128"/>
        <v>6.0804811526299095E-2</v>
      </c>
      <c r="V117" s="123">
        <f t="shared" si="128"/>
        <v>5.740993986216901E-2</v>
      </c>
      <c r="W117" s="123">
        <f t="shared" si="128"/>
        <v>4.8095605531690552E-2</v>
      </c>
      <c r="X117" s="123">
        <f t="shared" si="128"/>
        <v>5.6855502021047222E-2</v>
      </c>
      <c r="Y117" s="123">
        <f t="shared" si="128"/>
        <v>5.6428022817400697E-2</v>
      </c>
    </row>
    <row r="118" spans="3:25" ht="15" customHeight="1" x14ac:dyDescent="0.2">
      <c r="C118" s="1"/>
      <c r="D118" s="1"/>
    </row>
    <row r="119" spans="3:25" ht="15" customHeight="1" x14ac:dyDescent="0.2">
      <c r="C119" s="1"/>
      <c r="D119" s="1"/>
    </row>
    <row r="120" spans="3:25" ht="15" customHeight="1" x14ac:dyDescent="0.2">
      <c r="C120" s="1"/>
      <c r="D120" s="2"/>
      <c r="E120" s="120" t="s">
        <v>169</v>
      </c>
      <c r="F120" s="24" t="s">
        <v>25</v>
      </c>
      <c r="G120" s="24"/>
      <c r="H120" s="124">
        <v>37.466999999999999</v>
      </c>
      <c r="I120" s="124">
        <v>47.1</v>
      </c>
      <c r="J120" s="124">
        <v>54.93</v>
      </c>
      <c r="K120" s="124">
        <v>57.85</v>
      </c>
      <c r="L120" s="124">
        <v>63.62</v>
      </c>
      <c r="M120" s="124">
        <v>28.6</v>
      </c>
      <c r="N120" s="124">
        <v>33.9</v>
      </c>
      <c r="O120" s="124">
        <v>35.200000000000003</v>
      </c>
      <c r="P120" s="125">
        <f t="shared" ref="P120:Y120" si="129">P115*P122</f>
        <v>51.49113861026494</v>
      </c>
      <c r="Q120" s="125">
        <f t="shared" si="129"/>
        <v>53.699366497752031</v>
      </c>
      <c r="R120" s="125">
        <f t="shared" si="129"/>
        <v>54.920311277750734</v>
      </c>
      <c r="S120" s="125">
        <f t="shared" si="129"/>
        <v>55.566478047127617</v>
      </c>
      <c r="T120" s="125">
        <f t="shared" si="129"/>
        <v>56.073803164957816</v>
      </c>
      <c r="U120" s="125">
        <f t="shared" si="129"/>
        <v>56.334261937358995</v>
      </c>
      <c r="V120" s="125">
        <f t="shared" si="129"/>
        <v>61.625360636195083</v>
      </c>
      <c r="W120" s="125">
        <f t="shared" si="129"/>
        <v>66.687741001617468</v>
      </c>
      <c r="X120" s="125">
        <f t="shared" si="129"/>
        <v>72.447263447239422</v>
      </c>
      <c r="Y120" s="125">
        <f t="shared" si="129"/>
        <v>75.655504277957078</v>
      </c>
    </row>
    <row r="121" spans="3:25" ht="15" customHeight="1" x14ac:dyDescent="0.2">
      <c r="C121" s="1"/>
      <c r="D121" s="2"/>
      <c r="E121" s="126" t="s">
        <v>170</v>
      </c>
      <c r="F121" s="24" t="s">
        <v>7</v>
      </c>
      <c r="G121" s="24"/>
      <c r="H121" s="127"/>
      <c r="I121" s="290">
        <v>0</v>
      </c>
      <c r="J121" s="290">
        <f t="shared" ref="J121" si="130">IFERROR((J120/I120-1),"NA")</f>
        <v>0.16624203821656036</v>
      </c>
      <c r="K121" s="290">
        <f t="shared" ref="K121" si="131">IFERROR((K120/J120-1),"NA")</f>
        <v>5.3158565446932426E-2</v>
      </c>
      <c r="L121" s="290">
        <f t="shared" ref="L121" si="132">IFERROR((L120/K120-1),"NA")</f>
        <v>9.9740708729472605E-2</v>
      </c>
      <c r="M121" s="290">
        <f t="shared" ref="M121" si="133">IFERROR((M120/L120-1),"NA")</f>
        <v>-0.55045583149952848</v>
      </c>
      <c r="N121" s="290">
        <f t="shared" ref="N121" si="134">IFERROR((N120/M120-1),"NA")</f>
        <v>0.1853146853146852</v>
      </c>
      <c r="O121" s="290">
        <f t="shared" ref="O121" si="135">IFERROR((O120/N120-1),"NA")</f>
        <v>3.8348082595870414E-2</v>
      </c>
      <c r="P121" s="290">
        <f t="shared" ref="P121" si="136">IFERROR((P120/O120-1),"NA")</f>
        <v>0.46281643779161752</v>
      </c>
      <c r="Q121" s="290">
        <f t="shared" ref="Q121" si="137">IFERROR((Q120/P120-1),"NA")</f>
        <v>4.2885590551825059E-2</v>
      </c>
      <c r="R121" s="290">
        <f t="shared" ref="R121" si="138">IFERROR((R120/Q120-1),"NA")</f>
        <v>2.2736670088087774E-2</v>
      </c>
      <c r="S121" s="290">
        <f t="shared" ref="S121" si="139">IFERROR((S120/R120-1),"NA")</f>
        <v>1.1765533631246106E-2</v>
      </c>
      <c r="T121" s="290">
        <f t="shared" ref="T121" si="140">IFERROR((T120/S120-1),"NA")</f>
        <v>9.1300571074510728E-3</v>
      </c>
      <c r="U121" s="290">
        <f t="shared" ref="U121" si="141">IFERROR((U120/T120-1),"NA")</f>
        <v>4.6449278932438887E-3</v>
      </c>
      <c r="V121" s="290">
        <f t="shared" ref="V121" si="142">IFERROR((V120/U120-1),"NA")</f>
        <v>9.3923280733127168E-2</v>
      </c>
      <c r="W121" s="290">
        <f t="shared" ref="W121" si="143">IFERROR((W120/V120-1),"NA")</f>
        <v>8.214767935084577E-2</v>
      </c>
      <c r="X121" s="290">
        <f t="shared" ref="X121" si="144">IFERROR((X120/W120-1),"NA")</f>
        <v>8.6365535241061275E-2</v>
      </c>
      <c r="Y121" s="290">
        <f t="shared" ref="Y121" si="145">IFERROR((Y120/X120-1),"NA")</f>
        <v>4.4283809740503166E-2</v>
      </c>
    </row>
    <row r="122" spans="3:25" ht="15" customHeight="1" x14ac:dyDescent="0.2">
      <c r="C122" s="1"/>
      <c r="D122" s="2"/>
      <c r="E122" s="126" t="s">
        <v>171</v>
      </c>
      <c r="F122" s="24" t="s">
        <v>7</v>
      </c>
      <c r="G122" s="24"/>
      <c r="H122" s="106">
        <f>IFERROR(H120/H115,"NA")</f>
        <v>4.1299603174603169E-2</v>
      </c>
      <c r="I122" s="106">
        <f t="shared" ref="I122:O122" si="146">IFERROR(I120/I115,"NA")</f>
        <v>4.7104710471047105E-2</v>
      </c>
      <c r="J122" s="106">
        <f t="shared" si="146"/>
        <v>5.2404121350887234E-2</v>
      </c>
      <c r="K122" s="106">
        <f t="shared" si="146"/>
        <v>5.2744347191830784E-2</v>
      </c>
      <c r="L122" s="106">
        <f t="shared" si="146"/>
        <v>5.6470797088585128E-2</v>
      </c>
      <c r="M122" s="106">
        <f t="shared" si="146"/>
        <v>2.3333605286774903E-2</v>
      </c>
      <c r="N122" s="106">
        <f t="shared" si="146"/>
        <v>2.4434193455384168E-2</v>
      </c>
      <c r="O122" s="106">
        <f t="shared" si="146"/>
        <v>2.5941484265605424E-2</v>
      </c>
      <c r="P122" s="291">
        <f>HARMEAN(H122:O122)</f>
        <v>3.5790354003819809E-2</v>
      </c>
      <c r="Q122" s="291">
        <f t="shared" ref="Q122:Y122" si="147">HARMEAN(I122:P122)</f>
        <v>3.5203350692339354E-2</v>
      </c>
      <c r="R122" s="291">
        <f t="shared" si="147"/>
        <v>3.4125589790880519E-2</v>
      </c>
      <c r="S122" s="291">
        <f t="shared" si="147"/>
        <v>3.2699877171619894E-2</v>
      </c>
      <c r="T122" s="291">
        <f t="shared" si="147"/>
        <v>3.1216952231685999E-2</v>
      </c>
      <c r="U122" s="291">
        <f t="shared" si="147"/>
        <v>2.9564300975148342E-2</v>
      </c>
      <c r="V122" s="291">
        <f t="shared" si="147"/>
        <v>3.0585183566111975E-2</v>
      </c>
      <c r="W122" s="291">
        <f t="shared" si="147"/>
        <v>3.1578880060085267E-2</v>
      </c>
      <c r="X122" s="291">
        <f t="shared" si="147"/>
        <v>3.2460640904251631E-2</v>
      </c>
      <c r="Y122" s="291">
        <f t="shared" si="147"/>
        <v>3.2087488232001825E-2</v>
      </c>
    </row>
    <row r="123" spans="3:25" ht="15" customHeight="1" x14ac:dyDescent="0.2">
      <c r="C123" s="249"/>
      <c r="D123" s="249"/>
      <c r="E123" s="249"/>
      <c r="F123" s="249"/>
      <c r="G123" s="249"/>
      <c r="H123" s="249"/>
      <c r="I123" s="249"/>
      <c r="J123" s="249"/>
      <c r="K123" s="249"/>
      <c r="L123" s="249"/>
      <c r="M123" s="249"/>
      <c r="N123" s="249"/>
      <c r="O123" s="249"/>
      <c r="P123" s="249"/>
      <c r="Q123" s="249"/>
      <c r="R123" s="249"/>
      <c r="S123" s="249"/>
      <c r="T123" s="249"/>
      <c r="U123" s="249"/>
      <c r="V123" s="249"/>
      <c r="W123" s="249"/>
      <c r="X123" s="249"/>
      <c r="Y123" s="249"/>
    </row>
    <row r="125" spans="3:25" ht="15" customHeight="1" x14ac:dyDescent="0.2">
      <c r="C125" s="114" t="s">
        <v>273</v>
      </c>
      <c r="D125" s="115"/>
      <c r="E125" s="115"/>
      <c r="F125" s="116"/>
      <c r="G125" s="116"/>
      <c r="H125" s="115"/>
      <c r="I125" s="115"/>
      <c r="J125" s="115"/>
      <c r="K125" s="117"/>
      <c r="L125" s="117"/>
      <c r="M125" s="117"/>
      <c r="N125" s="118"/>
      <c r="O125" s="117"/>
      <c r="P125" s="117"/>
      <c r="Q125" s="117"/>
      <c r="R125" s="117"/>
      <c r="S125" s="117"/>
      <c r="T125" s="117"/>
      <c r="U125" s="117"/>
      <c r="V125" s="117"/>
      <c r="W125" s="117"/>
      <c r="X125" s="117"/>
      <c r="Y125" s="117"/>
    </row>
    <row r="126" spans="3:25" ht="15" customHeight="1" x14ac:dyDescent="0.2">
      <c r="C126" s="1"/>
      <c r="D126" s="2"/>
      <c r="E126" s="2"/>
      <c r="F126" s="24"/>
      <c r="G126" s="24"/>
      <c r="H126" s="119"/>
      <c r="I126" s="119"/>
      <c r="J126" s="119"/>
      <c r="K126" s="119"/>
      <c r="L126" s="119"/>
      <c r="M126" s="119"/>
      <c r="N126" s="119"/>
      <c r="O126" s="61"/>
      <c r="P126" s="61"/>
      <c r="Q126" s="61"/>
      <c r="R126" s="61"/>
      <c r="S126" s="61"/>
      <c r="T126" s="61"/>
      <c r="U126" s="61"/>
      <c r="V126" s="61"/>
      <c r="W126" s="61"/>
      <c r="X126" s="61"/>
      <c r="Y126" s="61"/>
    </row>
    <row r="127" spans="3:25" ht="15" customHeight="1" x14ac:dyDescent="0.2">
      <c r="C127" s="1"/>
      <c r="D127" s="2"/>
      <c r="E127" s="120" t="s">
        <v>278</v>
      </c>
      <c r="F127" s="24" t="s">
        <v>25</v>
      </c>
      <c r="G127" s="24"/>
      <c r="H127" s="121">
        <v>552.46</v>
      </c>
      <c r="I127" s="121">
        <v>675.44</v>
      </c>
      <c r="J127" s="121">
        <v>654.92999999999995</v>
      </c>
      <c r="K127" s="121">
        <v>650.75</v>
      </c>
      <c r="L127" s="121">
        <v>604.94000000000005</v>
      </c>
      <c r="M127" s="121">
        <v>586.32000000000005</v>
      </c>
      <c r="N127" s="121">
        <v>687.23</v>
      </c>
      <c r="O127" s="121">
        <v>712.6</v>
      </c>
      <c r="P127" s="344">
        <v>720.34</v>
      </c>
      <c r="Q127" s="122">
        <f t="shared" ref="Q127:Y127" si="148">P127*(1+Q129)</f>
        <v>750.56389061043797</v>
      </c>
      <c r="R127" s="122">
        <f t="shared" si="148"/>
        <v>779.1384509192776</v>
      </c>
      <c r="S127" s="122">
        <f t="shared" si="148"/>
        <v>791.20728424378979</v>
      </c>
      <c r="T127" s="122">
        <f t="shared" si="148"/>
        <v>810.23146413165955</v>
      </c>
      <c r="U127" s="122">
        <f t="shared" si="148"/>
        <v>831.92827749131447</v>
      </c>
      <c r="V127" s="122">
        <f t="shared" si="148"/>
        <v>864.0270331230289</v>
      </c>
      <c r="W127" s="122">
        <f t="shared" si="148"/>
        <v>903.58078007011466</v>
      </c>
      <c r="X127" s="122">
        <f t="shared" si="148"/>
        <v>929.86403825099092</v>
      </c>
      <c r="Y127" s="122">
        <f t="shared" si="148"/>
        <v>957.94188378409547</v>
      </c>
    </row>
    <row r="128" spans="3:25" ht="15" customHeight="1" x14ac:dyDescent="0.2">
      <c r="C128" s="1"/>
      <c r="D128" s="1"/>
      <c r="F128" s="93"/>
      <c r="G128" s="37"/>
      <c r="H128" s="96"/>
      <c r="I128" s="96"/>
      <c r="J128" s="96"/>
      <c r="K128" s="96"/>
      <c r="L128" s="96"/>
      <c r="M128" s="96"/>
      <c r="N128" s="96"/>
      <c r="O128" s="96"/>
      <c r="P128" s="96"/>
      <c r="Q128" s="96"/>
      <c r="R128" s="96"/>
      <c r="S128" s="96"/>
      <c r="T128" s="96"/>
      <c r="U128" s="96"/>
      <c r="V128" s="96"/>
      <c r="W128" s="96"/>
      <c r="X128" s="96"/>
      <c r="Y128" s="96"/>
    </row>
    <row r="129" spans="3:25" ht="15" customHeight="1" x14ac:dyDescent="0.2">
      <c r="C129" s="1"/>
      <c r="D129" s="1"/>
      <c r="E129" s="18" t="s">
        <v>168</v>
      </c>
      <c r="F129" s="24" t="s">
        <v>7</v>
      </c>
      <c r="G129" s="37"/>
      <c r="H129" s="229"/>
      <c r="I129" s="229">
        <f>IFERROR((I127/H127-1),"NA")</f>
        <v>0.22260435144625856</v>
      </c>
      <c r="J129" s="229">
        <f t="shared" ref="J129:N129" si="149">IFERROR((J127/I127-1),"NA")</f>
        <v>-3.0365391448537449E-2</v>
      </c>
      <c r="K129" s="229">
        <f t="shared" si="149"/>
        <v>-6.3823614737451573E-3</v>
      </c>
      <c r="L129" s="229">
        <f t="shared" si="149"/>
        <v>-7.0395697272377933E-2</v>
      </c>
      <c r="M129" s="229">
        <f t="shared" si="149"/>
        <v>-3.0779912057394165E-2</v>
      </c>
      <c r="N129" s="229">
        <f t="shared" si="149"/>
        <v>0.17210738163460215</v>
      </c>
      <c r="O129" s="229">
        <f>IFERROR((O127/N127-1),"NA")</f>
        <v>3.6916316226008661E-2</v>
      </c>
      <c r="P129" s="229">
        <f>IFERROR((P127/O127-1),"NA")</f>
        <v>1.0861633454953612E-2</v>
      </c>
      <c r="Q129" s="123">
        <f>AVERAGE(H129:O129)</f>
        <v>4.1957812436402099E-2</v>
      </c>
      <c r="R129" s="123">
        <f t="shared" ref="R129:Y129" si="150">AVERAGE(I129:P129)</f>
        <v>3.8070790063721036E-2</v>
      </c>
      <c r="S129" s="123">
        <f t="shared" si="150"/>
        <v>1.5489972687488977E-2</v>
      </c>
      <c r="T129" s="123">
        <f t="shared" si="150"/>
        <v>2.4044495376521285E-2</v>
      </c>
      <c r="U129" s="123">
        <f t="shared" si="150"/>
        <v>2.6778537146675552E-2</v>
      </c>
      <c r="V129" s="123">
        <f t="shared" si="150"/>
        <v>3.8583561227787957E-2</v>
      </c>
      <c r="W129" s="123">
        <f t="shared" si="150"/>
        <v>4.5778367378296672E-2</v>
      </c>
      <c r="X129" s="123">
        <f t="shared" si="150"/>
        <v>2.9087889827444896E-2</v>
      </c>
      <c r="Y129" s="123">
        <f t="shared" si="150"/>
        <v>3.0195646221480896E-2</v>
      </c>
    </row>
    <row r="130" spans="3:25" ht="15" customHeight="1" x14ac:dyDescent="0.2">
      <c r="C130" s="1"/>
      <c r="D130" s="1"/>
    </row>
    <row r="131" spans="3:25" ht="15" customHeight="1" x14ac:dyDescent="0.2">
      <c r="C131" s="1"/>
      <c r="D131" s="1"/>
    </row>
    <row r="132" spans="3:25" ht="15" customHeight="1" x14ac:dyDescent="0.2">
      <c r="C132" s="1"/>
      <c r="D132" s="2"/>
      <c r="E132" s="120" t="s">
        <v>169</v>
      </c>
      <c r="F132" s="24" t="s">
        <v>25</v>
      </c>
      <c r="G132" s="24"/>
      <c r="H132" s="124">
        <v>28.416</v>
      </c>
      <c r="I132" s="124">
        <v>29.631</v>
      </c>
      <c r="J132" s="124">
        <v>16.100000000000001</v>
      </c>
      <c r="K132" s="124">
        <v>16.216999999999999</v>
      </c>
      <c r="L132" s="124">
        <v>31.053999999999998</v>
      </c>
      <c r="M132" s="124">
        <v>32.200000000000003</v>
      </c>
      <c r="N132" s="124">
        <v>30.238</v>
      </c>
      <c r="O132" s="124">
        <v>34.234999999999999</v>
      </c>
      <c r="P132" s="343">
        <v>113.74</v>
      </c>
      <c r="Q132" s="125">
        <f t="shared" ref="Q132:Y132" si="151">Q127*Q134</f>
        <v>28.543002752207052</v>
      </c>
      <c r="R132" s="125">
        <f t="shared" si="151"/>
        <v>29.144643122498248</v>
      </c>
      <c r="S132" s="125">
        <f t="shared" si="151"/>
        <v>31.66053459449531</v>
      </c>
      <c r="T132" s="125">
        <f t="shared" si="151"/>
        <v>35.077736323043098</v>
      </c>
      <c r="U132" s="125">
        <f t="shared" si="151"/>
        <v>35.325430944570449</v>
      </c>
      <c r="V132" s="125">
        <f t="shared" si="151"/>
        <v>35.676881561481991</v>
      </c>
      <c r="W132" s="125">
        <f t="shared" si="151"/>
        <v>37.025222786521987</v>
      </c>
      <c r="X132" s="125">
        <f t="shared" si="151"/>
        <v>37.414326553997391</v>
      </c>
      <c r="Y132" s="125">
        <f t="shared" si="151"/>
        <v>38.676584036783041</v>
      </c>
    </row>
    <row r="133" spans="3:25" ht="15" customHeight="1" x14ac:dyDescent="0.2">
      <c r="C133" s="1"/>
      <c r="D133" s="2"/>
      <c r="E133" s="126" t="s">
        <v>170</v>
      </c>
      <c r="F133" s="24" t="s">
        <v>7</v>
      </c>
      <c r="G133" s="24"/>
      <c r="H133" s="127"/>
      <c r="I133" s="290">
        <f>IFERROR((I132/H132-1),"NA")</f>
        <v>4.2757601351351315E-2</v>
      </c>
      <c r="J133" s="290">
        <f t="shared" ref="J133" si="152">IFERROR((J132/I132-1),"NA")</f>
        <v>-0.45665012993149068</v>
      </c>
      <c r="K133" s="290">
        <f t="shared" ref="K133" si="153">IFERROR((K132/J132-1),"NA")</f>
        <v>7.2670807453414366E-3</v>
      </c>
      <c r="L133" s="290">
        <f t="shared" ref="L133" si="154">IFERROR((L132/K132-1),"NA")</f>
        <v>0.91490411296787322</v>
      </c>
      <c r="M133" s="290">
        <f t="shared" ref="M133" si="155">IFERROR((M132/L132-1),"NA")</f>
        <v>3.690345849165988E-2</v>
      </c>
      <c r="N133" s="290">
        <f t="shared" ref="N133" si="156">IFERROR((N132/M132-1),"NA")</f>
        <v>-6.0931677018633668E-2</v>
      </c>
      <c r="O133" s="290">
        <f t="shared" ref="O133" si="157">IFERROR((O132/N132-1),"NA")</f>
        <v>0.13218466829816777</v>
      </c>
      <c r="P133" s="290">
        <f t="shared" ref="P133" si="158">IFERROR((P132/O132-1),"NA")</f>
        <v>2.3223309478603769</v>
      </c>
      <c r="Q133" s="290">
        <f t="shared" ref="Q133" si="159">IFERROR((Q132/P132-1),"NA")</f>
        <v>-0.74905044177767666</v>
      </c>
      <c r="R133" s="290">
        <f t="shared" ref="R133" si="160">IFERROR((R132/Q132-1),"NA")</f>
        <v>2.1078383921771415E-2</v>
      </c>
      <c r="S133" s="290">
        <f t="shared" ref="S133" si="161">IFERROR((S132/R132-1),"NA")</f>
        <v>8.6324319066885868E-2</v>
      </c>
      <c r="T133" s="290">
        <f t="shared" ref="T133" si="162">IFERROR((T132/S132-1),"NA")</f>
        <v>0.10793253406219883</v>
      </c>
      <c r="U133" s="290">
        <f t="shared" ref="U133" si="163">IFERROR((U132/T132-1),"NA")</f>
        <v>7.0613057594779427E-3</v>
      </c>
      <c r="V133" s="290">
        <f t="shared" ref="V133" si="164">IFERROR((V132/U132-1),"NA")</f>
        <v>9.948940678544238E-3</v>
      </c>
      <c r="W133" s="290">
        <f t="shared" ref="W133" si="165">IFERROR((W132/V132-1),"NA")</f>
        <v>3.779313566732001E-2</v>
      </c>
      <c r="X133" s="290">
        <f t="shared" ref="X133" si="166">IFERROR((X132/W132-1),"NA")</f>
        <v>1.0509153981837605E-2</v>
      </c>
      <c r="Y133" s="290">
        <f t="shared" ref="Y133" si="167">IFERROR((Y132/X132-1),"NA")</f>
        <v>3.3737276574093311E-2</v>
      </c>
    </row>
    <row r="134" spans="3:25" ht="15" customHeight="1" x14ac:dyDescent="0.2">
      <c r="C134" s="1"/>
      <c r="D134" s="2"/>
      <c r="E134" s="126" t="s">
        <v>171</v>
      </c>
      <c r="F134" s="24" t="s">
        <v>7</v>
      </c>
      <c r="G134" s="24"/>
      <c r="H134" s="106">
        <f>IFERROR(H132/H127,"NA")</f>
        <v>5.1435398037866994E-2</v>
      </c>
      <c r="I134" s="106">
        <f t="shared" ref="I134:O134" si="168">IFERROR(I132/I127,"NA")</f>
        <v>4.3869181570531796E-2</v>
      </c>
      <c r="J134" s="106">
        <f t="shared" si="168"/>
        <v>2.4582779839066773E-2</v>
      </c>
      <c r="K134" s="106">
        <f t="shared" si="168"/>
        <v>2.4920476373415289E-2</v>
      </c>
      <c r="L134" s="106">
        <f t="shared" si="168"/>
        <v>5.1334016596687265E-2</v>
      </c>
      <c r="M134" s="106">
        <f t="shared" si="168"/>
        <v>5.4918815663801336E-2</v>
      </c>
      <c r="N134" s="106">
        <f t="shared" si="168"/>
        <v>4.3999825385969762E-2</v>
      </c>
      <c r="O134" s="106">
        <f t="shared" si="168"/>
        <v>4.8042380016839741E-2</v>
      </c>
      <c r="P134" s="291">
        <f>HARMEAN(H134:O134)</f>
        <v>3.9162948851336629E-2</v>
      </c>
      <c r="Q134" s="291">
        <f t="shared" ref="Q134:Y134" si="169">HARMEAN(I134:P134)</f>
        <v>3.8028744933349859E-2</v>
      </c>
      <c r="R134" s="291">
        <f t="shared" si="169"/>
        <v>3.7406244150974099E-2</v>
      </c>
      <c r="S134" s="291">
        <f t="shared" si="169"/>
        <v>4.0015474105190296E-2</v>
      </c>
      <c r="T134" s="291">
        <f t="shared" si="169"/>
        <v>4.3293475847221721E-2</v>
      </c>
      <c r="U134" s="291">
        <f t="shared" si="169"/>
        <v>4.2462111098200112E-2</v>
      </c>
      <c r="V134" s="291">
        <f t="shared" si="169"/>
        <v>4.1291395053379025E-2</v>
      </c>
      <c r="W134" s="291">
        <f t="shared" si="169"/>
        <v>4.0976107065545331E-2</v>
      </c>
      <c r="X134" s="291">
        <f t="shared" si="169"/>
        <v>4.0236341029352113E-2</v>
      </c>
      <c r="Y134" s="291">
        <f t="shared" si="169"/>
        <v>4.0374666450538159E-2</v>
      </c>
    </row>
    <row r="135" spans="3:25" ht="15" customHeight="1" x14ac:dyDescent="0.2">
      <c r="C135" s="249"/>
      <c r="D135" s="249"/>
      <c r="E135" s="249"/>
      <c r="F135" s="249"/>
      <c r="G135" s="249"/>
      <c r="H135" s="249"/>
      <c r="I135" s="249"/>
      <c r="J135" s="249"/>
      <c r="K135" s="249"/>
      <c r="L135" s="249"/>
      <c r="M135" s="249"/>
      <c r="N135" s="249"/>
      <c r="O135" s="249"/>
      <c r="P135" s="249"/>
      <c r="Q135" s="249"/>
      <c r="R135" s="249"/>
      <c r="S135" s="249"/>
      <c r="T135" s="249"/>
      <c r="U135" s="249"/>
      <c r="V135" s="249"/>
      <c r="W135" s="249"/>
      <c r="X135" s="249"/>
      <c r="Y135" s="249"/>
    </row>
    <row r="137" spans="3:25" ht="15" customHeight="1" x14ac:dyDescent="0.2">
      <c r="C137" s="114" t="s">
        <v>279</v>
      </c>
      <c r="D137" s="115"/>
      <c r="E137" s="115"/>
      <c r="F137" s="116"/>
      <c r="G137" s="116"/>
      <c r="H137" s="115"/>
      <c r="I137" s="115"/>
      <c r="J137" s="115"/>
      <c r="K137" s="117"/>
      <c r="L137" s="117"/>
      <c r="M137" s="117"/>
      <c r="N137" s="118"/>
      <c r="O137" s="117"/>
      <c r="P137" s="117"/>
      <c r="Q137" s="117"/>
      <c r="R137" s="117"/>
      <c r="S137" s="117"/>
      <c r="T137" s="117"/>
      <c r="U137" s="117"/>
      <c r="V137" s="117"/>
      <c r="W137" s="117"/>
      <c r="X137" s="117"/>
      <c r="Y137" s="117"/>
    </row>
    <row r="138" spans="3:25" ht="15" customHeight="1" x14ac:dyDescent="0.2">
      <c r="C138" s="1"/>
      <c r="D138" s="2"/>
      <c r="E138" s="2"/>
      <c r="F138" s="24"/>
      <c r="G138" s="24"/>
      <c r="H138" s="119"/>
      <c r="I138" s="119"/>
      <c r="J138" s="119"/>
      <c r="K138" s="119"/>
      <c r="L138" s="119"/>
      <c r="M138" s="119"/>
      <c r="N138" s="119"/>
      <c r="O138" s="61"/>
      <c r="P138" s="61"/>
      <c r="Q138" s="61"/>
      <c r="R138" s="61"/>
      <c r="S138" s="61"/>
      <c r="T138" s="61"/>
      <c r="U138" s="61"/>
      <c r="V138" s="61"/>
      <c r="W138" s="61"/>
      <c r="X138" s="61"/>
      <c r="Y138" s="61"/>
    </row>
    <row r="139" spans="3:25" ht="15" customHeight="1" x14ac:dyDescent="0.2">
      <c r="C139" s="1"/>
      <c r="D139" s="2"/>
      <c r="E139" s="120" t="s">
        <v>280</v>
      </c>
      <c r="F139" s="24" t="s">
        <v>25</v>
      </c>
      <c r="G139" s="24"/>
      <c r="H139" s="121">
        <v>54.2</v>
      </c>
      <c r="I139" s="121">
        <v>60.8</v>
      </c>
      <c r="J139" s="121">
        <v>33.1</v>
      </c>
      <c r="K139" s="121">
        <v>71.971999999999994</v>
      </c>
      <c r="L139" s="121">
        <v>72</v>
      </c>
      <c r="M139" s="121">
        <v>87.025999999999996</v>
      </c>
      <c r="N139" s="121">
        <v>95.1</v>
      </c>
      <c r="O139" s="121">
        <v>95.9</v>
      </c>
      <c r="P139" s="122">
        <f ca="1">O139*(1+P141)</f>
        <v>96.706729758149336</v>
      </c>
      <c r="Q139" s="122">
        <f t="shared" ref="Q139:Y139" ca="1" si="170">P139*(1+Q141)</f>
        <v>96.706729758149336</v>
      </c>
      <c r="R139" s="122">
        <f t="shared" ca="1" si="170"/>
        <v>96.706729758149336</v>
      </c>
      <c r="S139" s="122">
        <f t="shared" ca="1" si="170"/>
        <v>96.706729758149336</v>
      </c>
      <c r="T139" s="122">
        <f t="shared" ca="1" si="170"/>
        <v>96.706729758149336</v>
      </c>
      <c r="U139" s="122">
        <f t="shared" ca="1" si="170"/>
        <v>96.706729758149336</v>
      </c>
      <c r="V139" s="122">
        <f t="shared" ca="1" si="170"/>
        <v>96.706729758149336</v>
      </c>
      <c r="W139" s="122">
        <f t="shared" ca="1" si="170"/>
        <v>96.706729758149336</v>
      </c>
      <c r="X139" s="122">
        <f t="shared" ca="1" si="170"/>
        <v>96.706729758149336</v>
      </c>
      <c r="Y139" s="122">
        <f t="shared" ca="1" si="170"/>
        <v>96.706729758149336</v>
      </c>
    </row>
    <row r="140" spans="3:25" ht="15" customHeight="1" x14ac:dyDescent="0.2">
      <c r="C140" s="1"/>
      <c r="D140" s="1"/>
      <c r="F140" s="93"/>
      <c r="G140" s="37"/>
      <c r="H140" s="96"/>
      <c r="I140" s="96"/>
      <c r="J140" s="96"/>
      <c r="K140" s="96"/>
      <c r="L140" s="96"/>
      <c r="M140" s="96"/>
      <c r="N140" s="96"/>
      <c r="O140" s="96"/>
      <c r="P140" s="96"/>
      <c r="Q140" s="96"/>
      <c r="R140" s="96"/>
      <c r="S140" s="96"/>
      <c r="T140" s="96"/>
      <c r="U140" s="96"/>
      <c r="V140" s="96"/>
      <c r="W140" s="96"/>
      <c r="X140" s="96"/>
      <c r="Y140" s="96"/>
    </row>
    <row r="141" spans="3:25" ht="15" customHeight="1" x14ac:dyDescent="0.2">
      <c r="C141" s="1"/>
      <c r="D141" s="1"/>
      <c r="E141" s="18" t="s">
        <v>168</v>
      </c>
      <c r="F141" s="24" t="s">
        <v>7</v>
      </c>
      <c r="G141" s="37"/>
      <c r="H141" s="229"/>
      <c r="I141" s="229">
        <f>IFERROR((I139/H139-1),"NA")</f>
        <v>0.12177121771217703</v>
      </c>
      <c r="J141" s="229">
        <f t="shared" ref="J141:N141" si="171">IFERROR((J139/I139-1),"NA")</f>
        <v>-0.45559210526315785</v>
      </c>
      <c r="K141" s="229">
        <f t="shared" si="171"/>
        <v>1.1743806646525679</v>
      </c>
      <c r="L141" s="229">
        <f t="shared" si="171"/>
        <v>3.8904018229324322E-4</v>
      </c>
      <c r="M141" s="229">
        <f t="shared" si="171"/>
        <v>0.20869444444444429</v>
      </c>
      <c r="N141" s="229">
        <f t="shared" si="171"/>
        <v>9.277687127984735E-2</v>
      </c>
      <c r="O141" s="229">
        <f>IFERROR((O139/N139-1),"NA")</f>
        <v>8.4121976866458059E-3</v>
      </c>
      <c r="P141" s="229">
        <f ca="1">IFERROR((P139/O139-1),"NA")</f>
        <v>8.4121976866458059E-3</v>
      </c>
      <c r="Q141" s="123">
        <v>0</v>
      </c>
      <c r="R141" s="123">
        <v>0</v>
      </c>
      <c r="S141" s="123">
        <v>0</v>
      </c>
      <c r="T141" s="123">
        <v>0</v>
      </c>
      <c r="U141" s="123">
        <v>0</v>
      </c>
      <c r="V141" s="123">
        <v>0</v>
      </c>
      <c r="W141" s="123">
        <v>0</v>
      </c>
      <c r="X141" s="123">
        <v>0</v>
      </c>
      <c r="Y141" s="123">
        <v>0</v>
      </c>
    </row>
    <row r="142" spans="3:25" ht="15" customHeight="1" x14ac:dyDescent="0.2">
      <c r="C142" s="1"/>
      <c r="D142" s="1"/>
    </row>
    <row r="143" spans="3:25" ht="15" customHeight="1" x14ac:dyDescent="0.2">
      <c r="C143" s="1"/>
      <c r="D143" s="1"/>
    </row>
    <row r="144" spans="3:25" ht="15" customHeight="1" x14ac:dyDescent="0.2">
      <c r="C144" s="1"/>
      <c r="D144" s="2"/>
      <c r="E144" s="120" t="s">
        <v>169</v>
      </c>
      <c r="F144" s="24" t="s">
        <v>25</v>
      </c>
      <c r="G144" s="24"/>
      <c r="H144" s="121">
        <v>9.5</v>
      </c>
      <c r="I144" s="121">
        <v>10.1</v>
      </c>
      <c r="J144" s="121">
        <v>9.5</v>
      </c>
      <c r="K144" s="121">
        <v>-0.5</v>
      </c>
      <c r="L144" s="121">
        <v>2.14</v>
      </c>
      <c r="M144" s="121">
        <v>18</v>
      </c>
      <c r="N144" s="121" t="s">
        <v>274</v>
      </c>
      <c r="O144" s="121" t="s">
        <v>274</v>
      </c>
      <c r="P144" s="125">
        <f t="shared" ref="P144:Y144" ca="1" si="172">P139*P146</f>
        <v>0</v>
      </c>
      <c r="Q144" s="125">
        <f t="shared" ca="1" si="172"/>
        <v>0</v>
      </c>
      <c r="R144" s="125">
        <f t="shared" ca="1" si="172"/>
        <v>0</v>
      </c>
      <c r="S144" s="125">
        <f t="shared" ca="1" si="172"/>
        <v>0</v>
      </c>
      <c r="T144" s="125">
        <f t="shared" ca="1" si="172"/>
        <v>0</v>
      </c>
      <c r="U144" s="125">
        <f t="shared" ca="1" si="172"/>
        <v>0</v>
      </c>
      <c r="V144" s="125">
        <f t="shared" ca="1" si="172"/>
        <v>0</v>
      </c>
      <c r="W144" s="125">
        <f t="shared" ca="1" si="172"/>
        <v>0</v>
      </c>
      <c r="X144" s="125">
        <f t="shared" ca="1" si="172"/>
        <v>0</v>
      </c>
      <c r="Y144" s="125">
        <f t="shared" ca="1" si="172"/>
        <v>0</v>
      </c>
    </row>
    <row r="145" spans="3:25" ht="15" customHeight="1" x14ac:dyDescent="0.2">
      <c r="C145" s="1"/>
      <c r="D145" s="2"/>
      <c r="E145" s="126" t="s">
        <v>170</v>
      </c>
      <c r="F145" s="24" t="s">
        <v>7</v>
      </c>
      <c r="G145" s="24"/>
      <c r="H145" s="127"/>
      <c r="I145" s="290">
        <f>IFERROR((I144/H144-1),"NA")</f>
        <v>6.315789473684208E-2</v>
      </c>
      <c r="J145" s="290">
        <f t="shared" ref="J145" si="173">IFERROR((J144/I144-1),"NA")</f>
        <v>-5.9405940594059348E-2</v>
      </c>
      <c r="K145" s="290">
        <f t="shared" ref="K145" si="174">IFERROR((K144/J144-1),"NA")</f>
        <v>-1.0526315789473684</v>
      </c>
      <c r="L145" s="290">
        <f t="shared" ref="L145" si="175">IFERROR((L144/K144-1),"NA")</f>
        <v>-5.28</v>
      </c>
      <c r="M145" s="290">
        <f t="shared" ref="M145" si="176">IFERROR((M144/L144-1),"NA")</f>
        <v>7.4112149532710276</v>
      </c>
      <c r="N145" s="290" t="str">
        <f t="shared" ref="N145" si="177">IFERROR((N144/M144-1),"NA")</f>
        <v>NA</v>
      </c>
      <c r="O145" s="290" t="str">
        <f t="shared" ref="O145" si="178">IFERROR((O144/N144-1),"NA")</f>
        <v>NA</v>
      </c>
      <c r="P145" s="290" t="str">
        <f t="shared" ref="P145" ca="1" si="179">IFERROR((P144/O144-1),"NA")</f>
        <v>NA</v>
      </c>
      <c r="Q145" s="290" t="str">
        <f t="shared" ref="Q145" ca="1" si="180">IFERROR((Q144/P144-1),"NA")</f>
        <v>NA</v>
      </c>
      <c r="R145" s="290" t="str">
        <f t="shared" ref="R145" ca="1" si="181">IFERROR((R144/Q144-1),"NA")</f>
        <v>NA</v>
      </c>
      <c r="S145" s="290" t="str">
        <f t="shared" ref="S145" ca="1" si="182">IFERROR((S144/R144-1),"NA")</f>
        <v>NA</v>
      </c>
      <c r="T145" s="290" t="str">
        <f t="shared" ref="T145" ca="1" si="183">IFERROR((T144/S144-1),"NA")</f>
        <v>NA</v>
      </c>
      <c r="U145" s="290" t="str">
        <f t="shared" ref="U145" ca="1" si="184">IFERROR((U144/T144-1),"NA")</f>
        <v>NA</v>
      </c>
      <c r="V145" s="290" t="str">
        <f t="shared" ref="V145" ca="1" si="185">IFERROR((V144/U144-1),"NA")</f>
        <v>NA</v>
      </c>
      <c r="W145" s="290" t="str">
        <f t="shared" ref="W145" ca="1" si="186">IFERROR((W144/V144-1),"NA")</f>
        <v>NA</v>
      </c>
      <c r="X145" s="290" t="str">
        <f t="shared" ref="X145" ca="1" si="187">IFERROR((X144/W144-1),"NA")</f>
        <v>NA</v>
      </c>
      <c r="Y145" s="290" t="str">
        <f t="shared" ref="Y145" ca="1" si="188">IFERROR((Y144/X144-1),"NA")</f>
        <v>NA</v>
      </c>
    </row>
    <row r="146" spans="3:25" ht="15" customHeight="1" x14ac:dyDescent="0.2">
      <c r="C146" s="1"/>
      <c r="D146" s="2"/>
      <c r="E146" s="126" t="s">
        <v>171</v>
      </c>
      <c r="F146" s="24" t="s">
        <v>7</v>
      </c>
      <c r="G146" s="24"/>
      <c r="H146" s="106">
        <f>IFERROR(H144/H139,"NA")</f>
        <v>0.17527675276752766</v>
      </c>
      <c r="I146" s="106">
        <f t="shared" ref="I146:O146" si="189">IFERROR(I144/I139,"NA")</f>
        <v>0.16611842105263158</v>
      </c>
      <c r="J146" s="106">
        <f t="shared" si="189"/>
        <v>0.28700906344410876</v>
      </c>
      <c r="K146" s="106">
        <f t="shared" si="189"/>
        <v>-6.947146112377036E-3</v>
      </c>
      <c r="L146" s="106">
        <f t="shared" si="189"/>
        <v>2.9722222222222223E-2</v>
      </c>
      <c r="M146" s="106">
        <f t="shared" si="189"/>
        <v>0.20683473904350425</v>
      </c>
      <c r="N146" s="106" t="str">
        <f t="shared" si="189"/>
        <v>NA</v>
      </c>
      <c r="O146" s="106" t="str">
        <f t="shared" si="189"/>
        <v>NA</v>
      </c>
      <c r="P146" s="291">
        <v>0</v>
      </c>
      <c r="Q146" s="292">
        <v>0</v>
      </c>
      <c r="R146" s="292">
        <v>0</v>
      </c>
      <c r="S146" s="292">
        <v>0</v>
      </c>
      <c r="T146" s="292">
        <v>0</v>
      </c>
      <c r="U146" s="292">
        <v>0</v>
      </c>
      <c r="V146" s="292">
        <v>0</v>
      </c>
      <c r="W146" s="292">
        <v>0</v>
      </c>
      <c r="X146" s="292">
        <v>0</v>
      </c>
      <c r="Y146" s="293">
        <v>0</v>
      </c>
    </row>
    <row r="147" spans="3:25" ht="15" customHeight="1" x14ac:dyDescent="0.2">
      <c r="C147" s="128"/>
      <c r="D147" s="129"/>
      <c r="E147" s="129"/>
      <c r="F147" s="130"/>
      <c r="G147" s="130"/>
      <c r="H147" s="129"/>
      <c r="I147" s="129"/>
      <c r="J147" s="129"/>
      <c r="K147" s="131"/>
      <c r="L147" s="131"/>
      <c r="M147" s="131"/>
      <c r="N147" s="132"/>
      <c r="O147" s="132"/>
      <c r="P147" s="131"/>
      <c r="Q147" s="131"/>
      <c r="R147" s="131"/>
      <c r="S147" s="131"/>
      <c r="T147" s="131"/>
      <c r="U147" s="131"/>
      <c r="V147" s="131"/>
      <c r="W147" s="131"/>
      <c r="X147" s="131"/>
      <c r="Y147" s="131"/>
    </row>
    <row r="149" spans="3:25" ht="15" customHeight="1" x14ac:dyDescent="0.2">
      <c r="C149" s="114" t="s">
        <v>275</v>
      </c>
      <c r="D149" s="115"/>
      <c r="E149" s="115"/>
      <c r="F149" s="116"/>
      <c r="G149" s="116"/>
      <c r="H149" s="115"/>
      <c r="I149" s="115"/>
      <c r="J149" s="115"/>
      <c r="K149" s="117"/>
      <c r="L149" s="117"/>
      <c r="M149" s="117"/>
      <c r="N149" s="118"/>
      <c r="O149" s="117"/>
      <c r="P149" s="117"/>
      <c r="Q149" s="117"/>
      <c r="R149" s="117"/>
      <c r="S149" s="117"/>
      <c r="T149" s="117"/>
      <c r="U149" s="117"/>
      <c r="V149" s="117"/>
      <c r="W149" s="117"/>
      <c r="X149" s="117"/>
      <c r="Y149" s="117"/>
    </row>
    <row r="151" spans="3:25" ht="15" customHeight="1" x14ac:dyDescent="0.2">
      <c r="E151" s="120" t="s">
        <v>281</v>
      </c>
      <c r="F151" s="24" t="s">
        <v>25</v>
      </c>
      <c r="G151" s="24"/>
      <c r="H151" s="121">
        <v>58</v>
      </c>
      <c r="I151" s="121">
        <v>59</v>
      </c>
      <c r="J151" s="121">
        <v>22.326000000000001</v>
      </c>
      <c r="K151" s="121">
        <v>22.326000000000001</v>
      </c>
      <c r="L151" s="121">
        <v>1125.3</v>
      </c>
      <c r="M151" s="121">
        <v>1287.98</v>
      </c>
      <c r="N151" s="121" t="s">
        <v>284</v>
      </c>
      <c r="O151" s="121">
        <v>1563.94</v>
      </c>
      <c r="P151" s="122">
        <f>O151*(1+P153)</f>
        <v>1563.94</v>
      </c>
      <c r="Q151" s="122">
        <f t="shared" ref="Q151:Y151" si="190">P151*(1+Q153)</f>
        <v>1563.94</v>
      </c>
      <c r="R151" s="122">
        <f t="shared" si="190"/>
        <v>1563.94</v>
      </c>
      <c r="S151" s="122">
        <f t="shared" si="190"/>
        <v>1563.94</v>
      </c>
      <c r="T151" s="122">
        <f t="shared" si="190"/>
        <v>1563.94</v>
      </c>
      <c r="U151" s="122">
        <f t="shared" si="190"/>
        <v>1563.94</v>
      </c>
      <c r="V151" s="122">
        <f t="shared" si="190"/>
        <v>1563.94</v>
      </c>
      <c r="W151" s="122">
        <f t="shared" si="190"/>
        <v>1563.94</v>
      </c>
      <c r="X151" s="122">
        <f t="shared" si="190"/>
        <v>1563.94</v>
      </c>
      <c r="Y151" s="122">
        <f t="shared" si="190"/>
        <v>1563.94</v>
      </c>
    </row>
    <row r="152" spans="3:25" ht="15" customHeight="1" x14ac:dyDescent="0.2">
      <c r="F152" s="93"/>
      <c r="G152" s="37"/>
      <c r="H152" s="96"/>
      <c r="I152" s="96"/>
      <c r="J152" s="96"/>
      <c r="K152" s="96"/>
      <c r="L152" s="96"/>
      <c r="M152" s="96"/>
      <c r="N152" s="96"/>
      <c r="O152" s="96"/>
      <c r="P152" s="96"/>
      <c r="Q152" s="96"/>
      <c r="R152" s="96"/>
      <c r="S152" s="96"/>
      <c r="T152" s="96"/>
      <c r="U152" s="96"/>
      <c r="V152" s="96"/>
      <c r="W152" s="96"/>
      <c r="X152" s="96"/>
      <c r="Y152" s="96"/>
    </row>
    <row r="153" spans="3:25" ht="15" customHeight="1" x14ac:dyDescent="0.2">
      <c r="E153" s="18" t="s">
        <v>168</v>
      </c>
      <c r="F153" s="24" t="s">
        <v>7</v>
      </c>
      <c r="G153" s="37"/>
      <c r="H153" s="229"/>
      <c r="I153" s="229">
        <f>IFERROR((I151/H151-1),"NA")</f>
        <v>1.7241379310344751E-2</v>
      </c>
      <c r="J153" s="229">
        <f t="shared" ref="J153:N153" si="191">IFERROR((J151/I151-1),"NA")</f>
        <v>-0.62159322033898312</v>
      </c>
      <c r="K153" s="229">
        <f t="shared" si="191"/>
        <v>0</v>
      </c>
      <c r="L153" s="229">
        <f t="shared" si="191"/>
        <v>49.40311744154797</v>
      </c>
      <c r="M153" s="229">
        <f t="shared" si="191"/>
        <v>0.14456589353950067</v>
      </c>
      <c r="N153" s="229" t="str">
        <f t="shared" si="191"/>
        <v>NA</v>
      </c>
      <c r="O153" s="229" t="str">
        <f>IFERROR((O151/N151-1),"NA")</f>
        <v>NA</v>
      </c>
      <c r="P153" s="123">
        <v>0</v>
      </c>
      <c r="Q153" s="123">
        <v>0</v>
      </c>
      <c r="R153" s="123">
        <v>0</v>
      </c>
      <c r="S153" s="123">
        <v>0</v>
      </c>
      <c r="T153" s="123">
        <v>0</v>
      </c>
      <c r="U153" s="123">
        <v>0</v>
      </c>
      <c r="V153" s="123">
        <v>0</v>
      </c>
      <c r="W153" s="123">
        <v>0</v>
      </c>
      <c r="X153" s="123">
        <v>0</v>
      </c>
      <c r="Y153" s="123">
        <v>0</v>
      </c>
    </row>
    <row r="156" spans="3:25" ht="15" customHeight="1" x14ac:dyDescent="0.2">
      <c r="E156" s="120" t="s">
        <v>169</v>
      </c>
      <c r="F156" s="24" t="s">
        <v>25</v>
      </c>
      <c r="G156" s="24"/>
      <c r="H156" s="121">
        <v>50.8</v>
      </c>
      <c r="I156" s="121">
        <v>52.2</v>
      </c>
      <c r="J156" s="121">
        <v>50</v>
      </c>
      <c r="K156" s="121">
        <v>58.97</v>
      </c>
      <c r="L156" s="121">
        <v>62.38</v>
      </c>
      <c r="M156" s="121">
        <v>69.2</v>
      </c>
      <c r="N156" s="121">
        <v>55.646000000000001</v>
      </c>
      <c r="O156" s="121">
        <v>64.23</v>
      </c>
      <c r="P156" s="125">
        <v>64.010999999999996</v>
      </c>
      <c r="Q156" s="125">
        <f t="shared" ref="Q156:Y156" si="192">Q151*Q158</f>
        <v>0</v>
      </c>
      <c r="R156" s="125">
        <f t="shared" si="192"/>
        <v>0</v>
      </c>
      <c r="S156" s="125">
        <f t="shared" si="192"/>
        <v>0</v>
      </c>
      <c r="T156" s="125">
        <f t="shared" si="192"/>
        <v>0</v>
      </c>
      <c r="U156" s="125">
        <f t="shared" si="192"/>
        <v>0</v>
      </c>
      <c r="V156" s="125">
        <f t="shared" si="192"/>
        <v>0</v>
      </c>
      <c r="W156" s="125">
        <f t="shared" si="192"/>
        <v>0</v>
      </c>
      <c r="X156" s="125">
        <f t="shared" si="192"/>
        <v>0</v>
      </c>
      <c r="Y156" s="125">
        <f t="shared" si="192"/>
        <v>0</v>
      </c>
    </row>
    <row r="157" spans="3:25" ht="15" customHeight="1" x14ac:dyDescent="0.2">
      <c r="E157" s="126" t="s">
        <v>170</v>
      </c>
      <c r="F157" s="24" t="s">
        <v>7</v>
      </c>
      <c r="G157" s="24"/>
      <c r="H157" s="127"/>
      <c r="I157" s="290">
        <f>IFERROR((I156/H156-1),"NA")</f>
        <v>2.7559055118110409E-2</v>
      </c>
      <c r="J157" s="290">
        <f t="shared" ref="J157" si="193">IFERROR((J156/I156-1),"NA")</f>
        <v>-4.2145593869731823E-2</v>
      </c>
      <c r="K157" s="290">
        <f t="shared" ref="K157" si="194">IFERROR((K156/J156-1),"NA")</f>
        <v>0.1794</v>
      </c>
      <c r="L157" s="290">
        <f t="shared" ref="L157" si="195">IFERROR((L156/K156-1),"NA")</f>
        <v>5.782601322706471E-2</v>
      </c>
      <c r="M157" s="290">
        <f t="shared" ref="M157" si="196">IFERROR((M156/L156-1),"NA")</f>
        <v>0.10932991343379284</v>
      </c>
      <c r="N157" s="290">
        <f t="shared" ref="N157" si="197">IFERROR((N156/M156-1),"NA")</f>
        <v>-0.19586705202312138</v>
      </c>
      <c r="O157" s="290">
        <f t="shared" ref="O157" si="198">IFERROR((O156/N156-1),"NA")</f>
        <v>0.15426086331452393</v>
      </c>
      <c r="P157" s="290">
        <f t="shared" ref="P157" si="199">IFERROR((P156/O156-1),"NA")</f>
        <v>-3.4096216721160033E-3</v>
      </c>
      <c r="Q157" s="290">
        <f t="shared" ref="Q157" si="200">IFERROR((Q156/P156-1),"NA")</f>
        <v>-1</v>
      </c>
      <c r="R157" s="290" t="str">
        <f t="shared" ref="R157" si="201">IFERROR((R156/Q156-1),"NA")</f>
        <v>NA</v>
      </c>
      <c r="S157" s="290" t="str">
        <f t="shared" ref="S157" si="202">IFERROR((S156/R156-1),"NA")</f>
        <v>NA</v>
      </c>
      <c r="T157" s="290" t="str">
        <f t="shared" ref="T157" si="203">IFERROR((T156/S156-1),"NA")</f>
        <v>NA</v>
      </c>
      <c r="U157" s="290" t="str">
        <f t="shared" ref="U157" si="204">IFERROR((U156/T156-1),"NA")</f>
        <v>NA</v>
      </c>
      <c r="V157" s="290" t="str">
        <f t="shared" ref="V157" si="205">IFERROR((V156/U156-1),"NA")</f>
        <v>NA</v>
      </c>
      <c r="W157" s="290" t="str">
        <f t="shared" ref="W157" si="206">IFERROR((W156/V156-1),"NA")</f>
        <v>NA</v>
      </c>
      <c r="X157" s="290" t="str">
        <f t="shared" ref="X157" si="207">IFERROR((X156/W156-1),"NA")</f>
        <v>NA</v>
      </c>
      <c r="Y157" s="290" t="str">
        <f t="shared" ref="Y157" si="208">IFERROR((Y156/X156-1),"NA")</f>
        <v>NA</v>
      </c>
    </row>
    <row r="158" spans="3:25" ht="15" customHeight="1" x14ac:dyDescent="0.2">
      <c r="E158" s="126" t="s">
        <v>171</v>
      </c>
      <c r="F158" s="24" t="s">
        <v>7</v>
      </c>
      <c r="G158" s="24"/>
      <c r="H158" s="106">
        <f>IFERROR(H156/H151,"NA")</f>
        <v>0.87586206896551722</v>
      </c>
      <c r="I158" s="106">
        <f t="shared" ref="I158:O158" si="209">IFERROR(I156/I151,"NA")</f>
        <v>0.88474576271186445</v>
      </c>
      <c r="J158" s="106">
        <f t="shared" si="209"/>
        <v>2.239541341933172</v>
      </c>
      <c r="K158" s="106">
        <f t="shared" si="209"/>
        <v>2.6413150586759833</v>
      </c>
      <c r="L158" s="106">
        <f t="shared" si="209"/>
        <v>5.5434106460499427E-2</v>
      </c>
      <c r="M158" s="106">
        <f t="shared" si="209"/>
        <v>5.372754235314213E-2</v>
      </c>
      <c r="N158" s="106" t="str">
        <f t="shared" si="209"/>
        <v>NA</v>
      </c>
      <c r="O158" s="106">
        <f t="shared" si="209"/>
        <v>4.1069350486591556E-2</v>
      </c>
      <c r="P158" s="291">
        <v>0</v>
      </c>
      <c r="Q158" s="292">
        <v>0</v>
      </c>
      <c r="R158" s="292">
        <v>0</v>
      </c>
      <c r="S158" s="292">
        <v>0</v>
      </c>
      <c r="T158" s="292">
        <v>0</v>
      </c>
      <c r="U158" s="292">
        <v>0</v>
      </c>
      <c r="V158" s="292">
        <v>0</v>
      </c>
      <c r="W158" s="292">
        <v>0</v>
      </c>
      <c r="X158" s="292">
        <v>0</v>
      </c>
      <c r="Y158" s="293">
        <v>0</v>
      </c>
    </row>
    <row r="160" spans="3:25" ht="15" customHeight="1" x14ac:dyDescent="0.2">
      <c r="C160" s="114" t="s">
        <v>282</v>
      </c>
      <c r="D160" s="115"/>
      <c r="E160" s="115"/>
      <c r="F160" s="116"/>
      <c r="G160" s="116"/>
      <c r="H160" s="115"/>
      <c r="I160" s="115"/>
      <c r="J160" s="115"/>
      <c r="K160" s="117"/>
      <c r="L160" s="117"/>
      <c r="M160" s="117"/>
      <c r="N160" s="118"/>
      <c r="O160" s="117"/>
      <c r="P160" s="117"/>
      <c r="Q160" s="117"/>
      <c r="R160" s="117"/>
      <c r="S160" s="117"/>
      <c r="T160" s="117"/>
      <c r="U160" s="117"/>
      <c r="V160" s="117"/>
      <c r="W160" s="117"/>
      <c r="X160" s="117"/>
      <c r="Y160" s="117"/>
    </row>
    <row r="162" spans="1:27" ht="15" customHeight="1" x14ac:dyDescent="0.2">
      <c r="E162" s="120" t="s">
        <v>283</v>
      </c>
      <c r="F162" s="24" t="s">
        <v>25</v>
      </c>
      <c r="G162" s="24"/>
      <c r="H162" s="121">
        <v>920.8</v>
      </c>
      <c r="I162" s="121">
        <v>1130</v>
      </c>
      <c r="J162" s="121">
        <v>454.02</v>
      </c>
      <c r="K162" s="121">
        <v>510.3</v>
      </c>
      <c r="L162" s="121">
        <v>559.92999999999995</v>
      </c>
      <c r="M162" s="121">
        <v>601.51</v>
      </c>
      <c r="N162" s="121">
        <v>721.26</v>
      </c>
      <c r="O162" s="121">
        <v>888.6</v>
      </c>
      <c r="P162" s="122">
        <f>O162*(1+P164)</f>
        <v>888.6</v>
      </c>
      <c r="Q162" s="122">
        <f t="shared" ref="Q162" si="210">P162*(1+Q164)</f>
        <v>888.6</v>
      </c>
      <c r="R162" s="122">
        <f t="shared" ref="R162" si="211">Q162*(1+R164)</f>
        <v>888.6</v>
      </c>
      <c r="S162" s="122">
        <f t="shared" ref="S162" si="212">R162*(1+S164)</f>
        <v>888.6</v>
      </c>
      <c r="T162" s="122">
        <f t="shared" ref="T162" si="213">S162*(1+T164)</f>
        <v>888.6</v>
      </c>
      <c r="U162" s="122">
        <f t="shared" ref="U162" si="214">T162*(1+U164)</f>
        <v>888.6</v>
      </c>
      <c r="V162" s="122">
        <f t="shared" ref="V162" si="215">U162*(1+V164)</f>
        <v>888.6</v>
      </c>
      <c r="W162" s="122">
        <f t="shared" ref="W162" si="216">V162*(1+W164)</f>
        <v>888.6</v>
      </c>
      <c r="X162" s="122">
        <f t="shared" ref="X162" si="217">W162*(1+X164)</f>
        <v>888.6</v>
      </c>
      <c r="Y162" s="122">
        <f t="shared" ref="Y162" si="218">X162*(1+Y164)</f>
        <v>888.6</v>
      </c>
    </row>
    <row r="163" spans="1:27" ht="15" customHeight="1" x14ac:dyDescent="0.2">
      <c r="F163" s="93"/>
      <c r="G163" s="37"/>
      <c r="H163" s="96"/>
      <c r="I163" s="96"/>
      <c r="J163" s="96"/>
      <c r="K163" s="96"/>
      <c r="L163" s="96"/>
      <c r="M163" s="96"/>
      <c r="N163" s="96"/>
      <c r="O163" s="96"/>
      <c r="P163" s="96"/>
      <c r="Q163" s="96"/>
      <c r="R163" s="96"/>
      <c r="S163" s="96"/>
      <c r="T163" s="96"/>
      <c r="U163" s="96"/>
      <c r="V163" s="96"/>
      <c r="W163" s="96"/>
      <c r="X163" s="96"/>
      <c r="Y163" s="96"/>
    </row>
    <row r="164" spans="1:27" ht="15" customHeight="1" x14ac:dyDescent="0.2">
      <c r="E164" s="18" t="s">
        <v>168</v>
      </c>
      <c r="F164" s="24" t="s">
        <v>7</v>
      </c>
      <c r="G164" s="37"/>
      <c r="H164" s="229"/>
      <c r="I164" s="229">
        <f>IFERROR((I162/H162-1),"NA")</f>
        <v>0.22719374456993924</v>
      </c>
      <c r="J164" s="229">
        <f t="shared" ref="J164" si="219">IFERROR((J162/I162-1),"NA")</f>
        <v>-0.59821238938053101</v>
      </c>
      <c r="K164" s="229">
        <f t="shared" ref="K164" si="220">IFERROR((K162/J162-1),"NA")</f>
        <v>0.12395929694727115</v>
      </c>
      <c r="L164" s="229">
        <f t="shared" ref="L164" si="221">IFERROR((L162/K162-1),"NA")</f>
        <v>9.7256515775034247E-2</v>
      </c>
      <c r="M164" s="229">
        <f t="shared" ref="M164" si="222">IFERROR((M162/L162-1),"NA")</f>
        <v>7.4259282410301442E-2</v>
      </c>
      <c r="N164" s="229">
        <f t="shared" ref="N164" si="223">IFERROR((N162/M162-1),"NA")</f>
        <v>0.19908230952103878</v>
      </c>
      <c r="O164" s="229">
        <f>IFERROR((O162/N162-1),"NA")</f>
        <v>0.23201064803260962</v>
      </c>
      <c r="P164" s="123">
        <v>0</v>
      </c>
      <c r="Q164" s="123">
        <v>0</v>
      </c>
      <c r="R164" s="123">
        <v>0</v>
      </c>
      <c r="S164" s="123">
        <v>0</v>
      </c>
      <c r="T164" s="123">
        <v>0</v>
      </c>
      <c r="U164" s="123">
        <v>0</v>
      </c>
      <c r="V164" s="123">
        <v>0</v>
      </c>
      <c r="W164" s="123">
        <v>0</v>
      </c>
      <c r="X164" s="123">
        <v>0</v>
      </c>
      <c r="Y164" s="123">
        <v>0</v>
      </c>
    </row>
    <row r="167" spans="1:27" ht="15" customHeight="1" x14ac:dyDescent="0.2">
      <c r="E167" s="120" t="s">
        <v>169</v>
      </c>
      <c r="F167" s="24" t="s">
        <v>25</v>
      </c>
      <c r="G167" s="24"/>
      <c r="H167" s="121">
        <v>40.9</v>
      </c>
      <c r="I167" s="121">
        <v>29.8</v>
      </c>
      <c r="J167" s="121">
        <v>38.5</v>
      </c>
      <c r="K167" s="121">
        <v>21.9</v>
      </c>
      <c r="L167" s="121">
        <v>24.65</v>
      </c>
      <c r="M167" s="121">
        <v>24.4</v>
      </c>
      <c r="N167" s="121">
        <v>30.312000000000001</v>
      </c>
      <c r="O167" s="121">
        <v>42.76</v>
      </c>
      <c r="P167" s="125">
        <v>49.237000000000002</v>
      </c>
      <c r="Q167" s="125">
        <f t="shared" ref="Q167:Y167" si="224">Q162*Q169</f>
        <v>0</v>
      </c>
      <c r="R167" s="125">
        <f t="shared" si="224"/>
        <v>0</v>
      </c>
      <c r="S167" s="125">
        <f t="shared" si="224"/>
        <v>0</v>
      </c>
      <c r="T167" s="125">
        <f t="shared" si="224"/>
        <v>0</v>
      </c>
      <c r="U167" s="125">
        <f t="shared" si="224"/>
        <v>0</v>
      </c>
      <c r="V167" s="125">
        <f t="shared" si="224"/>
        <v>0</v>
      </c>
      <c r="W167" s="125">
        <f t="shared" si="224"/>
        <v>0</v>
      </c>
      <c r="X167" s="125">
        <f t="shared" si="224"/>
        <v>0</v>
      </c>
      <c r="Y167" s="125">
        <f t="shared" si="224"/>
        <v>0</v>
      </c>
    </row>
    <row r="168" spans="1:27" ht="15" customHeight="1" x14ac:dyDescent="0.2">
      <c r="E168" s="126" t="s">
        <v>170</v>
      </c>
      <c r="F168" s="24" t="s">
        <v>7</v>
      </c>
      <c r="G168" s="24"/>
      <c r="H168" s="127"/>
      <c r="I168" s="290">
        <f>IFERROR((I167/H167-1),"NA")</f>
        <v>-0.27139364303178481</v>
      </c>
      <c r="J168" s="290">
        <f t="shared" ref="J168" si="225">IFERROR((J167/I167-1),"NA")</f>
        <v>0.29194630872483218</v>
      </c>
      <c r="K168" s="290">
        <f t="shared" ref="K168" si="226">IFERROR((K167/J167-1),"NA")</f>
        <v>-0.4311688311688312</v>
      </c>
      <c r="L168" s="290">
        <f t="shared" ref="L168" si="227">IFERROR((L167/K167-1),"NA")</f>
        <v>0.12557077625570767</v>
      </c>
      <c r="M168" s="290">
        <f t="shared" ref="M168" si="228">IFERROR((M167/L167-1),"NA")</f>
        <v>-1.0141987829614618E-2</v>
      </c>
      <c r="N168" s="290">
        <f t="shared" ref="N168" si="229">IFERROR((N167/M167-1),"NA")</f>
        <v>0.24229508196721317</v>
      </c>
      <c r="O168" s="290">
        <f t="shared" ref="O168" si="230">IFERROR((O167/N167-1),"NA")</f>
        <v>0.41066244391660067</v>
      </c>
      <c r="P168" s="290">
        <f t="shared" ref="P168" si="231">IFERROR((P167/O167-1),"NA")</f>
        <v>0.15147333956969145</v>
      </c>
      <c r="Q168" s="290">
        <f t="shared" ref="Q168" si="232">IFERROR((Q167/P167-1),"NA")</f>
        <v>-1</v>
      </c>
      <c r="R168" s="290" t="str">
        <f t="shared" ref="R168" si="233">IFERROR((R167/Q167-1),"NA")</f>
        <v>NA</v>
      </c>
      <c r="S168" s="290" t="str">
        <f t="shared" ref="S168" si="234">IFERROR((S167/R167-1),"NA")</f>
        <v>NA</v>
      </c>
      <c r="T168" s="290" t="str">
        <f t="shared" ref="T168" si="235">IFERROR((T167/S167-1),"NA")</f>
        <v>NA</v>
      </c>
      <c r="U168" s="290" t="str">
        <f t="shared" ref="U168" si="236">IFERROR((U167/T167-1),"NA")</f>
        <v>NA</v>
      </c>
      <c r="V168" s="290" t="str">
        <f t="shared" ref="V168" si="237">IFERROR((V167/U167-1),"NA")</f>
        <v>NA</v>
      </c>
      <c r="W168" s="290" t="str">
        <f t="shared" ref="W168" si="238">IFERROR((W167/V167-1),"NA")</f>
        <v>NA</v>
      </c>
      <c r="X168" s="290" t="str">
        <f t="shared" ref="X168" si="239">IFERROR((X167/W167-1),"NA")</f>
        <v>NA</v>
      </c>
      <c r="Y168" s="290" t="str">
        <f t="shared" ref="Y168" si="240">IFERROR((Y167/X167-1),"NA")</f>
        <v>NA</v>
      </c>
    </row>
    <row r="169" spans="1:27" ht="15" customHeight="1" x14ac:dyDescent="0.2">
      <c r="E169" s="126" t="s">
        <v>171</v>
      </c>
      <c r="F169" s="24" t="s">
        <v>7</v>
      </c>
      <c r="G169" s="24"/>
      <c r="H169" s="106">
        <f>IFERROR(H167/H162,"NA")</f>
        <v>4.441789748045178E-2</v>
      </c>
      <c r="I169" s="106">
        <f t="shared" ref="I169:P169" si="241">IFERROR(I167/I162,"NA")</f>
        <v>2.6371681415929205E-2</v>
      </c>
      <c r="J169" s="106">
        <f t="shared" si="241"/>
        <v>8.4798026518655575E-2</v>
      </c>
      <c r="K169" s="106">
        <f t="shared" si="241"/>
        <v>4.2915931804820687E-2</v>
      </c>
      <c r="L169" s="106">
        <f t="shared" si="241"/>
        <v>4.4023360062865002E-2</v>
      </c>
      <c r="M169" s="106">
        <f t="shared" si="241"/>
        <v>4.0564579142491397E-2</v>
      </c>
      <c r="N169" s="106">
        <f t="shared" si="241"/>
        <v>4.2026453706014474E-2</v>
      </c>
      <c r="O169" s="106">
        <f t="shared" si="241"/>
        <v>4.812063920774251E-2</v>
      </c>
      <c r="P169" s="389">
        <f t="shared" si="241"/>
        <v>5.5409633130767501E-2</v>
      </c>
      <c r="Q169" s="292">
        <v>0</v>
      </c>
      <c r="R169" s="292">
        <v>0</v>
      </c>
      <c r="S169" s="292">
        <v>0</v>
      </c>
      <c r="T169" s="292">
        <v>0</v>
      </c>
      <c r="U169" s="292">
        <v>0</v>
      </c>
      <c r="V169" s="292">
        <v>0</v>
      </c>
      <c r="W169" s="292">
        <v>0</v>
      </c>
      <c r="X169" s="292">
        <v>0</v>
      </c>
      <c r="Y169" s="293">
        <v>0</v>
      </c>
    </row>
    <row r="170" spans="1:27" ht="15" customHeight="1" x14ac:dyDescent="0.2">
      <c r="E170" t="s">
        <v>285</v>
      </c>
      <c r="N170" s="342">
        <v>4.1599999999999998E-2</v>
      </c>
      <c r="P170" s="390"/>
    </row>
    <row r="171" spans="1:27" ht="15" customHeight="1" x14ac:dyDescent="0.2">
      <c r="A171" s="41"/>
      <c r="B171" s="41" t="s">
        <v>45</v>
      </c>
      <c r="C171" s="42"/>
      <c r="D171" s="42"/>
      <c r="E171" s="42"/>
      <c r="F171" s="42"/>
      <c r="G171" s="42"/>
      <c r="H171" s="42"/>
      <c r="I171" s="42"/>
      <c r="J171" s="42"/>
      <c r="K171" s="42"/>
      <c r="L171" s="42"/>
      <c r="M171" s="42"/>
      <c r="N171" s="42"/>
      <c r="O171" s="42"/>
      <c r="P171" s="42"/>
      <c r="Q171" s="42"/>
      <c r="R171" s="42"/>
      <c r="S171" s="42"/>
      <c r="T171" s="42"/>
      <c r="U171" s="42"/>
      <c r="V171" s="42"/>
      <c r="W171" s="42"/>
      <c r="X171" s="42"/>
      <c r="Y171" s="42"/>
      <c r="Z171" s="42"/>
      <c r="AA171" s="42"/>
    </row>
  </sheetData>
  <mergeCells count="1">
    <mergeCell ref="H2:O2"/>
  </mergeCells>
  <pageMargins left="0.7" right="0.7" top="0.75" bottom="0.75" header="0" footer="0"/>
  <pageSetup orientation="portrait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705AF5-CC59-42A7-A3DA-96B23DCB2631}">
  <sheetPr>
    <tabColor theme="2" tint="-0.249977111117893"/>
  </sheetPr>
  <dimension ref="A2:AA522"/>
  <sheetViews>
    <sheetView showGridLines="0" zoomScaleNormal="100" workbookViewId="0">
      <pane ySplit="9" topLeftCell="A107" activePane="bottomLeft" state="frozen"/>
      <selection pane="bottomLeft" activeCell="H102" sqref="H102"/>
    </sheetView>
  </sheetViews>
  <sheetFormatPr baseColWidth="10" defaultColWidth="14.5" defaultRowHeight="15" customHeight="1" x14ac:dyDescent="0.2"/>
  <cols>
    <col min="1" max="2" width="2.6640625" customWidth="1"/>
    <col min="3" max="3" width="1.5" customWidth="1"/>
    <col min="4" max="4" width="3.5" customWidth="1"/>
    <col min="5" max="5" width="38.5" customWidth="1"/>
    <col min="6" max="7" width="11.1640625" customWidth="1"/>
    <col min="8" max="8" width="13.33203125" customWidth="1"/>
    <col min="9" max="9" width="11.1640625" customWidth="1"/>
    <col min="10" max="10" width="10.5" customWidth="1"/>
    <col min="11" max="11" width="13" customWidth="1"/>
    <col min="12" max="25" width="10.5" customWidth="1"/>
    <col min="26" max="37" width="9.1640625" customWidth="1"/>
  </cols>
  <sheetData>
    <row r="2" spans="3:25" x14ac:dyDescent="0.2">
      <c r="C2" s="1" t="s">
        <v>172</v>
      </c>
      <c r="E2" s="2"/>
      <c r="F2" s="2"/>
      <c r="G2" s="2"/>
      <c r="H2" s="364" t="s">
        <v>86</v>
      </c>
      <c r="I2" s="365"/>
      <c r="J2" s="365"/>
      <c r="K2" s="365"/>
      <c r="L2" s="365"/>
      <c r="M2" s="365"/>
      <c r="N2" s="365"/>
      <c r="O2" s="365"/>
      <c r="P2" s="2"/>
      <c r="Q2" s="2"/>
      <c r="R2" s="2"/>
      <c r="S2" s="2"/>
      <c r="T2" s="2"/>
      <c r="U2" s="2"/>
      <c r="V2" s="2"/>
      <c r="W2" s="2"/>
      <c r="X2" s="2"/>
      <c r="Y2" s="2"/>
    </row>
    <row r="3" spans="3:25" ht="9" customHeight="1" x14ac:dyDescent="0.2"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</row>
    <row r="4" spans="3:25" x14ac:dyDescent="0.2">
      <c r="C4" s="3"/>
      <c r="D4" s="4" t="s">
        <v>87</v>
      </c>
      <c r="E4" s="3"/>
      <c r="F4" s="5" t="s">
        <v>88</v>
      </c>
      <c r="G4" s="5"/>
      <c r="H4" s="6">
        <f t="shared" ref="H4:M4" si="0">EOMONTH(I4,-12)</f>
        <v>43100</v>
      </c>
      <c r="I4" s="6">
        <f t="shared" si="0"/>
        <v>43465</v>
      </c>
      <c r="J4" s="6">
        <f t="shared" si="0"/>
        <v>43830</v>
      </c>
      <c r="K4" s="6">
        <f t="shared" si="0"/>
        <v>44196</v>
      </c>
      <c r="L4" s="6">
        <f t="shared" si="0"/>
        <v>44561</v>
      </c>
      <c r="M4" s="6">
        <f t="shared" si="0"/>
        <v>44926</v>
      </c>
      <c r="N4" s="6">
        <f>EOMONTH(O4,-12)</f>
        <v>45291</v>
      </c>
      <c r="O4" s="6">
        <f>EOMONTH('&gt;&gt; Inputs'!$G$17,0)</f>
        <v>45657</v>
      </c>
      <c r="P4" s="6">
        <f>EOMONTH(O4,12)</f>
        <v>46022</v>
      </c>
      <c r="Q4" s="6">
        <f t="shared" ref="Q4:Y4" si="1">EOMONTH(P4,12)</f>
        <v>46387</v>
      </c>
      <c r="R4" s="6">
        <f t="shared" si="1"/>
        <v>46752</v>
      </c>
      <c r="S4" s="6">
        <f t="shared" si="1"/>
        <v>47118</v>
      </c>
      <c r="T4" s="6">
        <f t="shared" si="1"/>
        <v>47483</v>
      </c>
      <c r="U4" s="6">
        <f t="shared" si="1"/>
        <v>47848</v>
      </c>
      <c r="V4" s="6">
        <f t="shared" si="1"/>
        <v>48213</v>
      </c>
      <c r="W4" s="6">
        <f t="shared" si="1"/>
        <v>48579</v>
      </c>
      <c r="X4" s="6">
        <f t="shared" si="1"/>
        <v>48944</v>
      </c>
      <c r="Y4" s="6">
        <f t="shared" si="1"/>
        <v>49309</v>
      </c>
    </row>
    <row r="5" spans="3:25" ht="12.75" customHeight="1" x14ac:dyDescent="0.2">
      <c r="C5" s="7"/>
      <c r="D5" s="7"/>
      <c r="E5" s="7" t="s">
        <v>89</v>
      </c>
      <c r="F5" s="8" t="s">
        <v>90</v>
      </c>
      <c r="G5" s="8"/>
      <c r="H5" s="11">
        <f t="shared" ref="H5:L5" si="2">I5-1</f>
        <v>-5</v>
      </c>
      <c r="I5" s="11">
        <f t="shared" si="2"/>
        <v>-4</v>
      </c>
      <c r="J5" s="11">
        <f t="shared" si="2"/>
        <v>-3</v>
      </c>
      <c r="K5" s="11">
        <f t="shared" si="2"/>
        <v>-2</v>
      </c>
      <c r="L5" s="11">
        <f t="shared" si="2"/>
        <v>-1</v>
      </c>
      <c r="M5" s="11">
        <v>0</v>
      </c>
      <c r="N5" s="11">
        <v>0</v>
      </c>
      <c r="O5" s="11">
        <f t="shared" ref="O5:Y5" si="3">N5 + 1</f>
        <v>1</v>
      </c>
      <c r="P5" s="11">
        <f t="shared" si="3"/>
        <v>2</v>
      </c>
      <c r="Q5" s="11">
        <f t="shared" si="3"/>
        <v>3</v>
      </c>
      <c r="R5" s="11">
        <f t="shared" si="3"/>
        <v>4</v>
      </c>
      <c r="S5" s="11">
        <f t="shared" si="3"/>
        <v>5</v>
      </c>
      <c r="T5" s="11">
        <f t="shared" si="3"/>
        <v>6</v>
      </c>
      <c r="U5" s="11">
        <f t="shared" si="3"/>
        <v>7</v>
      </c>
      <c r="V5" s="11">
        <f t="shared" si="3"/>
        <v>8</v>
      </c>
      <c r="W5" s="11">
        <f t="shared" si="3"/>
        <v>9</v>
      </c>
      <c r="X5" s="11">
        <f t="shared" si="3"/>
        <v>10</v>
      </c>
      <c r="Y5" s="11">
        <f t="shared" si="3"/>
        <v>11</v>
      </c>
    </row>
    <row r="6" spans="3:25" ht="12.75" customHeight="1" x14ac:dyDescent="0.2">
      <c r="C6" s="7"/>
      <c r="D6" s="7"/>
      <c r="E6" s="7" t="s">
        <v>91</v>
      </c>
      <c r="F6" s="10" t="s">
        <v>92</v>
      </c>
      <c r="G6" s="10"/>
      <c r="H6" s="11">
        <v>0</v>
      </c>
      <c r="I6" s="11">
        <v>0</v>
      </c>
      <c r="J6" s="11">
        <v>0</v>
      </c>
      <c r="K6" s="11">
        <v>0.5</v>
      </c>
      <c r="L6" s="11">
        <f t="shared" ref="L6:Y6" si="4">K6 + 1</f>
        <v>1.5</v>
      </c>
      <c r="M6" s="11">
        <f t="shared" si="4"/>
        <v>2.5</v>
      </c>
      <c r="N6" s="11">
        <f t="shared" si="4"/>
        <v>3.5</v>
      </c>
      <c r="O6" s="11">
        <f t="shared" si="4"/>
        <v>4.5</v>
      </c>
      <c r="P6" s="11">
        <f t="shared" si="4"/>
        <v>5.5</v>
      </c>
      <c r="Q6" s="11">
        <f t="shared" si="4"/>
        <v>6.5</v>
      </c>
      <c r="R6" s="11">
        <f t="shared" si="4"/>
        <v>7.5</v>
      </c>
      <c r="S6" s="11">
        <f t="shared" si="4"/>
        <v>8.5</v>
      </c>
      <c r="T6" s="11">
        <f t="shared" si="4"/>
        <v>9.5</v>
      </c>
      <c r="U6" s="11">
        <f t="shared" si="4"/>
        <v>10.5</v>
      </c>
      <c r="V6" s="11">
        <f t="shared" si="4"/>
        <v>11.5</v>
      </c>
      <c r="W6" s="11">
        <f t="shared" si="4"/>
        <v>12.5</v>
      </c>
      <c r="X6" s="11">
        <f t="shared" si="4"/>
        <v>13.5</v>
      </c>
      <c r="Y6" s="11">
        <f t="shared" si="4"/>
        <v>14.5</v>
      </c>
    </row>
    <row r="7" spans="3:25" ht="12.75" customHeight="1" x14ac:dyDescent="0.2">
      <c r="C7" s="7"/>
      <c r="D7" s="7"/>
      <c r="E7" s="7" t="s">
        <v>93</v>
      </c>
      <c r="F7" s="10" t="s">
        <v>5</v>
      </c>
      <c r="G7" s="10"/>
      <c r="H7" s="12">
        <f>EOMONTH( H8, -12 ) + 1</f>
        <v>42370</v>
      </c>
      <c r="I7" s="59">
        <f t="shared" ref="I7:Y7" si="5">H8 + 1</f>
        <v>42736</v>
      </c>
      <c r="J7" s="59">
        <f t="shared" si="5"/>
        <v>43101</v>
      </c>
      <c r="K7" s="59">
        <f t="shared" si="5"/>
        <v>43466</v>
      </c>
      <c r="L7" s="59">
        <f t="shared" si="5"/>
        <v>43831</v>
      </c>
      <c r="M7" s="59">
        <f t="shared" si="5"/>
        <v>44197</v>
      </c>
      <c r="N7" s="59">
        <f t="shared" si="5"/>
        <v>44562</v>
      </c>
      <c r="O7" s="59">
        <f t="shared" si="5"/>
        <v>44927</v>
      </c>
      <c r="P7" s="59">
        <f t="shared" si="5"/>
        <v>45292</v>
      </c>
      <c r="Q7" s="59">
        <f t="shared" si="5"/>
        <v>45658</v>
      </c>
      <c r="R7" s="59">
        <f t="shared" si="5"/>
        <v>46023</v>
      </c>
      <c r="S7" s="59">
        <f t="shared" si="5"/>
        <v>46388</v>
      </c>
      <c r="T7" s="59">
        <f t="shared" si="5"/>
        <v>46753</v>
      </c>
      <c r="U7" s="59">
        <f t="shared" si="5"/>
        <v>47119</v>
      </c>
      <c r="V7" s="59">
        <f t="shared" si="5"/>
        <v>47484</v>
      </c>
      <c r="W7" s="59">
        <f t="shared" si="5"/>
        <v>47849</v>
      </c>
      <c r="X7" s="59">
        <f t="shared" si="5"/>
        <v>48214</v>
      </c>
      <c r="Y7" s="59">
        <f t="shared" si="5"/>
        <v>48580</v>
      </c>
    </row>
    <row r="8" spans="3:25" ht="12.75" customHeight="1" x14ac:dyDescent="0.2">
      <c r="C8" s="7"/>
      <c r="D8" s="7"/>
      <c r="E8" s="7" t="s">
        <v>94</v>
      </c>
      <c r="F8" s="10" t="s">
        <v>5</v>
      </c>
      <c r="G8" s="10"/>
      <c r="H8" s="12">
        <f>'&gt;&gt; Inputs'!G18</f>
        <v>42735</v>
      </c>
      <c r="I8" s="12">
        <f t="shared" ref="I8:Y8" si="6">EOMONTH( I7, 11 )</f>
        <v>43100</v>
      </c>
      <c r="J8" s="12">
        <f t="shared" si="6"/>
        <v>43465</v>
      </c>
      <c r="K8" s="12">
        <f t="shared" si="6"/>
        <v>43830</v>
      </c>
      <c r="L8" s="12">
        <f t="shared" si="6"/>
        <v>44196</v>
      </c>
      <c r="M8" s="12">
        <f t="shared" si="6"/>
        <v>44561</v>
      </c>
      <c r="N8" s="12">
        <f t="shared" si="6"/>
        <v>44926</v>
      </c>
      <c r="O8" s="12">
        <f t="shared" si="6"/>
        <v>45291</v>
      </c>
      <c r="P8" s="12">
        <f t="shared" si="6"/>
        <v>45657</v>
      </c>
      <c r="Q8" s="12">
        <f t="shared" si="6"/>
        <v>46022</v>
      </c>
      <c r="R8" s="12">
        <f t="shared" si="6"/>
        <v>46387</v>
      </c>
      <c r="S8" s="12">
        <f t="shared" si="6"/>
        <v>46752</v>
      </c>
      <c r="T8" s="12">
        <f t="shared" si="6"/>
        <v>47118</v>
      </c>
      <c r="U8" s="12">
        <f t="shared" si="6"/>
        <v>47483</v>
      </c>
      <c r="V8" s="12">
        <f t="shared" si="6"/>
        <v>47848</v>
      </c>
      <c r="W8" s="12">
        <f t="shared" si="6"/>
        <v>48213</v>
      </c>
      <c r="X8" s="12">
        <f t="shared" si="6"/>
        <v>48579</v>
      </c>
      <c r="Y8" s="12">
        <f t="shared" si="6"/>
        <v>48944</v>
      </c>
    </row>
    <row r="9" spans="3:25" ht="12.75" customHeight="1" x14ac:dyDescent="0.2">
      <c r="C9" s="7"/>
      <c r="D9" s="7"/>
      <c r="E9" s="7" t="s">
        <v>95</v>
      </c>
      <c r="F9" s="10" t="s">
        <v>10</v>
      </c>
      <c r="G9" s="10"/>
      <c r="H9" s="13" t="str">
        <f ca="1">IF( H8 &gt; '&gt;&gt; Inputs'!$G20, "Forecast", "Actual" )</f>
        <v>Actual</v>
      </c>
      <c r="I9" s="13" t="str">
        <f ca="1">IF( I8 &gt; '&gt;&gt; Inputs'!$G20, "Forecast", "Actual" )</f>
        <v>Actual</v>
      </c>
      <c r="J9" s="13" t="str">
        <f ca="1">IF( J8 &gt; '&gt;&gt; Inputs'!$G20, "Forecast", "Actual" )</f>
        <v>Actual</v>
      </c>
      <c r="K9" s="13" t="str">
        <f ca="1">IF( K8 &gt; '&gt;&gt; Inputs'!$G20, "Forecast", "Actual" )</f>
        <v>Actual</v>
      </c>
      <c r="L9" s="13" t="str">
        <f ca="1">IF( L8 &gt; '&gt;&gt; Inputs'!$G20, "Forecast", "Actual" )</f>
        <v>Actual</v>
      </c>
      <c r="M9" s="13" t="str">
        <f ca="1">IF( M8 &gt; '&gt;&gt; Inputs'!$G20, "Forecast", "Actual" )</f>
        <v>Actual</v>
      </c>
      <c r="N9" s="13" t="str">
        <f ca="1">IF( N8 &gt; '&gt;&gt; Inputs'!$G20, "Forecast", "Actual" )</f>
        <v>Actual</v>
      </c>
      <c r="O9" s="13" t="str">
        <f ca="1">IF( O8 &gt; '&gt;&gt; Inputs'!$G20, "Forecast", "Actual" )</f>
        <v>Actual</v>
      </c>
      <c r="P9" s="13" t="str">
        <f ca="1">IF( P8 &gt; '&gt;&gt; Inputs'!$G20, "Forecast", "Actual" )</f>
        <v>Actual</v>
      </c>
      <c r="Q9" s="13" t="str">
        <f ca="1">IF( Q8 &gt; '&gt;&gt; Inputs'!$G20, "Forecast", "Actual" )</f>
        <v>Forecast</v>
      </c>
      <c r="R9" s="13" t="str">
        <f ca="1">IF( R8 &gt; '&gt;&gt; Inputs'!$G20, "Forecast", "Actual" )</f>
        <v>Forecast</v>
      </c>
      <c r="S9" s="13" t="str">
        <f ca="1">IF( S8 &gt; '&gt;&gt; Inputs'!$G20, "Forecast", "Actual" )</f>
        <v>Forecast</v>
      </c>
      <c r="T9" s="13" t="str">
        <f ca="1">IF( T8 &gt; '&gt;&gt; Inputs'!$G20, "Forecast", "Actual" )</f>
        <v>Forecast</v>
      </c>
      <c r="U9" s="13" t="str">
        <f ca="1">IF( U8 &gt; '&gt;&gt; Inputs'!$G20, "Forecast", "Actual" )</f>
        <v>Forecast</v>
      </c>
      <c r="V9" s="13" t="str">
        <f ca="1">IF( V8 &gt; '&gt;&gt; Inputs'!$G20, "Forecast", "Actual" )</f>
        <v>Forecast</v>
      </c>
      <c r="W9" s="13" t="str">
        <f ca="1">IF( W8 &gt; '&gt;&gt; Inputs'!$G20, "Forecast", "Actual" )</f>
        <v>Forecast</v>
      </c>
      <c r="X9" s="13" t="str">
        <f ca="1">IF( X8 &gt; '&gt;&gt; Inputs'!$G20, "Forecast", "Actual" )</f>
        <v>Forecast</v>
      </c>
      <c r="Y9" s="13" t="str">
        <f ca="1">IF( Y8 &gt; '&gt;&gt; Inputs'!$G20, "Forecast", "Actual" )</f>
        <v>Forecast</v>
      </c>
    </row>
    <row r="10" spans="3:25" ht="15" customHeight="1" x14ac:dyDescent="0.2">
      <c r="C10" s="2"/>
      <c r="D10" s="2"/>
      <c r="E10" s="2"/>
      <c r="F10" s="24"/>
      <c r="G10" s="24"/>
      <c r="H10" s="43"/>
      <c r="I10" s="43"/>
      <c r="J10" s="43"/>
      <c r="K10" s="43"/>
      <c r="L10" s="43"/>
      <c r="M10" s="43"/>
      <c r="N10" s="43"/>
      <c r="O10" s="43"/>
      <c r="P10" s="43"/>
      <c r="Q10" s="43"/>
      <c r="R10" s="43"/>
      <c r="S10" s="43"/>
      <c r="T10" s="43"/>
      <c r="U10" s="43"/>
      <c r="V10" s="43"/>
      <c r="W10" s="43"/>
      <c r="X10" s="43"/>
      <c r="Y10" s="43"/>
    </row>
    <row r="11" spans="3:25" ht="15" customHeight="1" x14ac:dyDescent="0.2">
      <c r="C11" s="256" t="s">
        <v>173</v>
      </c>
      <c r="D11" s="79"/>
      <c r="E11" s="79"/>
      <c r="F11" s="78"/>
      <c r="G11" s="78"/>
      <c r="H11" s="212"/>
      <c r="I11" s="212"/>
      <c r="J11" s="212"/>
      <c r="K11" s="212"/>
      <c r="L11" s="212"/>
      <c r="M11" s="212"/>
      <c r="N11" s="212"/>
      <c r="O11" s="212"/>
      <c r="P11" s="212"/>
      <c r="Q11" s="212"/>
      <c r="R11" s="212"/>
      <c r="S11" s="212"/>
      <c r="T11" s="212"/>
      <c r="U11" s="212"/>
      <c r="V11" s="212"/>
      <c r="W11" s="212"/>
      <c r="X11" s="212"/>
      <c r="Y11" s="212"/>
    </row>
    <row r="13" spans="3:25" ht="15" customHeight="1" x14ac:dyDescent="0.2">
      <c r="C13" s="2"/>
      <c r="D13" s="2"/>
      <c r="E13" s="2" t="s">
        <v>261</v>
      </c>
      <c r="F13" s="24" t="s">
        <v>25</v>
      </c>
      <c r="G13" s="24"/>
      <c r="H13" s="27">
        <f>'&gt;&gt; Segments'!H23</f>
        <v>4179.8599999999997</v>
      </c>
      <c r="I13" s="27">
        <f>'&gt;&gt; Segments'!I23</f>
        <v>4819.6400000000003</v>
      </c>
      <c r="J13" s="27">
        <f>'&gt;&gt; Segments'!J23</f>
        <v>4493.4760000000006</v>
      </c>
      <c r="K13" s="27">
        <f>'&gt;&gt; Segments'!K23</f>
        <v>2352.1480000000001</v>
      </c>
      <c r="L13" s="27">
        <f>'&gt;&gt; Segments'!L23</f>
        <v>3488.77</v>
      </c>
      <c r="M13" s="27">
        <f>'&gt;&gt; Segments'!M23</f>
        <v>3788.5360000000001</v>
      </c>
      <c r="N13" s="27">
        <f>'&gt;&gt; Segments'!N23</f>
        <v>2890.99</v>
      </c>
      <c r="O13" s="27">
        <f>'&gt;&gt; Segments'!O23</f>
        <v>4617.9400000000005</v>
      </c>
      <c r="P13" s="27">
        <f ca="1">'&gt;&gt; Segments'!P23</f>
        <v>4708.2743327019325</v>
      </c>
      <c r="Q13" s="27">
        <f ca="1">'&gt;&gt; Segments'!Q23</f>
        <v>4825.2156014756165</v>
      </c>
      <c r="R13" s="27">
        <f ca="1">'&gt;&gt; Segments'!R23</f>
        <v>4937.7437768013033</v>
      </c>
      <c r="S13" s="27">
        <f ca="1">'&gt;&gt; Segments'!S23</f>
        <v>5039.7410711213333</v>
      </c>
      <c r="T13" s="27">
        <f ca="1">'&gt;&gt; Segments'!T23</f>
        <v>5155.7394928401109</v>
      </c>
      <c r="U13" s="27">
        <f ca="1">'&gt;&gt; Segments'!U23</f>
        <v>5286.6576359344244</v>
      </c>
      <c r="V13" s="27">
        <f ca="1">'&gt;&gt; Segments'!V23</f>
        <v>5428.1500346873509</v>
      </c>
      <c r="W13" s="27">
        <f ca="1">'&gt;&gt; Segments'!W23</f>
        <v>5564.6104759983891</v>
      </c>
      <c r="X13" s="27">
        <f ca="1">'&gt;&gt; Segments'!X23</f>
        <v>5710.9602148803642</v>
      </c>
      <c r="Y13" s="27">
        <f ca="1">'&gt;&gt; Segments'!Y23</f>
        <v>5864.976911926522</v>
      </c>
    </row>
    <row r="14" spans="3:25" ht="15" customHeight="1" x14ac:dyDescent="0.2">
      <c r="C14" s="2"/>
      <c r="D14" s="2"/>
      <c r="E14" s="2" t="s">
        <v>174</v>
      </c>
      <c r="F14" s="24" t="s">
        <v>25</v>
      </c>
      <c r="G14" s="24"/>
      <c r="H14" s="173">
        <v>71.680000000000007</v>
      </c>
      <c r="I14" s="174">
        <v>80.430000000000007</v>
      </c>
      <c r="J14" s="174">
        <v>85.8</v>
      </c>
      <c r="K14" s="174">
        <v>106.79</v>
      </c>
      <c r="L14" s="174">
        <v>117.66</v>
      </c>
      <c r="M14" s="174">
        <v>116.75</v>
      </c>
      <c r="N14" s="174">
        <v>128.08000000000001</v>
      </c>
      <c r="O14" s="175">
        <v>139.38999999999999</v>
      </c>
      <c r="P14" s="27">
        <f ca="1">P15-P13</f>
        <v>-3590.4321940916675</v>
      </c>
      <c r="Q14" s="27">
        <f t="shared" ref="Q14:Y14" ca="1" si="7">Q15-Q13</f>
        <v>-3854.3732322256574</v>
      </c>
      <c r="R14" s="27">
        <f t="shared" ca="1" si="7"/>
        <v>-3965.0788224010544</v>
      </c>
      <c r="S14" s="27">
        <f t="shared" ca="1" si="7"/>
        <v>-4063.9140584797105</v>
      </c>
      <c r="T14" s="27">
        <f t="shared" ca="1" si="7"/>
        <v>-4175.9879533521098</v>
      </c>
      <c r="U14" s="27">
        <f t="shared" ca="1" si="7"/>
        <v>-4306.3979430524951</v>
      </c>
      <c r="V14" s="27">
        <f t="shared" ca="1" si="7"/>
        <v>-4442.2477924896739</v>
      </c>
      <c r="W14" s="27">
        <f t="shared" ca="1" si="7"/>
        <v>-4572.2975122102498</v>
      </c>
      <c r="X14" s="27">
        <f t="shared" ca="1" si="7"/>
        <v>-4712.4986248791274</v>
      </c>
      <c r="Y14" s="27">
        <f t="shared" ca="1" si="7"/>
        <v>-4862.0448236117818</v>
      </c>
    </row>
    <row r="15" spans="3:25" ht="15" customHeight="1" x14ac:dyDescent="0.2">
      <c r="C15" s="1"/>
      <c r="D15" s="1"/>
      <c r="E15" s="1" t="s">
        <v>84</v>
      </c>
      <c r="F15" s="24" t="s">
        <v>25</v>
      </c>
      <c r="G15" s="93"/>
      <c r="H15" s="69">
        <f t="shared" ref="H15:O15" si="8">SUM(H13:H14)</f>
        <v>4251.54</v>
      </c>
      <c r="I15" s="69">
        <f t="shared" si="8"/>
        <v>4900.0700000000006</v>
      </c>
      <c r="J15" s="69">
        <f t="shared" si="8"/>
        <v>4579.2760000000007</v>
      </c>
      <c r="K15" s="69">
        <f t="shared" si="8"/>
        <v>2458.9380000000001</v>
      </c>
      <c r="L15" s="69">
        <f t="shared" si="8"/>
        <v>3606.43</v>
      </c>
      <c r="M15" s="69">
        <f t="shared" si="8"/>
        <v>3905.2860000000001</v>
      </c>
      <c r="N15" s="69">
        <f t="shared" si="8"/>
        <v>3019.0699999999997</v>
      </c>
      <c r="O15" s="69">
        <f t="shared" si="8"/>
        <v>4757.3300000000008</v>
      </c>
      <c r="P15" s="69">
        <f ca="1">'&gt;&gt; Segments'!P44</f>
        <v>1117.842138610265</v>
      </c>
      <c r="Q15" s="69">
        <f ca="1">'&gt;&gt; Segments'!Q44</f>
        <v>970.84236924995912</v>
      </c>
      <c r="R15" s="69">
        <f ca="1">'&gt;&gt; Segments'!R44</f>
        <v>972.66495440024903</v>
      </c>
      <c r="S15" s="69">
        <f ca="1">'&gt;&gt; Segments'!S44</f>
        <v>975.82701264162301</v>
      </c>
      <c r="T15" s="69">
        <f ca="1">'&gt;&gt; Segments'!T44</f>
        <v>979.75153948800096</v>
      </c>
      <c r="U15" s="69">
        <f ca="1">'&gt;&gt; Segments'!U44</f>
        <v>980.25969288192948</v>
      </c>
      <c r="V15" s="69">
        <f ca="1">'&gt;&gt; Segments'!V44</f>
        <v>985.90224219767708</v>
      </c>
      <c r="W15" s="69">
        <f ca="1">'&gt;&gt; Segments'!W44</f>
        <v>992.31296378813954</v>
      </c>
      <c r="X15" s="69">
        <f ca="1">'&gt;&gt; Segments'!X44</f>
        <v>998.4615900012368</v>
      </c>
      <c r="Y15" s="69">
        <f ca="1">'&gt;&gt; Segments'!Y44</f>
        <v>1002.9320883147401</v>
      </c>
    </row>
    <row r="16" spans="3:25" ht="15" customHeight="1" x14ac:dyDescent="0.2">
      <c r="C16" s="2"/>
      <c r="D16" s="2"/>
      <c r="E16" s="2" t="s">
        <v>152</v>
      </c>
      <c r="F16" s="24" t="s">
        <v>25</v>
      </c>
      <c r="G16" s="24"/>
      <c r="H16" s="27">
        <f>'&gt;&gt; Segments'!H57</f>
        <v>7.0699999999999994</v>
      </c>
      <c r="I16" s="27">
        <f>'&gt;&gt; Segments'!I57</f>
        <v>8.41</v>
      </c>
      <c r="J16" s="27">
        <f>'&gt;&gt; Segments'!J57</f>
        <v>9.120000000000001</v>
      </c>
      <c r="K16" s="27">
        <f>'&gt;&gt; Segments'!K57</f>
        <v>12.8</v>
      </c>
      <c r="L16" s="27">
        <f>'&gt;&gt; Segments'!L57</f>
        <v>17.420000000000002</v>
      </c>
      <c r="M16" s="27">
        <f>'&gt;&gt; Segments'!M57</f>
        <v>13.79</v>
      </c>
      <c r="N16" s="27">
        <f>'&gt;&gt; Segments'!N57</f>
        <v>13.58</v>
      </c>
      <c r="O16" s="27">
        <f>'&gt;&gt; Segments'!O57</f>
        <v>14.48</v>
      </c>
      <c r="P16" s="27">
        <f>'&gt;&gt; Segments'!P57</f>
        <v>12.083750000000002</v>
      </c>
      <c r="Q16" s="27">
        <f>'&gt;&gt; Segments'!Q57</f>
        <v>13.281875000000001</v>
      </c>
      <c r="R16" s="27">
        <f>'&gt;&gt; Segments'!R57</f>
        <v>13.945968750000002</v>
      </c>
      <c r="S16" s="27">
        <f>'&gt;&gt; Segments'!S57</f>
        <v>14.643267187500003</v>
      </c>
      <c r="T16" s="27">
        <f>'&gt;&gt; Segments'!T57</f>
        <v>15.375430546875004</v>
      </c>
      <c r="U16" s="27">
        <f>'&gt;&gt; Segments'!U57</f>
        <v>16.144202074218754</v>
      </c>
      <c r="V16" s="27">
        <f>'&gt;&gt; Segments'!V57</f>
        <v>16.951412177929694</v>
      </c>
      <c r="W16" s="27">
        <f>'&gt;&gt; Segments'!W57</f>
        <v>17.79898278682618</v>
      </c>
      <c r="X16" s="27">
        <f>'&gt;&gt; Segments'!X57</f>
        <v>18.688931926167491</v>
      </c>
      <c r="Y16" s="27">
        <f>'&gt;&gt; Segments'!Y57</f>
        <v>19.623378522475868</v>
      </c>
    </row>
    <row r="17" spans="3:25" ht="15" customHeight="1" x14ac:dyDescent="0.2">
      <c r="C17" s="1"/>
      <c r="D17" s="1"/>
      <c r="E17" s="1" t="s">
        <v>101</v>
      </c>
      <c r="F17" s="93" t="s">
        <v>25</v>
      </c>
      <c r="G17" s="93"/>
      <c r="H17" s="96">
        <f>H15-H16</f>
        <v>4244.47</v>
      </c>
      <c r="I17" s="96">
        <f t="shared" ref="I17:Y17" si="9">I15-I16</f>
        <v>4891.6600000000008</v>
      </c>
      <c r="J17" s="96">
        <f t="shared" si="9"/>
        <v>4570.1560000000009</v>
      </c>
      <c r="K17" s="96">
        <f t="shared" si="9"/>
        <v>2446.1379999999999</v>
      </c>
      <c r="L17" s="96">
        <f t="shared" si="9"/>
        <v>3589.0099999999998</v>
      </c>
      <c r="M17" s="96">
        <f t="shared" si="9"/>
        <v>3891.4960000000001</v>
      </c>
      <c r="N17" s="96">
        <f t="shared" si="9"/>
        <v>3005.49</v>
      </c>
      <c r="O17" s="96">
        <f t="shared" si="9"/>
        <v>4742.8500000000013</v>
      </c>
      <c r="P17" s="96">
        <f t="shared" ca="1" si="9"/>
        <v>1105.758388610265</v>
      </c>
      <c r="Q17" s="96">
        <f t="shared" ca="1" si="9"/>
        <v>957.56049424995911</v>
      </c>
      <c r="R17" s="96">
        <f t="shared" ca="1" si="9"/>
        <v>958.71898565024901</v>
      </c>
      <c r="S17" s="96">
        <f t="shared" ca="1" si="9"/>
        <v>961.18374545412303</v>
      </c>
      <c r="T17" s="96">
        <f t="shared" ca="1" si="9"/>
        <v>964.37610894112595</v>
      </c>
      <c r="U17" s="96">
        <f t="shared" ca="1" si="9"/>
        <v>964.11549080771078</v>
      </c>
      <c r="V17" s="96">
        <f t="shared" ca="1" si="9"/>
        <v>968.9508300197474</v>
      </c>
      <c r="W17" s="96">
        <f t="shared" ca="1" si="9"/>
        <v>974.51398100131337</v>
      </c>
      <c r="X17" s="96">
        <f t="shared" ca="1" si="9"/>
        <v>979.77265807506933</v>
      </c>
      <c r="Y17" s="96">
        <f t="shared" ca="1" si="9"/>
        <v>983.30870979226427</v>
      </c>
    </row>
    <row r="18" spans="3:25" ht="15" customHeight="1" x14ac:dyDescent="0.2">
      <c r="C18" s="2"/>
      <c r="D18" s="2"/>
      <c r="E18" s="2" t="s">
        <v>175</v>
      </c>
      <c r="F18" s="24" t="s">
        <v>25</v>
      </c>
      <c r="G18" s="24"/>
      <c r="H18" s="173">
        <v>115.17</v>
      </c>
      <c r="I18" s="174">
        <v>125.48</v>
      </c>
      <c r="J18" s="174">
        <v>135.72999999999999</v>
      </c>
      <c r="K18" s="174">
        <v>130.13</v>
      </c>
      <c r="L18" s="174">
        <v>94.42</v>
      </c>
      <c r="M18" s="174">
        <v>91.96</v>
      </c>
      <c r="N18" s="174">
        <v>265.83</v>
      </c>
      <c r="O18" s="175">
        <v>408.55</v>
      </c>
      <c r="P18" s="27">
        <f ca="1">'&gt;&gt; Segments'!P75</f>
        <v>627.89415227777158</v>
      </c>
      <c r="Q18" s="27">
        <f ca="1">'&gt;&gt; Segments'!Q75</f>
        <v>627.89415227777158</v>
      </c>
      <c r="R18" s="27">
        <f ca="1">'&gt;&gt; Segments'!R75</f>
        <v>627.89415227777158</v>
      </c>
      <c r="S18" s="27">
        <f ca="1">'&gt;&gt; Segments'!S75</f>
        <v>627.89415227777158</v>
      </c>
      <c r="T18" s="27">
        <f ca="1">'&gt;&gt; Segments'!T75</f>
        <v>627.89415227777158</v>
      </c>
      <c r="U18" s="27">
        <f ca="1">'&gt;&gt; Segments'!U75</f>
        <v>627.89415227777158</v>
      </c>
      <c r="V18" s="27">
        <f ca="1">'&gt;&gt; Segments'!V75</f>
        <v>627.89415227777158</v>
      </c>
      <c r="W18" s="27">
        <f ca="1">'&gt;&gt; Segments'!W75</f>
        <v>627.89415227777158</v>
      </c>
      <c r="X18" s="27">
        <f ca="1">'&gt;&gt; Segments'!X75</f>
        <v>627.89415227777158</v>
      </c>
      <c r="Y18" s="27">
        <f ca="1">'&gt;&gt; Segments'!Y75</f>
        <v>627.89415227777158</v>
      </c>
    </row>
    <row r="19" spans="3:25" ht="15" customHeight="1" x14ac:dyDescent="0.2">
      <c r="C19" s="2"/>
      <c r="D19" s="2"/>
      <c r="E19" s="2" t="s">
        <v>176</v>
      </c>
      <c r="F19" s="24" t="s">
        <v>25</v>
      </c>
      <c r="G19" s="24"/>
      <c r="H19" s="173">
        <v>2.6</v>
      </c>
      <c r="I19" s="174">
        <v>2.27</v>
      </c>
      <c r="J19" s="174">
        <v>2.11</v>
      </c>
      <c r="K19" s="174">
        <v>0.43</v>
      </c>
      <c r="L19" s="174">
        <v>0.35</v>
      </c>
      <c r="M19" s="174">
        <v>0.28000000000000003</v>
      </c>
      <c r="N19" s="174">
        <v>0.37</v>
      </c>
      <c r="O19" s="175">
        <v>0.47</v>
      </c>
      <c r="P19" s="71">
        <f>O19</f>
        <v>0.47</v>
      </c>
      <c r="Q19" s="71">
        <f t="shared" ref="Q19:Y19" si="10">P19</f>
        <v>0.47</v>
      </c>
      <c r="R19" s="71">
        <f t="shared" si="10"/>
        <v>0.47</v>
      </c>
      <c r="S19" s="71">
        <f t="shared" si="10"/>
        <v>0.47</v>
      </c>
      <c r="T19" s="71">
        <f t="shared" si="10"/>
        <v>0.47</v>
      </c>
      <c r="U19" s="71">
        <f t="shared" si="10"/>
        <v>0.47</v>
      </c>
      <c r="V19" s="71">
        <f t="shared" si="10"/>
        <v>0.47</v>
      </c>
      <c r="W19" s="71">
        <f t="shared" si="10"/>
        <v>0.47</v>
      </c>
      <c r="X19" s="71">
        <f t="shared" si="10"/>
        <v>0.47</v>
      </c>
      <c r="Y19" s="71">
        <f t="shared" si="10"/>
        <v>0.47</v>
      </c>
    </row>
    <row r="20" spans="3:25" ht="15" customHeight="1" x14ac:dyDescent="0.2">
      <c r="C20" s="2"/>
      <c r="D20" s="2"/>
      <c r="E20" s="2" t="s">
        <v>177</v>
      </c>
      <c r="F20" s="24" t="s">
        <v>25</v>
      </c>
      <c r="G20" s="24"/>
      <c r="H20" s="173"/>
      <c r="I20" s="174"/>
      <c r="J20" s="174"/>
      <c r="K20" s="174"/>
      <c r="L20" s="174"/>
      <c r="M20" s="174"/>
      <c r="N20" s="174"/>
      <c r="O20" s="177"/>
      <c r="P20" s="84"/>
      <c r="Q20" s="84"/>
      <c r="R20" s="84"/>
      <c r="S20" s="84"/>
      <c r="T20" s="84"/>
      <c r="U20" s="84"/>
      <c r="V20" s="84"/>
      <c r="W20" s="84"/>
      <c r="X20" s="84"/>
      <c r="Y20" s="84"/>
    </row>
    <row r="21" spans="3:25" ht="15" customHeight="1" x14ac:dyDescent="0.2">
      <c r="C21" s="1"/>
      <c r="D21" s="1"/>
      <c r="E21" s="1" t="s">
        <v>178</v>
      </c>
      <c r="F21" s="93" t="s">
        <v>25</v>
      </c>
      <c r="G21" s="93"/>
      <c r="H21" s="96">
        <f>H17-H18</f>
        <v>4129.3</v>
      </c>
      <c r="I21" s="96">
        <f t="shared" ref="I21:Y21" si="11">I17-I18</f>
        <v>4766.1800000000012</v>
      </c>
      <c r="J21" s="96">
        <f t="shared" si="11"/>
        <v>4434.4260000000013</v>
      </c>
      <c r="K21" s="96">
        <f t="shared" si="11"/>
        <v>2316.0079999999998</v>
      </c>
      <c r="L21" s="96">
        <f t="shared" si="11"/>
        <v>3494.5899999999997</v>
      </c>
      <c r="M21" s="96">
        <f t="shared" si="11"/>
        <v>3799.5360000000001</v>
      </c>
      <c r="N21" s="96">
        <f t="shared" si="11"/>
        <v>2739.66</v>
      </c>
      <c r="O21" s="96">
        <f t="shared" si="11"/>
        <v>4334.3000000000011</v>
      </c>
      <c r="P21" s="96">
        <f t="shared" ca="1" si="11"/>
        <v>477.86423633249342</v>
      </c>
      <c r="Q21" s="96">
        <f t="shared" ca="1" si="11"/>
        <v>329.66634197218752</v>
      </c>
      <c r="R21" s="96">
        <f t="shared" ca="1" si="11"/>
        <v>330.82483337247743</v>
      </c>
      <c r="S21" s="96">
        <f t="shared" ca="1" si="11"/>
        <v>333.28959317635145</v>
      </c>
      <c r="T21" s="96">
        <f t="shared" ca="1" si="11"/>
        <v>336.48195666335437</v>
      </c>
      <c r="U21" s="96">
        <f t="shared" ca="1" si="11"/>
        <v>336.2213385299392</v>
      </c>
      <c r="V21" s="96">
        <f t="shared" ca="1" si="11"/>
        <v>341.05667774197582</v>
      </c>
      <c r="W21" s="96">
        <f t="shared" ca="1" si="11"/>
        <v>346.61982872354179</v>
      </c>
      <c r="X21" s="96">
        <f t="shared" ca="1" si="11"/>
        <v>351.87850579729775</v>
      </c>
      <c r="Y21" s="96">
        <f t="shared" ca="1" si="11"/>
        <v>355.41455751449269</v>
      </c>
    </row>
    <row r="22" spans="3:25" ht="15" customHeight="1" x14ac:dyDescent="0.2">
      <c r="C22" s="2"/>
      <c r="D22" s="2"/>
      <c r="E22" s="2" t="s">
        <v>179</v>
      </c>
      <c r="F22" s="24" t="s">
        <v>25</v>
      </c>
      <c r="G22" s="24"/>
      <c r="H22" s="295">
        <v>-17</v>
      </c>
      <c r="I22" s="296">
        <v>-31.9</v>
      </c>
      <c r="J22" s="296">
        <v>-12.2</v>
      </c>
      <c r="K22" s="296">
        <v>-0.7</v>
      </c>
      <c r="L22" s="298">
        <v>73.099999999999994</v>
      </c>
      <c r="M22" s="296">
        <v>212.4</v>
      </c>
      <c r="N22" s="296">
        <v>-6.5</v>
      </c>
      <c r="O22" s="297">
        <v>-6.5</v>
      </c>
      <c r="P22" s="96">
        <f ca="1">-P21*'&gt;&gt; Inputs'!$G$46</f>
        <v>-133.80198617309816</v>
      </c>
      <c r="Q22" s="96">
        <f ca="1">-Q21*'&gt;&gt; Inputs'!$G$46</f>
        <v>-92.30657575221251</v>
      </c>
      <c r="R22" s="96">
        <f ca="1">-R21*'&gt;&gt; Inputs'!$G$46</f>
        <v>-92.630953344293687</v>
      </c>
      <c r="S22" s="96">
        <f ca="1">-S21*'&gt;&gt; Inputs'!$G$46</f>
        <v>-93.321086089378412</v>
      </c>
      <c r="T22" s="96">
        <f ca="1">-T21*'&gt;&gt; Inputs'!$G$46</f>
        <v>-94.214947865739234</v>
      </c>
      <c r="U22" s="96">
        <f ca="1">-U21*'&gt;&gt; Inputs'!$G$46</f>
        <v>-94.141974788382981</v>
      </c>
      <c r="V22" s="96">
        <f ca="1">-V21*'&gt;&gt; Inputs'!$G$46</f>
        <v>-95.495869767753234</v>
      </c>
      <c r="W22" s="96">
        <f ca="1">-W21*'&gt;&gt; Inputs'!$G$46</f>
        <v>-97.053552042591704</v>
      </c>
      <c r="X22" s="96">
        <f ca="1">-X21*'&gt;&gt; Inputs'!$G$46</f>
        <v>-98.525981623243382</v>
      </c>
      <c r="Y22" s="96">
        <f ca="1">-Y21*'&gt;&gt; Inputs'!$G$46</f>
        <v>-99.516076104057959</v>
      </c>
    </row>
    <row r="23" spans="3:25" ht="15" customHeight="1" x14ac:dyDescent="0.2">
      <c r="C23" s="1"/>
      <c r="D23" s="1"/>
      <c r="E23" s="1" t="s">
        <v>180</v>
      </c>
      <c r="F23" s="93" t="s">
        <v>25</v>
      </c>
      <c r="G23" s="93"/>
      <c r="H23" s="299">
        <v>60.81</v>
      </c>
      <c r="I23" s="300">
        <v>67.510000000000005</v>
      </c>
      <c r="J23" s="300">
        <v>73.62</v>
      </c>
      <c r="K23" s="300">
        <v>71.97</v>
      </c>
      <c r="L23" s="298">
        <v>87.03</v>
      </c>
      <c r="M23" s="300">
        <v>95.13</v>
      </c>
      <c r="N23" s="300">
        <v>95.87</v>
      </c>
      <c r="O23" s="301">
        <v>74.55</v>
      </c>
    </row>
    <row r="24" spans="3:25" ht="15" customHeight="1" x14ac:dyDescent="0.2">
      <c r="C24" s="1"/>
      <c r="D24" s="1"/>
      <c r="E24" s="1" t="s">
        <v>181</v>
      </c>
      <c r="F24" s="93" t="s">
        <v>25</v>
      </c>
      <c r="G24" s="37"/>
      <c r="H24" s="96">
        <f>H23-(H21 * (1-'&gt;&gt; Inputs'!$G$46))</f>
        <v>-2912.2860000000001</v>
      </c>
      <c r="I24" s="96">
        <f>I23-(I21 * (1-'&gt;&gt; Inputs'!$G$46))</f>
        <v>-3364.1396000000004</v>
      </c>
      <c r="J24" s="96">
        <f>J23-(J21 * (1-'&gt;&gt; Inputs'!$G$46))</f>
        <v>-3119.1667200000011</v>
      </c>
      <c r="K24" s="96">
        <f>K23-(K21 * (1-'&gt;&gt; Inputs'!$G$46))</f>
        <v>-1595.5557599999997</v>
      </c>
      <c r="L24" s="96">
        <f>L23-(L21 * (1-'&gt;&gt; Inputs'!$G$46))</f>
        <v>-2429.0747999999994</v>
      </c>
      <c r="M24" s="96">
        <f>M23-(M21 * (1-'&gt;&gt; Inputs'!$G$46))</f>
        <v>-2640.5359199999998</v>
      </c>
      <c r="N24" s="96">
        <f>N23-(N21 * (1-'&gt;&gt; Inputs'!$G$46))</f>
        <v>-1876.6851999999999</v>
      </c>
      <c r="O24" s="96">
        <f>O23-(O21 * (1-'&gt;&gt; Inputs'!$G$46))</f>
        <v>-3046.1460000000006</v>
      </c>
      <c r="P24" s="96">
        <f t="shared" ref="P24:Y24" ca="1" si="12">SUM(P21:P22)</f>
        <v>344.06225015939526</v>
      </c>
      <c r="Q24" s="96">
        <f t="shared" ca="1" si="12"/>
        <v>237.35976621997503</v>
      </c>
      <c r="R24" s="96">
        <f t="shared" ca="1" si="12"/>
        <v>238.19388002818374</v>
      </c>
      <c r="S24" s="96">
        <f t="shared" ca="1" si="12"/>
        <v>239.96850708697303</v>
      </c>
      <c r="T24" s="96">
        <f t="shared" ca="1" si="12"/>
        <v>242.26700879761512</v>
      </c>
      <c r="U24" s="96">
        <f t="shared" ca="1" si="12"/>
        <v>242.07936374155622</v>
      </c>
      <c r="V24" s="96">
        <f t="shared" ca="1" si="12"/>
        <v>245.5608079742226</v>
      </c>
      <c r="W24" s="96">
        <f t="shared" ca="1" si="12"/>
        <v>249.56627668095007</v>
      </c>
      <c r="X24" s="96">
        <f t="shared" ca="1" si="12"/>
        <v>253.35252417405437</v>
      </c>
      <c r="Y24" s="96">
        <f t="shared" ca="1" si="12"/>
        <v>255.89848141043473</v>
      </c>
    </row>
    <row r="25" spans="3:25" ht="15" customHeight="1" x14ac:dyDescent="0.2">
      <c r="C25" s="2"/>
      <c r="D25" s="2"/>
      <c r="E25" s="2" t="s">
        <v>182</v>
      </c>
      <c r="F25" s="134" t="s">
        <v>264</v>
      </c>
      <c r="G25" s="24"/>
      <c r="H25" s="50">
        <f>( H24 / '&gt;&gt; Inputs'!$G$47) * 100</f>
        <v>-768.90813208177974</v>
      </c>
      <c r="I25" s="50">
        <f>( I24 / '&gt;&gt; Inputs'!$G$47) * 100</f>
        <v>-888.20750980444438</v>
      </c>
      <c r="J25" s="50">
        <f>( J24 / '&gt;&gt; Inputs'!$G$47) * 100</f>
        <v>-823.52923316145893</v>
      </c>
      <c r="K25" s="50">
        <f>( K24 / '&gt;&gt; Inputs'!$G$47) * 100</f>
        <v>-421.26212846331867</v>
      </c>
      <c r="L25" s="50">
        <f>( L24 / '&gt;&gt; Inputs'!$G$47) * 100</f>
        <v>-641.32965208599785</v>
      </c>
      <c r="M25" s="50">
        <f>( M24 / '&gt;&gt; Inputs'!$G$47) * 100</f>
        <v>-697.1600804117603</v>
      </c>
      <c r="N25" s="50">
        <f>( N24 / '&gt;&gt; Inputs'!$G$47) * 100</f>
        <v>-495.48653931568583</v>
      </c>
      <c r="O25" s="50">
        <f>( O24 / '&gt;&gt; Inputs'!$G$47) * 100</f>
        <v>-804.25014263996934</v>
      </c>
      <c r="P25" s="50">
        <f ca="1">( P24 / '&gt;&gt; Inputs'!$G$47) * 100</f>
        <v>90.840069309784369</v>
      </c>
      <c r="Q25" s="50">
        <f ca="1">( Q24 / '&gt;&gt; Inputs'!$G$47) * 100</f>
        <v>62.668245658417106</v>
      </c>
      <c r="R25" s="50">
        <f ca="1">( R24 / '&gt;&gt; Inputs'!$G$47) * 100</f>
        <v>62.888470214045711</v>
      </c>
      <c r="S25" s="50">
        <f ca="1">( S24 / '&gt;&gt; Inputs'!$G$47) * 100</f>
        <v>63.357011139255484</v>
      </c>
      <c r="T25" s="50">
        <f ca="1">( T24 / '&gt;&gt; Inputs'!$G$47) * 100</f>
        <v>63.963866598134381</v>
      </c>
      <c r="U25" s="50">
        <f ca="1">( U24 / '&gt;&gt; Inputs'!$G$47) * 100</f>
        <v>63.914324139203963</v>
      </c>
      <c r="V25" s="50">
        <f ca="1">( V24 / '&gt;&gt; Inputs'!$G$47) * 100</f>
        <v>64.833502675201586</v>
      </c>
      <c r="W25" s="50">
        <f ca="1">( W24 / '&gt;&gt; Inputs'!$G$47) * 100</f>
        <v>65.891035301256125</v>
      </c>
      <c r="X25" s="50">
        <f ca="1">( X24 / '&gt;&gt; Inputs'!$G$47) * 100</f>
        <v>66.890688662060015</v>
      </c>
      <c r="Y25" s="50">
        <f ca="1">( Y24 / '&gt;&gt; Inputs'!$G$47) * 100</f>
        <v>67.562877871150505</v>
      </c>
    </row>
    <row r="26" spans="3:25" ht="15" customHeight="1" x14ac:dyDescent="0.2">
      <c r="C26" s="2"/>
      <c r="D26" s="2"/>
      <c r="E26" s="2" t="s">
        <v>254</v>
      </c>
      <c r="F26" s="24"/>
      <c r="G26" s="24"/>
      <c r="H26" s="2">
        <v>172.48</v>
      </c>
      <c r="I26" s="2">
        <v>191.18</v>
      </c>
      <c r="J26" s="2">
        <v>206.64</v>
      </c>
      <c r="K26" s="61">
        <v>232.68</v>
      </c>
      <c r="L26" s="61">
        <v>245.67</v>
      </c>
      <c r="M26" s="61">
        <v>280.67</v>
      </c>
      <c r="N26" s="101">
        <v>290.14</v>
      </c>
      <c r="O26" s="61">
        <v>292.23</v>
      </c>
      <c r="P26" s="320"/>
      <c r="Q26" s="61"/>
      <c r="R26" s="61"/>
      <c r="S26" s="61"/>
      <c r="T26" s="61"/>
      <c r="U26" s="61"/>
      <c r="V26" s="61"/>
      <c r="W26" s="61"/>
      <c r="X26" s="61"/>
      <c r="Y26" s="61"/>
    </row>
    <row r="27" spans="3:25" ht="15" customHeight="1" x14ac:dyDescent="0.2">
      <c r="C27" s="128" t="s">
        <v>183</v>
      </c>
      <c r="D27" s="129"/>
      <c r="E27" s="129"/>
      <c r="F27" s="130"/>
      <c r="G27" s="130"/>
      <c r="H27" s="129"/>
      <c r="I27" s="129"/>
      <c r="J27" s="129"/>
      <c r="K27" s="131"/>
      <c r="L27" s="131"/>
      <c r="M27" s="131"/>
      <c r="N27" s="132"/>
      <c r="O27" s="79"/>
      <c r="P27" s="131"/>
      <c r="Q27" s="131"/>
      <c r="R27" s="131"/>
      <c r="S27" s="131"/>
      <c r="T27" s="131"/>
      <c r="U27" s="131"/>
      <c r="V27" s="131"/>
      <c r="W27" s="131"/>
      <c r="X27" s="131"/>
      <c r="Y27" s="131"/>
    </row>
    <row r="28" spans="3:25" ht="15" customHeight="1" x14ac:dyDescent="0.2">
      <c r="P28" s="159"/>
      <c r="Q28" s="159"/>
      <c r="R28" s="159"/>
      <c r="S28" s="159"/>
      <c r="T28" s="159"/>
      <c r="U28" s="159"/>
      <c r="V28" s="159"/>
      <c r="W28" s="159"/>
      <c r="X28" s="159"/>
      <c r="Y28" s="159"/>
    </row>
    <row r="29" spans="3:25" ht="15" customHeight="1" x14ac:dyDescent="0.2">
      <c r="E29" s="2" t="s">
        <v>184</v>
      </c>
      <c r="F29" s="24" t="s">
        <v>25</v>
      </c>
      <c r="G29" s="24"/>
      <c r="H29" s="173">
        <v>57.04</v>
      </c>
      <c r="I29" s="174">
        <v>49.59</v>
      </c>
      <c r="J29" s="174">
        <v>74.5</v>
      </c>
      <c r="K29" s="174">
        <v>147.18</v>
      </c>
      <c r="L29" s="174">
        <v>182.33</v>
      </c>
      <c r="M29" s="174">
        <v>310.76</v>
      </c>
      <c r="N29" s="174">
        <v>311.5</v>
      </c>
      <c r="O29" s="175">
        <v>629.62</v>
      </c>
      <c r="P29" s="71">
        <f>O29*(1+P30)</f>
        <v>13900.812910661596</v>
      </c>
      <c r="Q29" s="71">
        <f t="shared" ref="Q29:Y29" si="13">P29*(1+Q30)</f>
        <v>14017.859708414853</v>
      </c>
      <c r="R29" s="71">
        <f t="shared" si="13"/>
        <v>14135.890794685678</v>
      </c>
      <c r="S29" s="71">
        <f t="shared" si="13"/>
        <v>14254.914437276668</v>
      </c>
      <c r="T29" s="71">
        <f t="shared" si="13"/>
        <v>14253.355362469998</v>
      </c>
      <c r="U29" s="71">
        <f t="shared" si="13"/>
        <v>14299.567460104032</v>
      </c>
      <c r="V29" s="71">
        <f t="shared" si="13"/>
        <v>14393.855270801936</v>
      </c>
      <c r="W29" s="71">
        <f t="shared" si="13"/>
        <v>14537.006688054938</v>
      </c>
      <c r="X29" s="71">
        <f t="shared" si="13"/>
        <v>14730.303468052571</v>
      </c>
      <c r="Y29" s="71">
        <f t="shared" si="13"/>
        <v>14975.540014420278</v>
      </c>
    </row>
    <row r="30" spans="3:25" ht="15" customHeight="1" x14ac:dyDescent="0.2">
      <c r="E30" s="135" t="s">
        <v>128</v>
      </c>
      <c r="F30" s="24" t="s">
        <v>7</v>
      </c>
      <c r="G30" s="24"/>
      <c r="H30" s="71"/>
      <c r="I30" s="178">
        <f>IFERROR((I29/H29-1),"NA")</f>
        <v>-0.13061009817671798</v>
      </c>
      <c r="J30" s="178">
        <f t="shared" ref="J30:O30" si="14">IFERROR((J29/I29-1),"NA")</f>
        <v>0.502319015930631</v>
      </c>
      <c r="K30" s="178">
        <f t="shared" si="14"/>
        <v>0.9755704697986578</v>
      </c>
      <c r="L30" s="178">
        <f t="shared" si="14"/>
        <v>0.23882320967522763</v>
      </c>
      <c r="M30" s="178">
        <f t="shared" si="14"/>
        <v>0.70438216420775501</v>
      </c>
      <c r="N30" s="178">
        <f t="shared" si="14"/>
        <v>2.3812588492728715E-3</v>
      </c>
      <c r="O30" s="178">
        <f t="shared" si="14"/>
        <v>1.0212520064205459</v>
      </c>
      <c r="P30" s="176">
        <f>F117</f>
        <v>21.078099346687836</v>
      </c>
      <c r="Q30" s="318">
        <f t="shared" ref="Q30:Y30" si="15">G117</f>
        <v>8.4201404986528165E-3</v>
      </c>
      <c r="R30" s="318">
        <f t="shared" si="15"/>
        <v>8.4200504731810292E-3</v>
      </c>
      <c r="S30" s="318">
        <f t="shared" si="15"/>
        <v>8.4199605330663833E-3</v>
      </c>
      <c r="T30" s="318">
        <f t="shared" si="15"/>
        <v>-1.0937103926725832E-4</v>
      </c>
      <c r="U30" s="318">
        <f t="shared" si="15"/>
        <v>3.2421908006106167E-3</v>
      </c>
      <c r="V30" s="318">
        <f t="shared" si="15"/>
        <v>6.5937526404884952E-3</v>
      </c>
      <c r="W30" s="318">
        <f t="shared" si="15"/>
        <v>9.9453144803663719E-3</v>
      </c>
      <c r="X30" s="318">
        <f t="shared" si="15"/>
        <v>1.3296876320244249E-2</v>
      </c>
      <c r="Y30" s="319">
        <f t="shared" si="15"/>
        <v>1.6648438160122125E-2</v>
      </c>
    </row>
    <row r="31" spans="3:25" ht="15" customHeight="1" x14ac:dyDescent="0.2">
      <c r="E31" s="2" t="s">
        <v>185</v>
      </c>
      <c r="F31" s="24" t="s">
        <v>25</v>
      </c>
      <c r="G31" s="24"/>
      <c r="H31" s="173">
        <f>6.23+1.01</f>
        <v>7.24</v>
      </c>
      <c r="I31" s="174">
        <f>3.17+1.613</f>
        <v>4.7829999999999995</v>
      </c>
      <c r="J31" s="174">
        <f>11.34+3.277</f>
        <v>14.617000000000001</v>
      </c>
      <c r="K31" s="174">
        <f>4.55+1.952</f>
        <v>6.5019999999999998</v>
      </c>
      <c r="L31" s="174">
        <f>3.47+1.763</f>
        <v>5.2330000000000005</v>
      </c>
      <c r="M31" s="174">
        <f>3.22</f>
        <v>3.22</v>
      </c>
      <c r="N31" s="174">
        <f>1.82+0.43</f>
        <v>2.25</v>
      </c>
      <c r="O31" s="175">
        <f>6.94+0.194</f>
        <v>7.1340000000000003</v>
      </c>
      <c r="P31" s="71">
        <f>O31*(1+P32)</f>
        <v>157.50516073927102</v>
      </c>
      <c r="Q31" s="71">
        <f t="shared" ref="Q31:Y31" si="16">P31*(1+Q32)</f>
        <v>158.83137632195857</v>
      </c>
      <c r="R31" s="71">
        <f t="shared" si="16"/>
        <v>160.16874452731429</v>
      </c>
      <c r="S31" s="71">
        <f t="shared" si="16"/>
        <v>161.51735903486505</v>
      </c>
      <c r="T31" s="71">
        <f t="shared" si="16"/>
        <v>161.4996937134477</v>
      </c>
      <c r="U31" s="71">
        <f t="shared" si="16"/>
        <v>162.02330653470688</v>
      </c>
      <c r="V31" s="71">
        <f t="shared" si="16"/>
        <v>163.09164813999078</v>
      </c>
      <c r="W31" s="71">
        <f t="shared" si="16"/>
        <v>164.71364586986422</v>
      </c>
      <c r="X31" s="71">
        <f t="shared" si="16"/>
        <v>166.90382284725234</v>
      </c>
      <c r="Y31" s="71">
        <f t="shared" si="16"/>
        <v>169.6825108206128</v>
      </c>
    </row>
    <row r="32" spans="3:25" ht="15" customHeight="1" x14ac:dyDescent="0.2">
      <c r="E32" s="135" t="s">
        <v>128</v>
      </c>
      <c r="F32" s="24" t="s">
        <v>7</v>
      </c>
      <c r="G32" s="24"/>
      <c r="H32" s="71"/>
      <c r="I32" s="178">
        <f>IFERROR((I31/H31-1),"NA")</f>
        <v>-0.339364640883978</v>
      </c>
      <c r="J32" s="178">
        <f t="shared" ref="J32:O32" si="17">IFERROR((J31/I31-1),"NA")</f>
        <v>2.0560317792180647</v>
      </c>
      <c r="K32" s="178">
        <f t="shared" si="17"/>
        <v>-0.55517548060477528</v>
      </c>
      <c r="L32" s="178">
        <f t="shared" si="17"/>
        <v>-0.19517071670255293</v>
      </c>
      <c r="M32" s="178">
        <f t="shared" si="17"/>
        <v>-0.38467418306898526</v>
      </c>
      <c r="N32" s="178">
        <f t="shared" si="17"/>
        <v>-0.30124223602484479</v>
      </c>
      <c r="O32" s="178">
        <f t="shared" si="17"/>
        <v>2.170666666666667</v>
      </c>
      <c r="P32" s="176">
        <f>F117</f>
        <v>21.078099346687836</v>
      </c>
      <c r="Q32" s="318">
        <f t="shared" ref="Q32:Y32" si="18">G117</f>
        <v>8.4201404986528165E-3</v>
      </c>
      <c r="R32" s="318">
        <f t="shared" si="18"/>
        <v>8.4200504731810292E-3</v>
      </c>
      <c r="S32" s="318">
        <f t="shared" si="18"/>
        <v>8.4199605330663833E-3</v>
      </c>
      <c r="T32" s="318">
        <f t="shared" si="18"/>
        <v>-1.0937103926725832E-4</v>
      </c>
      <c r="U32" s="318">
        <f t="shared" si="18"/>
        <v>3.2421908006106167E-3</v>
      </c>
      <c r="V32" s="318">
        <f t="shared" si="18"/>
        <v>6.5937526404884952E-3</v>
      </c>
      <c r="W32" s="318">
        <f t="shared" si="18"/>
        <v>9.9453144803663719E-3</v>
      </c>
      <c r="X32" s="318">
        <f t="shared" si="18"/>
        <v>1.3296876320244249E-2</v>
      </c>
      <c r="Y32" s="319">
        <f t="shared" si="18"/>
        <v>1.6648438160122125E-2</v>
      </c>
    </row>
    <row r="33" spans="5:25" ht="15" customHeight="1" x14ac:dyDescent="0.2">
      <c r="E33" s="2" t="s">
        <v>186</v>
      </c>
      <c r="F33" s="24" t="s">
        <v>25</v>
      </c>
      <c r="G33" s="24"/>
      <c r="H33" s="173">
        <v>2.2999999999999998</v>
      </c>
      <c r="I33" s="174">
        <v>2.2000000000000002</v>
      </c>
      <c r="J33" s="174">
        <v>3</v>
      </c>
      <c r="K33" s="174">
        <v>3.3</v>
      </c>
      <c r="L33" s="174">
        <v>4.4000000000000004</v>
      </c>
      <c r="M33" s="174">
        <v>2</v>
      </c>
      <c r="N33" s="174">
        <v>5.0999999999999996</v>
      </c>
      <c r="O33" s="175">
        <v>5.5</v>
      </c>
      <c r="P33" s="71">
        <f>O33*(1+P34)</f>
        <v>121.42954640678309</v>
      </c>
      <c r="Q33" s="71">
        <f t="shared" ref="Q33:Y33" si="19">P33*(1+Q34)</f>
        <v>122.45200024821588</v>
      </c>
      <c r="R33" s="71">
        <f t="shared" si="19"/>
        <v>123.48305227084784</v>
      </c>
      <c r="S33" s="71">
        <f t="shared" si="19"/>
        <v>124.52277469747095</v>
      </c>
      <c r="T33" s="71">
        <f t="shared" si="19"/>
        <v>124.50915551218985</v>
      </c>
      <c r="U33" s="71">
        <f t="shared" si="19"/>
        <v>124.91283795078327</v>
      </c>
      <c r="V33" s="71">
        <f t="shared" si="19"/>
        <v>125.73648230585215</v>
      </c>
      <c r="W33" s="71">
        <f t="shared" si="19"/>
        <v>126.98697116403886</v>
      </c>
      <c r="X33" s="71">
        <f t="shared" si="19"/>
        <v>128.67550121388953</v>
      </c>
      <c r="Y33" s="71">
        <f t="shared" si="19"/>
        <v>130.81774733857171</v>
      </c>
    </row>
    <row r="34" spans="5:25" ht="15" customHeight="1" x14ac:dyDescent="0.2">
      <c r="E34" s="135" t="s">
        <v>128</v>
      </c>
      <c r="F34" s="24" t="s">
        <v>7</v>
      </c>
      <c r="G34" s="24"/>
      <c r="H34" s="71"/>
      <c r="I34" s="178">
        <f>IFERROR((I33/H33-1),"NA")</f>
        <v>-4.3478260869565077E-2</v>
      </c>
      <c r="J34" s="178">
        <f t="shared" ref="J34:O34" si="20">IFERROR((J33/I33-1),"NA")</f>
        <v>0.36363636363636354</v>
      </c>
      <c r="K34" s="178">
        <f t="shared" si="20"/>
        <v>9.9999999999999867E-2</v>
      </c>
      <c r="L34" s="178">
        <f t="shared" si="20"/>
        <v>0.33333333333333348</v>
      </c>
      <c r="M34" s="178">
        <f t="shared" si="20"/>
        <v>-0.54545454545454541</v>
      </c>
      <c r="N34" s="178">
        <f t="shared" si="20"/>
        <v>1.5499999999999998</v>
      </c>
      <c r="O34" s="178">
        <f t="shared" si="20"/>
        <v>7.8431372549019773E-2</v>
      </c>
      <c r="P34" s="176">
        <f>F117</f>
        <v>21.078099346687836</v>
      </c>
      <c r="Q34" s="318">
        <f t="shared" ref="Q34:X34" si="21">G117</f>
        <v>8.4201404986528165E-3</v>
      </c>
      <c r="R34" s="318">
        <f t="shared" si="21"/>
        <v>8.4200504731810292E-3</v>
      </c>
      <c r="S34" s="318">
        <f t="shared" si="21"/>
        <v>8.4199605330663833E-3</v>
      </c>
      <c r="T34" s="318">
        <f t="shared" si="21"/>
        <v>-1.0937103926725832E-4</v>
      </c>
      <c r="U34" s="318">
        <f t="shared" si="21"/>
        <v>3.2421908006106167E-3</v>
      </c>
      <c r="V34" s="318">
        <f t="shared" si="21"/>
        <v>6.5937526404884952E-3</v>
      </c>
      <c r="W34" s="318">
        <f t="shared" si="21"/>
        <v>9.9453144803663719E-3</v>
      </c>
      <c r="X34" s="318">
        <f t="shared" si="21"/>
        <v>1.3296876320244249E-2</v>
      </c>
      <c r="Y34" s="319">
        <f>O117</f>
        <v>1.6648438160122125E-2</v>
      </c>
    </row>
    <row r="35" spans="5:25" ht="15" customHeight="1" x14ac:dyDescent="0.2">
      <c r="E35" s="2" t="s">
        <v>187</v>
      </c>
      <c r="F35" s="24" t="s">
        <v>25</v>
      </c>
      <c r="G35" s="24"/>
      <c r="H35" s="173">
        <v>8.67</v>
      </c>
      <c r="I35" s="174">
        <v>7.58</v>
      </c>
      <c r="J35" s="174">
        <v>15.18</v>
      </c>
      <c r="K35" s="174">
        <v>21.98</v>
      </c>
      <c r="L35" s="174">
        <v>18.41</v>
      </c>
      <c r="M35" s="174">
        <v>30.75</v>
      </c>
      <c r="N35" s="174">
        <v>33.04</v>
      </c>
      <c r="O35" s="175">
        <v>29.95</v>
      </c>
      <c r="P35" s="71">
        <f>O35*(1+P36)</f>
        <v>661.23907543330063</v>
      </c>
      <c r="Q35" s="71">
        <f t="shared" ref="Q35:Y35" si="22">P35*(1+Q36)</f>
        <v>666.80680135164835</v>
      </c>
      <c r="R35" s="71">
        <f t="shared" si="22"/>
        <v>672.42134827488962</v>
      </c>
      <c r="S35" s="71">
        <f t="shared" si="22"/>
        <v>678.08310948895553</v>
      </c>
      <c r="T35" s="71">
        <f t="shared" si="22"/>
        <v>678.00894683456113</v>
      </c>
      <c r="U35" s="71">
        <f t="shared" si="22"/>
        <v>680.20718120471986</v>
      </c>
      <c r="V35" s="71">
        <f t="shared" si="22"/>
        <v>684.69229910186766</v>
      </c>
      <c r="W35" s="71">
        <f t="shared" si="22"/>
        <v>691.50177933872078</v>
      </c>
      <c r="X35" s="71">
        <f t="shared" si="22"/>
        <v>700.69659297381668</v>
      </c>
      <c r="Y35" s="71">
        <f t="shared" si="22"/>
        <v>712.36209687094959</v>
      </c>
    </row>
    <row r="36" spans="5:25" ht="15" customHeight="1" x14ac:dyDescent="0.2">
      <c r="E36" s="135" t="s">
        <v>128</v>
      </c>
      <c r="F36" s="24" t="s">
        <v>7</v>
      </c>
      <c r="G36" s="24"/>
      <c r="H36" s="71"/>
      <c r="I36" s="178">
        <f>IFERROR((I35/H35-1),"NA")</f>
        <v>-0.12572087658592845</v>
      </c>
      <c r="J36" s="178">
        <f t="shared" ref="J36:O36" si="23">IFERROR((J35/I35-1),"NA")</f>
        <v>1.0026385224274406</v>
      </c>
      <c r="K36" s="178">
        <f t="shared" si="23"/>
        <v>0.44795783926218724</v>
      </c>
      <c r="L36" s="178">
        <f t="shared" si="23"/>
        <v>-0.16242038216560506</v>
      </c>
      <c r="M36" s="178">
        <f t="shared" si="23"/>
        <v>0.67028788701792497</v>
      </c>
      <c r="N36" s="178">
        <f t="shared" si="23"/>
        <v>7.4471544715447147E-2</v>
      </c>
      <c r="O36" s="178">
        <f t="shared" si="23"/>
        <v>-9.3523002421307511E-2</v>
      </c>
      <c r="P36" s="176">
        <f>F117</f>
        <v>21.078099346687836</v>
      </c>
      <c r="Q36" s="318">
        <f t="shared" ref="Q36:Y36" si="24">G117</f>
        <v>8.4201404986528165E-3</v>
      </c>
      <c r="R36" s="318">
        <f t="shared" si="24"/>
        <v>8.4200504731810292E-3</v>
      </c>
      <c r="S36" s="318">
        <f t="shared" si="24"/>
        <v>8.4199605330663833E-3</v>
      </c>
      <c r="T36" s="318">
        <f t="shared" si="24"/>
        <v>-1.0937103926725832E-4</v>
      </c>
      <c r="U36" s="318">
        <f t="shared" si="24"/>
        <v>3.2421908006106167E-3</v>
      </c>
      <c r="V36" s="318">
        <f t="shared" si="24"/>
        <v>6.5937526404884952E-3</v>
      </c>
      <c r="W36" s="318">
        <f t="shared" si="24"/>
        <v>9.9453144803663719E-3</v>
      </c>
      <c r="X36" s="318">
        <f t="shared" si="24"/>
        <v>1.3296876320244249E-2</v>
      </c>
      <c r="Y36" s="319">
        <f t="shared" si="24"/>
        <v>1.6648438160122125E-2</v>
      </c>
    </row>
    <row r="37" spans="5:25" ht="15" customHeight="1" x14ac:dyDescent="0.2">
      <c r="E37" s="1" t="s">
        <v>188</v>
      </c>
      <c r="F37" s="24" t="s">
        <v>25</v>
      </c>
      <c r="G37" s="24"/>
      <c r="H37" s="71">
        <f>H29+H31+H33+H35</f>
        <v>75.25</v>
      </c>
      <c r="I37" s="71">
        <f t="shared" ref="I37:Y37" si="25">I29+I31+I33+I35</f>
        <v>64.153000000000006</v>
      </c>
      <c r="J37" s="71">
        <f t="shared" si="25"/>
        <v>107.297</v>
      </c>
      <c r="K37" s="71">
        <f t="shared" si="25"/>
        <v>178.96200000000002</v>
      </c>
      <c r="L37" s="71">
        <f t="shared" si="25"/>
        <v>210.37300000000002</v>
      </c>
      <c r="M37" s="71">
        <f t="shared" si="25"/>
        <v>346.73</v>
      </c>
      <c r="N37" s="71">
        <f t="shared" si="25"/>
        <v>351.89000000000004</v>
      </c>
      <c r="O37" s="71">
        <f t="shared" si="25"/>
        <v>672.20400000000006</v>
      </c>
      <c r="P37" s="72">
        <f t="shared" si="25"/>
        <v>14840.986693240951</v>
      </c>
      <c r="Q37" s="72">
        <f t="shared" si="25"/>
        <v>14965.949886336677</v>
      </c>
      <c r="R37" s="72">
        <f t="shared" si="25"/>
        <v>15091.963939758729</v>
      </c>
      <c r="S37" s="72">
        <f t="shared" si="25"/>
        <v>15219.037680497961</v>
      </c>
      <c r="T37" s="72">
        <f t="shared" si="25"/>
        <v>15217.373158530196</v>
      </c>
      <c r="U37" s="72">
        <f t="shared" si="25"/>
        <v>15266.710785794243</v>
      </c>
      <c r="V37" s="72">
        <f t="shared" si="25"/>
        <v>15367.375700349647</v>
      </c>
      <c r="W37" s="72">
        <f t="shared" si="25"/>
        <v>15520.209084427563</v>
      </c>
      <c r="X37" s="72">
        <f t="shared" si="25"/>
        <v>15726.579385087529</v>
      </c>
      <c r="Y37" s="72">
        <f t="shared" si="25"/>
        <v>15988.40236945041</v>
      </c>
    </row>
    <row r="38" spans="5:25" ht="15" customHeight="1" x14ac:dyDescent="0.2">
      <c r="E38" s="1"/>
      <c r="F38" s="24"/>
      <c r="G38" s="24"/>
      <c r="H38" s="71"/>
      <c r="I38" s="71"/>
      <c r="J38" s="71"/>
      <c r="K38" s="71"/>
      <c r="L38" s="71"/>
      <c r="M38" s="71"/>
      <c r="N38" s="71"/>
      <c r="O38" s="71"/>
      <c r="P38" s="72"/>
      <c r="Q38" s="72"/>
      <c r="R38" s="72"/>
      <c r="S38" s="72"/>
      <c r="T38" s="72"/>
      <c r="U38" s="72"/>
      <c r="V38" s="72"/>
      <c r="W38" s="72"/>
      <c r="X38" s="72"/>
      <c r="Y38" s="72"/>
    </row>
    <row r="39" spans="5:25" ht="15" customHeight="1" x14ac:dyDescent="0.2">
      <c r="E39" s="1"/>
      <c r="F39" s="24"/>
      <c r="G39" s="24"/>
      <c r="H39" s="71"/>
      <c r="I39" s="71"/>
      <c r="J39" s="71"/>
      <c r="K39" s="71"/>
      <c r="L39" s="71"/>
      <c r="M39" s="71"/>
      <c r="N39" s="71"/>
      <c r="O39" s="71"/>
      <c r="P39" s="105"/>
      <c r="Q39" s="105"/>
      <c r="R39" s="105"/>
      <c r="S39" s="105"/>
      <c r="T39" s="105"/>
      <c r="U39" s="105"/>
      <c r="V39" s="105"/>
      <c r="W39" s="105"/>
      <c r="X39" s="105"/>
      <c r="Y39" s="105"/>
    </row>
    <row r="40" spans="5:25" ht="15" customHeight="1" x14ac:dyDescent="0.2">
      <c r="E40" s="2" t="s">
        <v>189</v>
      </c>
      <c r="F40" s="24" t="s">
        <v>25</v>
      </c>
      <c r="G40" s="24"/>
      <c r="H40" s="173">
        <v>26.99</v>
      </c>
      <c r="I40" s="174">
        <v>26.51</v>
      </c>
      <c r="J40" s="174">
        <v>25.73</v>
      </c>
      <c r="K40" s="174">
        <v>46.12</v>
      </c>
      <c r="L40" s="174">
        <v>35.909999999999997</v>
      </c>
      <c r="M40" s="174">
        <v>36.64</v>
      </c>
      <c r="N40" s="174">
        <v>43.53</v>
      </c>
      <c r="O40" s="175">
        <v>55.81</v>
      </c>
      <c r="P40" s="71">
        <f t="shared" ref="P40:Y40" si="26">O40-P81</f>
        <v>26.3155</v>
      </c>
      <c r="Q40" s="71">
        <f t="shared" si="26"/>
        <v>-4.653725000000005</v>
      </c>
      <c r="R40" s="71">
        <f t="shared" si="26"/>
        <v>-37.171411250000006</v>
      </c>
      <c r="S40" s="71">
        <f t="shared" si="26"/>
        <v>-71.314981812500008</v>
      </c>
      <c r="T40" s="71">
        <f t="shared" si="26"/>
        <v>-107.16573090312501</v>
      </c>
      <c r="U40" s="71">
        <f t="shared" si="26"/>
        <v>-144.80901744828125</v>
      </c>
      <c r="V40" s="71">
        <f t="shared" si="26"/>
        <v>-184.33446832069532</v>
      </c>
      <c r="W40" s="71">
        <f t="shared" si="26"/>
        <v>-225.83619173673009</v>
      </c>
      <c r="X40" s="71">
        <f t="shared" si="26"/>
        <v>-269.41300132356662</v>
      </c>
      <c r="Y40" s="71">
        <f t="shared" si="26"/>
        <v>-315.16865138974492</v>
      </c>
    </row>
    <row r="41" spans="5:25" ht="15" customHeight="1" x14ac:dyDescent="0.2">
      <c r="E41" s="135" t="s">
        <v>128</v>
      </c>
      <c r="F41" s="24" t="s">
        <v>7</v>
      </c>
      <c r="G41" s="24"/>
      <c r="H41" s="71"/>
      <c r="I41" s="178">
        <f>IFERROR((I40/H40-1),"NA")</f>
        <v>-1.7784364579473744E-2</v>
      </c>
      <c r="J41" s="178">
        <f t="shared" ref="J41:O41" si="27">IFERROR((J40/I40-1),"NA")</f>
        <v>-2.9422859298377957E-2</v>
      </c>
      <c r="K41" s="178">
        <f t="shared" si="27"/>
        <v>0.79246016323357926</v>
      </c>
      <c r="L41" s="178">
        <f t="shared" si="27"/>
        <v>-0.22137901127493498</v>
      </c>
      <c r="M41" s="178">
        <f t="shared" si="27"/>
        <v>2.0328599275967862E-2</v>
      </c>
      <c r="N41" s="178">
        <f t="shared" si="27"/>
        <v>0.18804585152838427</v>
      </c>
      <c r="O41" s="179">
        <f t="shared" si="27"/>
        <v>0.28210429588789343</v>
      </c>
      <c r="P41" s="179">
        <f>IFERROR((P40/O40-1),"NA")</f>
        <v>-0.52848055903959867</v>
      </c>
      <c r="Q41" s="179">
        <f t="shared" ref="Q41:Y41" si="28">IFERROR((Q40/P40-1),"NA")</f>
        <v>-1.1768434952784483</v>
      </c>
      <c r="R41" s="179">
        <f t="shared" si="28"/>
        <v>6.98745333039661</v>
      </c>
      <c r="S41" s="179">
        <f t="shared" si="28"/>
        <v>0.91854383286295049</v>
      </c>
      <c r="T41" s="179">
        <f t="shared" si="28"/>
        <v>0.50270992405050463</v>
      </c>
      <c r="U41" s="179">
        <f t="shared" si="28"/>
        <v>0.35126235064066114</v>
      </c>
      <c r="V41" s="179">
        <f t="shared" si="28"/>
        <v>0.27294882300082346</v>
      </c>
      <c r="W41" s="179">
        <f t="shared" si="28"/>
        <v>0.22514358705737147</v>
      </c>
      <c r="X41" s="179">
        <f t="shared" si="28"/>
        <v>0.19295760016019248</v>
      </c>
      <c r="Y41" s="179">
        <f t="shared" si="28"/>
        <v>0.16983460278973506</v>
      </c>
    </row>
    <row r="42" spans="5:25" ht="15" customHeight="1" x14ac:dyDescent="0.2">
      <c r="E42" s="2" t="s">
        <v>190</v>
      </c>
      <c r="F42" s="24" t="s">
        <v>25</v>
      </c>
      <c r="G42" s="24"/>
      <c r="H42" s="173">
        <v>71.239999999999995</v>
      </c>
      <c r="I42" s="174">
        <v>74.400000000000006</v>
      </c>
      <c r="J42" s="174">
        <v>71.92</v>
      </c>
      <c r="K42" s="174">
        <v>72.81</v>
      </c>
      <c r="L42" s="174">
        <v>69.17</v>
      </c>
      <c r="M42" s="174">
        <v>218.87</v>
      </c>
      <c r="N42" s="174">
        <v>235.73</v>
      </c>
      <c r="O42" s="175">
        <v>279.91000000000003</v>
      </c>
      <c r="P42" s="71">
        <f t="shared" ref="P42:Y42" si="29">O42-P80</f>
        <v>279.91000000000003</v>
      </c>
      <c r="Q42" s="71">
        <f t="shared" si="29"/>
        <v>279.91000000000003</v>
      </c>
      <c r="R42" s="71">
        <f t="shared" si="29"/>
        <v>279.91000000000003</v>
      </c>
      <c r="S42" s="71">
        <f t="shared" si="29"/>
        <v>279.91000000000003</v>
      </c>
      <c r="T42" s="71">
        <f t="shared" si="29"/>
        <v>279.91000000000003</v>
      </c>
      <c r="U42" s="71">
        <f t="shared" si="29"/>
        <v>279.91000000000003</v>
      </c>
      <c r="V42" s="71">
        <f t="shared" si="29"/>
        <v>279.91000000000003</v>
      </c>
      <c r="W42" s="71">
        <f t="shared" si="29"/>
        <v>279.91000000000003</v>
      </c>
      <c r="X42" s="71">
        <f t="shared" si="29"/>
        <v>279.91000000000003</v>
      </c>
      <c r="Y42" s="71">
        <f t="shared" si="29"/>
        <v>279.91000000000003</v>
      </c>
    </row>
    <row r="43" spans="5:25" ht="15" customHeight="1" x14ac:dyDescent="0.2">
      <c r="E43" s="135" t="s">
        <v>128</v>
      </c>
      <c r="F43" s="24" t="s">
        <v>7</v>
      </c>
      <c r="G43" s="24"/>
      <c r="H43" s="71"/>
      <c r="I43" s="178">
        <f>IFERROR((I42/H42-1),"NA")</f>
        <v>4.4357102751263477E-2</v>
      </c>
      <c r="J43" s="178">
        <f t="shared" ref="J43:O43" si="30">IFERROR((J42/I42-1),"NA")</f>
        <v>-3.3333333333333437E-2</v>
      </c>
      <c r="K43" s="178">
        <f t="shared" si="30"/>
        <v>1.237486095661855E-2</v>
      </c>
      <c r="L43" s="178">
        <f t="shared" si="30"/>
        <v>-4.9993132811427032E-2</v>
      </c>
      <c r="M43" s="178">
        <f t="shared" si="30"/>
        <v>2.1642330490096864</v>
      </c>
      <c r="N43" s="178">
        <f t="shared" si="30"/>
        <v>7.7032028144560671E-2</v>
      </c>
      <c r="O43" s="179">
        <f t="shared" si="30"/>
        <v>0.18741780850973577</v>
      </c>
      <c r="P43" s="179">
        <f>IFERROR((P42/O42-1),"NA")</f>
        <v>0</v>
      </c>
      <c r="Q43" s="179">
        <f t="shared" ref="Q43:Y43" si="31">IFERROR((Q42/P42-1),"NA")</f>
        <v>0</v>
      </c>
      <c r="R43" s="179">
        <f t="shared" si="31"/>
        <v>0</v>
      </c>
      <c r="S43" s="179">
        <f t="shared" si="31"/>
        <v>0</v>
      </c>
      <c r="T43" s="179">
        <f t="shared" si="31"/>
        <v>0</v>
      </c>
      <c r="U43" s="179">
        <f t="shared" si="31"/>
        <v>0</v>
      </c>
      <c r="V43" s="179">
        <f t="shared" si="31"/>
        <v>0</v>
      </c>
      <c r="W43" s="179">
        <f t="shared" si="31"/>
        <v>0</v>
      </c>
      <c r="X43" s="179">
        <f t="shared" si="31"/>
        <v>0</v>
      </c>
      <c r="Y43" s="179">
        <f t="shared" si="31"/>
        <v>0</v>
      </c>
    </row>
    <row r="44" spans="5:25" ht="15" customHeight="1" x14ac:dyDescent="0.2">
      <c r="E44" s="2" t="s">
        <v>191</v>
      </c>
      <c r="F44" s="24" t="s">
        <v>25</v>
      </c>
      <c r="G44" s="24"/>
      <c r="H44" s="173">
        <v>0</v>
      </c>
      <c r="I44" s="174">
        <v>0</v>
      </c>
      <c r="J44" s="174">
        <v>0</v>
      </c>
      <c r="K44" s="174">
        <v>18.36</v>
      </c>
      <c r="L44" s="174">
        <v>15.99</v>
      </c>
      <c r="M44" s="174">
        <v>14.15</v>
      </c>
      <c r="N44" s="174">
        <v>12.32</v>
      </c>
      <c r="O44" s="175">
        <v>15.52</v>
      </c>
      <c r="P44" s="33">
        <f>O44</f>
        <v>15.52</v>
      </c>
      <c r="Q44" s="33">
        <f t="shared" ref="Q44:Y44" si="32">P44</f>
        <v>15.52</v>
      </c>
      <c r="R44" s="33">
        <f t="shared" si="32"/>
        <v>15.52</v>
      </c>
      <c r="S44" s="33">
        <f t="shared" si="32"/>
        <v>15.52</v>
      </c>
      <c r="T44" s="33">
        <f t="shared" si="32"/>
        <v>15.52</v>
      </c>
      <c r="U44" s="33">
        <f t="shared" si="32"/>
        <v>15.52</v>
      </c>
      <c r="V44" s="33">
        <f t="shared" si="32"/>
        <v>15.52</v>
      </c>
      <c r="W44" s="33">
        <f t="shared" si="32"/>
        <v>15.52</v>
      </c>
      <c r="X44" s="33">
        <f t="shared" si="32"/>
        <v>15.52</v>
      </c>
      <c r="Y44" s="33">
        <f t="shared" si="32"/>
        <v>15.52</v>
      </c>
    </row>
    <row r="45" spans="5:25" ht="15" customHeight="1" x14ac:dyDescent="0.2">
      <c r="E45" s="135" t="s">
        <v>128</v>
      </c>
      <c r="F45" s="24" t="s">
        <v>7</v>
      </c>
      <c r="G45" s="24"/>
      <c r="H45" s="71"/>
      <c r="I45" s="178" t="str">
        <f>IFERROR((I44/H44-1),"NA")</f>
        <v>NA</v>
      </c>
      <c r="J45" s="178" t="str">
        <f t="shared" ref="J45:O45" si="33">IFERROR((J44/I44-1),"NA")</f>
        <v>NA</v>
      </c>
      <c r="K45" s="178" t="str">
        <f t="shared" si="33"/>
        <v>NA</v>
      </c>
      <c r="L45" s="178">
        <f t="shared" si="33"/>
        <v>-0.12908496732026142</v>
      </c>
      <c r="M45" s="178">
        <f t="shared" si="33"/>
        <v>-0.11507191994996868</v>
      </c>
      <c r="N45" s="178">
        <f t="shared" si="33"/>
        <v>-0.12932862190812722</v>
      </c>
      <c r="O45" s="179">
        <f t="shared" si="33"/>
        <v>0.2597402597402596</v>
      </c>
      <c r="P45" s="179">
        <f>IFERROR((P44/O44-1),"NA")</f>
        <v>0</v>
      </c>
      <c r="Q45" s="179">
        <f t="shared" ref="Q45:Y45" si="34">IFERROR((Q44/P44-1),"NA")</f>
        <v>0</v>
      </c>
      <c r="R45" s="179">
        <f t="shared" si="34"/>
        <v>0</v>
      </c>
      <c r="S45" s="179">
        <f t="shared" si="34"/>
        <v>0</v>
      </c>
      <c r="T45" s="179">
        <f t="shared" si="34"/>
        <v>0</v>
      </c>
      <c r="U45" s="179">
        <f t="shared" si="34"/>
        <v>0</v>
      </c>
      <c r="V45" s="179">
        <f t="shared" si="34"/>
        <v>0</v>
      </c>
      <c r="W45" s="179">
        <f t="shared" si="34"/>
        <v>0</v>
      </c>
      <c r="X45" s="179">
        <f t="shared" si="34"/>
        <v>0</v>
      </c>
      <c r="Y45" s="179">
        <f t="shared" si="34"/>
        <v>0</v>
      </c>
    </row>
    <row r="46" spans="5:25" ht="15" customHeight="1" x14ac:dyDescent="0.2">
      <c r="E46" s="2" t="s">
        <v>192</v>
      </c>
      <c r="F46" s="24" t="s">
        <v>25</v>
      </c>
      <c r="G46" s="24"/>
      <c r="H46" s="173">
        <v>17.5</v>
      </c>
      <c r="I46" s="174">
        <v>18</v>
      </c>
      <c r="J46" s="174">
        <v>20</v>
      </c>
      <c r="K46" s="174">
        <v>19.399999999999999</v>
      </c>
      <c r="L46" s="174">
        <v>14.2</v>
      </c>
      <c r="M46" s="174">
        <v>3.7</v>
      </c>
      <c r="N46" s="174">
        <v>19.7</v>
      </c>
      <c r="O46" s="175">
        <v>18.100000000000001</v>
      </c>
      <c r="P46" s="33">
        <f>O46</f>
        <v>18.100000000000001</v>
      </c>
      <c r="Q46" s="33">
        <f t="shared" ref="Q46:Y46" si="35">P46</f>
        <v>18.100000000000001</v>
      </c>
      <c r="R46" s="33">
        <f t="shared" si="35"/>
        <v>18.100000000000001</v>
      </c>
      <c r="S46" s="33">
        <f t="shared" si="35"/>
        <v>18.100000000000001</v>
      </c>
      <c r="T46" s="33">
        <f t="shared" si="35"/>
        <v>18.100000000000001</v>
      </c>
      <c r="U46" s="33">
        <f t="shared" si="35"/>
        <v>18.100000000000001</v>
      </c>
      <c r="V46" s="33">
        <f t="shared" si="35"/>
        <v>18.100000000000001</v>
      </c>
      <c r="W46" s="33">
        <f t="shared" si="35"/>
        <v>18.100000000000001</v>
      </c>
      <c r="X46" s="33">
        <f t="shared" si="35"/>
        <v>18.100000000000001</v>
      </c>
      <c r="Y46" s="33">
        <f t="shared" si="35"/>
        <v>18.100000000000001</v>
      </c>
    </row>
    <row r="47" spans="5:25" ht="15" customHeight="1" x14ac:dyDescent="0.2">
      <c r="E47" s="135" t="s">
        <v>128</v>
      </c>
      <c r="F47" s="24" t="s">
        <v>7</v>
      </c>
      <c r="G47" s="24"/>
      <c r="H47" s="71"/>
      <c r="I47" s="178">
        <f>IFERROR((I46/H46-1),"NA")</f>
        <v>2.857142857142847E-2</v>
      </c>
      <c r="J47" s="178">
        <f t="shared" ref="J47:O47" si="36">IFERROR((J46/I46-1),"NA")</f>
        <v>0.11111111111111116</v>
      </c>
      <c r="K47" s="178">
        <f t="shared" si="36"/>
        <v>-3.0000000000000027E-2</v>
      </c>
      <c r="L47" s="178">
        <f t="shared" si="36"/>
        <v>-0.268041237113402</v>
      </c>
      <c r="M47" s="178">
        <f t="shared" si="36"/>
        <v>-0.73943661971830976</v>
      </c>
      <c r="N47" s="178">
        <f t="shared" si="36"/>
        <v>4.3243243243243237</v>
      </c>
      <c r="O47" s="178">
        <f t="shared" si="36"/>
        <v>-8.1218274111675037E-2</v>
      </c>
      <c r="P47" s="178">
        <f>IFERROR((P46/O46-1),"NA")</f>
        <v>0</v>
      </c>
      <c r="Q47" s="178">
        <f t="shared" ref="Q47:Y47" si="37">IFERROR((Q46/P46-1),"NA")</f>
        <v>0</v>
      </c>
      <c r="R47" s="178">
        <f t="shared" si="37"/>
        <v>0</v>
      </c>
      <c r="S47" s="178">
        <f t="shared" si="37"/>
        <v>0</v>
      </c>
      <c r="T47" s="178">
        <f t="shared" si="37"/>
        <v>0</v>
      </c>
      <c r="U47" s="178">
        <f t="shared" si="37"/>
        <v>0</v>
      </c>
      <c r="V47" s="178">
        <f t="shared" si="37"/>
        <v>0</v>
      </c>
      <c r="W47" s="178">
        <f t="shared" si="37"/>
        <v>0</v>
      </c>
      <c r="X47" s="178">
        <f t="shared" si="37"/>
        <v>0</v>
      </c>
      <c r="Y47" s="178">
        <f t="shared" si="37"/>
        <v>0</v>
      </c>
    </row>
    <row r="48" spans="5:25" ht="15" customHeight="1" x14ac:dyDescent="0.2">
      <c r="E48" s="1" t="s">
        <v>193</v>
      </c>
      <c r="F48" s="24" t="s">
        <v>25</v>
      </c>
      <c r="G48" s="24"/>
      <c r="H48" s="71">
        <f>H40+H42+H44+H46</f>
        <v>115.72999999999999</v>
      </c>
      <c r="I48" s="71">
        <f t="shared" ref="I48:Y48" si="38">I40+I42+I44+I46</f>
        <v>118.91000000000001</v>
      </c>
      <c r="J48" s="71">
        <f t="shared" si="38"/>
        <v>117.65</v>
      </c>
      <c r="K48" s="71">
        <f t="shared" si="38"/>
        <v>156.69000000000003</v>
      </c>
      <c r="L48" s="71">
        <f t="shared" si="38"/>
        <v>135.26999999999998</v>
      </c>
      <c r="M48" s="71">
        <f t="shared" si="38"/>
        <v>273.35999999999996</v>
      </c>
      <c r="N48" s="71">
        <f t="shared" si="38"/>
        <v>311.27999999999997</v>
      </c>
      <c r="O48" s="71">
        <f t="shared" si="38"/>
        <v>369.34000000000003</v>
      </c>
      <c r="P48" s="72">
        <f t="shared" si="38"/>
        <v>339.84550000000002</v>
      </c>
      <c r="Q48" s="72">
        <f t="shared" si="38"/>
        <v>308.87627500000002</v>
      </c>
      <c r="R48" s="72">
        <f t="shared" si="38"/>
        <v>276.35858875000002</v>
      </c>
      <c r="S48" s="72">
        <f t="shared" si="38"/>
        <v>242.21501818750002</v>
      </c>
      <c r="T48" s="72">
        <f t="shared" si="38"/>
        <v>206.36426909687503</v>
      </c>
      <c r="U48" s="72">
        <f t="shared" si="38"/>
        <v>168.72098255171878</v>
      </c>
      <c r="V48" s="72">
        <f t="shared" si="38"/>
        <v>129.19553167930471</v>
      </c>
      <c r="W48" s="72">
        <f t="shared" si="38"/>
        <v>87.693808263269943</v>
      </c>
      <c r="X48" s="72">
        <f t="shared" si="38"/>
        <v>44.116998676433411</v>
      </c>
      <c r="Y48" s="72">
        <f t="shared" si="38"/>
        <v>-1.6386513897448971</v>
      </c>
    </row>
    <row r="49" spans="5:25" ht="15" customHeight="1" x14ac:dyDescent="0.2">
      <c r="E49" s="1" t="s">
        <v>194</v>
      </c>
      <c r="F49" s="24" t="s">
        <v>25</v>
      </c>
      <c r="G49" s="24"/>
      <c r="H49" s="71">
        <f>SUM(H48,H37)</f>
        <v>190.98</v>
      </c>
      <c r="I49" s="71">
        <f t="shared" ref="I49:Y49" si="39">SUM(I48,I37)</f>
        <v>183.06300000000002</v>
      </c>
      <c r="J49" s="71">
        <f t="shared" si="39"/>
        <v>224.947</v>
      </c>
      <c r="K49" s="71">
        <f t="shared" si="39"/>
        <v>335.65200000000004</v>
      </c>
      <c r="L49" s="71">
        <f t="shared" si="39"/>
        <v>345.64300000000003</v>
      </c>
      <c r="M49" s="71">
        <f t="shared" si="39"/>
        <v>620.08999999999992</v>
      </c>
      <c r="N49" s="71">
        <f t="shared" si="39"/>
        <v>663.17000000000007</v>
      </c>
      <c r="O49" s="71">
        <f t="shared" si="39"/>
        <v>1041.5440000000001</v>
      </c>
      <c r="P49" s="72">
        <f t="shared" si="39"/>
        <v>15180.832193240951</v>
      </c>
      <c r="Q49" s="72">
        <f t="shared" si="39"/>
        <v>15274.826161336678</v>
      </c>
      <c r="R49" s="72">
        <f t="shared" si="39"/>
        <v>15368.322528508728</v>
      </c>
      <c r="S49" s="72">
        <f t="shared" si="39"/>
        <v>15461.252698685461</v>
      </c>
      <c r="T49" s="72">
        <f t="shared" si="39"/>
        <v>15423.737427627071</v>
      </c>
      <c r="U49" s="72">
        <f t="shared" si="39"/>
        <v>15435.431768345961</v>
      </c>
      <c r="V49" s="72">
        <f t="shared" si="39"/>
        <v>15496.571232028951</v>
      </c>
      <c r="W49" s="72">
        <f t="shared" si="39"/>
        <v>15607.902892690832</v>
      </c>
      <c r="X49" s="72">
        <f t="shared" si="39"/>
        <v>15770.696383763961</v>
      </c>
      <c r="Y49" s="72">
        <f t="shared" si="39"/>
        <v>15986.763718060665</v>
      </c>
    </row>
    <row r="50" spans="5:25" ht="15" customHeight="1" x14ac:dyDescent="0.2">
      <c r="E50" s="2"/>
      <c r="F50" s="24"/>
      <c r="G50" s="24"/>
      <c r="H50" s="50"/>
      <c r="I50" s="50"/>
      <c r="J50" s="50"/>
      <c r="K50" s="84"/>
      <c r="L50" s="84"/>
      <c r="M50" s="84"/>
      <c r="N50" s="84"/>
      <c r="O50" s="84"/>
      <c r="P50" s="273"/>
      <c r="Q50" s="273"/>
      <c r="R50" s="273"/>
      <c r="S50" s="273"/>
      <c r="T50" s="273"/>
      <c r="U50" s="273"/>
      <c r="V50" s="273"/>
      <c r="W50" s="273"/>
      <c r="X50" s="273"/>
      <c r="Y50" s="273"/>
    </row>
    <row r="51" spans="5:25" ht="15" customHeight="1" x14ac:dyDescent="0.2">
      <c r="E51" s="2" t="s">
        <v>195</v>
      </c>
      <c r="F51" s="24" t="s">
        <v>25</v>
      </c>
      <c r="G51" s="24"/>
      <c r="H51" s="173">
        <v>25479</v>
      </c>
      <c r="I51" s="174">
        <v>22610</v>
      </c>
      <c r="J51" s="174">
        <v>23435</v>
      </c>
      <c r="K51" s="174">
        <v>36262</v>
      </c>
      <c r="L51" s="174">
        <v>21918</v>
      </c>
      <c r="M51" s="174">
        <v>66210</v>
      </c>
      <c r="N51" s="174">
        <v>58298</v>
      </c>
      <c r="O51" s="175">
        <v>37314</v>
      </c>
      <c r="P51" s="71">
        <f>O51*(1+P52)</f>
        <v>37314</v>
      </c>
      <c r="Q51" s="71">
        <f t="shared" ref="Q51:Y51" si="40">P51*(1+Q52)</f>
        <v>37314</v>
      </c>
      <c r="R51" s="71">
        <f t="shared" si="40"/>
        <v>37314</v>
      </c>
      <c r="S51" s="71">
        <f t="shared" si="40"/>
        <v>37314</v>
      </c>
      <c r="T51" s="71">
        <f t="shared" si="40"/>
        <v>37314</v>
      </c>
      <c r="U51" s="71">
        <f t="shared" si="40"/>
        <v>37314</v>
      </c>
      <c r="V51" s="71">
        <f t="shared" si="40"/>
        <v>37314</v>
      </c>
      <c r="W51" s="71">
        <f t="shared" si="40"/>
        <v>37314</v>
      </c>
      <c r="X51" s="71">
        <f t="shared" si="40"/>
        <v>37314</v>
      </c>
      <c r="Y51" s="71">
        <f t="shared" si="40"/>
        <v>37314</v>
      </c>
    </row>
    <row r="52" spans="5:25" ht="15" customHeight="1" x14ac:dyDescent="0.2">
      <c r="E52" s="135" t="s">
        <v>128</v>
      </c>
      <c r="F52" s="24" t="s">
        <v>7</v>
      </c>
      <c r="G52" s="24"/>
      <c r="H52" s="71"/>
      <c r="I52" s="178">
        <f>IFERROR((I51/H51-1),"NA")</f>
        <v>-0.11260253542132737</v>
      </c>
      <c r="J52" s="178">
        <f t="shared" ref="J52:N52" si="41">IFERROR((J51/I51-1),"NA")</f>
        <v>3.6488279522335354E-2</v>
      </c>
      <c r="K52" s="178">
        <f t="shared" si="41"/>
        <v>0.54734371666311077</v>
      </c>
      <c r="L52" s="178">
        <f t="shared" si="41"/>
        <v>-0.39556560586840217</v>
      </c>
      <c r="M52" s="178">
        <f t="shared" si="41"/>
        <v>2.0208048179578428</v>
      </c>
      <c r="N52" s="178">
        <f t="shared" si="41"/>
        <v>-0.11949856517142421</v>
      </c>
      <c r="O52" s="178">
        <f>IFERROR((O51/N51-1),"NA")</f>
        <v>-0.35994373734948026</v>
      </c>
      <c r="P52" s="176">
        <v>0</v>
      </c>
      <c r="Q52" s="318">
        <v>0</v>
      </c>
      <c r="R52" s="318">
        <v>0</v>
      </c>
      <c r="S52" s="318">
        <v>0</v>
      </c>
      <c r="T52" s="318">
        <v>0</v>
      </c>
      <c r="U52" s="318">
        <v>0</v>
      </c>
      <c r="V52" s="318">
        <v>0</v>
      </c>
      <c r="W52" s="318">
        <v>0</v>
      </c>
      <c r="X52" s="318">
        <v>0</v>
      </c>
      <c r="Y52" s="319">
        <v>0</v>
      </c>
    </row>
    <row r="53" spans="5:25" ht="15" customHeight="1" x14ac:dyDescent="0.2">
      <c r="E53" s="2" t="s">
        <v>196</v>
      </c>
      <c r="F53" s="24" t="s">
        <v>25</v>
      </c>
      <c r="G53" s="24"/>
      <c r="H53" s="173">
        <v>0</v>
      </c>
      <c r="I53" s="174">
        <v>740.23</v>
      </c>
      <c r="J53" s="174">
        <v>772.13</v>
      </c>
      <c r="K53" s="174">
        <v>977.61</v>
      </c>
      <c r="L53" s="174">
        <v>1547.21</v>
      </c>
      <c r="M53" s="174">
        <v>2572.64</v>
      </c>
      <c r="N53" s="174">
        <v>2360.98</v>
      </c>
      <c r="O53" s="175">
        <v>1883.54</v>
      </c>
      <c r="P53" s="71">
        <f>O53*(1+P54)</f>
        <v>1883.54</v>
      </c>
      <c r="Q53" s="71">
        <f t="shared" ref="Q53:Y53" si="42">P53*(1+Q54)</f>
        <v>1883.54</v>
      </c>
      <c r="R53" s="71">
        <f t="shared" si="42"/>
        <v>1883.54</v>
      </c>
      <c r="S53" s="71">
        <f t="shared" si="42"/>
        <v>1883.54</v>
      </c>
      <c r="T53" s="71">
        <f t="shared" si="42"/>
        <v>1883.54</v>
      </c>
      <c r="U53" s="71">
        <f t="shared" si="42"/>
        <v>1883.54</v>
      </c>
      <c r="V53" s="71">
        <f t="shared" si="42"/>
        <v>1883.54</v>
      </c>
      <c r="W53" s="71">
        <f t="shared" si="42"/>
        <v>1883.54</v>
      </c>
      <c r="X53" s="71">
        <f t="shared" si="42"/>
        <v>1883.54</v>
      </c>
      <c r="Y53" s="71">
        <f t="shared" si="42"/>
        <v>1883.54</v>
      </c>
    </row>
    <row r="54" spans="5:25" ht="15" customHeight="1" x14ac:dyDescent="0.2">
      <c r="E54" s="135" t="s">
        <v>128</v>
      </c>
      <c r="F54" s="24" t="s">
        <v>7</v>
      </c>
      <c r="G54" s="24"/>
      <c r="H54" s="71"/>
      <c r="I54" s="178" t="str">
        <f>IFERROR((I53/H53-1),"NA")</f>
        <v>NA</v>
      </c>
      <c r="J54" s="178">
        <f t="shared" ref="J54:N54" si="43">IFERROR((J53/I53-1),"NA")</f>
        <v>4.3094713805168716E-2</v>
      </c>
      <c r="K54" s="178">
        <f t="shared" si="43"/>
        <v>0.26612098998873246</v>
      </c>
      <c r="L54" s="178">
        <f t="shared" si="43"/>
        <v>0.58264543120467271</v>
      </c>
      <c r="M54" s="178">
        <f t="shared" si="43"/>
        <v>0.66276071121567193</v>
      </c>
      <c r="N54" s="178">
        <f t="shared" si="43"/>
        <v>-8.2273462279992438E-2</v>
      </c>
      <c r="O54" s="178">
        <f>IFERROR((O53/N53-1),"NA")</f>
        <v>-0.20222111157231326</v>
      </c>
      <c r="P54" s="176">
        <v>0</v>
      </c>
      <c r="Q54" s="318">
        <v>0</v>
      </c>
      <c r="R54" s="318">
        <v>0</v>
      </c>
      <c r="S54" s="318">
        <v>0</v>
      </c>
      <c r="T54" s="318">
        <v>0</v>
      </c>
      <c r="U54" s="318">
        <v>0</v>
      </c>
      <c r="V54" s="318">
        <v>0</v>
      </c>
      <c r="W54" s="318">
        <v>0</v>
      </c>
      <c r="X54" s="318">
        <v>0</v>
      </c>
      <c r="Y54" s="319">
        <v>0</v>
      </c>
    </row>
    <row r="55" spans="5:25" ht="15" customHeight="1" x14ac:dyDescent="0.2">
      <c r="E55" s="2" t="s">
        <v>197</v>
      </c>
      <c r="F55" s="24" t="s">
        <v>25</v>
      </c>
      <c r="G55" s="24"/>
      <c r="H55" s="173">
        <v>855.76</v>
      </c>
      <c r="I55" s="174">
        <v>914.25</v>
      </c>
      <c r="J55" s="174">
        <v>1057.57</v>
      </c>
      <c r="K55" s="174">
        <v>1288.5899999999999</v>
      </c>
      <c r="L55" s="174">
        <v>1693.3</v>
      </c>
      <c r="M55" s="174">
        <v>2594.4499999999998</v>
      </c>
      <c r="N55" s="174">
        <v>2510.66</v>
      </c>
      <c r="O55" s="175">
        <v>2058.54</v>
      </c>
      <c r="P55" s="71">
        <f>O55*(1+P56)</f>
        <v>2058.54</v>
      </c>
      <c r="Q55" s="71">
        <f t="shared" ref="Q55" si="44">P55*(1+Q56)</f>
        <v>2058.54</v>
      </c>
      <c r="R55" s="71">
        <f t="shared" ref="R55" si="45">Q55*(1+R56)</f>
        <v>2058.54</v>
      </c>
      <c r="S55" s="71">
        <f t="shared" ref="S55" si="46">R55*(1+S56)</f>
        <v>2058.54</v>
      </c>
      <c r="T55" s="71">
        <f t="shared" ref="T55" si="47">S55*(1+T56)</f>
        <v>2058.54</v>
      </c>
      <c r="U55" s="71">
        <f t="shared" ref="U55" si="48">T55*(1+U56)</f>
        <v>2058.54</v>
      </c>
      <c r="V55" s="71">
        <f t="shared" ref="V55" si="49">U55*(1+V56)</f>
        <v>2058.54</v>
      </c>
      <c r="W55" s="71">
        <f t="shared" ref="W55" si="50">V55*(1+W56)</f>
        <v>2058.54</v>
      </c>
      <c r="X55" s="71">
        <f t="shared" ref="X55" si="51">W55*(1+X56)</f>
        <v>2058.54</v>
      </c>
      <c r="Y55" s="71">
        <f t="shared" ref="Y55" si="52">X55*(1+Y56)</f>
        <v>2058.54</v>
      </c>
    </row>
    <row r="56" spans="5:25" ht="15" customHeight="1" x14ac:dyDescent="0.2">
      <c r="E56" s="135" t="s">
        <v>128</v>
      </c>
      <c r="F56" s="24" t="s">
        <v>7</v>
      </c>
      <c r="G56" s="24"/>
      <c r="H56" s="71"/>
      <c r="I56" s="178">
        <f>IFERROR((I55/H55-1),"NA")</f>
        <v>6.8348602411891113E-2</v>
      </c>
      <c r="J56" s="178">
        <f t="shared" ref="J56:N56" si="53">IFERROR((J55/I55-1),"NA")</f>
        <v>0.15676237353021594</v>
      </c>
      <c r="K56" s="178">
        <f t="shared" si="53"/>
        <v>0.21844416918029075</v>
      </c>
      <c r="L56" s="178">
        <f t="shared" si="53"/>
        <v>0.31407197013790267</v>
      </c>
      <c r="M56" s="178">
        <f t="shared" si="53"/>
        <v>0.53218567294631769</v>
      </c>
      <c r="N56" s="178">
        <f t="shared" si="53"/>
        <v>-3.2295862321493951E-2</v>
      </c>
      <c r="O56" s="178">
        <f>IFERROR((O55/N55-1),"NA")</f>
        <v>-0.18008013829032998</v>
      </c>
      <c r="P56" s="176">
        <v>0</v>
      </c>
      <c r="Q56" s="318">
        <v>0</v>
      </c>
      <c r="R56" s="318">
        <v>0</v>
      </c>
      <c r="S56" s="318">
        <v>0</v>
      </c>
      <c r="T56" s="318">
        <v>0</v>
      </c>
      <c r="U56" s="318">
        <v>0</v>
      </c>
      <c r="V56" s="318">
        <v>0</v>
      </c>
      <c r="W56" s="318">
        <v>0</v>
      </c>
      <c r="X56" s="318">
        <v>0</v>
      </c>
      <c r="Y56" s="319">
        <v>0</v>
      </c>
    </row>
    <row r="57" spans="5:25" ht="15" customHeight="1" x14ac:dyDescent="0.2">
      <c r="E57" s="2" t="s">
        <v>198</v>
      </c>
      <c r="F57" s="24" t="s">
        <v>25</v>
      </c>
      <c r="G57" s="24"/>
      <c r="H57" s="173">
        <v>0</v>
      </c>
      <c r="I57" s="174">
        <v>0</v>
      </c>
      <c r="J57" s="174">
        <v>0</v>
      </c>
      <c r="K57" s="174">
        <v>0</v>
      </c>
      <c r="L57" s="174">
        <v>0</v>
      </c>
      <c r="M57" s="174">
        <v>0</v>
      </c>
      <c r="N57" s="174">
        <v>0</v>
      </c>
      <c r="O57" s="175">
        <v>0</v>
      </c>
      <c r="P57" s="71">
        <f>O57*(1+P58)</f>
        <v>0</v>
      </c>
      <c r="Q57" s="71">
        <f t="shared" ref="Q57" si="54">P57*(1+Q58)</f>
        <v>0</v>
      </c>
      <c r="R57" s="71">
        <f t="shared" ref="R57" si="55">Q57*(1+R58)</f>
        <v>0</v>
      </c>
      <c r="S57" s="71">
        <f t="shared" ref="S57" si="56">R57*(1+S58)</f>
        <v>0</v>
      </c>
      <c r="T57" s="71">
        <f t="shared" ref="T57" si="57">S57*(1+T58)</f>
        <v>0</v>
      </c>
      <c r="U57" s="71">
        <f t="shared" ref="U57" si="58">T57*(1+U58)</f>
        <v>0</v>
      </c>
      <c r="V57" s="71">
        <f t="shared" ref="V57" si="59">U57*(1+V58)</f>
        <v>0</v>
      </c>
      <c r="W57" s="71">
        <f t="shared" ref="W57" si="60">V57*(1+W58)</f>
        <v>0</v>
      </c>
      <c r="X57" s="71">
        <f t="shared" ref="X57" si="61">W57*(1+X58)</f>
        <v>0</v>
      </c>
      <c r="Y57" s="71">
        <f t="shared" ref="Y57" si="62">X57*(1+Y58)</f>
        <v>0</v>
      </c>
    </row>
    <row r="58" spans="5:25" ht="15" customHeight="1" x14ac:dyDescent="0.2">
      <c r="E58" s="135" t="s">
        <v>128</v>
      </c>
      <c r="F58" s="24" t="s">
        <v>7</v>
      </c>
      <c r="G58" s="24"/>
      <c r="H58" s="71"/>
      <c r="I58" s="178" t="str">
        <f>IFERROR((I57/H57-1),"NA")</f>
        <v>NA</v>
      </c>
      <c r="J58" s="178" t="str">
        <f t="shared" ref="J58:N58" si="63">IFERROR((J57/I57-1),"NA")</f>
        <v>NA</v>
      </c>
      <c r="K58" s="178" t="str">
        <f t="shared" si="63"/>
        <v>NA</v>
      </c>
      <c r="L58" s="178" t="str">
        <f t="shared" si="63"/>
        <v>NA</v>
      </c>
      <c r="M58" s="178" t="str">
        <f t="shared" si="63"/>
        <v>NA</v>
      </c>
      <c r="N58" s="178" t="str">
        <f t="shared" si="63"/>
        <v>NA</v>
      </c>
      <c r="O58" s="178" t="str">
        <f>IFERROR((O57/N57-1),"NA")</f>
        <v>NA</v>
      </c>
      <c r="P58" s="176">
        <v>0</v>
      </c>
      <c r="Q58" s="318">
        <v>0</v>
      </c>
      <c r="R58" s="318">
        <v>0</v>
      </c>
      <c r="S58" s="318">
        <v>0</v>
      </c>
      <c r="T58" s="318">
        <v>0</v>
      </c>
      <c r="U58" s="318">
        <v>0</v>
      </c>
      <c r="V58" s="318">
        <v>0</v>
      </c>
      <c r="W58" s="318">
        <v>0</v>
      </c>
      <c r="X58" s="318">
        <v>0</v>
      </c>
      <c r="Y58" s="319">
        <v>0</v>
      </c>
    </row>
    <row r="59" spans="5:25" ht="15" customHeight="1" x14ac:dyDescent="0.2">
      <c r="E59" s="1" t="s">
        <v>199</v>
      </c>
      <c r="F59" s="24" t="s">
        <v>25</v>
      </c>
      <c r="G59" s="24"/>
      <c r="H59" s="69">
        <f t="shared" ref="H59:O59" si="64">H51+H53+H55+H57</f>
        <v>26334.76</v>
      </c>
      <c r="I59" s="69">
        <f t="shared" si="64"/>
        <v>24264.48</v>
      </c>
      <c r="J59" s="69">
        <f t="shared" si="64"/>
        <v>25264.7</v>
      </c>
      <c r="K59" s="69">
        <f t="shared" si="64"/>
        <v>38528.199999999997</v>
      </c>
      <c r="L59" s="69">
        <f t="shared" si="64"/>
        <v>25158.51</v>
      </c>
      <c r="M59" s="69">
        <f t="shared" si="64"/>
        <v>71377.09</v>
      </c>
      <c r="N59" s="69">
        <f t="shared" si="64"/>
        <v>63169.64</v>
      </c>
      <c r="O59" s="69">
        <f t="shared" si="64"/>
        <v>41256.080000000002</v>
      </c>
      <c r="P59" s="72">
        <f t="shared" ref="P59:Y59" si="65">P51+P53+P55+P57</f>
        <v>41256.080000000002</v>
      </c>
      <c r="Q59" s="72">
        <f t="shared" si="65"/>
        <v>41256.080000000002</v>
      </c>
      <c r="R59" s="72">
        <f t="shared" si="65"/>
        <v>41256.080000000002</v>
      </c>
      <c r="S59" s="72">
        <f t="shared" si="65"/>
        <v>41256.080000000002</v>
      </c>
      <c r="T59" s="72">
        <f t="shared" si="65"/>
        <v>41256.080000000002</v>
      </c>
      <c r="U59" s="72">
        <f t="shared" si="65"/>
        <v>41256.080000000002</v>
      </c>
      <c r="V59" s="72">
        <f t="shared" si="65"/>
        <v>41256.080000000002</v>
      </c>
      <c r="W59" s="72">
        <f t="shared" si="65"/>
        <v>41256.080000000002</v>
      </c>
      <c r="X59" s="72">
        <f t="shared" si="65"/>
        <v>41256.080000000002</v>
      </c>
      <c r="Y59" s="72">
        <f t="shared" si="65"/>
        <v>41256.080000000002</v>
      </c>
    </row>
    <row r="60" spans="5:25" ht="15" customHeight="1" x14ac:dyDescent="0.2">
      <c r="E60" s="1"/>
      <c r="F60" s="24"/>
      <c r="G60" s="24"/>
      <c r="H60" s="69"/>
      <c r="I60" s="69"/>
      <c r="J60" s="69"/>
      <c r="K60" s="69"/>
      <c r="L60" s="69"/>
      <c r="M60" s="69"/>
      <c r="N60" s="69"/>
      <c r="O60" s="69"/>
      <c r="P60" s="69"/>
      <c r="Q60" s="69"/>
      <c r="R60" s="69"/>
      <c r="S60" s="69"/>
      <c r="T60" s="69"/>
      <c r="U60" s="69"/>
      <c r="V60" s="69"/>
      <c r="W60" s="69"/>
      <c r="X60" s="69"/>
      <c r="Y60" s="69"/>
    </row>
    <row r="62" spans="5:25" ht="15" customHeight="1" x14ac:dyDescent="0.2">
      <c r="E62" s="2" t="s">
        <v>200</v>
      </c>
      <c r="F62" s="24" t="s">
        <v>25</v>
      </c>
      <c r="G62" s="24"/>
      <c r="H62" s="173">
        <v>2854</v>
      </c>
      <c r="I62" s="174">
        <v>1729</v>
      </c>
      <c r="J62" s="174">
        <v>8999</v>
      </c>
      <c r="K62" s="174">
        <v>1057</v>
      </c>
      <c r="L62" s="174">
        <v>3392</v>
      </c>
      <c r="M62" s="174">
        <v>37703</v>
      </c>
      <c r="N62" s="174">
        <v>-8503</v>
      </c>
      <c r="O62" s="175">
        <v>-20984</v>
      </c>
      <c r="P62" s="71">
        <f>O62*(1+P63)</f>
        <v>-20984</v>
      </c>
      <c r="Q62" s="71">
        <f t="shared" ref="Q62" si="66">P62*(1+Q63)</f>
        <v>-20984</v>
      </c>
      <c r="R62" s="71">
        <f t="shared" ref="R62" si="67">Q62*(1+R63)</f>
        <v>-20984</v>
      </c>
      <c r="S62" s="71">
        <f t="shared" ref="S62" si="68">R62*(1+S63)</f>
        <v>-20984</v>
      </c>
      <c r="T62" s="71">
        <f t="shared" ref="T62" si="69">S62*(1+T63)</f>
        <v>-20984</v>
      </c>
      <c r="U62" s="71">
        <f t="shared" ref="U62" si="70">T62*(1+U63)</f>
        <v>-20984</v>
      </c>
      <c r="V62" s="71">
        <f t="shared" ref="V62" si="71">U62*(1+V63)</f>
        <v>-20984</v>
      </c>
      <c r="W62" s="71">
        <f t="shared" ref="W62" si="72">V62*(1+W63)</f>
        <v>-20984</v>
      </c>
      <c r="X62" s="71">
        <f t="shared" ref="X62" si="73">W62*(1+X63)</f>
        <v>-20984</v>
      </c>
      <c r="Y62" s="71">
        <f t="shared" ref="Y62" si="74">X62*(1+Y63)</f>
        <v>-20984</v>
      </c>
    </row>
    <row r="63" spans="5:25" ht="15" customHeight="1" x14ac:dyDescent="0.2">
      <c r="E63" s="135" t="s">
        <v>128</v>
      </c>
      <c r="F63" s="24" t="s">
        <v>7</v>
      </c>
      <c r="G63" s="24"/>
      <c r="H63" s="71"/>
      <c r="I63" s="178">
        <f>IFERROR((I62/H62-1),"NA")</f>
        <v>-0.3941836019621584</v>
      </c>
      <c r="J63" s="178">
        <f t="shared" ref="J63:N63" si="75">IFERROR((J62/I62-1),"NA")</f>
        <v>4.2047426257952578</v>
      </c>
      <c r="K63" s="178">
        <f t="shared" si="75"/>
        <v>-0.88254250472274698</v>
      </c>
      <c r="L63" s="178">
        <f t="shared" si="75"/>
        <v>2.2090823084200566</v>
      </c>
      <c r="M63" s="178">
        <f t="shared" si="75"/>
        <v>10.115271226415095</v>
      </c>
      <c r="N63" s="178">
        <f t="shared" si="75"/>
        <v>-1.2255258202265071</v>
      </c>
      <c r="O63" s="178">
        <f>IFERROR((O62/N62-1),"NA")</f>
        <v>1.4678348818064211</v>
      </c>
      <c r="P63" s="176">
        <v>0</v>
      </c>
      <c r="Q63" s="318">
        <v>0</v>
      </c>
      <c r="R63" s="318">
        <v>0</v>
      </c>
      <c r="S63" s="318">
        <v>0</v>
      </c>
      <c r="T63" s="318">
        <v>0</v>
      </c>
      <c r="U63" s="318">
        <v>0</v>
      </c>
      <c r="V63" s="318">
        <v>0</v>
      </c>
      <c r="W63" s="318">
        <v>0</v>
      </c>
      <c r="X63" s="318">
        <v>0</v>
      </c>
      <c r="Y63" s="319">
        <v>0</v>
      </c>
    </row>
    <row r="64" spans="5:25" ht="15" customHeight="1" x14ac:dyDescent="0.2">
      <c r="E64" s="2" t="s">
        <v>201</v>
      </c>
      <c r="F64" s="24" t="s">
        <v>25</v>
      </c>
      <c r="G64" s="24"/>
      <c r="H64" s="173">
        <v>3429741</v>
      </c>
      <c r="I64" s="174">
        <v>740.23</v>
      </c>
      <c r="J64" s="174">
        <v>772.13</v>
      </c>
      <c r="K64" s="174">
        <v>977.61</v>
      </c>
      <c r="L64" s="174">
        <v>1547.2</v>
      </c>
      <c r="M64" s="174">
        <v>2572.64</v>
      </c>
      <c r="N64" s="174">
        <v>2360.98</v>
      </c>
      <c r="O64" s="175">
        <v>1883.54</v>
      </c>
      <c r="P64" s="71">
        <f>O64*(1+P65)</f>
        <v>1956.2832880598223</v>
      </c>
      <c r="Q64" s="71">
        <f t="shared" ref="Q64:Y64" si="76">P64*(1+Q65)</f>
        <v>2370.4049163497343</v>
      </c>
      <c r="R64" s="71">
        <f t="shared" si="76"/>
        <v>2952.1179637289165</v>
      </c>
      <c r="S64" s="71">
        <f t="shared" si="76"/>
        <v>3661.2994217165697</v>
      </c>
      <c r="T64" s="71">
        <f t="shared" si="76"/>
        <v>4122.9610675866797</v>
      </c>
      <c r="U64" s="71">
        <f t="shared" si="76"/>
        <v>3536.48104162032</v>
      </c>
      <c r="V64" s="71">
        <f t="shared" si="76"/>
        <v>2821.3299143294466</v>
      </c>
      <c r="W64" s="71">
        <f t="shared" si="76"/>
        <v>2590.5442881977629</v>
      </c>
      <c r="X64" s="71">
        <f t="shared" si="76"/>
        <v>2632.0684422539139</v>
      </c>
      <c r="Y64" s="71">
        <f t="shared" si="76"/>
        <v>2825.1925065417572</v>
      </c>
    </row>
    <row r="65" spans="3:26" ht="15" customHeight="1" x14ac:dyDescent="0.2">
      <c r="E65" s="135" t="s">
        <v>128</v>
      </c>
      <c r="F65" s="24" t="s">
        <v>7</v>
      </c>
      <c r="G65" s="24"/>
      <c r="H65" s="71"/>
      <c r="I65" s="178">
        <f>IFERROR((I64/H64-1),"NA")</f>
        <v>-0.99978417320724799</v>
      </c>
      <c r="J65" s="178">
        <f t="shared" ref="J65:N65" si="77">IFERROR((J64/I64-1),"NA")</f>
        <v>4.3094713805168716E-2</v>
      </c>
      <c r="K65" s="178">
        <f t="shared" si="77"/>
        <v>0.26612098998873246</v>
      </c>
      <c r="L65" s="178">
        <f t="shared" si="77"/>
        <v>0.58263520217673714</v>
      </c>
      <c r="M65" s="178">
        <f t="shared" si="77"/>
        <v>0.66277145811789029</v>
      </c>
      <c r="N65" s="178">
        <f t="shared" si="77"/>
        <v>-8.2273462279992438E-2</v>
      </c>
      <c r="O65" s="178">
        <f>IFERROR((O64/N64-1),"NA")</f>
        <v>-0.20222111157231326</v>
      </c>
      <c r="P65" s="176">
        <f>AVERAGE(I65:$O$65)</f>
        <v>3.8620516718424987E-2</v>
      </c>
      <c r="Q65" s="318">
        <f>AVERAGE(J65:$O$65)</f>
        <v>0.21168796503937046</v>
      </c>
      <c r="R65" s="318">
        <f>AVERAGE(K65:$O$65)</f>
        <v>0.2454066152862108</v>
      </c>
      <c r="S65" s="318">
        <f>AVERAGE(L65:$O$65)</f>
        <v>0.24022802161058046</v>
      </c>
      <c r="T65" s="318">
        <f>AVERAGE(M65:$O$65)</f>
        <v>0.12609229475519487</v>
      </c>
      <c r="U65" s="318">
        <f>AVERAGE(N65:$O$65)</f>
        <v>-0.14224728692615285</v>
      </c>
      <c r="V65" s="318">
        <f>AVERAGE(O65:$O$65)</f>
        <v>-0.20222111157231326</v>
      </c>
      <c r="W65" s="318">
        <f>AVERAGE($O65:P$65)</f>
        <v>-8.1800297426944141E-2</v>
      </c>
      <c r="X65" s="318">
        <f>AVERAGE($O65:Q$65)</f>
        <v>1.6029123395160726E-2</v>
      </c>
      <c r="Y65" s="319">
        <f>AVERAGE($O65:R$65)</f>
        <v>7.3373496367923244E-2</v>
      </c>
    </row>
    <row r="66" spans="3:26" ht="15" customHeight="1" x14ac:dyDescent="0.2">
      <c r="E66" s="2" t="s">
        <v>202</v>
      </c>
      <c r="F66" s="24" t="s">
        <v>25</v>
      </c>
      <c r="G66" s="24"/>
      <c r="H66" s="173">
        <v>5.51</v>
      </c>
      <c r="I66" s="174">
        <v>5.87</v>
      </c>
      <c r="J66" s="174">
        <v>5.6</v>
      </c>
      <c r="K66" s="174">
        <v>8.2200000000000006</v>
      </c>
      <c r="L66" s="174">
        <v>7.62</v>
      </c>
      <c r="M66" s="174">
        <v>9.5500000000000007</v>
      </c>
      <c r="N66" s="174">
        <v>11.22</v>
      </c>
      <c r="O66" s="175">
        <v>12.95</v>
      </c>
      <c r="P66" s="71">
        <f>O66*(1+P67)</f>
        <v>12.95</v>
      </c>
      <c r="Q66" s="71">
        <f t="shared" ref="Q66" si="78">P66*(1+Q67)</f>
        <v>12.95</v>
      </c>
      <c r="R66" s="71">
        <f t="shared" ref="R66" si="79">Q66*(1+R67)</f>
        <v>12.95</v>
      </c>
      <c r="S66" s="71">
        <f t="shared" ref="S66" si="80">R66*(1+S67)</f>
        <v>12.95</v>
      </c>
      <c r="T66" s="71">
        <f t="shared" ref="T66" si="81">S66*(1+T67)</f>
        <v>12.95</v>
      </c>
      <c r="U66" s="71">
        <f t="shared" ref="U66" si="82">T66*(1+U67)</f>
        <v>12.95</v>
      </c>
      <c r="V66" s="71">
        <f t="shared" ref="V66" si="83">U66*(1+V67)</f>
        <v>12.95</v>
      </c>
      <c r="W66" s="71">
        <f t="shared" ref="W66" si="84">V66*(1+W67)</f>
        <v>12.95</v>
      </c>
      <c r="X66" s="71">
        <f t="shared" ref="X66" si="85">W66*(1+X67)</f>
        <v>12.95</v>
      </c>
      <c r="Y66" s="71">
        <f t="shared" ref="Y66" si="86">X66*(1+Y67)</f>
        <v>12.95</v>
      </c>
      <c r="Z66" s="137"/>
    </row>
    <row r="67" spans="3:26" ht="15" customHeight="1" x14ac:dyDescent="0.2">
      <c r="E67" s="135" t="s">
        <v>128</v>
      </c>
      <c r="F67" s="24" t="s">
        <v>7</v>
      </c>
      <c r="G67" s="24"/>
      <c r="H67" s="71"/>
      <c r="I67" s="178">
        <f>IFERROR((I66/H66-1),"NA")</f>
        <v>6.5335753176043676E-2</v>
      </c>
      <c r="J67" s="178">
        <f t="shared" ref="J67:N67" si="87">IFERROR((J66/I66-1),"NA")</f>
        <v>-4.5996592844974482E-2</v>
      </c>
      <c r="K67" s="178">
        <f t="shared" si="87"/>
        <v>0.46785714285714297</v>
      </c>
      <c r="L67" s="178">
        <f t="shared" si="87"/>
        <v>-7.2992700729927029E-2</v>
      </c>
      <c r="M67" s="178">
        <f t="shared" si="87"/>
        <v>0.25328083989501327</v>
      </c>
      <c r="N67" s="178">
        <f t="shared" si="87"/>
        <v>0.17486910994764404</v>
      </c>
      <c r="O67" s="178">
        <f>IFERROR((O66/N66-1),"NA")</f>
        <v>0.15418894830659524</v>
      </c>
      <c r="P67" s="176">
        <v>0</v>
      </c>
      <c r="Q67" s="318">
        <v>0</v>
      </c>
      <c r="R67" s="318">
        <v>0</v>
      </c>
      <c r="S67" s="318">
        <v>0</v>
      </c>
      <c r="T67" s="318">
        <v>0</v>
      </c>
      <c r="U67" s="318">
        <v>0</v>
      </c>
      <c r="V67" s="318">
        <v>0</v>
      </c>
      <c r="W67" s="318">
        <v>0</v>
      </c>
      <c r="X67" s="318">
        <v>0</v>
      </c>
      <c r="Y67" s="319">
        <v>0</v>
      </c>
    </row>
    <row r="68" spans="3:26" ht="15" customHeight="1" x14ac:dyDescent="0.2">
      <c r="E68" s="1" t="s">
        <v>231</v>
      </c>
      <c r="F68" s="24" t="s">
        <v>25</v>
      </c>
      <c r="G68" s="24"/>
      <c r="H68" s="69">
        <f>H62+H64+H66</f>
        <v>3432600.51</v>
      </c>
      <c r="I68" s="69">
        <f t="shared" ref="I68:Y68" si="88">I62+I64+I66</f>
        <v>2475.1</v>
      </c>
      <c r="J68" s="69">
        <f t="shared" si="88"/>
        <v>9776.73</v>
      </c>
      <c r="K68" s="69">
        <f t="shared" si="88"/>
        <v>2042.8300000000002</v>
      </c>
      <c r="L68" s="69">
        <f t="shared" si="88"/>
        <v>4946.82</v>
      </c>
      <c r="M68" s="69">
        <f t="shared" si="88"/>
        <v>40285.19</v>
      </c>
      <c r="N68" s="69">
        <f t="shared" si="88"/>
        <v>-6130.8</v>
      </c>
      <c r="O68" s="69">
        <f t="shared" si="88"/>
        <v>-19087.509999999998</v>
      </c>
      <c r="P68" s="69">
        <f t="shared" si="88"/>
        <v>-19014.766711940178</v>
      </c>
      <c r="Q68" s="69">
        <f t="shared" si="88"/>
        <v>-18600.645083650266</v>
      </c>
      <c r="R68" s="69">
        <f t="shared" si="88"/>
        <v>-18018.932036271082</v>
      </c>
      <c r="S68" s="69">
        <f t="shared" si="88"/>
        <v>-17309.750578283431</v>
      </c>
      <c r="T68" s="69">
        <f t="shared" si="88"/>
        <v>-16848.08893241332</v>
      </c>
      <c r="U68" s="69">
        <f t="shared" si="88"/>
        <v>-17434.568958379681</v>
      </c>
      <c r="V68" s="69">
        <f t="shared" si="88"/>
        <v>-18149.720085670553</v>
      </c>
      <c r="W68" s="69">
        <f t="shared" si="88"/>
        <v>-18380.505711802238</v>
      </c>
      <c r="X68" s="69">
        <f t="shared" si="88"/>
        <v>-18338.981557746087</v>
      </c>
      <c r="Y68" s="69">
        <f t="shared" si="88"/>
        <v>-18145.857493458243</v>
      </c>
    </row>
    <row r="69" spans="3:26" ht="15" customHeight="1" x14ac:dyDescent="0.2">
      <c r="E69" s="1" t="s">
        <v>203</v>
      </c>
      <c r="F69" s="24" t="s">
        <v>25</v>
      </c>
      <c r="G69" s="24"/>
      <c r="H69" s="96">
        <f t="shared" ref="H69:Y69" si="89">SUM(H59,H68)</f>
        <v>3458935.2699999996</v>
      </c>
      <c r="I69" s="96">
        <f t="shared" si="89"/>
        <v>26739.579999999998</v>
      </c>
      <c r="J69" s="96">
        <f t="shared" si="89"/>
        <v>35041.43</v>
      </c>
      <c r="K69" s="96">
        <f t="shared" si="89"/>
        <v>40571.03</v>
      </c>
      <c r="L69" s="96">
        <f t="shared" si="89"/>
        <v>30105.329999999998</v>
      </c>
      <c r="M69" s="96">
        <f t="shared" si="89"/>
        <v>111662.28</v>
      </c>
      <c r="N69" s="96">
        <f t="shared" si="89"/>
        <v>57038.84</v>
      </c>
      <c r="O69" s="96">
        <f t="shared" si="89"/>
        <v>22168.570000000003</v>
      </c>
      <c r="P69" s="96">
        <f t="shared" si="89"/>
        <v>22241.313288059824</v>
      </c>
      <c r="Q69" s="96">
        <f t="shared" si="89"/>
        <v>22655.434916349735</v>
      </c>
      <c r="R69" s="96">
        <f t="shared" si="89"/>
        <v>23237.147963728919</v>
      </c>
      <c r="S69" s="96">
        <f t="shared" si="89"/>
        <v>23946.329421716571</v>
      </c>
      <c r="T69" s="96">
        <f t="shared" si="89"/>
        <v>24407.991067586681</v>
      </c>
      <c r="U69" s="96">
        <f t="shared" si="89"/>
        <v>23821.511041620321</v>
      </c>
      <c r="V69" s="96">
        <f t="shared" si="89"/>
        <v>23106.359914329449</v>
      </c>
      <c r="W69" s="96">
        <f t="shared" si="89"/>
        <v>22875.574288197764</v>
      </c>
      <c r="X69" s="96">
        <f t="shared" si="89"/>
        <v>22917.098442253915</v>
      </c>
      <c r="Y69" s="96">
        <f t="shared" si="89"/>
        <v>23110.222506541759</v>
      </c>
    </row>
    <row r="70" spans="3:26" ht="15" customHeight="1" x14ac:dyDescent="0.2">
      <c r="E70" s="2"/>
      <c r="F70" s="24"/>
      <c r="G70" s="24"/>
      <c r="H70" s="50"/>
      <c r="I70" s="50"/>
      <c r="J70" s="50"/>
      <c r="K70" s="60"/>
      <c r="L70" s="60"/>
      <c r="M70" s="60"/>
      <c r="N70" s="60"/>
      <c r="O70" s="60"/>
      <c r="P70" s="60"/>
      <c r="Q70" s="60"/>
      <c r="R70" s="60"/>
      <c r="S70" s="60"/>
      <c r="T70" s="60"/>
      <c r="U70" s="60"/>
      <c r="V70" s="60"/>
      <c r="W70" s="60"/>
      <c r="X70" s="60"/>
      <c r="Y70" s="60"/>
    </row>
    <row r="71" spans="3:26" ht="15" customHeight="1" x14ac:dyDescent="0.2">
      <c r="E71" s="1" t="s">
        <v>229</v>
      </c>
      <c r="F71" s="24" t="s">
        <v>25</v>
      </c>
      <c r="G71" s="24"/>
      <c r="H71" s="96">
        <f t="shared" ref="H71:O71" si="90">SUM(H49,H69)</f>
        <v>3459126.2499999995</v>
      </c>
      <c r="I71" s="96">
        <f t="shared" si="90"/>
        <v>26922.642999999996</v>
      </c>
      <c r="J71" s="96">
        <f t="shared" si="90"/>
        <v>35266.377</v>
      </c>
      <c r="K71" s="96">
        <f t="shared" si="90"/>
        <v>40906.682000000001</v>
      </c>
      <c r="L71" s="96">
        <f t="shared" si="90"/>
        <v>30450.972999999998</v>
      </c>
      <c r="M71" s="96">
        <f t="shared" si="90"/>
        <v>112282.37</v>
      </c>
      <c r="N71" s="96">
        <f t="shared" si="90"/>
        <v>57702.009999999995</v>
      </c>
      <c r="O71" s="96">
        <f t="shared" si="90"/>
        <v>23210.114000000005</v>
      </c>
      <c r="P71" s="96">
        <f>SUM(P49,P69)</f>
        <v>37422.145481300773</v>
      </c>
      <c r="Q71" s="96">
        <f t="shared" ref="Q71:Y71" si="91">SUM(Q49,Q69)</f>
        <v>37930.261077686417</v>
      </c>
      <c r="R71" s="96">
        <f t="shared" si="91"/>
        <v>38605.470492237648</v>
      </c>
      <c r="S71" s="96">
        <f t="shared" si="91"/>
        <v>39407.582120402032</v>
      </c>
      <c r="T71" s="96">
        <f t="shared" si="91"/>
        <v>39831.728495213756</v>
      </c>
      <c r="U71" s="96">
        <f t="shared" si="91"/>
        <v>39256.942809966284</v>
      </c>
      <c r="V71" s="96">
        <f t="shared" si="91"/>
        <v>38602.931146358402</v>
      </c>
      <c r="W71" s="96">
        <f t="shared" si="91"/>
        <v>38483.4771808886</v>
      </c>
      <c r="X71" s="96">
        <f t="shared" si="91"/>
        <v>38687.794826017875</v>
      </c>
      <c r="Y71" s="96">
        <f t="shared" si="91"/>
        <v>39096.986224602428</v>
      </c>
    </row>
    <row r="72" spans="3:26" ht="15" customHeight="1" x14ac:dyDescent="0.2">
      <c r="C72" s="2"/>
      <c r="D72" s="2"/>
      <c r="E72" s="138"/>
      <c r="F72" s="24"/>
      <c r="G72" s="24"/>
      <c r="H72" s="139"/>
      <c r="I72" s="139"/>
      <c r="J72" s="139"/>
      <c r="K72" s="139"/>
      <c r="L72" s="139"/>
      <c r="M72" s="139"/>
      <c r="N72" s="139"/>
      <c r="O72" s="139"/>
      <c r="P72" s="139"/>
      <c r="Q72" s="139"/>
      <c r="R72" s="139"/>
      <c r="S72" s="139"/>
      <c r="T72" s="139"/>
      <c r="U72" s="139"/>
      <c r="V72" s="139"/>
      <c r="W72" s="139"/>
      <c r="X72" s="139"/>
      <c r="Y72" s="139"/>
    </row>
    <row r="73" spans="3:26" ht="15" customHeight="1" x14ac:dyDescent="0.2">
      <c r="C73" s="2"/>
      <c r="D73" s="2"/>
      <c r="E73" s="1" t="s">
        <v>20</v>
      </c>
      <c r="F73" s="24" t="s">
        <v>25</v>
      </c>
      <c r="G73" s="24"/>
      <c r="H73" s="27">
        <f t="shared" ref="H73:Y73" si="92">H29+H64+H53+H62+H55</f>
        <v>3433507.8</v>
      </c>
      <c r="I73" s="27">
        <f t="shared" si="92"/>
        <v>4173.3</v>
      </c>
      <c r="J73" s="27">
        <f t="shared" si="92"/>
        <v>11675.33</v>
      </c>
      <c r="K73" s="27">
        <f t="shared" si="92"/>
        <v>4447.99</v>
      </c>
      <c r="L73" s="27">
        <f t="shared" si="92"/>
        <v>8362.0399999999991</v>
      </c>
      <c r="M73" s="27">
        <f t="shared" si="92"/>
        <v>45753.49</v>
      </c>
      <c r="N73" s="27">
        <f t="shared" si="92"/>
        <v>-958.88000000000011</v>
      </c>
      <c r="O73" s="27">
        <f t="shared" si="92"/>
        <v>-14528.759999999998</v>
      </c>
      <c r="P73" s="27">
        <f t="shared" si="92"/>
        <v>-1184.8238012785814</v>
      </c>
      <c r="Q73" s="27">
        <f t="shared" si="92"/>
        <v>-653.65537523541298</v>
      </c>
      <c r="R73" s="27">
        <f t="shared" si="92"/>
        <v>46.088758414595759</v>
      </c>
      <c r="S73" s="27">
        <f t="shared" si="92"/>
        <v>874.29385899323734</v>
      </c>
      <c r="T73" s="27">
        <f t="shared" si="92"/>
        <v>1334.3964300566795</v>
      </c>
      <c r="U73" s="27">
        <f t="shared" si="92"/>
        <v>794.12850172435265</v>
      </c>
      <c r="V73" s="27">
        <f t="shared" si="92"/>
        <v>173.2651851313849</v>
      </c>
      <c r="W73" s="27">
        <f t="shared" si="92"/>
        <v>85.630976252700748</v>
      </c>
      <c r="X73" s="27">
        <f t="shared" si="92"/>
        <v>320.45191030648402</v>
      </c>
      <c r="Y73" s="27">
        <f t="shared" si="92"/>
        <v>758.81252096203661</v>
      </c>
    </row>
    <row r="74" spans="3:26" ht="15" customHeight="1" x14ac:dyDescent="0.2">
      <c r="C74" s="2"/>
      <c r="D74" s="2"/>
      <c r="E74" s="1" t="s">
        <v>252</v>
      </c>
      <c r="F74" s="24" t="s">
        <v>25</v>
      </c>
      <c r="G74" s="24"/>
      <c r="H74" s="27">
        <f t="shared" ref="H74:Y74" si="93">H31+H33+H51</f>
        <v>25488.54</v>
      </c>
      <c r="I74" s="27">
        <f t="shared" si="93"/>
        <v>22616.983</v>
      </c>
      <c r="J74" s="27">
        <f t="shared" si="93"/>
        <v>23452.616999999998</v>
      </c>
      <c r="K74" s="27">
        <f t="shared" si="93"/>
        <v>36271.802000000003</v>
      </c>
      <c r="L74" s="27">
        <f t="shared" si="93"/>
        <v>21927.633000000002</v>
      </c>
      <c r="M74" s="27">
        <f t="shared" si="93"/>
        <v>66215.22</v>
      </c>
      <c r="N74" s="27">
        <f t="shared" si="93"/>
        <v>58305.35</v>
      </c>
      <c r="O74" s="27">
        <f t="shared" si="93"/>
        <v>37326.633999999998</v>
      </c>
      <c r="P74" s="27">
        <f t="shared" si="93"/>
        <v>37592.934707146051</v>
      </c>
      <c r="Q74" s="27">
        <f t="shared" si="93"/>
        <v>37595.283376570173</v>
      </c>
      <c r="R74" s="27">
        <f t="shared" si="93"/>
        <v>37597.651796798164</v>
      </c>
      <c r="S74" s="27">
        <f t="shared" si="93"/>
        <v>37600.040133732335</v>
      </c>
      <c r="T74" s="27">
        <f t="shared" si="93"/>
        <v>37600.00884922564</v>
      </c>
      <c r="U74" s="27">
        <f t="shared" si="93"/>
        <v>37600.936144485488</v>
      </c>
      <c r="V74" s="27">
        <f t="shared" si="93"/>
        <v>37602.828130445843</v>
      </c>
      <c r="W74" s="27">
        <f t="shared" si="93"/>
        <v>37605.700617033901</v>
      </c>
      <c r="X74" s="27">
        <f t="shared" si="93"/>
        <v>37609.579324061138</v>
      </c>
      <c r="Y74" s="27">
        <f t="shared" si="93"/>
        <v>37614.500258159183</v>
      </c>
    </row>
    <row r="75" spans="3:26" ht="15" customHeight="1" x14ac:dyDescent="0.2">
      <c r="C75" s="2"/>
      <c r="D75" s="2"/>
      <c r="E75" s="2" t="s">
        <v>253</v>
      </c>
      <c r="F75" s="24"/>
      <c r="G75" s="24"/>
      <c r="H75" s="27"/>
      <c r="I75" s="27">
        <f t="shared" ref="I75:Y75" si="94">H74-I74</f>
        <v>2871.5570000000007</v>
      </c>
      <c r="J75" s="27">
        <f t="shared" si="94"/>
        <v>-835.6339999999982</v>
      </c>
      <c r="K75" s="27">
        <f t="shared" si="94"/>
        <v>-12819.185000000005</v>
      </c>
      <c r="L75" s="27">
        <f t="shared" si="94"/>
        <v>14344.169000000002</v>
      </c>
      <c r="M75" s="27">
        <f t="shared" si="94"/>
        <v>-44287.587</v>
      </c>
      <c r="N75" s="27">
        <f t="shared" si="94"/>
        <v>7909.8700000000026</v>
      </c>
      <c r="O75" s="27">
        <f t="shared" si="94"/>
        <v>20978.716</v>
      </c>
      <c r="P75" s="27">
        <f>O74-P74</f>
        <v>-266.30070714605245</v>
      </c>
      <c r="Q75" s="27">
        <f t="shared" si="94"/>
        <v>-2.3486694241219084</v>
      </c>
      <c r="R75" s="27">
        <f t="shared" si="94"/>
        <v>-2.3684202279910096</v>
      </c>
      <c r="S75" s="27">
        <f t="shared" si="94"/>
        <v>-2.3883369341710932</v>
      </c>
      <c r="T75" s="27">
        <f t="shared" si="94"/>
        <v>3.1284506694646552E-2</v>
      </c>
      <c r="U75" s="27">
        <f t="shared" si="94"/>
        <v>-0.92729525984759675</v>
      </c>
      <c r="V75" s="27">
        <f t="shared" si="94"/>
        <v>-1.8919859603556688</v>
      </c>
      <c r="W75" s="27">
        <f t="shared" si="94"/>
        <v>-2.8724865880576544</v>
      </c>
      <c r="X75" s="27">
        <f t="shared" si="94"/>
        <v>-3.8787070272373967</v>
      </c>
      <c r="Y75" s="27">
        <f t="shared" si="94"/>
        <v>-4.9209340980451088</v>
      </c>
    </row>
    <row r="76" spans="3:26" ht="15" customHeight="1" x14ac:dyDescent="0.2">
      <c r="C76" s="2"/>
      <c r="D76" s="2"/>
      <c r="E76" s="2"/>
      <c r="F76" s="24"/>
      <c r="G76" s="24"/>
      <c r="H76" s="27"/>
      <c r="I76" s="27"/>
      <c r="J76" s="27"/>
      <c r="K76" s="27"/>
      <c r="L76" s="27"/>
      <c r="M76" s="27"/>
      <c r="N76" s="27"/>
      <c r="O76" s="27"/>
      <c r="P76" s="27"/>
      <c r="Q76" s="27"/>
      <c r="R76" s="27"/>
      <c r="S76" s="27"/>
      <c r="T76" s="27"/>
      <c r="U76" s="27"/>
      <c r="V76" s="27"/>
      <c r="W76" s="27"/>
      <c r="X76" s="27"/>
      <c r="Y76" s="27"/>
    </row>
    <row r="77" spans="3:26" ht="15" customHeight="1" x14ac:dyDescent="0.2">
      <c r="C77" s="128" t="s">
        <v>212</v>
      </c>
      <c r="D77" s="129"/>
      <c r="E77" s="129"/>
      <c r="F77" s="130"/>
      <c r="G77" s="130"/>
      <c r="H77" s="140"/>
      <c r="I77" s="140"/>
      <c r="J77" s="140"/>
      <c r="K77" s="141"/>
      <c r="L77" s="141"/>
      <c r="M77" s="141"/>
      <c r="N77" s="141"/>
      <c r="O77" s="141"/>
      <c r="P77" s="141"/>
      <c r="Q77" s="141"/>
      <c r="R77" s="141"/>
      <c r="S77" s="141"/>
      <c r="T77" s="141"/>
      <c r="U77" s="141"/>
      <c r="V77" s="141"/>
      <c r="W77" s="141"/>
      <c r="X77" s="141"/>
      <c r="Y77" s="141"/>
    </row>
    <row r="78" spans="3:26" ht="15" customHeight="1" x14ac:dyDescent="0.2">
      <c r="C78" s="2"/>
      <c r="D78" s="2"/>
      <c r="E78" s="2"/>
      <c r="F78" s="24"/>
      <c r="G78" s="24"/>
      <c r="H78" s="50"/>
      <c r="I78" s="50"/>
      <c r="J78" s="50"/>
      <c r="K78" s="60"/>
      <c r="L78" s="60"/>
      <c r="M78" s="60"/>
      <c r="N78" s="60"/>
      <c r="O78" s="60"/>
      <c r="P78" s="60"/>
      <c r="Q78" s="60"/>
      <c r="R78" s="60"/>
      <c r="S78" s="60"/>
      <c r="T78" s="60"/>
      <c r="U78" s="60"/>
      <c r="V78" s="60"/>
      <c r="W78" s="60"/>
      <c r="X78" s="60"/>
      <c r="Y78" s="60"/>
    </row>
    <row r="79" spans="3:26" ht="15" customHeight="1" x14ac:dyDescent="0.2">
      <c r="E79" s="2" t="s">
        <v>204</v>
      </c>
      <c r="F79" s="24" t="s">
        <v>25</v>
      </c>
      <c r="G79" s="24"/>
      <c r="H79" s="173">
        <v>0</v>
      </c>
      <c r="I79" s="174">
        <v>7472</v>
      </c>
      <c r="J79" s="174">
        <v>-2969</v>
      </c>
      <c r="K79" s="174">
        <v>7419</v>
      </c>
      <c r="L79" s="174">
        <v>6982</v>
      </c>
      <c r="M79" s="174" t="s">
        <v>305</v>
      </c>
      <c r="N79" s="174">
        <v>0</v>
      </c>
      <c r="O79" s="175">
        <v>61179</v>
      </c>
      <c r="P79" s="303"/>
      <c r="Q79" s="304"/>
      <c r="R79" s="304"/>
      <c r="S79" s="304"/>
      <c r="T79" s="304"/>
      <c r="U79" s="304"/>
      <c r="V79" s="304"/>
      <c r="W79" s="304"/>
      <c r="X79" s="304"/>
      <c r="Y79" s="177"/>
    </row>
    <row r="80" spans="3:26" ht="15" customHeight="1" thickBot="1" x14ac:dyDescent="0.25">
      <c r="E80" s="2" t="s">
        <v>205</v>
      </c>
      <c r="F80" s="24" t="s">
        <v>25</v>
      </c>
      <c r="G80" s="24"/>
      <c r="H80" s="173">
        <v>-342</v>
      </c>
      <c r="I80" s="174">
        <v>-2100</v>
      </c>
      <c r="J80" s="174">
        <v>-4182</v>
      </c>
      <c r="K80" s="174">
        <v>-4576</v>
      </c>
      <c r="L80" s="174">
        <v>-3800</v>
      </c>
      <c r="M80" s="174">
        <v>-2972</v>
      </c>
      <c r="N80" s="174">
        <v>-1529</v>
      </c>
      <c r="O80" s="175">
        <v>-1465</v>
      </c>
      <c r="P80" s="173"/>
      <c r="Q80" s="174"/>
      <c r="R80" s="174"/>
      <c r="S80" s="174"/>
      <c r="T80" s="174"/>
      <c r="U80" s="174"/>
      <c r="V80" s="174"/>
      <c r="W80" s="174"/>
      <c r="X80" s="174"/>
      <c r="Y80" s="175"/>
    </row>
    <row r="81" spans="3:27" ht="15" customHeight="1" thickBot="1" x14ac:dyDescent="0.25">
      <c r="E81" s="2" t="s">
        <v>206</v>
      </c>
      <c r="F81" s="24" t="s">
        <v>25</v>
      </c>
      <c r="G81" s="24"/>
      <c r="H81" s="173">
        <v>15.18</v>
      </c>
      <c r="I81" s="174">
        <v>8.84</v>
      </c>
      <c r="J81" s="174">
        <v>4.51</v>
      </c>
      <c r="K81" s="174">
        <v>6.62</v>
      </c>
      <c r="L81" s="174">
        <v>7.56</v>
      </c>
      <c r="M81" s="174">
        <v>9.81</v>
      </c>
      <c r="N81" s="174">
        <v>28.61</v>
      </c>
      <c r="O81" s="175">
        <v>28.09</v>
      </c>
      <c r="P81" s="33">
        <f>O81*(1+$Z$81)</f>
        <v>29.494500000000002</v>
      </c>
      <c r="Q81" s="33">
        <f t="shared" ref="Q81:Y81" si="95">P81*(1+$Z$81)</f>
        <v>30.969225000000005</v>
      </c>
      <c r="R81" s="33">
        <f t="shared" si="95"/>
        <v>32.517686250000004</v>
      </c>
      <c r="S81" s="33">
        <f t="shared" si="95"/>
        <v>34.143570562500003</v>
      </c>
      <c r="T81" s="33">
        <f t="shared" si="95"/>
        <v>35.850749090625001</v>
      </c>
      <c r="U81" s="33">
        <f t="shared" si="95"/>
        <v>37.643286545156251</v>
      </c>
      <c r="V81" s="33">
        <f t="shared" si="95"/>
        <v>39.525450872414062</v>
      </c>
      <c r="W81" s="33">
        <f t="shared" si="95"/>
        <v>41.501723416034764</v>
      </c>
      <c r="X81" s="33">
        <f t="shared" si="95"/>
        <v>43.576809586836504</v>
      </c>
      <c r="Y81" s="33">
        <f t="shared" si="95"/>
        <v>45.755650066178333</v>
      </c>
      <c r="Z81" s="136">
        <v>0.05</v>
      </c>
      <c r="AA81" s="18" t="s">
        <v>162</v>
      </c>
    </row>
    <row r="82" spans="3:27" ht="15" customHeight="1" x14ac:dyDescent="0.2">
      <c r="E82" s="1" t="s">
        <v>259</v>
      </c>
      <c r="F82" s="24" t="s">
        <v>25</v>
      </c>
      <c r="G82" s="24"/>
      <c r="H82" s="71">
        <f>SUM(H79:H81)</f>
        <v>-326.82</v>
      </c>
      <c r="I82" s="71">
        <f t="shared" ref="I82:O82" si="96">SUM(I79:I81)</f>
        <v>5380.84</v>
      </c>
      <c r="J82" s="71">
        <f t="shared" si="96"/>
        <v>-7146.49</v>
      </c>
      <c r="K82" s="71">
        <f t="shared" si="96"/>
        <v>2849.62</v>
      </c>
      <c r="L82" s="71">
        <f t="shared" si="96"/>
        <v>3189.56</v>
      </c>
      <c r="M82" s="71">
        <f t="shared" si="96"/>
        <v>-2962.19</v>
      </c>
      <c r="N82" s="71">
        <f t="shared" si="96"/>
        <v>-1500.39</v>
      </c>
      <c r="O82" s="71">
        <f t="shared" si="96"/>
        <v>59742.09</v>
      </c>
      <c r="P82" s="33">
        <f>AVERAGE(H81:O81)</f>
        <v>13.6525</v>
      </c>
      <c r="Q82" s="33">
        <f t="shared" ref="Q82:Y82" si="97">AVERAGE(I81:P81)</f>
        <v>15.441812499999999</v>
      </c>
      <c r="R82" s="33">
        <f t="shared" si="97"/>
        <v>18.207965625</v>
      </c>
      <c r="S82" s="33">
        <f t="shared" si="97"/>
        <v>21.708926406250001</v>
      </c>
      <c r="T82" s="33">
        <f t="shared" si="97"/>
        <v>25.1493727265625</v>
      </c>
      <c r="U82" s="33">
        <f t="shared" si="97"/>
        <v>28.685716362890631</v>
      </c>
      <c r="V82" s="33">
        <f t="shared" si="97"/>
        <v>32.164877181035159</v>
      </c>
      <c r="W82" s="33">
        <f t="shared" si="97"/>
        <v>33.529308540086916</v>
      </c>
      <c r="X82" s="33">
        <f t="shared" si="97"/>
        <v>35.205773967091261</v>
      </c>
      <c r="Y82" s="33">
        <f t="shared" si="97"/>
        <v>36.966062665445826</v>
      </c>
      <c r="Z82" s="283"/>
      <c r="AA82" s="18"/>
    </row>
    <row r="83" spans="3:27" ht="15" customHeight="1" x14ac:dyDescent="0.2">
      <c r="E83" s="2"/>
      <c r="F83" s="24"/>
      <c r="G83" s="24"/>
      <c r="H83" s="133"/>
      <c r="I83" s="133"/>
      <c r="J83" s="133"/>
      <c r="K83" s="133"/>
      <c r="L83" s="133"/>
      <c r="M83" s="133"/>
      <c r="N83" s="133"/>
      <c r="O83" s="33"/>
      <c r="P83" s="33"/>
      <c r="Q83" s="33"/>
      <c r="R83" s="33"/>
      <c r="S83" s="33"/>
      <c r="T83" s="33"/>
      <c r="U83" s="33"/>
      <c r="V83" s="33"/>
      <c r="W83" s="33"/>
      <c r="X83" s="33"/>
      <c r="Y83" s="33"/>
      <c r="AA83" s="85"/>
    </row>
    <row r="84" spans="3:27" ht="15" customHeight="1" x14ac:dyDescent="0.2">
      <c r="E84" s="2" t="s">
        <v>207</v>
      </c>
      <c r="F84" s="24" t="s">
        <v>25</v>
      </c>
      <c r="G84" s="24"/>
      <c r="H84" s="287">
        <f>(H64+H53)-H29</f>
        <v>3429683.96</v>
      </c>
      <c r="I84" s="287">
        <f t="shared" ref="I84:O84" si="98">(I64+I53)-I29</f>
        <v>1430.8700000000001</v>
      </c>
      <c r="J84" s="287">
        <f t="shared" si="98"/>
        <v>1469.76</v>
      </c>
      <c r="K84" s="287">
        <f t="shared" si="98"/>
        <v>1808.04</v>
      </c>
      <c r="L84" s="287">
        <f t="shared" si="98"/>
        <v>2912.08</v>
      </c>
      <c r="M84" s="287">
        <f t="shared" si="98"/>
        <v>4834.5199999999995</v>
      </c>
      <c r="N84" s="287">
        <f t="shared" si="98"/>
        <v>4410.46</v>
      </c>
      <c r="O84" s="287">
        <f t="shared" si="98"/>
        <v>3137.46</v>
      </c>
      <c r="P84" s="142"/>
      <c r="Q84" s="142"/>
      <c r="R84" s="27"/>
      <c r="S84" s="142"/>
      <c r="T84" s="142"/>
      <c r="U84" s="142"/>
      <c r="V84" s="142"/>
      <c r="W84" s="142"/>
      <c r="X84" s="142"/>
      <c r="Y84" s="142"/>
    </row>
    <row r="85" spans="3:27" ht="15" customHeight="1" x14ac:dyDescent="0.2">
      <c r="E85" s="2" t="s">
        <v>208</v>
      </c>
      <c r="F85" s="24" t="s">
        <v>25</v>
      </c>
      <c r="G85" s="24"/>
      <c r="H85" s="284">
        <v>31.39</v>
      </c>
      <c r="I85" s="285">
        <v>35.15</v>
      </c>
      <c r="J85" s="285">
        <v>36.270000000000003</v>
      </c>
      <c r="K85" s="285">
        <v>46.1</v>
      </c>
      <c r="L85" s="285">
        <v>30.34</v>
      </c>
      <c r="M85" s="285">
        <v>58.05</v>
      </c>
      <c r="N85" s="285">
        <v>64.3</v>
      </c>
      <c r="O85" s="286">
        <v>57.71</v>
      </c>
      <c r="P85" s="33"/>
      <c r="Q85" s="33"/>
      <c r="R85" s="33"/>
      <c r="S85" s="33"/>
      <c r="T85" s="33"/>
      <c r="U85" s="33"/>
      <c r="V85" s="33"/>
      <c r="W85" s="33"/>
      <c r="X85" s="33"/>
      <c r="Y85" s="33"/>
    </row>
    <row r="86" spans="3:27" ht="15" customHeight="1" x14ac:dyDescent="0.2">
      <c r="E86" s="2"/>
      <c r="F86" s="24"/>
      <c r="G86" s="24"/>
      <c r="H86" s="50"/>
      <c r="I86" s="50"/>
      <c r="J86" s="50"/>
      <c r="K86" s="60"/>
      <c r="L86" s="60"/>
      <c r="M86" s="60"/>
      <c r="N86" s="60"/>
      <c r="O86" s="60"/>
      <c r="P86" s="60"/>
      <c r="Q86" s="60"/>
      <c r="R86" s="60"/>
      <c r="S86" s="60"/>
      <c r="T86" s="60"/>
      <c r="U86" s="60"/>
      <c r="V86" s="60"/>
      <c r="W86" s="60"/>
      <c r="X86" s="60"/>
      <c r="Y86" s="60"/>
    </row>
    <row r="87" spans="3:27" ht="15" customHeight="1" x14ac:dyDescent="0.2">
      <c r="C87" s="128" t="s">
        <v>256</v>
      </c>
      <c r="D87" s="129"/>
      <c r="E87" s="129"/>
      <c r="F87" s="130"/>
      <c r="G87" s="130"/>
      <c r="H87" s="140"/>
      <c r="I87" s="140"/>
      <c r="J87" s="140"/>
      <c r="K87" s="141"/>
      <c r="L87" s="141"/>
      <c r="M87" s="141"/>
      <c r="N87" s="141"/>
      <c r="O87" s="141"/>
      <c r="P87" s="141"/>
      <c r="Q87" s="141"/>
      <c r="R87" s="141"/>
      <c r="S87" s="141"/>
      <c r="T87" s="141"/>
      <c r="U87" s="141"/>
      <c r="V87" s="141"/>
      <c r="W87" s="141"/>
      <c r="X87" s="141"/>
      <c r="Y87" s="141"/>
    </row>
    <row r="89" spans="3:27" ht="15" customHeight="1" x14ac:dyDescent="0.2">
      <c r="E89" s="147" t="s">
        <v>215</v>
      </c>
      <c r="F89" s="86"/>
      <c r="G89" s="86"/>
      <c r="H89" s="386"/>
      <c r="I89" s="86"/>
      <c r="J89" s="86"/>
      <c r="K89" s="86"/>
      <c r="L89" s="86"/>
      <c r="M89" s="86"/>
      <c r="N89" s="86"/>
      <c r="O89" s="86"/>
      <c r="P89" s="86"/>
      <c r="Q89" s="86"/>
      <c r="R89" s="86"/>
    </row>
    <row r="90" spans="3:27" ht="15" customHeight="1" x14ac:dyDescent="0.2">
      <c r="E90" s="337"/>
      <c r="F90" s="336"/>
      <c r="G90" s="336"/>
      <c r="H90" s="336">
        <f t="shared" ref="H90:N90" si="99">EOMONTH(I90,-12)</f>
        <v>42978</v>
      </c>
      <c r="I90" s="336">
        <f t="shared" si="99"/>
        <v>43343</v>
      </c>
      <c r="J90" s="336">
        <f t="shared" si="99"/>
        <v>43708</v>
      </c>
      <c r="K90" s="336">
        <f t="shared" si="99"/>
        <v>44074</v>
      </c>
      <c r="L90" s="336">
        <f t="shared" si="99"/>
        <v>44439</v>
      </c>
      <c r="M90" s="336">
        <f t="shared" si="99"/>
        <v>44804</v>
      </c>
      <c r="N90" s="336">
        <f t="shared" si="99"/>
        <v>45169</v>
      </c>
      <c r="O90" s="339">
        <v>45526</v>
      </c>
      <c r="P90" s="161" t="s">
        <v>214</v>
      </c>
      <c r="Q90" s="86"/>
      <c r="R90" s="86"/>
    </row>
    <row r="91" spans="3:27" ht="15" customHeight="1" x14ac:dyDescent="0.2">
      <c r="E91" s="148" t="s">
        <v>216</v>
      </c>
      <c r="H91" s="145">
        <f>1-(H85/H23)</f>
        <v>0.48380200624897218</v>
      </c>
      <c r="I91" s="145">
        <f t="shared" ref="I91:O91" si="100">1-(I85/I23)</f>
        <v>0.47933639460820621</v>
      </c>
      <c r="J91" s="145">
        <f t="shared" si="100"/>
        <v>0.50733496332518335</v>
      </c>
      <c r="K91" s="145">
        <f t="shared" si="100"/>
        <v>0.35945532860914264</v>
      </c>
      <c r="L91" s="145">
        <f t="shared" si="100"/>
        <v>0.65138458002987476</v>
      </c>
      <c r="M91" s="145">
        <f t="shared" si="100"/>
        <v>0.38978240302743616</v>
      </c>
      <c r="N91" s="145">
        <f t="shared" si="100"/>
        <v>0.32930009387712533</v>
      </c>
      <c r="O91" s="145">
        <f t="shared" si="100"/>
        <v>0.22588866532528495</v>
      </c>
      <c r="P91" s="149">
        <f>AVERAGE(H91:O91)</f>
        <v>0.42828555438140314</v>
      </c>
      <c r="Q91" s="86"/>
      <c r="R91" s="86"/>
    </row>
    <row r="92" spans="3:27" ht="15" customHeight="1" x14ac:dyDescent="0.2">
      <c r="E92" s="148" t="s">
        <v>217</v>
      </c>
      <c r="H92" s="145">
        <f>H17/H26</f>
        <v>24.608476345083492</v>
      </c>
      <c r="I92" s="145">
        <f t="shared" ref="I92:O92" si="101">I17/I26</f>
        <v>25.586672246050846</v>
      </c>
      <c r="J92" s="145">
        <f t="shared" si="101"/>
        <v>22.116511807975229</v>
      </c>
      <c r="K92" s="145">
        <f t="shared" si="101"/>
        <v>10.512884648444215</v>
      </c>
      <c r="L92" s="145">
        <f t="shared" si="101"/>
        <v>14.609069076403305</v>
      </c>
      <c r="M92" s="145">
        <f t="shared" si="101"/>
        <v>13.865022980724694</v>
      </c>
      <c r="N92" s="145">
        <f t="shared" si="101"/>
        <v>10.358757841042255</v>
      </c>
      <c r="O92" s="145">
        <f t="shared" si="101"/>
        <v>16.229853197823637</v>
      </c>
      <c r="P92" s="149">
        <f>AVERAGE(H92:O92)</f>
        <v>17.23590601794346</v>
      </c>
      <c r="Q92" s="86"/>
      <c r="R92" s="86"/>
    </row>
    <row r="93" spans="3:27" ht="15" customHeight="1" x14ac:dyDescent="0.2">
      <c r="E93" s="148" t="s">
        <v>218</v>
      </c>
      <c r="H93" s="145">
        <f>H26/H49</f>
        <v>0.90313121792857887</v>
      </c>
      <c r="I93" s="145">
        <f t="shared" ref="I93:O93" si="102">I26/I49</f>
        <v>1.0443399266919038</v>
      </c>
      <c r="J93" s="145">
        <f t="shared" si="102"/>
        <v>0.91861638519295652</v>
      </c>
      <c r="K93" s="145">
        <f t="shared" si="102"/>
        <v>0.69321797576060917</v>
      </c>
      <c r="L93" s="145">
        <f t="shared" si="102"/>
        <v>0.71076226048263658</v>
      </c>
      <c r="M93" s="145">
        <f t="shared" si="102"/>
        <v>0.45262784434517578</v>
      </c>
      <c r="N93" s="145">
        <f t="shared" si="102"/>
        <v>0.43750471221557058</v>
      </c>
      <c r="O93" s="145">
        <f t="shared" si="102"/>
        <v>0.28057384037544258</v>
      </c>
      <c r="P93" s="149">
        <f>AVERAGE(H93:O93)</f>
        <v>0.68009677037410921</v>
      </c>
      <c r="Q93" s="86"/>
      <c r="R93" s="86"/>
    </row>
    <row r="94" spans="3:27" ht="15" customHeight="1" x14ac:dyDescent="0.2">
      <c r="E94" s="148" t="s">
        <v>219</v>
      </c>
      <c r="H94" s="145">
        <f t="shared" ref="H94:O94" si="103">H49/H71</f>
        <v>5.5210474032279109E-5</v>
      </c>
      <c r="I94" s="145">
        <f t="shared" si="103"/>
        <v>6.7995924471456999E-3</v>
      </c>
      <c r="J94" s="145">
        <f t="shared" si="103"/>
        <v>6.3785117478894985E-3</v>
      </c>
      <c r="K94" s="145">
        <f t="shared" si="103"/>
        <v>8.205309831777606E-3</v>
      </c>
      <c r="L94" s="145">
        <f t="shared" si="103"/>
        <v>1.1350803141824075E-2</v>
      </c>
      <c r="M94" s="145">
        <f t="shared" si="103"/>
        <v>5.5225945088262741E-3</v>
      </c>
      <c r="N94" s="145">
        <f t="shared" si="103"/>
        <v>1.1493013848217768E-2</v>
      </c>
      <c r="O94" s="145">
        <f t="shared" si="103"/>
        <v>4.487457493746045E-2</v>
      </c>
      <c r="P94" s="149">
        <f>AVERAGE(H94:O94)</f>
        <v>1.1834951367146705E-2</v>
      </c>
      <c r="Q94" s="86"/>
      <c r="R94" s="86"/>
    </row>
    <row r="95" spans="3:27" ht="15" customHeight="1" x14ac:dyDescent="0.2">
      <c r="E95" s="86"/>
      <c r="K95" s="151"/>
      <c r="L95" s="86"/>
      <c r="M95" s="86"/>
      <c r="N95" s="86"/>
      <c r="O95" s="86"/>
      <c r="P95" s="86"/>
      <c r="Q95" s="86"/>
      <c r="R95" s="86"/>
    </row>
    <row r="96" spans="3:27" ht="15" customHeight="1" x14ac:dyDescent="0.2">
      <c r="E96" s="86" t="s">
        <v>220</v>
      </c>
      <c r="F96" s="152"/>
      <c r="G96" s="152"/>
      <c r="H96" s="169">
        <f>H91*H92*H93*H94</f>
        <v>5.9364213765356934E-4</v>
      </c>
      <c r="I96" s="169">
        <f t="shared" ref="H96:O96" si="104">I91*I92*I93*I94</f>
        <v>8.7092142775476347E-2</v>
      </c>
      <c r="J96" s="169">
        <f t="shared" si="104"/>
        <v>6.5745339439046063E-2</v>
      </c>
      <c r="K96" s="169">
        <f t="shared" si="104"/>
        <v>2.149471175915248E-2</v>
      </c>
      <c r="L96" s="169">
        <f t="shared" si="104"/>
        <v>7.677343418790003E-2</v>
      </c>
      <c r="M96" s="169">
        <f t="shared" si="104"/>
        <v>1.3509125807120529E-2</v>
      </c>
      <c r="N96" s="169">
        <f t="shared" si="104"/>
        <v>1.7152056560018645E-2</v>
      </c>
      <c r="O96" s="169">
        <f t="shared" si="104"/>
        <v>4.6159017415340044E-2</v>
      </c>
      <c r="P96" s="169">
        <f>AVERAGE(H96:O96)</f>
        <v>4.1064933760213473E-2</v>
      </c>
      <c r="Q96" s="86"/>
      <c r="R96" s="86"/>
    </row>
    <row r="97" spans="5:18" ht="15" customHeight="1" x14ac:dyDescent="0.2">
      <c r="E97" s="86"/>
      <c r="F97" s="86"/>
      <c r="G97" s="86"/>
      <c r="H97" s="154"/>
      <c r="I97" s="86"/>
      <c r="J97" s="86"/>
      <c r="K97" s="154"/>
      <c r="L97" s="86"/>
      <c r="M97" s="86"/>
      <c r="N97" s="86"/>
      <c r="O97" s="86"/>
      <c r="P97" s="86"/>
      <c r="Q97" s="86"/>
      <c r="R97" s="86"/>
    </row>
    <row r="98" spans="5:18" ht="15" customHeight="1" x14ac:dyDescent="0.2">
      <c r="E98" s="147" t="s">
        <v>221</v>
      </c>
      <c r="F98" s="86"/>
      <c r="G98" s="86"/>
      <c r="H98" s="86"/>
      <c r="I98" s="86"/>
      <c r="J98" s="86"/>
      <c r="K98" s="86"/>
      <c r="L98" s="86"/>
      <c r="M98" s="86"/>
      <c r="N98" s="86"/>
      <c r="O98" s="86"/>
      <c r="P98" s="86"/>
      <c r="Q98" s="86"/>
      <c r="R98" s="86"/>
    </row>
    <row r="99" spans="5:18" ht="15" customHeight="1" x14ac:dyDescent="0.2">
      <c r="E99" s="337"/>
      <c r="F99" s="337"/>
      <c r="G99" s="337"/>
      <c r="H99" s="336">
        <f t="shared" ref="H99:N99" si="105">EOMONTH(I99,-12)</f>
        <v>42978</v>
      </c>
      <c r="I99" s="336">
        <f t="shared" si="105"/>
        <v>43343</v>
      </c>
      <c r="J99" s="336">
        <f t="shared" si="105"/>
        <v>43708</v>
      </c>
      <c r="K99" s="336">
        <f t="shared" si="105"/>
        <v>44074</v>
      </c>
      <c r="L99" s="336">
        <f t="shared" si="105"/>
        <v>44439</v>
      </c>
      <c r="M99" s="336">
        <f t="shared" si="105"/>
        <v>44804</v>
      </c>
      <c r="N99" s="336">
        <f t="shared" si="105"/>
        <v>45169</v>
      </c>
      <c r="O99" s="339">
        <v>45526</v>
      </c>
      <c r="P99" s="161" t="s">
        <v>214</v>
      </c>
      <c r="Q99" s="86"/>
      <c r="R99" s="86"/>
    </row>
    <row r="100" spans="5:18" ht="15" customHeight="1" x14ac:dyDescent="0.2">
      <c r="E100" s="148" t="s">
        <v>180</v>
      </c>
      <c r="H100" s="75">
        <f>H23</f>
        <v>60.81</v>
      </c>
      <c r="I100" s="75">
        <f t="shared" ref="I100:O100" si="106">I23</f>
        <v>67.510000000000005</v>
      </c>
      <c r="J100" s="75">
        <f t="shared" si="106"/>
        <v>73.62</v>
      </c>
      <c r="K100" s="75">
        <f t="shared" si="106"/>
        <v>71.97</v>
      </c>
      <c r="L100" s="75">
        <f t="shared" si="106"/>
        <v>87.03</v>
      </c>
      <c r="M100" s="75">
        <f t="shared" si="106"/>
        <v>95.13</v>
      </c>
      <c r="N100" s="75">
        <f t="shared" si="106"/>
        <v>95.87</v>
      </c>
      <c r="O100" s="75">
        <f t="shared" si="106"/>
        <v>74.55</v>
      </c>
      <c r="P100" s="75">
        <f>AVERAGE(H100:O100)</f>
        <v>78.311249999999987</v>
      </c>
      <c r="Q100" s="86"/>
      <c r="R100" s="86"/>
    </row>
    <row r="101" spans="5:18" ht="15" customHeight="1" x14ac:dyDescent="0.2">
      <c r="E101" s="148" t="s">
        <v>222</v>
      </c>
      <c r="H101" s="75">
        <f>H71</f>
        <v>3459126.2499999995</v>
      </c>
      <c r="I101" s="75">
        <f t="shared" ref="I101:O101" si="107">I71</f>
        <v>26922.642999999996</v>
      </c>
      <c r="J101" s="75">
        <f t="shared" si="107"/>
        <v>35266.377</v>
      </c>
      <c r="K101" s="75">
        <f t="shared" si="107"/>
        <v>40906.682000000001</v>
      </c>
      <c r="L101" s="75">
        <f t="shared" si="107"/>
        <v>30450.972999999998</v>
      </c>
      <c r="M101" s="75">
        <f t="shared" si="107"/>
        <v>112282.37</v>
      </c>
      <c r="N101" s="75">
        <f t="shared" si="107"/>
        <v>57702.009999999995</v>
      </c>
      <c r="O101" s="75">
        <f t="shared" si="107"/>
        <v>23210.114000000005</v>
      </c>
      <c r="P101" s="75">
        <f>AVERAGE(H101:O101)</f>
        <v>473233.42737499997</v>
      </c>
      <c r="Q101" s="86"/>
      <c r="R101" s="86"/>
    </row>
    <row r="102" spans="5:18" ht="15" customHeight="1" x14ac:dyDescent="0.2">
      <c r="E102" s="148" t="s">
        <v>211</v>
      </c>
      <c r="H102" s="146">
        <f>'&gt;&gt; Segments'!H89</f>
        <v>0.66666666666666674</v>
      </c>
      <c r="I102" s="146">
        <f>'&gt;&gt; Segments'!I89</f>
        <v>0.69230769230769229</v>
      </c>
      <c r="J102" s="146">
        <f>'&gt;&gt; Segments'!J89</f>
        <v>0.69230769230769229</v>
      </c>
      <c r="K102" s="146">
        <f>'&gt;&gt; Segments'!K89</f>
        <v>0.91666666666666674</v>
      </c>
      <c r="L102" s="146">
        <f>'&gt;&gt; Segments'!L89</f>
        <v>0.4</v>
      </c>
      <c r="M102" s="146">
        <f>'&gt;&gt; Segments'!M89</f>
        <v>0.75</v>
      </c>
      <c r="N102" s="146">
        <f>'&gt;&gt; Segments'!N89</f>
        <v>0.7857142857142857</v>
      </c>
      <c r="O102" s="146">
        <f>'&gt;&gt; Segments'!O89</f>
        <v>1</v>
      </c>
      <c r="P102" s="149">
        <f>AVERAGE(H102:O102)</f>
        <v>0.73795787545787539</v>
      </c>
      <c r="Q102" s="86"/>
      <c r="R102" s="86"/>
    </row>
    <row r="103" spans="5:18" ht="15" customHeight="1" x14ac:dyDescent="0.2">
      <c r="E103" s="86"/>
      <c r="K103" s="150"/>
      <c r="L103" s="150"/>
      <c r="M103" s="150"/>
      <c r="N103" s="150"/>
      <c r="O103" s="150"/>
      <c r="P103" s="171"/>
      <c r="Q103" s="86"/>
      <c r="R103" s="86"/>
    </row>
    <row r="104" spans="5:18" ht="15" customHeight="1" x14ac:dyDescent="0.2">
      <c r="E104" s="86" t="s">
        <v>223</v>
      </c>
      <c r="K104" s="152"/>
      <c r="L104" s="152"/>
      <c r="M104" s="152"/>
      <c r="N104" s="152"/>
      <c r="O104" s="170"/>
      <c r="P104" s="395">
        <f>(P100/P101)*(1-P102)</f>
        <v>4.3363053280867055E-5</v>
      </c>
      <c r="Q104" s="86"/>
      <c r="R104" s="86"/>
    </row>
    <row r="105" spans="5:18" ht="15" customHeight="1" x14ac:dyDescent="0.2">
      <c r="E105" s="86"/>
      <c r="F105" s="155"/>
      <c r="G105" s="155"/>
      <c r="H105" s="155"/>
      <c r="I105" s="155"/>
      <c r="J105" s="155"/>
      <c r="K105" s="153"/>
      <c r="L105" s="86"/>
      <c r="M105" s="86"/>
      <c r="N105" s="86"/>
      <c r="O105" s="86"/>
      <c r="P105" s="86"/>
      <c r="Q105" s="86"/>
      <c r="R105" s="86"/>
    </row>
    <row r="106" spans="5:18" ht="15" customHeight="1" x14ac:dyDescent="0.2">
      <c r="E106" s="147" t="s">
        <v>233</v>
      </c>
      <c r="F106" s="155"/>
      <c r="R106" s="86"/>
    </row>
    <row r="107" spans="5:18" ht="15" customHeight="1" x14ac:dyDescent="0.2">
      <c r="E107" s="337"/>
      <c r="F107" s="336">
        <f>EOMONTH(N4,12)</f>
        <v>45657</v>
      </c>
      <c r="G107" s="338">
        <f>EOMONTH(O4,12)</f>
        <v>46022</v>
      </c>
      <c r="H107" s="161">
        <f t="shared" ref="H107:P107" si="108">EOMONTH(G107,12)</f>
        <v>46387</v>
      </c>
      <c r="I107" s="161">
        <f t="shared" si="108"/>
        <v>46752</v>
      </c>
      <c r="J107" s="161">
        <f t="shared" si="108"/>
        <v>47118</v>
      </c>
      <c r="K107" s="161">
        <f t="shared" si="108"/>
        <v>47483</v>
      </c>
      <c r="L107" s="161">
        <f t="shared" si="108"/>
        <v>47848</v>
      </c>
      <c r="M107" s="161">
        <f t="shared" si="108"/>
        <v>48213</v>
      </c>
      <c r="N107" s="161">
        <f t="shared" si="108"/>
        <v>48579</v>
      </c>
      <c r="O107" s="161">
        <f t="shared" si="108"/>
        <v>48944</v>
      </c>
      <c r="P107" s="161">
        <f t="shared" si="108"/>
        <v>49309</v>
      </c>
      <c r="R107" s="86"/>
    </row>
    <row r="108" spans="5:18" ht="15" customHeight="1" x14ac:dyDescent="0.2">
      <c r="E108" s="148" t="s">
        <v>225</v>
      </c>
      <c r="F108" s="156">
        <f>'&gt;&gt; Segments'!O87</f>
        <v>0.1</v>
      </c>
      <c r="G108" s="156">
        <f>'&gt;&gt; Segments'!P93</f>
        <v>5.2684672536786197</v>
      </c>
      <c r="H108" s="156">
        <f>'&gt;&gt; Segments'!Q93</f>
        <v>5.2709672536786201</v>
      </c>
      <c r="I108" s="156">
        <f>'&gt;&gt; Segments'!R93</f>
        <v>5.2734672536786196</v>
      </c>
      <c r="J108" s="156">
        <f>'&gt;&gt; Segments'!S93</f>
        <v>5.27596725367862</v>
      </c>
      <c r="K108" s="156">
        <f>'&gt;&gt; Segments'!T93</f>
        <v>5.1659672536786196</v>
      </c>
      <c r="L108" s="156">
        <f>'&gt;&gt; Segments'!U93</f>
        <v>5.1659672536786196</v>
      </c>
      <c r="M108" s="156">
        <f>'&gt;&gt; Segments'!V93</f>
        <v>5.1659672536786196</v>
      </c>
      <c r="N108" s="156">
        <f ca="1">'&gt;&gt; Segments'!W93</f>
        <v>5.4954224301849006</v>
      </c>
      <c r="O108" s="156">
        <f ca="1">'&gt;&gt; Segments'!X93</f>
        <v>5.50042069698892</v>
      </c>
      <c r="P108" s="156">
        <f ca="1">'&gt;&gt; Segments'!Y93</f>
        <v>5.5037816430343725</v>
      </c>
      <c r="R108" s="86"/>
    </row>
    <row r="109" spans="5:18" ht="15" customHeight="1" x14ac:dyDescent="0.2">
      <c r="E109" s="86"/>
      <c r="F109" s="150"/>
      <c r="G109" s="151"/>
      <c r="H109" s="151"/>
      <c r="I109" s="151"/>
      <c r="J109" s="86"/>
      <c r="K109" s="86"/>
      <c r="L109" s="86"/>
      <c r="M109" s="86"/>
      <c r="N109" s="86"/>
      <c r="O109" s="86"/>
      <c r="P109" s="86"/>
      <c r="R109" s="86"/>
    </row>
    <row r="110" spans="5:18" ht="15" customHeight="1" x14ac:dyDescent="0.2">
      <c r="E110" s="86" t="s">
        <v>234</v>
      </c>
      <c r="F110" s="152"/>
      <c r="G110" s="152">
        <f>G108/F108-1%</f>
        <v>52.674672536786197</v>
      </c>
      <c r="H110" s="152">
        <f t="shared" ref="G110:P110" si="109">H108/G108-1</f>
        <v>4.7452131324443592E-4</v>
      </c>
      <c r="I110" s="152">
        <f t="shared" si="109"/>
        <v>4.7429624956496497E-4</v>
      </c>
      <c r="J110" s="152">
        <f t="shared" si="109"/>
        <v>4.7407139927835296E-4</v>
      </c>
      <c r="K110" s="152">
        <f t="shared" si="109"/>
        <v>-2.0849257531555754E-2</v>
      </c>
      <c r="L110" s="152">
        <f t="shared" si="109"/>
        <v>0</v>
      </c>
      <c r="M110" s="152">
        <f t="shared" si="109"/>
        <v>0</v>
      </c>
      <c r="N110" s="152">
        <f t="shared" ca="1" si="109"/>
        <v>6.3774151156626102E-2</v>
      </c>
      <c r="O110" s="152">
        <f t="shared" ca="1" si="109"/>
        <v>9.0953277341609962E-4</v>
      </c>
      <c r="P110" s="152">
        <f t="shared" ca="1" si="109"/>
        <v>6.110343609340152E-4</v>
      </c>
      <c r="R110" s="86"/>
    </row>
    <row r="111" spans="5:18" ht="15" customHeight="1" x14ac:dyDescent="0.2">
      <c r="E111" s="86"/>
      <c r="F111" s="86"/>
    </row>
    <row r="112" spans="5:18" ht="15" customHeight="1" x14ac:dyDescent="0.2">
      <c r="E112" s="172" t="s">
        <v>235</v>
      </c>
      <c r="F112" s="362" t="s">
        <v>224</v>
      </c>
      <c r="G112" s="362"/>
      <c r="H112" s="362"/>
      <c r="I112" s="362"/>
      <c r="J112" s="366"/>
      <c r="K112" s="367" t="s">
        <v>226</v>
      </c>
      <c r="L112" s="367"/>
      <c r="M112" s="367"/>
      <c r="N112" s="367"/>
      <c r="O112" s="368"/>
      <c r="P112" s="163" t="s">
        <v>83</v>
      </c>
      <c r="Q112" s="252" t="s">
        <v>227</v>
      </c>
    </row>
    <row r="113" spans="1:27" ht="15" customHeight="1" x14ac:dyDescent="0.2">
      <c r="E113" s="160"/>
      <c r="F113" s="162">
        <f>EOMONTH('&gt;&gt; Inputs'!$G$17,12)</f>
        <v>46022</v>
      </c>
      <c r="G113" s="165">
        <f t="shared" ref="G113:P113" si="110">EOMONTH(F113,12)</f>
        <v>46387</v>
      </c>
      <c r="H113" s="165">
        <f t="shared" si="110"/>
        <v>46752</v>
      </c>
      <c r="I113" s="165">
        <f t="shared" si="110"/>
        <v>47118</v>
      </c>
      <c r="J113" s="166">
        <f t="shared" si="110"/>
        <v>47483</v>
      </c>
      <c r="K113" s="167">
        <f t="shared" si="110"/>
        <v>47848</v>
      </c>
      <c r="L113" s="167">
        <f t="shared" si="110"/>
        <v>48213</v>
      </c>
      <c r="M113" s="167">
        <f t="shared" si="110"/>
        <v>48579</v>
      </c>
      <c r="N113" s="167">
        <f t="shared" si="110"/>
        <v>48944</v>
      </c>
      <c r="O113" s="168">
        <f t="shared" si="110"/>
        <v>49309</v>
      </c>
      <c r="P113" s="251">
        <f t="shared" si="110"/>
        <v>49674</v>
      </c>
      <c r="Q113" s="250"/>
    </row>
    <row r="114" spans="1:27" ht="15" customHeight="1" x14ac:dyDescent="0.2">
      <c r="E114" s="86" t="s">
        <v>228</v>
      </c>
      <c r="F114" s="164">
        <f t="shared" ref="F114:J114" si="111">$P$96</f>
        <v>4.1064933760213473E-2</v>
      </c>
      <c r="G114" s="137">
        <f t="shared" si="111"/>
        <v>4.1064933760213473E-2</v>
      </c>
      <c r="H114" s="137">
        <f t="shared" si="111"/>
        <v>4.1064933760213473E-2</v>
      </c>
      <c r="I114" s="137">
        <f t="shared" si="111"/>
        <v>4.1064933760213473E-2</v>
      </c>
      <c r="J114" s="137">
        <f t="shared" si="111"/>
        <v>4.1064933760213473E-2</v>
      </c>
      <c r="K114" s="137">
        <f>J114-(($J$114-$P$114)/6)</f>
        <v>3.7554111466844564E-2</v>
      </c>
      <c r="L114" s="137">
        <f t="shared" ref="L114:O114" si="112">K114-(($J$114-$P$114)/6)</f>
        <v>3.4043289173475655E-2</v>
      </c>
      <c r="M114" s="137">
        <f t="shared" si="112"/>
        <v>3.0532466880106742E-2</v>
      </c>
      <c r="N114" s="137">
        <f t="shared" si="112"/>
        <v>2.7021644586737829E-2</v>
      </c>
      <c r="O114" s="137">
        <f t="shared" si="112"/>
        <v>2.3510822293368917E-2</v>
      </c>
      <c r="P114" s="257">
        <f>'&gt;&gt; Dash'!F$43</f>
        <v>0.02</v>
      </c>
      <c r="Q114" s="253">
        <v>0.2</v>
      </c>
    </row>
    <row r="115" spans="1:27" ht="15" customHeight="1" x14ac:dyDescent="0.2">
      <c r="E115" s="86" t="s">
        <v>223</v>
      </c>
      <c r="F115" s="396">
        <f t="shared" ref="F115:J115" si="113">$P$104</f>
        <v>4.3363053280867055E-5</v>
      </c>
      <c r="G115" s="137">
        <f t="shared" si="113"/>
        <v>4.3363053280867055E-5</v>
      </c>
      <c r="H115" s="137">
        <f t="shared" si="113"/>
        <v>4.3363053280867055E-5</v>
      </c>
      <c r="I115" s="137">
        <f t="shared" si="113"/>
        <v>4.3363053280867055E-5</v>
      </c>
      <c r="J115" s="137">
        <f t="shared" si="113"/>
        <v>4.3363053280867055E-5</v>
      </c>
      <c r="K115" s="137">
        <f>J115-(($J$115-$P$115)/6)</f>
        <v>3.3694692110673892E-3</v>
      </c>
      <c r="L115" s="137">
        <f t="shared" ref="L115:O115" si="114">K115-(($J$115-$P$115)/6)</f>
        <v>6.6955753688539114E-3</v>
      </c>
      <c r="M115" s="137">
        <f t="shared" si="114"/>
        <v>1.0021681526640434E-2</v>
      </c>
      <c r="N115" s="137">
        <f t="shared" si="114"/>
        <v>1.3347787684426956E-2</v>
      </c>
      <c r="O115" s="137">
        <f t="shared" si="114"/>
        <v>1.6673893842213478E-2</v>
      </c>
      <c r="P115" s="258">
        <f>'&gt;&gt; Dash'!F$43</f>
        <v>0.02</v>
      </c>
      <c r="Q115" s="254">
        <v>0.4</v>
      </c>
    </row>
    <row r="116" spans="1:27" ht="15" customHeight="1" x14ac:dyDescent="0.2">
      <c r="E116" s="86" t="s">
        <v>267</v>
      </c>
      <c r="F116" s="157">
        <f t="shared" ref="F116:J116" si="115">G110</f>
        <v>52.674672536786197</v>
      </c>
      <c r="G116" s="157">
        <f t="shared" si="115"/>
        <v>4.7452131324443592E-4</v>
      </c>
      <c r="H116" s="157">
        <f t="shared" si="115"/>
        <v>4.7429624956496497E-4</v>
      </c>
      <c r="I116" s="157">
        <f t="shared" si="115"/>
        <v>4.7407139927835296E-4</v>
      </c>
      <c r="J116" s="157">
        <f t="shared" si="115"/>
        <v>-2.0849257531555754E-2</v>
      </c>
      <c r="K116" s="137">
        <f>J116-(($J$116-$P$116)/6)</f>
        <v>-1.4041047942963129E-2</v>
      </c>
      <c r="L116" s="137">
        <f t="shared" ref="L116:O116" si="116">K116-(($J$116-$P$116)/6)</f>
        <v>-7.2328383543705027E-3</v>
      </c>
      <c r="M116" s="137">
        <f t="shared" si="116"/>
        <v>-4.2462876577787668E-4</v>
      </c>
      <c r="N116" s="137">
        <f t="shared" si="116"/>
        <v>6.3835808228147493E-3</v>
      </c>
      <c r="O116" s="137">
        <f t="shared" si="116"/>
        <v>1.3191790411407375E-2</v>
      </c>
      <c r="P116" s="259">
        <f>'&gt;&gt; Dash'!F$43</f>
        <v>0.02</v>
      </c>
      <c r="Q116" s="255">
        <v>0.4</v>
      </c>
    </row>
    <row r="117" spans="1:27" ht="15" customHeight="1" x14ac:dyDescent="0.2">
      <c r="E117" s="230" t="s">
        <v>230</v>
      </c>
      <c r="F117" s="231">
        <f t="shared" ref="F117:P117" si="117">SUMPRODUCT(F114:F116,$Q$114:$Q$116)</f>
        <v>21.078099346687836</v>
      </c>
      <c r="G117" s="231">
        <f t="shared" si="117"/>
        <v>8.4201404986528165E-3</v>
      </c>
      <c r="H117" s="231">
        <f t="shared" si="117"/>
        <v>8.4200504731810292E-3</v>
      </c>
      <c r="I117" s="231">
        <f t="shared" si="117"/>
        <v>8.4199605330663833E-3</v>
      </c>
      <c r="J117" s="231">
        <f t="shared" si="117"/>
        <v>-1.0937103926725832E-4</v>
      </c>
      <c r="K117" s="231">
        <f t="shared" si="117"/>
        <v>3.2421908006106167E-3</v>
      </c>
      <c r="L117" s="231">
        <f t="shared" si="117"/>
        <v>6.5937526404884952E-3</v>
      </c>
      <c r="M117" s="231">
        <f t="shared" si="117"/>
        <v>9.9453144803663719E-3</v>
      </c>
      <c r="N117" s="231">
        <f t="shared" si="117"/>
        <v>1.3296876320244249E-2</v>
      </c>
      <c r="O117" s="231">
        <f t="shared" si="117"/>
        <v>1.6648438160122125E-2</v>
      </c>
      <c r="P117" s="232">
        <f t="shared" si="117"/>
        <v>0.02</v>
      </c>
      <c r="Q117" s="85"/>
    </row>
    <row r="118" spans="1:27" ht="15" customHeight="1" x14ac:dyDescent="0.2">
      <c r="S118" s="158"/>
    </row>
    <row r="121" spans="1:27" ht="15" customHeight="1" x14ac:dyDescent="0.2">
      <c r="A121" s="41"/>
      <c r="B121" s="41" t="s">
        <v>45</v>
      </c>
      <c r="C121" s="42"/>
      <c r="D121" s="42"/>
      <c r="E121" s="42"/>
      <c r="F121" s="42"/>
      <c r="G121" s="42"/>
      <c r="H121" s="42"/>
      <c r="I121" s="42"/>
      <c r="J121" s="42"/>
      <c r="K121" s="42"/>
      <c r="L121" s="42"/>
      <c r="M121" s="42"/>
      <c r="N121" s="42"/>
      <c r="O121" s="42"/>
      <c r="P121" s="42"/>
      <c r="Q121" s="42"/>
      <c r="R121" s="42"/>
      <c r="S121" s="42"/>
      <c r="T121" s="42"/>
      <c r="U121" s="42"/>
      <c r="V121" s="42"/>
      <c r="W121" s="42"/>
      <c r="X121" s="42"/>
      <c r="Y121" s="42"/>
      <c r="Z121" s="42"/>
      <c r="AA121" s="42"/>
    </row>
    <row r="304" spans="2:2" ht="11.25" customHeight="1" x14ac:dyDescent="0.2">
      <c r="B304" s="144" t="s">
        <v>213</v>
      </c>
    </row>
    <row r="522" spans="12:12" ht="15.75" customHeight="1" x14ac:dyDescent="0.2">
      <c r="L522" s="143" t="s">
        <v>209</v>
      </c>
    </row>
  </sheetData>
  <mergeCells count="3">
    <mergeCell ref="F112:J112"/>
    <mergeCell ref="K112:O112"/>
    <mergeCell ref="H2:O2"/>
  </mergeCells>
  <pageMargins left="0.7" right="0.7" top="0.75" bottom="0.75" header="0" footer="0"/>
  <pageSetup orientation="portrait"/>
  <ignoredErrors>
    <ignoredError sqref="I31:L31 M31:N31 P32 P42 P44" formula="1"/>
  </ignoredError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6953473414789142A69876F4AE4B0A5B" ma:contentTypeVersion="13" ma:contentTypeDescription="Create a new document." ma:contentTypeScope="" ma:versionID="3c04502f2862d9cffd401d7e2bedcecb">
  <xsd:schema xmlns:xsd="http://www.w3.org/2001/XMLSchema" xmlns:xs="http://www.w3.org/2001/XMLSchema" xmlns:p="http://schemas.microsoft.com/office/2006/metadata/properties" xmlns:ns3="90c0cbaa-2f71-4f30-8f62-ec494b665205" xmlns:ns4="f7f772ff-77b1-47cf-a645-d65c77c3854c" targetNamespace="http://schemas.microsoft.com/office/2006/metadata/properties" ma:root="true" ma:fieldsID="2c8262acd911a0266d935b19c1474f28" ns3:_="" ns4:_="">
    <xsd:import namespace="90c0cbaa-2f71-4f30-8f62-ec494b665205"/>
    <xsd:import namespace="f7f772ff-77b1-47cf-a645-d65c77c3854c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KeyPoints" minOccurs="0"/>
                <xsd:element ref="ns3:MediaServiceKeyPoints" minOccurs="0"/>
                <xsd:element ref="ns4:SharedWithUsers" minOccurs="0"/>
                <xsd:element ref="ns4:SharedWithDetails" minOccurs="0"/>
                <xsd:element ref="ns4:SharingHintHash" minOccurs="0"/>
                <xsd:element ref="ns3:MediaLengthInSeconds" minOccurs="0"/>
                <xsd:element ref="ns3:_activity" minOccurs="0"/>
                <xsd:element ref="ns3:MediaServiceDateTaken" minOccurs="0"/>
                <xsd:element ref="ns3:MediaServiceAutoTags" minOccurs="0"/>
                <xsd:element ref="ns3:MediaServiceObjectDetectorVersions" minOccurs="0"/>
                <xsd:element ref="ns3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0c0cbaa-2f71-4f30-8f62-ec494b66520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LengthInSeconds" ma:index="15" nillable="true" ma:displayName="MediaLengthInSeconds" ma:hidden="true" ma:internalName="MediaLengthInSeconds" ma:readOnly="true">
      <xsd:simpleType>
        <xsd:restriction base="dms:Unknown"/>
      </xsd:simpleType>
    </xsd:element>
    <xsd:element name="_activity" ma:index="16" nillable="true" ma:displayName="_activity" ma:hidden="true" ma:internalName="_activity">
      <xsd:simpleType>
        <xsd:restriction base="dms:Note"/>
      </xsd:simpleType>
    </xsd:element>
    <xsd:element name="MediaServiceDateTaken" ma:index="17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AutoTags" ma:index="18" nillable="true" ma:displayName="Tags" ma:internalName="MediaServiceAutoTags" ma:readOnly="true">
      <xsd:simpleType>
        <xsd:restriction base="dms:Text"/>
      </xsd:simpleType>
    </xsd:element>
    <xsd:element name="MediaServiceObjectDetectorVersions" ma:index="19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0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7f772ff-77b1-47cf-a645-d65c77c3854c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4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activity xmlns="90c0cbaa-2f71-4f30-8f62-ec494b665205" xsi:nil="true"/>
  </documentManagement>
</p:properties>
</file>

<file path=customXml/itemProps1.xml><?xml version="1.0" encoding="utf-8"?>
<ds:datastoreItem xmlns:ds="http://schemas.openxmlformats.org/officeDocument/2006/customXml" ds:itemID="{B4B9A6E3-1F79-44EC-913F-D92D1E656D59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90c0cbaa-2f71-4f30-8f62-ec494b665205"/>
    <ds:schemaRef ds:uri="f7f772ff-77b1-47cf-a645-d65c77c3854c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CED6DA37-3821-4F74-AE67-CF7B5FF54704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3704A65E-1B8F-44A1-808A-68BECA34C80C}">
  <ds:schemaRefs>
    <ds:schemaRef ds:uri="http://purl.org/dc/dcmitype/"/>
    <ds:schemaRef ds:uri="http://www.w3.org/XML/1998/namespace"/>
    <ds:schemaRef ds:uri="http://schemas.microsoft.com/office/2006/documentManagement/types"/>
    <ds:schemaRef ds:uri="http://purl.org/dc/terms/"/>
    <ds:schemaRef ds:uri="http://purl.org/dc/elements/1.1/"/>
    <ds:schemaRef ds:uri="http://schemas.microsoft.com/office/2006/metadata/properties"/>
    <ds:schemaRef ds:uri="http://schemas.microsoft.com/office/infopath/2007/PartnerControls"/>
    <ds:schemaRef ds:uri="f7f772ff-77b1-47cf-a645-d65c77c3854c"/>
    <ds:schemaRef ds:uri="http://schemas.openxmlformats.org/package/2006/metadata/core-properties"/>
    <ds:schemaRef ds:uri="90c0cbaa-2f71-4f30-8f62-ec494b665205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8</vt:i4>
      </vt:variant>
      <vt:variant>
        <vt:lpstr>Named Ranges</vt:lpstr>
      </vt:variant>
      <vt:variant>
        <vt:i4>4</vt:i4>
      </vt:variant>
    </vt:vector>
  </HeadingPairs>
  <TitlesOfParts>
    <vt:vector size="12" baseType="lpstr">
      <vt:lpstr>&gt;&gt; Model</vt:lpstr>
      <vt:lpstr>&gt;&gt; Inputs</vt:lpstr>
      <vt:lpstr>&gt;&gt; Dash</vt:lpstr>
      <vt:lpstr>&gt;&gt; DCF</vt:lpstr>
      <vt:lpstr>&gt;&gt; DDM</vt:lpstr>
      <vt:lpstr>&gt;&gt; Summary</vt:lpstr>
      <vt:lpstr>&gt;&gt; Segments</vt:lpstr>
      <vt:lpstr>&gt;&gt; Fin Stmts</vt:lpstr>
      <vt:lpstr>DiY</vt:lpstr>
      <vt:lpstr>kt</vt:lpstr>
      <vt:lpstr>Millions</vt:lpstr>
      <vt:lpstr>MiY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Cameron Waller</dc:creator>
  <cp:lastModifiedBy>Tomasz Osuchowski</cp:lastModifiedBy>
  <dcterms:created xsi:type="dcterms:W3CDTF">2024-11-11T04:01:01Z</dcterms:created>
  <dcterms:modified xsi:type="dcterms:W3CDTF">2025-01-01T00:53:13Z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0x0101006953473414789142A69876F4AE4B0A5B</vt:lpwstr>
  </property>
</Properties>
</file>