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Heartland/"/>
    </mc:Choice>
  </mc:AlternateContent>
  <xr:revisionPtr revIDLastSave="0" documentId="8_{449D1081-998F-B541-A5B0-CFBAF0195414}" xr6:coauthVersionLast="47" xr6:coauthVersionMax="47" xr10:uidLastSave="{00000000-0000-0000-0000-000000000000}"/>
  <bookViews>
    <workbookView xWindow="100" yWindow="500" windowWidth="25500" windowHeight="14240" activeTab="3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Valuation Multiples" sheetId="10" r:id="rId5"/>
    <sheet name="&gt;&gt; DDM" sheetId="5" r:id="rId6"/>
    <sheet name="&gt;&gt; Summary" sheetId="7" r:id="rId7"/>
    <sheet name="&gt;&gt; Segments" sheetId="8" r:id="rId8"/>
    <sheet name="&gt;&gt; Fin Stmts" sheetId="9" r:id="rId9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89" i="8" l="1"/>
  <c r="V89" i="8"/>
  <c r="Y89" i="8" s="1"/>
  <c r="W89" i="8"/>
  <c r="X89" i="8"/>
  <c r="Q89" i="8"/>
  <c r="R89" i="8" s="1"/>
  <c r="P89" i="8"/>
  <c r="I89" i="8"/>
  <c r="J89" i="8"/>
  <c r="K89" i="8"/>
  <c r="L89" i="8"/>
  <c r="M89" i="8"/>
  <c r="N89" i="8"/>
  <c r="O89" i="8"/>
  <c r="H89" i="8"/>
  <c r="H40" i="8"/>
  <c r="J122" i="8"/>
  <c r="K122" i="8"/>
  <c r="L122" i="8"/>
  <c r="M122" i="8"/>
  <c r="N122" i="8"/>
  <c r="O122" i="8"/>
  <c r="I122" i="8"/>
  <c r="O110" i="8"/>
  <c r="J110" i="8"/>
  <c r="K110" i="8"/>
  <c r="L110" i="8"/>
  <c r="M110" i="8"/>
  <c r="N110" i="8"/>
  <c r="I110" i="8"/>
  <c r="O115" i="8"/>
  <c r="N115" i="8"/>
  <c r="M115" i="8"/>
  <c r="L115" i="8"/>
  <c r="K115" i="8"/>
  <c r="J115" i="8"/>
  <c r="I115" i="8"/>
  <c r="H115" i="8"/>
  <c r="O114" i="8"/>
  <c r="N114" i="8"/>
  <c r="M114" i="8"/>
  <c r="L114" i="8"/>
  <c r="K114" i="8"/>
  <c r="J114" i="8"/>
  <c r="I114" i="8"/>
  <c r="P113" i="8"/>
  <c r="P114" i="8" s="1"/>
  <c r="Q108" i="8"/>
  <c r="Q113" i="8" s="1"/>
  <c r="Q114" i="8" s="1"/>
  <c r="S89" i="8" l="1"/>
  <c r="T89" i="8" s="1"/>
  <c r="R108" i="8"/>
  <c r="P144" i="8"/>
  <c r="Q144" i="8"/>
  <c r="H39" i="8"/>
  <c r="G39" i="2"/>
  <c r="I17" i="4"/>
  <c r="K45" i="3"/>
  <c r="O31" i="9"/>
  <c r="N31" i="9"/>
  <c r="N34" i="9"/>
  <c r="N36" i="9"/>
  <c r="M31" i="9"/>
  <c r="L31" i="9"/>
  <c r="K31" i="9"/>
  <c r="H31" i="9"/>
  <c r="J31" i="9"/>
  <c r="I31" i="9"/>
  <c r="G58" i="8"/>
  <c r="M58" i="8"/>
  <c r="L58" i="8"/>
  <c r="K58" i="8"/>
  <c r="J58" i="8"/>
  <c r="I58" i="8"/>
  <c r="H58" i="8"/>
  <c r="I91" i="9"/>
  <c r="J91" i="9"/>
  <c r="K91" i="9"/>
  <c r="L91" i="9"/>
  <c r="M91" i="9"/>
  <c r="N91" i="9"/>
  <c r="O91" i="9"/>
  <c r="H91" i="9"/>
  <c r="I91" i="8"/>
  <c r="J91" i="8"/>
  <c r="K91" i="8"/>
  <c r="L91" i="8"/>
  <c r="M91" i="8"/>
  <c r="N91" i="8"/>
  <c r="O91" i="8"/>
  <c r="H91" i="8"/>
  <c r="J30" i="9"/>
  <c r="K30" i="9"/>
  <c r="L30" i="9"/>
  <c r="M30" i="9"/>
  <c r="N30" i="9"/>
  <c r="O30" i="9"/>
  <c r="F48" i="3"/>
  <c r="F47" i="3"/>
  <c r="F42" i="3"/>
  <c r="F54" i="3"/>
  <c r="F50" i="3"/>
  <c r="F51" i="3" s="1"/>
  <c r="I44" i="8"/>
  <c r="J44" i="8"/>
  <c r="K44" i="8"/>
  <c r="L44" i="8"/>
  <c r="M44" i="8"/>
  <c r="N44" i="8"/>
  <c r="O44" i="8"/>
  <c r="H44" i="8"/>
  <c r="I22" i="8"/>
  <c r="J22" i="8"/>
  <c r="K22" i="8"/>
  <c r="L22" i="8"/>
  <c r="M22" i="8"/>
  <c r="N22" i="8"/>
  <c r="O22" i="8"/>
  <c r="H22" i="8"/>
  <c r="H139" i="8"/>
  <c r="I139" i="8"/>
  <c r="J139" i="8"/>
  <c r="K139" i="8"/>
  <c r="L139" i="8"/>
  <c r="M139" i="8"/>
  <c r="N139" i="8"/>
  <c r="O139" i="8"/>
  <c r="O186" i="8"/>
  <c r="N186" i="8"/>
  <c r="M186" i="8"/>
  <c r="L186" i="8"/>
  <c r="K186" i="8"/>
  <c r="J186" i="8"/>
  <c r="I186" i="8"/>
  <c r="H186" i="8"/>
  <c r="O185" i="8"/>
  <c r="N185" i="8"/>
  <c r="M185" i="8"/>
  <c r="L185" i="8"/>
  <c r="K185" i="8"/>
  <c r="J185" i="8"/>
  <c r="I185" i="8"/>
  <c r="O181" i="8"/>
  <c r="N181" i="8"/>
  <c r="M181" i="8"/>
  <c r="L181" i="8"/>
  <c r="K181" i="8"/>
  <c r="J181" i="8"/>
  <c r="I181" i="8"/>
  <c r="P179" i="8"/>
  <c r="P185" i="8" s="1"/>
  <c r="E28" i="3"/>
  <c r="H59" i="8" l="1"/>
  <c r="R113" i="8"/>
  <c r="R114" i="8" s="1"/>
  <c r="S108" i="8"/>
  <c r="N34" i="8"/>
  <c r="J34" i="8"/>
  <c r="L34" i="8"/>
  <c r="N32" i="9"/>
  <c r="K43" i="3"/>
  <c r="O34" i="8"/>
  <c r="K34" i="8"/>
  <c r="M34" i="8"/>
  <c r="I34" i="8"/>
  <c r="P58" i="8"/>
  <c r="Q58" i="8" s="1"/>
  <c r="P44" i="8"/>
  <c r="P186" i="8"/>
  <c r="N37" i="9"/>
  <c r="F49" i="3"/>
  <c r="P22" i="8"/>
  <c r="P34" i="8" s="1"/>
  <c r="Q179" i="8"/>
  <c r="I100" i="9"/>
  <c r="J100" i="9"/>
  <c r="K100" i="9"/>
  <c r="L100" i="9"/>
  <c r="M100" i="9"/>
  <c r="N100" i="9"/>
  <c r="O100" i="9"/>
  <c r="H100" i="9"/>
  <c r="F108" i="9"/>
  <c r="O59" i="8"/>
  <c r="N59" i="8"/>
  <c r="M59" i="8"/>
  <c r="L59" i="8"/>
  <c r="K59" i="8"/>
  <c r="J59" i="8"/>
  <c r="I59" i="8"/>
  <c r="H76" i="8"/>
  <c r="I76" i="8"/>
  <c r="J76" i="8"/>
  <c r="K76" i="8"/>
  <c r="L76" i="8"/>
  <c r="M76" i="8"/>
  <c r="N76" i="8"/>
  <c r="O76" i="8"/>
  <c r="P82" i="9"/>
  <c r="O127" i="8"/>
  <c r="N127" i="8"/>
  <c r="M127" i="8"/>
  <c r="L127" i="8"/>
  <c r="O175" i="8"/>
  <c r="N175" i="8"/>
  <c r="M175" i="8"/>
  <c r="L175" i="8"/>
  <c r="K175" i="8"/>
  <c r="J175" i="8"/>
  <c r="I175" i="8"/>
  <c r="H175" i="8"/>
  <c r="O151" i="8"/>
  <c r="N151" i="8"/>
  <c r="M151" i="8"/>
  <c r="L151" i="8"/>
  <c r="K151" i="8"/>
  <c r="J151" i="8"/>
  <c r="I151" i="8"/>
  <c r="H151" i="8"/>
  <c r="I163" i="8"/>
  <c r="J163" i="8"/>
  <c r="K163" i="8"/>
  <c r="L163" i="8"/>
  <c r="M163" i="8"/>
  <c r="N163" i="8"/>
  <c r="O163" i="8"/>
  <c r="H163" i="8"/>
  <c r="J90" i="8"/>
  <c r="K90" i="8"/>
  <c r="L90" i="8"/>
  <c r="M90" i="8"/>
  <c r="N90" i="8"/>
  <c r="O90" i="8"/>
  <c r="I90" i="8"/>
  <c r="E104" i="4"/>
  <c r="E103" i="4"/>
  <c r="E84" i="4"/>
  <c r="E83" i="4"/>
  <c r="I59" i="9"/>
  <c r="J59" i="9"/>
  <c r="K59" i="9"/>
  <c r="L59" i="9"/>
  <c r="M59" i="9"/>
  <c r="N59" i="9"/>
  <c r="O59" i="9"/>
  <c r="S113" i="8" l="1"/>
  <c r="S114" i="8" s="1"/>
  <c r="T108" i="8"/>
  <c r="P59" i="8"/>
  <c r="Q22" i="8"/>
  <c r="Q34" i="8" s="1"/>
  <c r="Q44" i="8"/>
  <c r="M77" i="8"/>
  <c r="I77" i="8"/>
  <c r="P151" i="8"/>
  <c r="Q151" i="8" s="1"/>
  <c r="R151" i="8" s="1"/>
  <c r="Q184" i="8"/>
  <c r="Q185" i="8" s="1"/>
  <c r="R179" i="8"/>
  <c r="L77" i="8"/>
  <c r="O77" i="8"/>
  <c r="K77" i="8"/>
  <c r="P139" i="8"/>
  <c r="Q139" i="8" s="1"/>
  <c r="R139" i="8" s="1"/>
  <c r="S139" i="8" s="1"/>
  <c r="N77" i="8"/>
  <c r="J77" i="8"/>
  <c r="O134" i="8"/>
  <c r="N134" i="8"/>
  <c r="M134" i="8"/>
  <c r="L134" i="8"/>
  <c r="K134" i="8"/>
  <c r="J134" i="8"/>
  <c r="I134" i="8"/>
  <c r="O146" i="8"/>
  <c r="N146" i="8"/>
  <c r="M146" i="8"/>
  <c r="L146" i="8"/>
  <c r="K146" i="8"/>
  <c r="J146" i="8"/>
  <c r="I146" i="8"/>
  <c r="O158" i="8"/>
  <c r="N158" i="8"/>
  <c r="M158" i="8"/>
  <c r="L158" i="8"/>
  <c r="K158" i="8"/>
  <c r="J158" i="8"/>
  <c r="I158" i="8"/>
  <c r="O170" i="8"/>
  <c r="J170" i="8"/>
  <c r="K170" i="8"/>
  <c r="L170" i="8"/>
  <c r="M170" i="8"/>
  <c r="N170" i="8"/>
  <c r="I170" i="8"/>
  <c r="O174" i="8"/>
  <c r="N174" i="8"/>
  <c r="M174" i="8"/>
  <c r="L174" i="8"/>
  <c r="K174" i="8"/>
  <c r="J174" i="8"/>
  <c r="I174" i="8"/>
  <c r="O162" i="8"/>
  <c r="N162" i="8"/>
  <c r="M162" i="8"/>
  <c r="L162" i="8"/>
  <c r="K162" i="8"/>
  <c r="J162" i="8"/>
  <c r="I162" i="8"/>
  <c r="O150" i="8"/>
  <c r="N150" i="8"/>
  <c r="M150" i="8"/>
  <c r="L150" i="8"/>
  <c r="K150" i="8"/>
  <c r="J150" i="8"/>
  <c r="I150" i="8"/>
  <c r="O138" i="8"/>
  <c r="N138" i="8"/>
  <c r="M138" i="8"/>
  <c r="L138" i="8"/>
  <c r="K138" i="8"/>
  <c r="J138" i="8"/>
  <c r="J126" i="8"/>
  <c r="K126" i="8"/>
  <c r="L126" i="8"/>
  <c r="M126" i="8"/>
  <c r="N126" i="8"/>
  <c r="O126" i="8"/>
  <c r="I126" i="8"/>
  <c r="H127" i="8"/>
  <c r="I127" i="8"/>
  <c r="J127" i="8"/>
  <c r="K127" i="8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U108" i="8" l="1"/>
  <c r="T113" i="8"/>
  <c r="T114" i="8" s="1"/>
  <c r="R22" i="8"/>
  <c r="R34" i="8" s="1"/>
  <c r="R44" i="8"/>
  <c r="Q146" i="8"/>
  <c r="S151" i="8"/>
  <c r="T151" i="8" s="1"/>
  <c r="U151" i="8" s="1"/>
  <c r="R184" i="8"/>
  <c r="R185" i="8" s="1"/>
  <c r="S179" i="8"/>
  <c r="T139" i="8"/>
  <c r="U113" i="8" l="1"/>
  <c r="U114" i="8" s="1"/>
  <c r="V108" i="8"/>
  <c r="S22" i="8"/>
  <c r="S34" i="8" s="1"/>
  <c r="S44" i="8"/>
  <c r="V151" i="8"/>
  <c r="W151" i="8" s="1"/>
  <c r="X151" i="8" s="1"/>
  <c r="Y151" i="8" s="1"/>
  <c r="S184" i="8"/>
  <c r="S185" i="8" s="1"/>
  <c r="T179" i="8"/>
  <c r="U139" i="8"/>
  <c r="V139" i="8" s="1"/>
  <c r="W139" i="8" s="1"/>
  <c r="X139" i="8" s="1"/>
  <c r="V113" i="8" l="1"/>
  <c r="V114" i="8" s="1"/>
  <c r="W108" i="8"/>
  <c r="T22" i="8"/>
  <c r="T34" i="8" s="1"/>
  <c r="T44" i="8"/>
  <c r="T184" i="8"/>
  <c r="T185" i="8" s="1"/>
  <c r="U179" i="8"/>
  <c r="Y139" i="8"/>
  <c r="U134" i="8"/>
  <c r="W113" i="8" l="1"/>
  <c r="W114" i="8" s="1"/>
  <c r="X108" i="8"/>
  <c r="U22" i="8"/>
  <c r="U34" i="8" s="1"/>
  <c r="U44" i="8"/>
  <c r="V179" i="8"/>
  <c r="U184" i="8"/>
  <c r="U185" i="8" s="1"/>
  <c r="V134" i="8"/>
  <c r="W134" i="8" s="1"/>
  <c r="Y108" i="8" l="1"/>
  <c r="Y113" i="8" s="1"/>
  <c r="Y114" i="8" s="1"/>
  <c r="X113" i="8"/>
  <c r="X114" i="8" s="1"/>
  <c r="V22" i="8"/>
  <c r="V34" i="8" s="1"/>
  <c r="V44" i="8"/>
  <c r="V184" i="8"/>
  <c r="V185" i="8" s="1"/>
  <c r="W179" i="8"/>
  <c r="X134" i="8"/>
  <c r="Y134" i="8" s="1"/>
  <c r="W22" i="8" l="1"/>
  <c r="W34" i="8" s="1"/>
  <c r="W44" i="8"/>
  <c r="W184" i="8"/>
  <c r="W185" i="8" s="1"/>
  <c r="X179" i="8"/>
  <c r="P5" i="8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9" i="7"/>
  <c r="G4" i="5"/>
  <c r="G11" i="5"/>
  <c r="G12" i="5"/>
  <c r="H5" i="5"/>
  <c r="I5" i="5" s="1"/>
  <c r="I11" i="5" s="1"/>
  <c r="H42" i="5"/>
  <c r="X22" i="8" l="1"/>
  <c r="X34" i="8" s="1"/>
  <c r="X44" i="8"/>
  <c r="X184" i="8"/>
  <c r="X185" i="8" s="1"/>
  <c r="Y179" i="8"/>
  <c r="Y44" i="8" s="1"/>
  <c r="X13" i="8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Y184" i="8" l="1"/>
  <c r="Y185" i="8" s="1"/>
  <c r="Y22" i="8"/>
  <c r="Y34" i="8" s="1"/>
  <c r="J12" i="5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R82" i="9" s="1"/>
  <c r="Q82" i="9"/>
  <c r="G35" i="2"/>
  <c r="H72" i="4" s="1"/>
  <c r="R51" i="9"/>
  <c r="R81" i="9" l="1"/>
  <c r="S51" i="9"/>
  <c r="S81" i="9" l="1"/>
  <c r="T82" i="9" s="1"/>
  <c r="S82" i="9"/>
  <c r="T51" i="9"/>
  <c r="T81" i="9" l="1"/>
  <c r="U51" i="9"/>
  <c r="U81" i="9" l="1"/>
  <c r="V82" i="9" s="1"/>
  <c r="U82" i="9"/>
  <c r="V51" i="9"/>
  <c r="V81" i="9" l="1"/>
  <c r="W51" i="9"/>
  <c r="W81" i="9" l="1"/>
  <c r="X82" i="9" s="1"/>
  <c r="W82" i="9"/>
  <c r="X51" i="9"/>
  <c r="X81" i="9" l="1"/>
  <c r="Y81" i="9" s="1"/>
  <c r="Y51" i="9"/>
  <c r="Y82" i="9" l="1"/>
  <c r="I41" i="9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I93" i="9" s="1"/>
  <c r="J37" i="9"/>
  <c r="J49" i="9" s="1"/>
  <c r="J93" i="9" s="1"/>
  <c r="K37" i="9"/>
  <c r="K49" i="9" s="1"/>
  <c r="K93" i="9" s="1"/>
  <c r="L37" i="9"/>
  <c r="L49" i="9" s="1"/>
  <c r="L93" i="9" s="1"/>
  <c r="M37" i="9"/>
  <c r="M49" i="9" s="1"/>
  <c r="M93" i="9" s="1"/>
  <c r="N49" i="9"/>
  <c r="N93" i="9" s="1"/>
  <c r="H37" i="9"/>
  <c r="H49" i="9" s="1"/>
  <c r="H93" i="9" s="1"/>
  <c r="I32" i="9"/>
  <c r="J32" i="9"/>
  <c r="K32" i="9"/>
  <c r="L32" i="9"/>
  <c r="M32" i="9"/>
  <c r="O32" i="9"/>
  <c r="I34" i="9"/>
  <c r="J34" i="9"/>
  <c r="K34" i="9"/>
  <c r="L34" i="9"/>
  <c r="M34" i="9"/>
  <c r="O34" i="9"/>
  <c r="I36" i="9"/>
  <c r="J36" i="9"/>
  <c r="K36" i="9"/>
  <c r="L36" i="9"/>
  <c r="M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M65" i="9"/>
  <c r="L65" i="9"/>
  <c r="K65" i="9"/>
  <c r="J65" i="9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I30" i="9"/>
  <c r="Q19" i="9"/>
  <c r="R19" i="9" s="1"/>
  <c r="S19" i="9" s="1"/>
  <c r="T19" i="9" s="1"/>
  <c r="U19" i="9" s="1"/>
  <c r="V19" i="9" s="1"/>
  <c r="W19" i="9" s="1"/>
  <c r="X19" i="9" s="1"/>
  <c r="Y19" i="9" s="1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68" i="8"/>
  <c r="P21" i="8" s="1"/>
  <c r="P132" i="8"/>
  <c r="P18" i="8" s="1"/>
  <c r="O43" i="8"/>
  <c r="N43" i="8"/>
  <c r="M43" i="8"/>
  <c r="L43" i="8"/>
  <c r="K43" i="8"/>
  <c r="J43" i="8"/>
  <c r="I43" i="8"/>
  <c r="H43" i="8"/>
  <c r="O42" i="8"/>
  <c r="N42" i="8"/>
  <c r="M42" i="8"/>
  <c r="L42" i="8"/>
  <c r="K42" i="8"/>
  <c r="J42" i="8"/>
  <c r="I42" i="8"/>
  <c r="H42" i="8"/>
  <c r="O41" i="8"/>
  <c r="N41" i="8"/>
  <c r="M41" i="8"/>
  <c r="L41" i="8"/>
  <c r="K41" i="8"/>
  <c r="J41" i="8"/>
  <c r="I41" i="8"/>
  <c r="H41" i="8"/>
  <c r="H45" i="8" s="1"/>
  <c r="O40" i="8"/>
  <c r="N40" i="8"/>
  <c r="M40" i="8"/>
  <c r="L40" i="8"/>
  <c r="K40" i="8"/>
  <c r="J40" i="8"/>
  <c r="I40" i="8"/>
  <c r="O39" i="8"/>
  <c r="N39" i="8"/>
  <c r="M39" i="8"/>
  <c r="L39" i="8"/>
  <c r="K39" i="8"/>
  <c r="J39" i="8"/>
  <c r="I39" i="8"/>
  <c r="H63" i="8"/>
  <c r="O21" i="8"/>
  <c r="N21" i="8"/>
  <c r="M21" i="8"/>
  <c r="L21" i="8"/>
  <c r="K21" i="8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I19" i="8"/>
  <c r="H19" i="8"/>
  <c r="O18" i="8"/>
  <c r="N18" i="8"/>
  <c r="M18" i="8"/>
  <c r="L18" i="8"/>
  <c r="K18" i="8"/>
  <c r="J18" i="8"/>
  <c r="I18" i="8"/>
  <c r="H18" i="8"/>
  <c r="O17" i="8"/>
  <c r="N17" i="8"/>
  <c r="M17" i="8"/>
  <c r="L17" i="8"/>
  <c r="L23" i="8" s="1"/>
  <c r="K17" i="8"/>
  <c r="K23" i="8" s="1"/>
  <c r="J17" i="8"/>
  <c r="I17" i="8"/>
  <c r="H17" i="8"/>
  <c r="H23" i="8" s="1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H81" i="4"/>
  <c r="H16" i="3"/>
  <c r="AI143" i="2"/>
  <c r="AI144" i="2" s="1"/>
  <c r="AG143" i="2" s="1"/>
  <c r="AG144" i="2" s="1"/>
  <c r="AG147" i="2" s="1"/>
  <c r="AG142" i="2"/>
  <c r="AF142" i="2"/>
  <c r="G53" i="2"/>
  <c r="G42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M45" i="8" l="1"/>
  <c r="J45" i="8"/>
  <c r="N45" i="8"/>
  <c r="M23" i="8"/>
  <c r="J23" i="8"/>
  <c r="O45" i="8"/>
  <c r="K45" i="8"/>
  <c r="L45" i="8"/>
  <c r="O23" i="8"/>
  <c r="U65" i="9"/>
  <c r="N23" i="8"/>
  <c r="Q65" i="9"/>
  <c r="I45" i="8"/>
  <c r="K33" i="8"/>
  <c r="I23" i="8"/>
  <c r="S65" i="9"/>
  <c r="T65" i="9"/>
  <c r="K30" i="8"/>
  <c r="N29" i="8"/>
  <c r="J31" i="8"/>
  <c r="P33" i="8"/>
  <c r="M51" i="8"/>
  <c r="N51" i="8"/>
  <c r="K51" i="8"/>
  <c r="O31" i="8"/>
  <c r="O49" i="8"/>
  <c r="O52" i="8"/>
  <c r="H50" i="8"/>
  <c r="H53" i="8"/>
  <c r="I50" i="8"/>
  <c r="I53" i="8"/>
  <c r="J50" i="8"/>
  <c r="J53" i="8"/>
  <c r="L51" i="8"/>
  <c r="L31" i="8"/>
  <c r="N32" i="8"/>
  <c r="N30" i="8"/>
  <c r="I29" i="8"/>
  <c r="M33" i="8"/>
  <c r="J29" i="8"/>
  <c r="K29" i="8"/>
  <c r="K32" i="8"/>
  <c r="O33" i="8"/>
  <c r="K50" i="8"/>
  <c r="O51" i="8"/>
  <c r="K53" i="8"/>
  <c r="L29" i="8"/>
  <c r="L32" i="8"/>
  <c r="H49" i="8"/>
  <c r="L50" i="8"/>
  <c r="H52" i="8"/>
  <c r="L53" i="8"/>
  <c r="N33" i="8"/>
  <c r="O30" i="8"/>
  <c r="M29" i="8"/>
  <c r="I31" i="8"/>
  <c r="M32" i="8"/>
  <c r="I49" i="8"/>
  <c r="M50" i="8"/>
  <c r="I52" i="8"/>
  <c r="M53" i="8"/>
  <c r="L30" i="8"/>
  <c r="J49" i="8"/>
  <c r="N50" i="8"/>
  <c r="J52" i="8"/>
  <c r="N53" i="8"/>
  <c r="O29" i="8"/>
  <c r="K31" i="8"/>
  <c r="O32" i="8"/>
  <c r="K49" i="8"/>
  <c r="O50" i="8"/>
  <c r="K52" i="8"/>
  <c r="O53" i="8"/>
  <c r="L33" i="8"/>
  <c r="M30" i="8"/>
  <c r="L49" i="8"/>
  <c r="H51" i="8"/>
  <c r="L52" i="8"/>
  <c r="I30" i="8"/>
  <c r="M31" i="8"/>
  <c r="I33" i="8"/>
  <c r="M49" i="8"/>
  <c r="I51" i="8"/>
  <c r="M52" i="8"/>
  <c r="P30" i="8"/>
  <c r="I32" i="8"/>
  <c r="J32" i="8"/>
  <c r="J30" i="8"/>
  <c r="N31" i="8"/>
  <c r="J33" i="8"/>
  <c r="N49" i="8"/>
  <c r="J51" i="8"/>
  <c r="N52" i="8"/>
  <c r="P65" i="9"/>
  <c r="R65" i="9"/>
  <c r="V65" i="9"/>
  <c r="M6" i="2"/>
  <c r="M45" i="2" s="1"/>
  <c r="P13" i="8"/>
  <c r="O12" i="8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J27" i="4"/>
  <c r="N69" i="9"/>
  <c r="N71" i="9" s="1"/>
  <c r="N101" i="9" s="1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46" i="4"/>
  <c r="J51" i="4" s="1"/>
  <c r="I46" i="4"/>
  <c r="I51" i="4" s="1"/>
  <c r="H69" i="9"/>
  <c r="H71" i="9" s="1"/>
  <c r="H101" i="9" s="1"/>
  <c r="N75" i="9"/>
  <c r="N26" i="4" s="1"/>
  <c r="H46" i="4"/>
  <c r="H47" i="4" s="1"/>
  <c r="L46" i="4"/>
  <c r="L51" i="4" s="1"/>
  <c r="L75" i="9"/>
  <c r="L26" i="4" s="1"/>
  <c r="P5" i="9"/>
  <c r="K46" i="4"/>
  <c r="K51" i="4" s="1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P12" i="8"/>
  <c r="M12" i="4"/>
  <c r="Q4" i="8"/>
  <c r="L5" i="4"/>
  <c r="H7" i="4"/>
  <c r="H8" i="2" s="1"/>
  <c r="H13" i="9"/>
  <c r="H15" i="9" s="1"/>
  <c r="H71" i="8"/>
  <c r="L7" i="9"/>
  <c r="L8" i="9" s="1"/>
  <c r="Q132" i="8"/>
  <c r="P4" i="9"/>
  <c r="N4" i="9"/>
  <c r="F107" i="9" s="1"/>
  <c r="Q168" i="8"/>
  <c r="X65" i="9" l="1"/>
  <c r="Y65" i="9"/>
  <c r="P64" i="9"/>
  <c r="Q64" i="9" s="1"/>
  <c r="W65" i="9"/>
  <c r="J71" i="8"/>
  <c r="J46" i="8"/>
  <c r="M71" i="8"/>
  <c r="M46" i="8"/>
  <c r="I71" i="8"/>
  <c r="I72" i="8" s="1"/>
  <c r="I46" i="8"/>
  <c r="L71" i="8"/>
  <c r="L46" i="8"/>
  <c r="O71" i="8"/>
  <c r="O46" i="8"/>
  <c r="K71" i="8"/>
  <c r="K46" i="8"/>
  <c r="N71" i="8"/>
  <c r="N46" i="8"/>
  <c r="N35" i="8"/>
  <c r="M63" i="8"/>
  <c r="M67" i="8" s="1"/>
  <c r="M54" i="8"/>
  <c r="N63" i="8"/>
  <c r="N54" i="8"/>
  <c r="H67" i="8"/>
  <c r="H54" i="8"/>
  <c r="K63" i="8"/>
  <c r="K54" i="8"/>
  <c r="I54" i="8"/>
  <c r="O13" i="9"/>
  <c r="O35" i="8"/>
  <c r="O63" i="8"/>
  <c r="O54" i="8"/>
  <c r="L63" i="8"/>
  <c r="L54" i="8"/>
  <c r="J13" i="9"/>
  <c r="J15" i="9" s="1"/>
  <c r="J35" i="8"/>
  <c r="M13" i="9"/>
  <c r="M15" i="9" s="1"/>
  <c r="M35" i="8"/>
  <c r="I13" i="9"/>
  <c r="I15" i="9" s="1"/>
  <c r="I35" i="8"/>
  <c r="L13" i="9"/>
  <c r="L15" i="9" s="1"/>
  <c r="L35" i="8"/>
  <c r="K13" i="9"/>
  <c r="K15" i="9" s="1"/>
  <c r="K35" i="8"/>
  <c r="J54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3" i="8"/>
  <c r="I63" i="8"/>
  <c r="M7" i="2"/>
  <c r="M25" i="8"/>
  <c r="M26" i="8" s="1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15" i="9" s="1"/>
  <c r="M16" i="9"/>
  <c r="M20" i="4"/>
  <c r="M25" i="4" s="1"/>
  <c r="H16" i="9"/>
  <c r="P137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H94" i="9"/>
  <c r="M47" i="4"/>
  <c r="N47" i="4"/>
  <c r="O47" i="4"/>
  <c r="I47" i="4"/>
  <c r="J5" i="9"/>
  <c r="L47" i="4"/>
  <c r="J47" i="4"/>
  <c r="K47" i="4"/>
  <c r="Q5" i="9"/>
  <c r="P174" i="8"/>
  <c r="J25" i="8"/>
  <c r="J26" i="8" s="1"/>
  <c r="M5" i="2"/>
  <c r="K25" i="8"/>
  <c r="K26" i="8" s="1"/>
  <c r="R4" i="8"/>
  <c r="Q13" i="8"/>
  <c r="Q12" i="8"/>
  <c r="O7" i="2"/>
  <c r="P6" i="4"/>
  <c r="R132" i="8"/>
  <c r="Q18" i="8"/>
  <c r="Q30" i="8" s="1"/>
  <c r="L11" i="4"/>
  <c r="L6" i="2"/>
  <c r="L45" i="2" s="1"/>
  <c r="K5" i="4"/>
  <c r="L12" i="4"/>
  <c r="J4" i="8"/>
  <c r="K12" i="8"/>
  <c r="K13" i="8"/>
  <c r="R168" i="8"/>
  <c r="Q173" i="8"/>
  <c r="Q21" i="8"/>
  <c r="Q33" i="8" s="1"/>
  <c r="P150" i="8"/>
  <c r="N25" i="8"/>
  <c r="N26" i="8" s="1"/>
  <c r="L4" i="4"/>
  <c r="M7" i="9"/>
  <c r="M8" i="9" s="1"/>
  <c r="L9" i="9"/>
  <c r="I25" i="8"/>
  <c r="I26" i="8" s="1"/>
  <c r="O25" i="8"/>
  <c r="O26" i="8" s="1"/>
  <c r="M4" i="9"/>
  <c r="K7" i="8"/>
  <c r="K8" i="8" s="1"/>
  <c r="J9" i="8"/>
  <c r="Q4" i="9"/>
  <c r="L25" i="8"/>
  <c r="L26" i="8" s="1"/>
  <c r="R12" i="4"/>
  <c r="R11" i="4"/>
  <c r="S5" i="4"/>
  <c r="R6" i="2"/>
  <c r="O15" i="9" l="1"/>
  <c r="P43" i="4"/>
  <c r="M72" i="8"/>
  <c r="K72" i="8"/>
  <c r="I64" i="8"/>
  <c r="L64" i="8"/>
  <c r="O64" i="8"/>
  <c r="O72" i="8"/>
  <c r="L72" i="8"/>
  <c r="N72" i="8"/>
  <c r="M64" i="8"/>
  <c r="K64" i="8"/>
  <c r="J67" i="8"/>
  <c r="J64" i="8"/>
  <c r="N67" i="8"/>
  <c r="N64" i="8"/>
  <c r="J72" i="8"/>
  <c r="Q174" i="8"/>
  <c r="O67" i="8"/>
  <c r="P40" i="8"/>
  <c r="P50" i="8" s="1"/>
  <c r="P138" i="8"/>
  <c r="Q137" i="8"/>
  <c r="Q138" i="8" s="1"/>
  <c r="P16" i="9"/>
  <c r="P20" i="4"/>
  <c r="P25" i="4" s="1"/>
  <c r="J8" i="2"/>
  <c r="R57" i="9"/>
  <c r="Q59" i="9"/>
  <c r="J107" i="9"/>
  <c r="I5" i="9"/>
  <c r="R5" i="9"/>
  <c r="S12" i="4"/>
  <c r="S11" i="4"/>
  <c r="S6" i="2"/>
  <c r="T5" i="4"/>
  <c r="I4" i="8"/>
  <c r="L4" i="9"/>
  <c r="Q43" i="8"/>
  <c r="Q53" i="8" s="1"/>
  <c r="O16" i="4"/>
  <c r="N7" i="9"/>
  <c r="N8" i="9" s="1"/>
  <c r="M9" i="9"/>
  <c r="R173" i="8"/>
  <c r="R174" i="8" s="1"/>
  <c r="R21" i="8"/>
  <c r="R33" i="8" s="1"/>
  <c r="S168" i="8"/>
  <c r="K16" i="4"/>
  <c r="I67" i="8"/>
  <c r="J12" i="8"/>
  <c r="J13" i="8"/>
  <c r="K11" i="4"/>
  <c r="J5" i="4"/>
  <c r="K6" i="2"/>
  <c r="K45" i="2" s="1"/>
  <c r="K12" i="4"/>
  <c r="P7" i="2"/>
  <c r="Q6" i="4"/>
  <c r="M16" i="4"/>
  <c r="P43" i="8"/>
  <c r="P53" i="8" s="1"/>
  <c r="R4" i="9"/>
  <c r="R13" i="8"/>
  <c r="R12" i="8"/>
  <c r="N16" i="4"/>
  <c r="L67" i="8"/>
  <c r="L16" i="4"/>
  <c r="K9" i="8"/>
  <c r="L7" i="8"/>
  <c r="L8" i="8" s="1"/>
  <c r="R137" i="8"/>
  <c r="S132" i="8"/>
  <c r="R18" i="8"/>
  <c r="R30" i="8" s="1"/>
  <c r="J9" i="2"/>
  <c r="K7" i="4"/>
  <c r="J9" i="4"/>
  <c r="J10" i="2" s="1"/>
  <c r="K4" i="4"/>
  <c r="S4" i="8"/>
  <c r="K67" i="8"/>
  <c r="Q43" i="4"/>
  <c r="J16" i="4"/>
  <c r="U4" i="4"/>
  <c r="P41" i="8"/>
  <c r="I16" i="4"/>
  <c r="I18" i="4" s="1"/>
  <c r="I21" i="4" s="1"/>
  <c r="L5" i="2"/>
  <c r="R138" i="8" l="1"/>
  <c r="Q40" i="8"/>
  <c r="Q50" i="8" s="1"/>
  <c r="S57" i="9"/>
  <c r="R59" i="9"/>
  <c r="K107" i="9"/>
  <c r="H5" i="9"/>
  <c r="R64" i="9"/>
  <c r="S5" i="9"/>
  <c r="T132" i="8"/>
  <c r="S137" i="8"/>
  <c r="S138" i="8" s="1"/>
  <c r="S18" i="8"/>
  <c r="S30" i="8" s="1"/>
  <c r="N9" i="9"/>
  <c r="O7" i="9"/>
  <c r="O8" i="9" s="1"/>
  <c r="Q7" i="2"/>
  <c r="R6" i="4"/>
  <c r="I12" i="8"/>
  <c r="I13" i="8"/>
  <c r="R40" i="8"/>
  <c r="R50" i="8" s="1"/>
  <c r="S13" i="8"/>
  <c r="S12" i="8"/>
  <c r="S173" i="8"/>
  <c r="S174" i="8" s="1"/>
  <c r="T168" i="8"/>
  <c r="S21" i="8"/>
  <c r="S33" i="8" s="1"/>
  <c r="T12" i="4"/>
  <c r="T11" i="4"/>
  <c r="U5" i="4"/>
  <c r="T6" i="2"/>
  <c r="K5" i="2"/>
  <c r="R43" i="8"/>
  <c r="R53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H102" i="9" l="1"/>
  <c r="T57" i="9"/>
  <c r="S59" i="9"/>
  <c r="L107" i="9"/>
  <c r="R43" i="4"/>
  <c r="S64" i="9"/>
  <c r="T5" i="9"/>
  <c r="T13" i="8"/>
  <c r="T12" i="8"/>
  <c r="U11" i="4"/>
  <c r="V5" i="4"/>
  <c r="U6" i="2"/>
  <c r="U12" i="4"/>
  <c r="U4" i="8"/>
  <c r="T4" i="9"/>
  <c r="T173" i="8"/>
  <c r="T174" i="8" s="1"/>
  <c r="U168" i="8"/>
  <c r="T21" i="8"/>
  <c r="T33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3" i="8"/>
  <c r="S53" i="8" s="1"/>
  <c r="H12" i="8"/>
  <c r="H13" i="8"/>
  <c r="I4" i="4"/>
  <c r="R7" i="2"/>
  <c r="S6" i="4"/>
  <c r="S40" i="8"/>
  <c r="S50" i="8" s="1"/>
  <c r="U132" i="8"/>
  <c r="T137" i="8"/>
  <c r="T138" i="8" s="1"/>
  <c r="T18" i="8"/>
  <c r="T30" i="8" s="1"/>
  <c r="P100" i="9" l="1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U173" i="8"/>
  <c r="U174" i="8" s="1"/>
  <c r="V168" i="8"/>
  <c r="U21" i="8"/>
  <c r="U33" i="8" s="1"/>
  <c r="H4" i="4"/>
  <c r="H12" i="4"/>
  <c r="H11" i="4"/>
  <c r="H6" i="2"/>
  <c r="H45" i="2" s="1"/>
  <c r="T43" i="8"/>
  <c r="T53" i="8" s="1"/>
  <c r="T40" i="8"/>
  <c r="T50" i="8" s="1"/>
  <c r="L8" i="2"/>
  <c r="L8" i="4"/>
  <c r="I4" i="9"/>
  <c r="U137" i="8"/>
  <c r="U138" i="8" s="1"/>
  <c r="V132" i="8"/>
  <c r="U18" i="8"/>
  <c r="U30" i="8" s="1"/>
  <c r="S7" i="2"/>
  <c r="T6" i="4"/>
  <c r="X4" i="4"/>
  <c r="Q7" i="9"/>
  <c r="Q8" i="9" s="1"/>
  <c r="P9" i="9"/>
  <c r="U4" i="9"/>
  <c r="O7" i="8"/>
  <c r="O8" i="8" s="1"/>
  <c r="N9" i="8"/>
  <c r="I102" i="9" l="1"/>
  <c r="M102" i="9"/>
  <c r="J102" i="9"/>
  <c r="N102" i="9"/>
  <c r="L102" i="9"/>
  <c r="K102" i="9"/>
  <c r="V57" i="9"/>
  <c r="U59" i="9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68" i="8"/>
  <c r="V173" i="8"/>
  <c r="V174" i="8" s="1"/>
  <c r="V21" i="8"/>
  <c r="V33" i="8" s="1"/>
  <c r="V137" i="8"/>
  <c r="V138" i="8" s="1"/>
  <c r="W132" i="8"/>
  <c r="V18" i="8"/>
  <c r="V30" i="8" s="1"/>
  <c r="U43" i="8"/>
  <c r="U53" i="8" s="1"/>
  <c r="R7" i="9"/>
  <c r="R8" i="9" s="1"/>
  <c r="Q9" i="9"/>
  <c r="U40" i="8"/>
  <c r="U50" i="8" s="1"/>
  <c r="T7" i="2"/>
  <c r="U6" i="4"/>
  <c r="V12" i="8"/>
  <c r="V13" i="8"/>
  <c r="V4" i="9"/>
  <c r="W11" i="4"/>
  <c r="X5" i="4"/>
  <c r="W6" i="2"/>
  <c r="W12" i="4"/>
  <c r="O102" i="9" l="1"/>
  <c r="P102" i="9" s="1"/>
  <c r="W57" i="9"/>
  <c r="V59" i="9"/>
  <c r="V64" i="9"/>
  <c r="W5" i="9"/>
  <c r="V43" i="8"/>
  <c r="V53" i="8" s="1"/>
  <c r="Q7" i="8"/>
  <c r="Q8" i="8" s="1"/>
  <c r="P9" i="8"/>
  <c r="X132" i="8"/>
  <c r="W137" i="8"/>
  <c r="W138" i="8" s="1"/>
  <c r="W18" i="8"/>
  <c r="W30" i="8" s="1"/>
  <c r="W173" i="8"/>
  <c r="W174" i="8" s="1"/>
  <c r="X168" i="8"/>
  <c r="W21" i="8"/>
  <c r="W33" i="8" s="1"/>
  <c r="X6" i="2"/>
  <c r="X11" i="4"/>
  <c r="Y5" i="4"/>
  <c r="X12" i="4"/>
  <c r="V40" i="8"/>
  <c r="V50" i="8" s="1"/>
  <c r="V6" i="4"/>
  <c r="U7" i="2"/>
  <c r="X4" i="8"/>
  <c r="M8" i="4"/>
  <c r="M8" i="2"/>
  <c r="W4" i="9"/>
  <c r="W12" i="8"/>
  <c r="W13" i="8"/>
  <c r="S7" i="9"/>
  <c r="S8" i="9" s="1"/>
  <c r="R9" i="9"/>
  <c r="X57" i="9" l="1"/>
  <c r="W59" i="9"/>
  <c r="V43" i="4"/>
  <c r="W64" i="9"/>
  <c r="X64" i="9" s="1"/>
  <c r="X5" i="9"/>
  <c r="X137" i="8"/>
  <c r="X138" i="8" s="1"/>
  <c r="Y132" i="8"/>
  <c r="X18" i="8"/>
  <c r="X30" i="8" s="1"/>
  <c r="W43" i="8"/>
  <c r="W53" i="8" s="1"/>
  <c r="W40" i="8"/>
  <c r="W50" i="8" s="1"/>
  <c r="T7" i="9"/>
  <c r="T8" i="9" s="1"/>
  <c r="S9" i="9"/>
  <c r="Q9" i="8"/>
  <c r="R7" i="8"/>
  <c r="R8" i="8" s="1"/>
  <c r="Y11" i="4"/>
  <c r="Y6" i="2"/>
  <c r="Y12" i="4"/>
  <c r="X4" i="9"/>
  <c r="M9" i="2"/>
  <c r="N7" i="4"/>
  <c r="M9" i="4"/>
  <c r="M10" i="2" s="1"/>
  <c r="X12" i="8"/>
  <c r="Y12" i="8"/>
  <c r="Y4" i="8"/>
  <c r="W6" i="4"/>
  <c r="V7" i="2"/>
  <c r="X173" i="8"/>
  <c r="X174" i="8" s="1"/>
  <c r="Y168" i="8"/>
  <c r="X21" i="8"/>
  <c r="X33" i="8" s="1"/>
  <c r="Y57" i="9" l="1"/>
  <c r="Y59" i="9" s="1"/>
  <c r="X59" i="9"/>
  <c r="W43" i="4"/>
  <c r="Y5" i="9"/>
  <c r="Y137" i="8"/>
  <c r="Y138" i="8" s="1"/>
  <c r="Y18" i="8"/>
  <c r="Y30" i="8" s="1"/>
  <c r="Y173" i="8"/>
  <c r="Y174" i="8" s="1"/>
  <c r="Y21" i="8"/>
  <c r="Y33" i="8" s="1"/>
  <c r="U7" i="9"/>
  <c r="U8" i="9" s="1"/>
  <c r="T9" i="9"/>
  <c r="X40" i="8"/>
  <c r="X50" i="8" s="1"/>
  <c r="X43" i="8"/>
  <c r="X53" i="8" s="1"/>
  <c r="N8" i="4"/>
  <c r="N8" i="2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40" i="8"/>
  <c r="Y50" i="8" s="1"/>
  <c r="Y43" i="4"/>
  <c r="S9" i="8"/>
  <c r="T7" i="8"/>
  <c r="T8" i="8" s="1"/>
  <c r="U9" i="9"/>
  <c r="V7" i="9"/>
  <c r="V8" i="9" s="1"/>
  <c r="Y6" i="4"/>
  <c r="Y7" i="2" s="1"/>
  <c r="X7" i="2"/>
  <c r="Y43" i="8"/>
  <c r="Y53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S46" i="9" s="1"/>
  <c r="R47" i="9" l="1"/>
  <c r="Q47" i="9"/>
  <c r="T46" i="9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41" i="9"/>
  <c r="P40" i="9"/>
  <c r="O71" i="9" l="1"/>
  <c r="O101" i="9" s="1"/>
  <c r="O93" i="9"/>
  <c r="P41" i="9"/>
  <c r="Q40" i="9"/>
  <c r="O94" i="9" l="1"/>
  <c r="P94" i="9" s="1"/>
  <c r="P93" i="9"/>
  <c r="Q41" i="9"/>
  <c r="R40" i="9"/>
  <c r="S40" i="9" l="1"/>
  <c r="R41" i="9"/>
  <c r="S41" i="9" l="1"/>
  <c r="T40" i="9"/>
  <c r="T41" i="9" l="1"/>
  <c r="U40" i="9"/>
  <c r="V40" i="9" l="1"/>
  <c r="U41" i="9"/>
  <c r="W40" i="9" l="1"/>
  <c r="V41" i="9"/>
  <c r="X40" i="9" l="1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7" i="8" l="1"/>
  <c r="P29" i="8" s="1"/>
  <c r="Q120" i="8" l="1"/>
  <c r="Q17" i="8" s="1"/>
  <c r="Q29" i="8" s="1"/>
  <c r="P125" i="8"/>
  <c r="P126" i="8" s="1"/>
  <c r="R120" i="8" l="1"/>
  <c r="R125" i="8" s="1"/>
  <c r="Q125" i="8"/>
  <c r="Q39" i="8" s="1"/>
  <c r="Q49" i="8" s="1"/>
  <c r="P39" i="8"/>
  <c r="P49" i="8" s="1"/>
  <c r="S120" i="8" l="1"/>
  <c r="S125" i="8" s="1"/>
  <c r="Q126" i="8"/>
  <c r="R17" i="8"/>
  <c r="R29" i="8" s="1"/>
  <c r="R126" i="8"/>
  <c r="R39" i="8"/>
  <c r="R49" i="8" l="1"/>
  <c r="S17" i="8"/>
  <c r="S29" i="8" s="1"/>
  <c r="T120" i="8"/>
  <c r="T125" i="8" s="1"/>
  <c r="Q28" i="4"/>
  <c r="P42" i="9"/>
  <c r="S126" i="8"/>
  <c r="S39" i="8"/>
  <c r="U120" i="8" l="1"/>
  <c r="V120" i="8" s="1"/>
  <c r="T17" i="8"/>
  <c r="T29" i="8" s="1"/>
  <c r="S49" i="8"/>
  <c r="T39" i="8"/>
  <c r="T126" i="8"/>
  <c r="P48" i="9"/>
  <c r="P43" i="9"/>
  <c r="Q42" i="9"/>
  <c r="R28" i="4"/>
  <c r="T49" i="8" l="1"/>
  <c r="U125" i="8"/>
  <c r="U39" i="8" s="1"/>
  <c r="U17" i="8"/>
  <c r="U29" i="8" s="1"/>
  <c r="V17" i="8"/>
  <c r="W120" i="8"/>
  <c r="V125" i="8"/>
  <c r="Q43" i="9"/>
  <c r="Q48" i="9"/>
  <c r="R42" i="9"/>
  <c r="S28" i="4"/>
  <c r="U49" i="8" l="1"/>
  <c r="U126" i="8"/>
  <c r="V29" i="8"/>
  <c r="V126" i="8"/>
  <c r="V39" i="8"/>
  <c r="V49" i="8" s="1"/>
  <c r="W17" i="8"/>
  <c r="W29" i="8" s="1"/>
  <c r="W125" i="8"/>
  <c r="X120" i="8"/>
  <c r="T28" i="4"/>
  <c r="R48" i="9"/>
  <c r="S42" i="9"/>
  <c r="R43" i="9"/>
  <c r="Y120" i="8" l="1"/>
  <c r="X17" i="8"/>
  <c r="X29" i="8" s="1"/>
  <c r="X125" i="8"/>
  <c r="W39" i="8"/>
  <c r="W49" i="8" s="1"/>
  <c r="W126" i="8"/>
  <c r="U28" i="4"/>
  <c r="S48" i="9"/>
  <c r="S43" i="9"/>
  <c r="T42" i="9"/>
  <c r="V28" i="4" l="1"/>
  <c r="X126" i="8"/>
  <c r="X39" i="8"/>
  <c r="X49" i="8" s="1"/>
  <c r="T43" i="9"/>
  <c r="U42" i="9"/>
  <c r="T48" i="9"/>
  <c r="Y125" i="8"/>
  <c r="Y17" i="8"/>
  <c r="Y29" i="8" s="1"/>
  <c r="U43" i="9" l="1"/>
  <c r="V42" i="9"/>
  <c r="U48" i="9"/>
  <c r="Y126" i="8"/>
  <c r="Y39" i="8"/>
  <c r="Y49" i="8" s="1"/>
  <c r="W28" i="4"/>
  <c r="V48" i="9" l="1"/>
  <c r="V43" i="9"/>
  <c r="W42" i="9"/>
  <c r="X28" i="4"/>
  <c r="W43" i="9" l="1"/>
  <c r="W48" i="9"/>
  <c r="X42" i="9"/>
  <c r="Y28" i="4"/>
  <c r="X43" i="9" l="1"/>
  <c r="Y42" i="9"/>
  <c r="X48" i="9"/>
  <c r="Y43" i="9" l="1"/>
  <c r="Y48" i="9"/>
  <c r="R58" i="8" l="1"/>
  <c r="R16" i="9" s="1"/>
  <c r="Q16" i="9"/>
  <c r="Q20" i="4"/>
  <c r="R20" i="4" l="1"/>
  <c r="S58" i="8"/>
  <c r="Q25" i="4"/>
  <c r="S16" i="9" l="1"/>
  <c r="S20" i="4"/>
  <c r="T58" i="8"/>
  <c r="R25" i="4"/>
  <c r="S25" i="4" l="1"/>
  <c r="U58" i="8"/>
  <c r="T20" i="4"/>
  <c r="T16" i="9"/>
  <c r="T25" i="4" l="1"/>
  <c r="U16" i="9"/>
  <c r="U20" i="4"/>
  <c r="V58" i="8"/>
  <c r="U25" i="4" l="1"/>
  <c r="V20" i="4"/>
  <c r="W58" i="8"/>
  <c r="V16" i="9"/>
  <c r="W16" i="9" l="1"/>
  <c r="W20" i="4"/>
  <c r="X58" i="8"/>
  <c r="V25" i="4"/>
  <c r="W25" i="4" l="1"/>
  <c r="Y58" i="8"/>
  <c r="X20" i="4"/>
  <c r="X16" i="9"/>
  <c r="X25" i="4" l="1"/>
  <c r="Y20" i="4"/>
  <c r="Y16" i="9"/>
  <c r="Y25" i="4" l="1"/>
  <c r="P101" i="9" l="1"/>
  <c r="P104" i="9" s="1"/>
  <c r="G115" i="9" l="1"/>
  <c r="H115" i="9"/>
  <c r="J115" i="9"/>
  <c r="F115" i="9"/>
  <c r="I115" i="9"/>
  <c r="K115" i="9" l="1"/>
  <c r="L115" i="9" l="1"/>
  <c r="M115" i="9" l="1"/>
  <c r="N115" i="9" l="1"/>
  <c r="O115" i="9" l="1"/>
  <c r="P19" i="8" l="1"/>
  <c r="Q19" i="8"/>
  <c r="P146" i="8"/>
  <c r="S146" i="8" s="1"/>
  <c r="R146" i="8" l="1"/>
  <c r="R144" i="8" s="1"/>
  <c r="R19" i="8" s="1"/>
  <c r="Q149" i="8"/>
  <c r="Q150" i="8" s="1"/>
  <c r="P51" i="8"/>
  <c r="Q31" i="8"/>
  <c r="P31" i="8"/>
  <c r="T146" i="8" l="1"/>
  <c r="U146" i="8"/>
  <c r="S144" i="8"/>
  <c r="R149" i="8"/>
  <c r="R41" i="8" s="1"/>
  <c r="Q41" i="8"/>
  <c r="Q51" i="8" s="1"/>
  <c r="R31" i="8"/>
  <c r="W146" i="8" l="1"/>
  <c r="V146" i="8"/>
  <c r="X146" i="8" s="1"/>
  <c r="T144" i="8"/>
  <c r="T19" i="8" s="1"/>
  <c r="R150" i="8"/>
  <c r="S19" i="8"/>
  <c r="S31" i="8" s="1"/>
  <c r="S149" i="8"/>
  <c r="S41" i="8" s="1"/>
  <c r="R51" i="8"/>
  <c r="T149" i="8" l="1"/>
  <c r="T150" i="8" s="1"/>
  <c r="U144" i="8"/>
  <c r="V144" i="8" s="1"/>
  <c r="Y146" i="8"/>
  <c r="S150" i="8"/>
  <c r="T31" i="8"/>
  <c r="S51" i="8"/>
  <c r="T41" i="8" l="1"/>
  <c r="T51" i="8" s="1"/>
  <c r="U149" i="8"/>
  <c r="U150" i="8" s="1"/>
  <c r="U19" i="8"/>
  <c r="U31" i="8" s="1"/>
  <c r="V19" i="8"/>
  <c r="V149" i="8"/>
  <c r="W144" i="8"/>
  <c r="U41" i="8" l="1"/>
  <c r="U51" i="8" s="1"/>
  <c r="V41" i="8"/>
  <c r="V150" i="8"/>
  <c r="V31" i="8"/>
  <c r="W19" i="8"/>
  <c r="X144" i="8"/>
  <c r="W149" i="8"/>
  <c r="W41" i="8" l="1"/>
  <c r="W150" i="8"/>
  <c r="X149" i="8"/>
  <c r="X19" i="8"/>
  <c r="Y144" i="8"/>
  <c r="W31" i="8"/>
  <c r="V51" i="8"/>
  <c r="X41" i="8" l="1"/>
  <c r="X150" i="8"/>
  <c r="W51" i="8"/>
  <c r="Y19" i="8"/>
  <c r="Y149" i="8"/>
  <c r="X31" i="8"/>
  <c r="Y31" i="8" l="1"/>
  <c r="Y41" i="8"/>
  <c r="Y150" i="8"/>
  <c r="X51" i="8"/>
  <c r="Y51" i="8" l="1"/>
  <c r="I22" i="4"/>
  <c r="I23" i="4" s="1"/>
  <c r="I30" i="4" s="1"/>
  <c r="J17" i="4"/>
  <c r="K17" i="4"/>
  <c r="L17" i="4"/>
  <c r="L18" i="4" s="1"/>
  <c r="L21" i="4" s="1"/>
  <c r="M17" i="4"/>
  <c r="N17" i="4"/>
  <c r="O17" i="4"/>
  <c r="I17" i="9"/>
  <c r="I92" i="9" s="1"/>
  <c r="J17" i="9"/>
  <c r="J92" i="9" s="1"/>
  <c r="K17" i="9"/>
  <c r="K92" i="9" s="1"/>
  <c r="L17" i="9"/>
  <c r="L92" i="9" s="1"/>
  <c r="M17" i="9"/>
  <c r="M92" i="9" s="1"/>
  <c r="N17" i="9"/>
  <c r="N92" i="9" s="1"/>
  <c r="O17" i="9"/>
  <c r="O92" i="9" s="1"/>
  <c r="O18" i="4" l="1"/>
  <c r="O21" i="4" s="1"/>
  <c r="O22" i="4" s="1"/>
  <c r="O23" i="4" s="1"/>
  <c r="O30" i="4" s="1"/>
  <c r="K18" i="4"/>
  <c r="K21" i="4" s="1"/>
  <c r="K22" i="4" s="1"/>
  <c r="K23" i="4" s="1"/>
  <c r="K30" i="4" s="1"/>
  <c r="N18" i="4"/>
  <c r="N21" i="4" s="1"/>
  <c r="J18" i="4"/>
  <c r="J21" i="4" s="1"/>
  <c r="M18" i="4"/>
  <c r="M21" i="4" s="1"/>
  <c r="I21" i="9"/>
  <c r="I24" i="9" s="1"/>
  <c r="O21" i="9"/>
  <c r="O24" i="9" s="1"/>
  <c r="K21" i="9"/>
  <c r="K24" i="9" s="1"/>
  <c r="M21" i="9"/>
  <c r="M24" i="9" s="1"/>
  <c r="L21" i="9"/>
  <c r="L24" i="9" s="1"/>
  <c r="N21" i="9"/>
  <c r="N24" i="9" s="1"/>
  <c r="J21" i="9"/>
  <c r="J24" i="9" s="1"/>
  <c r="L22" i="4"/>
  <c r="L23" i="4" s="1"/>
  <c r="L30" i="4" s="1"/>
  <c r="J22" i="4" l="1"/>
  <c r="J23" i="4" s="1"/>
  <c r="J30" i="4" s="1"/>
  <c r="N22" i="4"/>
  <c r="N23" i="4" s="1"/>
  <c r="N30" i="4" s="1"/>
  <c r="M22" i="4"/>
  <c r="M23" i="4" s="1"/>
  <c r="M30" i="4" s="1"/>
  <c r="J25" i="9"/>
  <c r="J81" i="8"/>
  <c r="J84" i="8" s="1"/>
  <c r="K81" i="8"/>
  <c r="K25" i="9"/>
  <c r="N25" i="9"/>
  <c r="N81" i="8"/>
  <c r="N84" i="8" s="1"/>
  <c r="O81" i="8"/>
  <c r="O25" i="9"/>
  <c r="L96" i="9"/>
  <c r="L25" i="9"/>
  <c r="L81" i="8"/>
  <c r="L93" i="8" s="1"/>
  <c r="L94" i="8" s="1"/>
  <c r="I96" i="9"/>
  <c r="I25" i="9"/>
  <c r="I81" i="8"/>
  <c r="I84" i="8" s="1"/>
  <c r="M25" i="9"/>
  <c r="M81" i="8"/>
  <c r="M93" i="8" s="1"/>
  <c r="M94" i="8" s="1"/>
  <c r="M96" i="9"/>
  <c r="J96" i="9"/>
  <c r="N96" i="9"/>
  <c r="O96" i="9"/>
  <c r="K96" i="9"/>
  <c r="H17" i="9"/>
  <c r="H92" i="9" s="1"/>
  <c r="M84" i="8" l="1"/>
  <c r="L84" i="8"/>
  <c r="I93" i="8"/>
  <c r="I94" i="8" s="1"/>
  <c r="N93" i="8"/>
  <c r="N94" i="8" s="1"/>
  <c r="J93" i="8"/>
  <c r="J94" i="8" s="1"/>
  <c r="K84" i="8"/>
  <c r="K93" i="8"/>
  <c r="K94" i="8" s="1"/>
  <c r="H21" i="9"/>
  <c r="H24" i="9" s="1"/>
  <c r="O84" i="8"/>
  <c r="O93" i="8"/>
  <c r="O94" i="8" s="1"/>
  <c r="H81" i="8" l="1"/>
  <c r="H25" i="9"/>
  <c r="P92" i="9"/>
  <c r="H96" i="9"/>
  <c r="P96" i="9" s="1"/>
  <c r="P91" i="9"/>
  <c r="H93" i="8" l="1"/>
  <c r="H94" i="8" s="1"/>
  <c r="Z95" i="8" s="1"/>
  <c r="O95" i="8" s="1"/>
  <c r="H84" i="8"/>
  <c r="G114" i="9"/>
  <c r="H114" i="9"/>
  <c r="I114" i="9"/>
  <c r="F114" i="9"/>
  <c r="J114" i="9"/>
  <c r="K114" i="9" l="1"/>
  <c r="L114" i="9" l="1"/>
  <c r="M114" i="9" l="1"/>
  <c r="N114" i="9" l="1"/>
  <c r="O114" i="9" l="1"/>
  <c r="S95" i="8" l="1"/>
  <c r="K25" i="5" s="1"/>
  <c r="J108" i="9" l="1"/>
  <c r="K30" i="5"/>
  <c r="K36" i="5" s="1"/>
  <c r="T90" i="8" l="1"/>
  <c r="T95" i="8"/>
  <c r="L25" i="5" l="1"/>
  <c r="T96" i="8"/>
  <c r="K108" i="9"/>
  <c r="K110" i="9" s="1"/>
  <c r="J116" i="9" s="1"/>
  <c r="J117" i="9" l="1"/>
  <c r="K116" i="9"/>
  <c r="L30" i="5"/>
  <c r="L36" i="5" s="1"/>
  <c r="L27" i="5"/>
  <c r="L116" i="9" l="1"/>
  <c r="K117" i="9"/>
  <c r="T34" i="9"/>
  <c r="T36" i="9"/>
  <c r="T32" i="9"/>
  <c r="T30" i="9"/>
  <c r="U30" i="9" l="1"/>
  <c r="U32" i="9"/>
  <c r="U34" i="9"/>
  <c r="U36" i="9"/>
  <c r="M116" i="9"/>
  <c r="L117" i="9"/>
  <c r="N116" i="9" l="1"/>
  <c r="M117" i="9"/>
  <c r="V30" i="9"/>
  <c r="V32" i="9"/>
  <c r="V34" i="9"/>
  <c r="V36" i="9"/>
  <c r="N117" i="9" l="1"/>
  <c r="O116" i="9"/>
  <c r="O117" i="9" s="1"/>
  <c r="W30" i="9"/>
  <c r="W32" i="9"/>
  <c r="W34" i="9"/>
  <c r="W36" i="9"/>
  <c r="X32" i="9" l="1"/>
  <c r="X34" i="9"/>
  <c r="X36" i="9"/>
  <c r="X30" i="9"/>
  <c r="Y30" i="9"/>
  <c r="Y32" i="9"/>
  <c r="Y34" i="9"/>
  <c r="Y36" i="9"/>
  <c r="U90" i="8" l="1"/>
  <c r="U95" i="8"/>
  <c r="U96" i="8" s="1"/>
  <c r="M25" i="5" l="1"/>
  <c r="L108" i="9"/>
  <c r="L110" i="9" s="1"/>
  <c r="M27" i="5" l="1"/>
  <c r="M30" i="5"/>
  <c r="M36" i="5" s="1"/>
  <c r="V90" i="8"/>
  <c r="V95" i="8"/>
  <c r="M108" i="9" l="1"/>
  <c r="M110" i="9" s="1"/>
  <c r="N25" i="5"/>
  <c r="V96" i="8"/>
  <c r="N27" i="5" l="1"/>
  <c r="N30" i="5"/>
  <c r="N36" i="5" s="1"/>
  <c r="Q95" i="8"/>
  <c r="I25" i="5" s="1"/>
  <c r="H108" i="9" l="1"/>
  <c r="I30" i="5"/>
  <c r="I36" i="5" s="1"/>
  <c r="R90" i="8"/>
  <c r="S90" i="8"/>
  <c r="R95" i="8"/>
  <c r="J25" i="5" l="1"/>
  <c r="I108" i="9"/>
  <c r="R96" i="8"/>
  <c r="S96" i="8"/>
  <c r="I110" i="9" l="1"/>
  <c r="H116" i="9" s="1"/>
  <c r="H117" i="9" s="1"/>
  <c r="J110" i="9"/>
  <c r="I116" i="9" s="1"/>
  <c r="I117" i="9" s="1"/>
  <c r="J30" i="5"/>
  <c r="J36" i="5" s="1"/>
  <c r="J27" i="5"/>
  <c r="K27" i="5"/>
  <c r="S30" i="9" l="1"/>
  <c r="S34" i="9"/>
  <c r="S32" i="9"/>
  <c r="S36" i="9"/>
  <c r="R32" i="9"/>
  <c r="R36" i="9"/>
  <c r="R30" i="9"/>
  <c r="R34" i="9"/>
  <c r="P90" i="8"/>
  <c r="Q90" i="8"/>
  <c r="P95" i="8"/>
  <c r="P96" i="8" s="1"/>
  <c r="H25" i="5" l="1"/>
  <c r="G108" i="9"/>
  <c r="G110" i="9" s="1"/>
  <c r="Q96" i="8"/>
  <c r="F116" i="9" l="1"/>
  <c r="F117" i="9" s="1"/>
  <c r="H110" i="9"/>
  <c r="G116" i="9" s="1"/>
  <c r="G117" i="9" s="1"/>
  <c r="I27" i="5"/>
  <c r="H30" i="5"/>
  <c r="H36" i="5" s="1"/>
  <c r="Q30" i="9" l="1"/>
  <c r="Q32" i="9"/>
  <c r="Q34" i="9"/>
  <c r="Q36" i="9"/>
  <c r="P30" i="9"/>
  <c r="P29" i="9" s="1"/>
  <c r="P32" i="9"/>
  <c r="P31" i="9" s="1"/>
  <c r="P34" i="9"/>
  <c r="P33" i="9" s="1"/>
  <c r="P36" i="9"/>
  <c r="P35" i="9" s="1"/>
  <c r="Q35" i="9" l="1"/>
  <c r="R35" i="9" s="1"/>
  <c r="S35" i="9" s="1"/>
  <c r="T35" i="9" s="1"/>
  <c r="U35" i="9" s="1"/>
  <c r="V35" i="9" s="1"/>
  <c r="W35" i="9" s="1"/>
  <c r="X35" i="9" s="1"/>
  <c r="Y35" i="9" s="1"/>
  <c r="Q33" i="9"/>
  <c r="R33" i="9" s="1"/>
  <c r="S33" i="9" s="1"/>
  <c r="T33" i="9" s="1"/>
  <c r="U33" i="9" s="1"/>
  <c r="V33" i="9" s="1"/>
  <c r="W33" i="9" s="1"/>
  <c r="X33" i="9" s="1"/>
  <c r="Y33" i="9" s="1"/>
  <c r="P74" i="9"/>
  <c r="Q31" i="9"/>
  <c r="P45" i="4"/>
  <c r="P46" i="4" s="1"/>
  <c r="Q29" i="9"/>
  <c r="P37" i="9"/>
  <c r="P49" i="9" s="1"/>
  <c r="P71" i="9" s="1"/>
  <c r="P73" i="9"/>
  <c r="P47" i="4" l="1"/>
  <c r="P52" i="4" s="1"/>
  <c r="P50" i="4"/>
  <c r="Q45" i="4"/>
  <c r="Q46" i="4" s="1"/>
  <c r="Q47" i="4" s="1"/>
  <c r="Q52" i="4" s="1"/>
  <c r="Q73" i="9"/>
  <c r="R29" i="9"/>
  <c r="Q37" i="9"/>
  <c r="Q49" i="9" s="1"/>
  <c r="Q71" i="9" s="1"/>
  <c r="Q74" i="9"/>
  <c r="R31" i="9"/>
  <c r="P75" i="9"/>
  <c r="P26" i="4" s="1"/>
  <c r="Q50" i="4" l="1"/>
  <c r="Q75" i="9"/>
  <c r="Q26" i="4" s="1"/>
  <c r="S29" i="9"/>
  <c r="R45" i="4"/>
  <c r="R46" i="4" s="1"/>
  <c r="R47" i="4" s="1"/>
  <c r="R52" i="4" s="1"/>
  <c r="R73" i="9"/>
  <c r="R37" i="9"/>
  <c r="R49" i="9" s="1"/>
  <c r="R71" i="9" s="1"/>
  <c r="S31" i="9"/>
  <c r="R74" i="9"/>
  <c r="R50" i="4" l="1"/>
  <c r="S74" i="9"/>
  <c r="T31" i="9"/>
  <c r="S45" i="4"/>
  <c r="S46" i="4" s="1"/>
  <c r="S37" i="9"/>
  <c r="S49" i="9" s="1"/>
  <c r="S71" i="9" s="1"/>
  <c r="T29" i="9"/>
  <c r="S73" i="9"/>
  <c r="R75" i="9"/>
  <c r="R26" i="4" s="1"/>
  <c r="T45" i="4" l="1"/>
  <c r="T46" i="4" s="1"/>
  <c r="T47" i="4" s="1"/>
  <c r="T52" i="4" s="1"/>
  <c r="U29" i="9"/>
  <c r="T37" i="9"/>
  <c r="T49" i="9" s="1"/>
  <c r="T71" i="9" s="1"/>
  <c r="T73" i="9"/>
  <c r="S50" i="4"/>
  <c r="S47" i="4"/>
  <c r="S52" i="4" s="1"/>
  <c r="T74" i="9"/>
  <c r="U31" i="9"/>
  <c r="S75" i="9"/>
  <c r="S26" i="4" s="1"/>
  <c r="U45" i="4" l="1"/>
  <c r="U46" i="4" s="1"/>
  <c r="U47" i="4" s="1"/>
  <c r="U52" i="4" s="1"/>
  <c r="U73" i="9"/>
  <c r="U37" i="9"/>
  <c r="U49" i="9" s="1"/>
  <c r="U71" i="9" s="1"/>
  <c r="V29" i="9"/>
  <c r="U74" i="9"/>
  <c r="U75" i="9" s="1"/>
  <c r="U26" i="4" s="1"/>
  <c r="V31" i="9"/>
  <c r="T50" i="4"/>
  <c r="T75" i="9"/>
  <c r="T26" i="4" s="1"/>
  <c r="V45" i="4" l="1"/>
  <c r="V46" i="4" s="1"/>
  <c r="V47" i="4" s="1"/>
  <c r="V52" i="4" s="1"/>
  <c r="W29" i="9"/>
  <c r="V73" i="9"/>
  <c r="V37" i="9"/>
  <c r="V49" i="9" s="1"/>
  <c r="V71" i="9" s="1"/>
  <c r="W31" i="9"/>
  <c r="V74" i="9"/>
  <c r="V75" i="9" s="1"/>
  <c r="V26" i="4" s="1"/>
  <c r="U50" i="4"/>
  <c r="W45" i="4" l="1"/>
  <c r="W46" i="4" s="1"/>
  <c r="W47" i="4" s="1"/>
  <c r="W52" i="4" s="1"/>
  <c r="W37" i="9"/>
  <c r="W49" i="9" s="1"/>
  <c r="W71" i="9" s="1"/>
  <c r="X29" i="9"/>
  <c r="W73" i="9"/>
  <c r="W74" i="9"/>
  <c r="X31" i="9"/>
  <c r="V50" i="4"/>
  <c r="X45" i="4" l="1"/>
  <c r="X46" i="4" s="1"/>
  <c r="X47" i="4" s="1"/>
  <c r="X52" i="4" s="1"/>
  <c r="X37" i="9"/>
  <c r="X49" i="9" s="1"/>
  <c r="X71" i="9" s="1"/>
  <c r="Y29" i="9"/>
  <c r="X73" i="9"/>
  <c r="X74" i="9"/>
  <c r="X75" i="9" s="1"/>
  <c r="X26" i="4" s="1"/>
  <c r="Y31" i="9"/>
  <c r="Y74" i="9" s="1"/>
  <c r="W50" i="4"/>
  <c r="W75" i="9"/>
  <c r="W26" i="4" s="1"/>
  <c r="Y45" i="4" l="1"/>
  <c r="Y46" i="4" s="1"/>
  <c r="Y50" i="4" s="1"/>
  <c r="Y73" i="9"/>
  <c r="Y37" i="9"/>
  <c r="Y49" i="9" s="1"/>
  <c r="Y71" i="9" s="1"/>
  <c r="Y75" i="9"/>
  <c r="Y26" i="4" s="1"/>
  <c r="X50" i="4"/>
  <c r="Y47" i="4" l="1"/>
  <c r="Y52" i="4" s="1"/>
  <c r="P20" i="8"/>
  <c r="P23" i="8" s="1"/>
  <c r="Q156" i="8"/>
  <c r="P158" i="8"/>
  <c r="P161" i="8"/>
  <c r="P42" i="8" s="1"/>
  <c r="P45" i="8" s="1"/>
  <c r="P162" i="8" l="1"/>
  <c r="P32" i="8"/>
  <c r="P25" i="8"/>
  <c r="P26" i="8" s="1"/>
  <c r="P46" i="8"/>
  <c r="P54" i="8"/>
  <c r="P71" i="8"/>
  <c r="P72" i="8" s="1"/>
  <c r="P63" i="8"/>
  <c r="P52" i="8"/>
  <c r="P13" i="9"/>
  <c r="P14" i="9" s="1"/>
  <c r="P35" i="8"/>
  <c r="Q20" i="8"/>
  <c r="R156" i="8"/>
  <c r="Q161" i="8"/>
  <c r="P64" i="8" l="1"/>
  <c r="P67" i="8"/>
  <c r="Q162" i="8"/>
  <c r="Q42" i="8"/>
  <c r="P16" i="4"/>
  <c r="R20" i="8"/>
  <c r="S156" i="8"/>
  <c r="R161" i="8"/>
  <c r="Q32" i="8"/>
  <c r="Q23" i="8"/>
  <c r="S20" i="8" l="1"/>
  <c r="S161" i="8"/>
  <c r="T156" i="8"/>
  <c r="Q45" i="8"/>
  <c r="Q52" i="8"/>
  <c r="Q13" i="9"/>
  <c r="Q14" i="9" s="1"/>
  <c r="Q35" i="8"/>
  <c r="R32" i="8"/>
  <c r="R23" i="8"/>
  <c r="R162" i="8"/>
  <c r="R42" i="8"/>
  <c r="Q16" i="4" l="1"/>
  <c r="S42" i="8"/>
  <c r="S162" i="8"/>
  <c r="Q25" i="8"/>
  <c r="Q26" i="8" s="1"/>
  <c r="Q63" i="8"/>
  <c r="Q46" i="8"/>
  <c r="Q54" i="8"/>
  <c r="Q71" i="8"/>
  <c r="Q72" i="8" s="1"/>
  <c r="R45" i="8"/>
  <c r="R52" i="8"/>
  <c r="T20" i="8"/>
  <c r="T161" i="8"/>
  <c r="U156" i="8"/>
  <c r="R13" i="9"/>
  <c r="R14" i="9" s="1"/>
  <c r="R35" i="8"/>
  <c r="S23" i="8"/>
  <c r="S32" i="8"/>
  <c r="T42" i="8" l="1"/>
  <c r="T162" i="8"/>
  <c r="T32" i="8"/>
  <c r="T23" i="8"/>
  <c r="R16" i="4"/>
  <c r="S45" i="8"/>
  <c r="S52" i="8"/>
  <c r="S13" i="9"/>
  <c r="S14" i="9" s="1"/>
  <c r="S35" i="8"/>
  <c r="U20" i="8"/>
  <c r="V156" i="8"/>
  <c r="U161" i="8"/>
  <c r="R63" i="8"/>
  <c r="R25" i="8"/>
  <c r="R26" i="8" s="1"/>
  <c r="R46" i="8"/>
  <c r="R71" i="8"/>
  <c r="R72" i="8" s="1"/>
  <c r="R54" i="8"/>
  <c r="Q67" i="8"/>
  <c r="Q64" i="8"/>
  <c r="T13" i="9" l="1"/>
  <c r="T14" i="9" s="1"/>
  <c r="T35" i="8"/>
  <c r="W156" i="8"/>
  <c r="V20" i="8"/>
  <c r="V161" i="8"/>
  <c r="U32" i="8"/>
  <c r="U23" i="8"/>
  <c r="S25" i="8"/>
  <c r="S26" i="8" s="1"/>
  <c r="S46" i="8"/>
  <c r="S54" i="8"/>
  <c r="S71" i="8"/>
  <c r="S72" i="8" s="1"/>
  <c r="S63" i="8"/>
  <c r="R67" i="8"/>
  <c r="R64" i="8"/>
  <c r="U162" i="8"/>
  <c r="U42" i="8"/>
  <c r="S16" i="4"/>
  <c r="T52" i="8"/>
  <c r="T45" i="8"/>
  <c r="V32" i="8" l="1"/>
  <c r="V23" i="8"/>
  <c r="U13" i="9"/>
  <c r="U14" i="9" s="1"/>
  <c r="U35" i="8"/>
  <c r="W20" i="8"/>
  <c r="W161" i="8"/>
  <c r="X156" i="8"/>
  <c r="S64" i="8"/>
  <c r="S67" i="8"/>
  <c r="U45" i="8"/>
  <c r="U52" i="8"/>
  <c r="T46" i="8"/>
  <c r="T54" i="8"/>
  <c r="T71" i="8"/>
  <c r="T72" i="8" s="1"/>
  <c r="T63" i="8"/>
  <c r="T25" i="8"/>
  <c r="T26" i="8" s="1"/>
  <c r="V162" i="8"/>
  <c r="V42" i="8"/>
  <c r="T16" i="4"/>
  <c r="V45" i="8" l="1"/>
  <c r="V52" i="8"/>
  <c r="T64" i="8"/>
  <c r="T67" i="8"/>
  <c r="X161" i="8"/>
  <c r="X20" i="8"/>
  <c r="Y156" i="8"/>
  <c r="U16" i="4"/>
  <c r="U25" i="8"/>
  <c r="U26" i="8" s="1"/>
  <c r="U63" i="8"/>
  <c r="U46" i="8"/>
  <c r="U54" i="8"/>
  <c r="U71" i="8"/>
  <c r="U72" i="8" s="1"/>
  <c r="W42" i="8"/>
  <c r="W162" i="8"/>
  <c r="V13" i="9"/>
  <c r="V14" i="9" s="1"/>
  <c r="V35" i="8"/>
  <c r="W23" i="8"/>
  <c r="W32" i="8"/>
  <c r="W13" i="9" l="1"/>
  <c r="W14" i="9" s="1"/>
  <c r="W35" i="8"/>
  <c r="W45" i="8"/>
  <c r="W52" i="8"/>
  <c r="U67" i="8"/>
  <c r="U64" i="8"/>
  <c r="Y20" i="8"/>
  <c r="Y161" i="8"/>
  <c r="X23" i="8"/>
  <c r="X32" i="8"/>
  <c r="V16" i="4"/>
  <c r="X42" i="8"/>
  <c r="X162" i="8"/>
  <c r="V25" i="8"/>
  <c r="V26" i="8" s="1"/>
  <c r="V63" i="8"/>
  <c r="V71" i="8"/>
  <c r="V72" i="8" s="1"/>
  <c r="V46" i="8"/>
  <c r="V54" i="8"/>
  <c r="Y32" i="8" l="1"/>
  <c r="Y23" i="8"/>
  <c r="W25" i="8"/>
  <c r="W26" i="8" s="1"/>
  <c r="W46" i="8"/>
  <c r="W54" i="8"/>
  <c r="W71" i="8"/>
  <c r="W72" i="8" s="1"/>
  <c r="W63" i="8"/>
  <c r="X52" i="8"/>
  <c r="X45" i="8"/>
  <c r="X13" i="9"/>
  <c r="X14" i="9" s="1"/>
  <c r="X35" i="8"/>
  <c r="W16" i="4"/>
  <c r="V67" i="8"/>
  <c r="V64" i="8"/>
  <c r="Y162" i="8"/>
  <c r="Y42" i="8"/>
  <c r="W64" i="8" l="1"/>
  <c r="W67" i="8"/>
  <c r="X16" i="4"/>
  <c r="Y13" i="9"/>
  <c r="Y14" i="9" s="1"/>
  <c r="Y35" i="8"/>
  <c r="Y45" i="8"/>
  <c r="Y52" i="8"/>
  <c r="X25" i="8"/>
  <c r="X26" i="8" s="1"/>
  <c r="X46" i="8"/>
  <c r="X54" i="8"/>
  <c r="X71" i="8"/>
  <c r="X72" i="8" s="1"/>
  <c r="X63" i="8"/>
  <c r="Y25" i="8" l="1"/>
  <c r="Y26" i="8" s="1"/>
  <c r="Y63" i="8"/>
  <c r="Y46" i="8"/>
  <c r="Y54" i="8"/>
  <c r="K46" i="3" s="1"/>
  <c r="Y71" i="8"/>
  <c r="Y72" i="8" s="1"/>
  <c r="X64" i="8"/>
  <c r="X67" i="8"/>
  <c r="Y16" i="4"/>
  <c r="Y67" i="8" l="1"/>
  <c r="Y64" i="8"/>
  <c r="G38" i="2" a="1"/>
  <c r="G38" i="2" s="1"/>
  <c r="P17" i="4"/>
  <c r="P18" i="4" s="1"/>
  <c r="P15" i="9"/>
  <c r="P17" i="9" s="1"/>
  <c r="P21" i="4" l="1"/>
  <c r="H84" i="4" s="1"/>
  <c r="H89" i="4" s="1"/>
  <c r="H24" i="3" s="1" a="1"/>
  <c r="H24" i="3" s="1"/>
  <c r="H83" i="4"/>
  <c r="H88" i="4" s="1"/>
  <c r="H23" i="3" s="1" a="1"/>
  <c r="H23" i="3" s="1"/>
  <c r="H103" i="4"/>
  <c r="H108" i="4" s="1"/>
  <c r="P22" i="4" l="1"/>
  <c r="P23" i="4" s="1"/>
  <c r="P30" i="4" s="1"/>
  <c r="P49" i="4" s="1"/>
  <c r="P53" i="4" s="1"/>
  <c r="P57" i="4" s="1"/>
  <c r="P63" i="4" s="1"/>
  <c r="H104" i="4"/>
  <c r="H109" i="4" s="1"/>
  <c r="Q17" i="4"/>
  <c r="Q15" i="9"/>
  <c r="Q17" i="9" s="1"/>
  <c r="Q18" i="4" l="1"/>
  <c r="Q21" i="4" s="1"/>
  <c r="P34" i="4"/>
  <c r="P40" i="4" s="1"/>
  <c r="R17" i="4"/>
  <c r="R15" i="9"/>
  <c r="R17" i="9" s="1"/>
  <c r="S17" i="4"/>
  <c r="S15" i="9"/>
  <c r="S17" i="9" s="1"/>
  <c r="Q22" i="4" l="1"/>
  <c r="Q23" i="4" s="1"/>
  <c r="Q30" i="4" s="1"/>
  <c r="Q34" i="4" s="1"/>
  <c r="Q40" i="4" s="1"/>
  <c r="S18" i="4"/>
  <c r="S21" i="4" s="1"/>
  <c r="S22" i="4" s="1"/>
  <c r="S23" i="4" s="1"/>
  <c r="S30" i="4" s="1"/>
  <c r="R18" i="4"/>
  <c r="R21" i="4" s="1"/>
  <c r="R22" i="4" s="1"/>
  <c r="R23" i="4" s="1"/>
  <c r="R30" i="4" s="1"/>
  <c r="Q49" i="4" l="1"/>
  <c r="Q53" i="4" s="1"/>
  <c r="Q57" i="4" s="1"/>
  <c r="Q63" i="4" s="1"/>
  <c r="R49" i="4"/>
  <c r="R53" i="4" s="1"/>
  <c r="R57" i="4" s="1"/>
  <c r="R63" i="4" s="1"/>
  <c r="R34" i="4"/>
  <c r="R40" i="4" s="1"/>
  <c r="S34" i="4"/>
  <c r="S40" i="4" s="1"/>
  <c r="S49" i="4"/>
  <c r="S53" i="4" s="1"/>
  <c r="S57" i="4" s="1"/>
  <c r="S63" i="4" s="1"/>
  <c r="T17" i="4"/>
  <c r="T15" i="9"/>
  <c r="T17" i="9" s="1"/>
  <c r="T18" i="4" l="1"/>
  <c r="T21" i="4" s="1"/>
  <c r="T22" i="4" s="1"/>
  <c r="T23" i="4" s="1"/>
  <c r="T30" i="4" s="1"/>
  <c r="T34" i="4" l="1"/>
  <c r="T40" i="4" s="1"/>
  <c r="T49" i="4"/>
  <c r="T53" i="4" s="1"/>
  <c r="T57" i="4" s="1"/>
  <c r="T63" i="4" s="1"/>
  <c r="U17" i="4"/>
  <c r="U15" i="9"/>
  <c r="U17" i="9" s="1"/>
  <c r="U18" i="4" l="1"/>
  <c r="U21" i="4" s="1"/>
  <c r="U22" i="4" l="1"/>
  <c r="U23" i="4" s="1"/>
  <c r="U30" i="4" s="1"/>
  <c r="U34" i="4" s="1"/>
  <c r="U40" i="4" s="1"/>
  <c r="V17" i="4"/>
  <c r="V15" i="9"/>
  <c r="V17" i="9" s="1"/>
  <c r="W17" i="4"/>
  <c r="W15" i="9"/>
  <c r="W17" i="9" s="1"/>
  <c r="U49" i="4" l="1"/>
  <c r="U53" i="4" s="1"/>
  <c r="U57" i="4" s="1"/>
  <c r="U63" i="4" s="1"/>
  <c r="W18" i="4"/>
  <c r="W21" i="4" s="1"/>
  <c r="W22" i="4" s="1"/>
  <c r="W23" i="4" s="1"/>
  <c r="W30" i="4" s="1"/>
  <c r="V18" i="4"/>
  <c r="V21" i="4" s="1"/>
  <c r="V22" i="4" s="1"/>
  <c r="V23" i="4" s="1"/>
  <c r="V30" i="4" s="1"/>
  <c r="V49" i="4" s="1"/>
  <c r="V53" i="4" s="1"/>
  <c r="V57" i="4" s="1"/>
  <c r="V63" i="4" s="1"/>
  <c r="V34" i="4" l="1"/>
  <c r="V40" i="4" s="1"/>
  <c r="W34" i="4"/>
  <c r="W40" i="4" s="1"/>
  <c r="W49" i="4"/>
  <c r="W53" i="4" s="1"/>
  <c r="W57" i="4" s="1"/>
  <c r="W63" i="4" s="1"/>
  <c r="X17" i="4"/>
  <c r="X15" i="9"/>
  <c r="X17" i="9" s="1"/>
  <c r="X18" i="4" l="1"/>
  <c r="X21" i="4" s="1"/>
  <c r="X22" i="4" s="1"/>
  <c r="X23" i="4" s="1"/>
  <c r="X30" i="4" s="1"/>
  <c r="X34" i="4" l="1"/>
  <c r="X40" i="4" s="1"/>
  <c r="X49" i="4"/>
  <c r="X53" i="4" s="1"/>
  <c r="X57" i="4" s="1"/>
  <c r="X63" i="4" s="1"/>
  <c r="Y17" i="4"/>
  <c r="Y15" i="9"/>
  <c r="Y17" i="9" s="1"/>
  <c r="Y18" i="4" l="1"/>
  <c r="Y21" i="4" s="1"/>
  <c r="Y22" i="4" l="1"/>
  <c r="Y23" i="4" s="1"/>
  <c r="Y30" i="4" s="1"/>
  <c r="Y49" i="4" s="1"/>
  <c r="Y53" i="4" s="1"/>
  <c r="Y34" i="4" l="1"/>
  <c r="Y40" i="4" s="1"/>
  <c r="Y31" i="4"/>
  <c r="Y35" i="4" s="1"/>
  <c r="Y41" i="4" s="1"/>
  <c r="Y54" i="4"/>
  <c r="Y58" i="4" s="1"/>
  <c r="Y64" i="4" s="1"/>
  <c r="Y57" i="4"/>
  <c r="Y63" i="4" s="1"/>
  <c r="H70" i="4" l="1"/>
  <c r="H73" i="4" s="1"/>
  <c r="H93" i="4"/>
  <c r="H96" i="4" s="1"/>
  <c r="H86" i="4" l="1"/>
  <c r="H21" i="3" s="1" a="1"/>
  <c r="H21" i="3" s="1"/>
  <c r="H76" i="4"/>
  <c r="G6" i="7" s="1"/>
  <c r="H87" i="4"/>
  <c r="H22" i="3" s="1" a="1"/>
  <c r="H22" i="3" s="1"/>
  <c r="H107" i="4"/>
  <c r="H106" i="4"/>
  <c r="H11" i="3"/>
  <c r="H12" i="3" s="1"/>
  <c r="H99" i="4"/>
  <c r="G7" i="7"/>
  <c r="H9" i="3" l="1"/>
  <c r="H10" i="3" s="1"/>
  <c r="H79" i="4"/>
  <c r="W90" i="8" l="1"/>
  <c r="X90" i="8"/>
  <c r="Y90" i="8"/>
  <c r="W95" i="8"/>
  <c r="N108" i="9" s="1"/>
  <c r="N110" i="9" s="1"/>
  <c r="X95" i="8"/>
  <c r="P25" i="5" s="1"/>
  <c r="Y95" i="8"/>
  <c r="P108" i="9" s="1"/>
  <c r="Y96" i="8" l="1"/>
  <c r="W96" i="8"/>
  <c r="P30" i="5"/>
  <c r="P36" i="5" s="1"/>
  <c r="O108" i="9"/>
  <c r="O110" i="9" s="1"/>
  <c r="O25" i="5"/>
  <c r="P27" i="5" s="1"/>
  <c r="X96" i="8"/>
  <c r="Q25" i="5"/>
  <c r="P110" i="9" l="1"/>
  <c r="O30" i="5"/>
  <c r="O36" i="5" s="1"/>
  <c r="O27" i="5"/>
  <c r="Q30" i="5"/>
  <c r="Q36" i="5" s="1"/>
  <c r="Q27" i="5"/>
  <c r="Q26" i="5"/>
  <c r="Q31" i="5" s="1"/>
  <c r="Q37" i="5" s="1"/>
  <c r="H43" i="5" l="1"/>
  <c r="H13" i="3" s="1"/>
  <c r="H14" i="3" s="1"/>
  <c r="H45" i="5" l="1"/>
  <c r="G8" i="7"/>
  <c r="G11" i="7" s="1"/>
  <c r="H28" i="3" s="1"/>
  <c r="K7" i="7" l="1"/>
  <c r="K6" i="7" s="1"/>
  <c r="G13" i="7"/>
  <c r="H27" i="3" s="1"/>
  <c r="H29" i="3" s="1"/>
  <c r="K8" i="7" l="1"/>
  <c r="G15" i="7"/>
  <c r="P18" i="9"/>
  <c r="Q18" i="9"/>
  <c r="R18" i="9"/>
  <c r="S18" i="9"/>
  <c r="T18" i="9"/>
  <c r="U18" i="9"/>
  <c r="V18" i="9"/>
  <c r="W18" i="9"/>
  <c r="X18" i="9"/>
  <c r="Y18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P76" i="8"/>
  <c r="Q76" i="8"/>
  <c r="R76" i="8"/>
  <c r="S76" i="8"/>
  <c r="T76" i="8"/>
  <c r="U76" i="8"/>
  <c r="V76" i="8"/>
  <c r="W76" i="8"/>
  <c r="X76" i="8"/>
  <c r="Y76" i="8"/>
  <c r="P77" i="8"/>
  <c r="P81" i="8"/>
  <c r="Q81" i="8"/>
  <c r="R81" i="8"/>
  <c r="S81" i="8"/>
  <c r="T81" i="8"/>
  <c r="U81" i="8"/>
  <c r="V81" i="8"/>
  <c r="W81" i="8"/>
  <c r="X81" i="8"/>
  <c r="Y81" i="8"/>
  <c r="P84" i="8"/>
  <c r="Q84" i="8"/>
  <c r="R84" i="8"/>
  <c r="S84" i="8"/>
  <c r="T84" i="8"/>
  <c r="U84" i="8"/>
  <c r="V84" i="8"/>
  <c r="W84" i="8"/>
  <c r="X84" i="8"/>
  <c r="Y84" i="8"/>
  <c r="P100" i="8"/>
  <c r="Q100" i="8"/>
  <c r="R100" i="8"/>
  <c r="S100" i="8"/>
  <c r="T100" i="8"/>
  <c r="U100" i="8"/>
  <c r="V100" i="8"/>
  <c r="W100" i="8"/>
  <c r="X100" i="8"/>
  <c r="Y100" i="8"/>
  <c r="Q101" i="8"/>
  <c r="R101" i="8"/>
  <c r="S101" i="8"/>
  <c r="T101" i="8"/>
  <c r="U101" i="8"/>
  <c r="V101" i="8"/>
  <c r="W101" i="8"/>
  <c r="X101" i="8"/>
  <c r="Y101" i="8"/>
</calcChain>
</file>

<file path=xl/sharedStrings.xml><?xml version="1.0" encoding="utf-8"?>
<sst xmlns="http://schemas.openxmlformats.org/spreadsheetml/2006/main" count="803" uniqueCount="330">
  <si>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</si>
  <si>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</si>
  <si>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</si>
  <si>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</si>
  <si>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</si>
  <si>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</si>
  <si>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</si>
  <si>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</si>
  <si>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</si>
  <si>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</si>
  <si>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</si>
  <si>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</si>
  <si>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</si>
  <si>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</si>
  <si>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</si>
  <si>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</si>
  <si>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</si>
  <si>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</si>
  <si>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</si>
  <si>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</si>
  <si>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</si>
  <si>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</si>
  <si>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</si>
  <si>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</si>
  <si>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</si>
  <si>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</si>
  <si>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</si>
  <si>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</si>
  <si>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</si>
  <si>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</si>
  <si>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</si>
  <si>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</si>
  <si>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</si>
  <si>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</si>
  <si>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</si>
  <si>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</si>
  <si>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</si>
  <si>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</si>
  <si>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</si>
  <si>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</si>
  <si>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</si>
  <si>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</si>
  <si>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</si>
  <si>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</si>
  <si>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</si>
  <si>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</si>
  <si>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</si>
  <si>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</si>
  <si>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</si>
  <si>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</si>
  <si>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</si>
  <si>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</si>
  <si>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</si>
  <si>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</si>
  <si>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</si>
  <si>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</si>
  <si>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</si>
  <si>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</si>
  <si>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</si>
  <si>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</si>
  <si>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</si>
  <si>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</si>
  <si>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</si>
  <si>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</si>
  <si>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</si>
  <si>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</si>
  <si>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</si>
  <si>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</si>
  <si>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</si>
  <si>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</si>
  <si>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</si>
  <si>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</si>
  <si>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</si>
  <si>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</si>
  <si>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</si>
  <si>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</si>
  <si>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</si>
  <si>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</si>
  <si>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</si>
  <si>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</si>
  <si>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</si>
  <si>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Equity Risk Premium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</si>
  <si>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</si>
  <si>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</si>
  <si>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</si>
  <si>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</si>
  <si>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</si>
  <si>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</si>
  <si>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</si>
  <si>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</si>
  <si>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</si>
  <si>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</si>
  <si>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</si>
  <si>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</si>
  <si>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</si>
  <si>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</si>
  <si>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</si>
  <si>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</si>
  <si>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</si>
  <si>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</si>
  <si>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</si>
  <si>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</si>
  <si>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</si>
  <si>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</si>
  <si>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</si>
  <si>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</si>
  <si>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</si>
  <si>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</si>
  <si>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</si>
  <si>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</si>
  <si>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</si>
  <si>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</si>
  <si>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</si>
  <si>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</si>
  <si>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</si>
  <si>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</si>
  <si>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</si>
  <si>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</si>
  <si>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</si>
  <si>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</si>
  <si>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</si>
  <si>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</si>
  <si>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</si>
  <si>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</si>
  <si>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</si>
  <si>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</si>
  <si>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</si>
  <si>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</si>
  <si>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</si>
  <si>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</si>
  <si>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</si>
  <si>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</si>
  <si>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</si>
  <si>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</si>
  <si>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</si>
  <si>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</si>
  <si>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</si>
  <si>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</si>
  <si>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</si>
  <si>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</si>
  <si>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</si>
  <si>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</si>
  <si>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</si>
  <si>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</si>
  <si>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</si>
  <si>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</si>
  <si>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</si>
  <si>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</si>
  <si>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</si>
  <si>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</si>
  <si>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</si>
  <si>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</si>
  <si>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</si>
  <si>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</si>
  <si>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</si>
  <si>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</si>
  <si>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</si>
  <si>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</si>
  <si>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</si>
  <si>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</si>
  <si>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</si>
  <si>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</si>
  <si>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</si>
  <si>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</si>
  <si>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</si>
  <si>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</si>
  <si>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</si>
  <si>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</si>
  <si>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</si>
  <si>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</si>
  <si>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</si>
  <si>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</si>
  <si>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</si>
  <si>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</si>
  <si>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</si>
  <si>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</si>
  <si>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</si>
  <si>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</si>
  <si>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</si>
  <si>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</si>
  <si>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</si>
  <si>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</si>
  <si>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</si>
  <si>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</si>
  <si>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</si>
  <si>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</si>
  <si>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</si>
  <si>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</si>
  <si>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</si>
  <si>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</si>
  <si>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</si>
  <si>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</si>
  <si>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</si>
  <si>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</si>
  <si>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</si>
  <si>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</si>
  <si>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</si>
  <si>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</si>
  <si>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</si>
  <si>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</si>
  <si>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</si>
  <si>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</si>
  <si>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</si>
  <si>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</si>
  <si>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</si>
  <si>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</si>
  <si>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</si>
  <si>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</si>
  <si>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</si>
  <si>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</si>
  <si>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</si>
  <si>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</si>
  <si>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</si>
  <si>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</si>
  <si>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</si>
  <si>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</si>
  <si>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</si>
  <si>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</si>
  <si>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</si>
  <si>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</si>
  <si>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</si>
  <si>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</si>
  <si>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</si>
  <si>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</si>
  <si>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</si>
  <si>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</si>
  <si>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</si>
  <si>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</si>
  <si>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</si>
  <si>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</si>
  <si>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</si>
  <si>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</si>
  <si>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</si>
  <si>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</si>
  <si>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</si>
  <si>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</si>
  <si>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</si>
  <si>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</si>
  <si>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</si>
  <si>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</si>
  <si>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</si>
  <si>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</si>
  <si>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</si>
  <si>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</si>
  <si>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</si>
  <si>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</si>
  <si>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</si>
  <si>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</si>
  <si>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</si>
  <si>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</si>
  <si>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</si>
  <si>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</si>
  <si>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</si>
  <si>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</si>
  <si>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</si>
  <si>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</si>
  <si>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</si>
  <si>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Load up bond, then QY</t>
  </si>
  <si>
    <t>Cash From Investing Activities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</si>
  <si>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</si>
  <si>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</si>
  <si>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</si>
  <si>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</si>
  <si>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</si>
  <si>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</si>
  <si>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</si>
  <si>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</si>
  <si>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</si>
  <si>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</si>
  <si>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</si>
  <si>
    <t>NGH.NZ</t>
  </si>
  <si>
    <t>Business</t>
  </si>
  <si>
    <t>Rural</t>
  </si>
  <si>
    <t>-</t>
  </si>
  <si>
    <t>Motor</t>
  </si>
  <si>
    <t>Non-Core Property</t>
  </si>
  <si>
    <t>Reverse Mortgages</t>
  </si>
  <si>
    <t>NIM (Net Interest Margin)</t>
  </si>
  <si>
    <t>Households*</t>
  </si>
  <si>
    <t>* (As of 12/2018 absorbed by Other Personal, Motor, Reverse Mortgages)</t>
  </si>
  <si>
    <t>Segment 6</t>
  </si>
  <si>
    <t>Cost of Equity (DDM)</t>
  </si>
  <si>
    <t>Cost of Debt (After tax)</t>
  </si>
  <si>
    <t>Change in EV / EBITDA 5 Year Avg</t>
  </si>
  <si>
    <t>WACC 2024</t>
  </si>
  <si>
    <t>WACC 2023</t>
  </si>
  <si>
    <t>Cost of Equity (Re)</t>
  </si>
  <si>
    <t>Cost of Debt (Rd) (Before tax)</t>
  </si>
  <si>
    <t>Beta (5 year monthly, Refinitive)</t>
  </si>
  <si>
    <t>Market Return (Rm)</t>
  </si>
  <si>
    <t>Banking Industry Annualized Return Rm</t>
  </si>
  <si>
    <t>NZX 10Y Index Return</t>
  </si>
  <si>
    <t xml:space="preserve">Total Equity </t>
  </si>
  <si>
    <t xml:space="preserve">Total Debt </t>
  </si>
  <si>
    <t>D/D+E</t>
  </si>
  <si>
    <t>E/D+E</t>
  </si>
  <si>
    <t>157,40</t>
  </si>
  <si>
    <t>Value of Other Assets (adjustments, Minority Interest)</t>
  </si>
  <si>
    <t xml:space="preserve">Rf Rate </t>
  </si>
  <si>
    <t>Metric</t>
  </si>
  <si>
    <t>HGH.NZ</t>
  </si>
  <si>
    <t>P/B</t>
  </si>
  <si>
    <t>P/E</t>
  </si>
  <si>
    <t>P/TBV</t>
  </si>
  <si>
    <t>ROE</t>
  </si>
  <si>
    <t>POT.NZ</t>
  </si>
  <si>
    <t>VCT.NZ</t>
  </si>
  <si>
    <t>NZX.NZ</t>
  </si>
  <si>
    <t>AIA.NZ</t>
  </si>
  <si>
    <t>FRW.NZ</t>
  </si>
  <si>
    <t>GNE.NZ</t>
  </si>
  <si>
    <t>MCY.NZ</t>
  </si>
  <si>
    <t>Market Cap</t>
  </si>
  <si>
    <t>4.41B</t>
  </si>
  <si>
    <t>3.93 B</t>
  </si>
  <si>
    <t>14.75B</t>
  </si>
  <si>
    <t>1.92B</t>
  </si>
  <si>
    <t>2.48B</t>
  </si>
  <si>
    <t>8.25B</t>
  </si>
  <si>
    <t xml:space="preserve"> HGH.NZ Valuation Multiples and Peer Comparison</t>
  </si>
  <si>
    <t>market cap+ total debt- cash and cash equivalents</t>
  </si>
  <si>
    <t>Total Segment 1 Revenue</t>
  </si>
  <si>
    <t>Total Segment 2 Revenue</t>
  </si>
  <si>
    <t>Total Segment 3 Total Revenue</t>
  </si>
  <si>
    <t>Total Segment 4 Revenue</t>
  </si>
  <si>
    <t>Total Segment 5 Revenue</t>
  </si>
  <si>
    <t>Total Segment 6 Revenue</t>
  </si>
  <si>
    <t>Australia</t>
  </si>
  <si>
    <t>Div Paid</t>
  </si>
  <si>
    <t>Outstanding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</si>
</sst>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_);\(0.0%\);&quot;-&quot;_);@_)"/>
    <numFmt numFmtId="167" formatCode="0.0\x;\(0.0\x\);&quot;–&quot;"/>
    <numFmt numFmtId="168" formatCode="#,##0.0_);\(#,##0.0\);&quot;-&quot;_);@_)"/>
    <numFmt numFmtId="169" formatCode="&quot;FY&quot;yy"/>
    <numFmt numFmtId="170" formatCode="0.0"/>
    <numFmt numFmtId="171" formatCode="d\ mmm\ yy_);d\ mmm\ yy_);&quot;-&quot;_);@_)"/>
    <numFmt numFmtId="172" formatCode="0.0%"/>
    <numFmt numFmtId="173" formatCode="#,##0.00_);\(#,##0.00\);&quot;-&quot;_);@_)"/>
    <numFmt numFmtId="174" formatCode="#,##0.000_);\(#,##0.000\);&quot;-&quot;_);@_)"/>
    <numFmt numFmtId="175" formatCode="_-* #,##0.00_-;\-* #,##0.00_-;_-* &quot;-&quot;??_-;_-@"/>
    <numFmt numFmtId="176" formatCode="#,##0_);\(#,##0\);&quot;-&quot;_);@_)"/>
    <numFmt numFmtId="177" formatCode="0.00%_);\(0.00%\);&quot;-&quot;_);@_)"/>
    <numFmt numFmtId="178" formatCode="0.00\x;\(0.00\x\);&quot;–&quot;"/>
    <numFmt numFmtId="179" formatCode="#,##0.000"/>
    <numFmt numFmtId="180" formatCode="_-&quot;$&quot;* #,##0.00_-;\-&quot;$&quot;* #,##0.00_-;_-&quot;$&quot;* &quot;-&quot;??_-;_-@"/>
    <numFmt numFmtId="181" formatCode="0.000"/>
    <numFmt numFmtId="182" formatCode="0.0%;\(0.0%\)"/>
    <numFmt numFmtId="183" formatCode="_-* #,##0.0_-;\-* #,##0.0_-;_-* &quot;-&quot;??_-;_-@"/>
    <numFmt numFmtId="184" formatCode="0.00%;\(0.00%\)"/>
    <numFmt numFmtId="185" formatCode="_(* #,##0.0_);_(* \(#,##0.0\);_(* &quot;-&quot;?_);_(@_)"/>
    <numFmt numFmtId="186" formatCode="#,##0.0"/>
    <numFmt numFmtId="187" formatCode="[$-1409]d\ mmmm\ yyyy;@"/>
    <numFmt numFmtId="188" formatCode="0.00000"/>
    <numFmt numFmtId="189" formatCode="0.000%"/>
    <numFmt numFmtId="190" formatCode="_(* #,##0_);_(* \(#,##0\);_(* &quot;-&quot;??_);_(@_)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  <font>
      <b/>
      <sz val="11"/>
      <color theme="1"/>
      <name val="Aptos Narrow"/>
      <scheme val="minor"/>
    </font>
    <font>
      <i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E8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rgb="FF000000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rgb="FF000000"/>
      </top>
      <bottom style="thin">
        <color theme="0" tint="-0.1499984740745262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43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8" fontId="6" fillId="2" borderId="0" xfId="0" applyNumberFormat="1" applyFont="1" applyFill="1" applyAlignment="1">
      <alignment horizontal="center" vertical="center"/>
    </xf>
    <xf numFmtId="169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8" fontId="7" fillId="3" borderId="0" xfId="0" applyNumberFormat="1" applyFont="1" applyFill="1" applyAlignment="1">
      <alignment horizontal="center" vertical="center"/>
    </xf>
    <xf numFmtId="170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171" fontId="9" fillId="3" borderId="0" xfId="0" applyNumberFormat="1" applyFont="1" applyFill="1"/>
    <xf numFmtId="168" fontId="9" fillId="3" borderId="0" xfId="0" applyNumberFormat="1" applyFont="1" applyFill="1" applyAlignment="1">
      <alignment horizontal="right" vertical="center"/>
    </xf>
    <xf numFmtId="168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8" fontId="7" fillId="0" borderId="0" xfId="0" applyNumberFormat="1" applyFont="1" applyAlignment="1">
      <alignment horizontal="center" vertical="center"/>
    </xf>
    <xf numFmtId="168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2" fontId="4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center" vertical="center"/>
    </xf>
    <xf numFmtId="167" fontId="9" fillId="6" borderId="3" xfId="0" applyNumberFormat="1" applyFont="1" applyFill="1" applyBorder="1" applyAlignment="1">
      <alignment horizontal="right" vertical="center"/>
    </xf>
    <xf numFmtId="168" fontId="4" fillId="0" borderId="2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vertical="center"/>
    </xf>
    <xf numFmtId="168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7" fontId="9" fillId="0" borderId="8" xfId="0" applyNumberFormat="1" applyFont="1" applyBorder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168" fontId="10" fillId="0" borderId="0" xfId="0" applyNumberFormat="1" applyFont="1" applyAlignment="1">
      <alignment horizontal="right" vertical="center"/>
    </xf>
    <xf numFmtId="168" fontId="7" fillId="0" borderId="2" xfId="0" applyNumberFormat="1" applyFont="1" applyBorder="1" applyAlignment="1">
      <alignment horizontal="center" vertical="center"/>
    </xf>
    <xf numFmtId="172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8" fontId="7" fillId="0" borderId="1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4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8" fontId="1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right" vertical="center"/>
    </xf>
    <xf numFmtId="17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77" fontId="10" fillId="4" borderId="5" xfId="0" applyNumberFormat="1" applyFont="1" applyFill="1" applyBorder="1" applyAlignment="1">
      <alignment vertical="center"/>
    </xf>
    <xf numFmtId="168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right" vertical="center"/>
    </xf>
    <xf numFmtId="177" fontId="10" fillId="0" borderId="0" xfId="0" applyNumberFormat="1" applyFont="1" applyAlignment="1">
      <alignment horizontal="right" vertical="center"/>
    </xf>
    <xf numFmtId="171" fontId="4" fillId="3" borderId="0" xfId="0" applyNumberFormat="1" applyFont="1" applyFill="1" applyAlignment="1">
      <alignment vertical="center"/>
    </xf>
    <xf numFmtId="17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168" fontId="3" fillId="0" borderId="2" xfId="0" applyNumberFormat="1" applyFont="1" applyBorder="1" applyAlignment="1">
      <alignment horizontal="right" vertical="center"/>
    </xf>
    <xf numFmtId="168" fontId="18" fillId="0" borderId="2" xfId="0" applyNumberFormat="1" applyFont="1" applyBorder="1" applyAlignment="1">
      <alignment horizontal="right" vertical="center"/>
    </xf>
    <xf numFmtId="168" fontId="11" fillId="0" borderId="0" xfId="0" applyNumberFormat="1" applyFont="1" applyAlignment="1">
      <alignment horizontal="right" vertical="center"/>
    </xf>
    <xf numFmtId="168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8" fontId="12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right" vertical="center"/>
    </xf>
    <xf numFmtId="168" fontId="12" fillId="0" borderId="0" xfId="0" applyNumberFormat="1" applyFont="1"/>
    <xf numFmtId="179" fontId="12" fillId="0" borderId="0" xfId="0" applyNumberFormat="1" applyFont="1"/>
    <xf numFmtId="168" fontId="0" fillId="0" borderId="0" xfId="0" applyNumberFormat="1"/>
    <xf numFmtId="0" fontId="3" fillId="0" borderId="0" xfId="0" applyFont="1" applyAlignment="1">
      <alignment horizontal="left" vertical="center"/>
    </xf>
    <xf numFmtId="180" fontId="4" fillId="0" borderId="0" xfId="0" applyNumberFormat="1" applyFont="1" applyAlignment="1">
      <alignment vertical="center"/>
    </xf>
    <xf numFmtId="168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81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2" fontId="21" fillId="0" borderId="0" xfId="0" applyNumberFormat="1" applyFont="1"/>
    <xf numFmtId="173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8" fontId="9" fillId="0" borderId="18" xfId="0" applyNumberFormat="1" applyFont="1" applyBorder="1" applyAlignment="1">
      <alignment horizontal="center" vertical="center"/>
    </xf>
    <xf numFmtId="173" fontId="4" fillId="0" borderId="18" xfId="0" applyNumberFormat="1" applyFont="1" applyBorder="1" applyAlignment="1">
      <alignment horizontal="right" vertical="center"/>
    </xf>
    <xf numFmtId="168" fontId="18" fillId="0" borderId="0" xfId="0" applyNumberFormat="1" applyFont="1" applyAlignment="1">
      <alignment horizontal="center" vertical="center"/>
    </xf>
    <xf numFmtId="170" fontId="3" fillId="0" borderId="12" xfId="0" applyNumberFormat="1" applyFont="1" applyBorder="1"/>
    <xf numFmtId="170" fontId="3" fillId="0" borderId="0" xfId="0" applyNumberFormat="1" applyFont="1"/>
    <xf numFmtId="168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8" fontId="19" fillId="0" borderId="0" xfId="0" applyNumberFormat="1" applyFont="1" applyAlignment="1">
      <alignment horizontal="center" vertical="center"/>
    </xf>
    <xf numFmtId="172" fontId="19" fillId="0" borderId="0" xfId="2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6" fontId="24" fillId="0" borderId="0" xfId="0" applyNumberFormat="1" applyFont="1"/>
    <xf numFmtId="0" fontId="24" fillId="0" borderId="0" xfId="0" applyFont="1"/>
    <xf numFmtId="166" fontId="26" fillId="0" borderId="0" xfId="0" applyNumberFormat="1" applyFont="1"/>
    <xf numFmtId="166" fontId="0" fillId="0" borderId="0" xfId="0" applyNumberFormat="1"/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8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2" fontId="9" fillId="13" borderId="9" xfId="0" applyNumberFormat="1" applyFont="1" applyFill="1" applyBorder="1" applyAlignment="1">
      <alignment vertical="center"/>
    </xf>
    <xf numFmtId="176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8" fontId="11" fillId="11" borderId="12" xfId="0" applyNumberFormat="1" applyFont="1" applyFill="1" applyBorder="1" applyAlignment="1">
      <alignment horizontal="right" vertical="center"/>
    </xf>
    <xf numFmtId="168" fontId="18" fillId="0" borderId="12" xfId="0" applyNumberFormat="1" applyFont="1" applyBorder="1" applyAlignment="1">
      <alignment horizontal="right" vertical="center"/>
    </xf>
    <xf numFmtId="166" fontId="23" fillId="5" borderId="3" xfId="0" applyNumberFormat="1" applyFont="1" applyFill="1" applyBorder="1" applyAlignment="1">
      <alignment horizontal="right" vertical="center"/>
    </xf>
    <xf numFmtId="183" fontId="10" fillId="11" borderId="12" xfId="0" applyNumberFormat="1" applyFont="1" applyFill="1" applyBorder="1" applyAlignment="1">
      <alignment vertical="center"/>
    </xf>
    <xf numFmtId="183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3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8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2" fontId="9" fillId="0" borderId="9" xfId="0" applyNumberFormat="1" applyFont="1" applyBorder="1" applyAlignment="1">
      <alignment vertical="center"/>
    </xf>
    <xf numFmtId="168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8" fontId="29" fillId="0" borderId="0" xfId="0" applyNumberFormat="1" applyFont="1" applyAlignment="1">
      <alignment horizontal="right" vertical="center"/>
    </xf>
    <xf numFmtId="173" fontId="4" fillId="0" borderId="9" xfId="0" applyNumberFormat="1" applyFont="1" applyBorder="1" applyAlignment="1">
      <alignment horizontal="right" vertical="center"/>
    </xf>
    <xf numFmtId="173" fontId="9" fillId="0" borderId="9" xfId="0" applyNumberFormat="1" applyFont="1" applyBorder="1" applyAlignment="1">
      <alignment horizontal="right" vertical="center"/>
    </xf>
    <xf numFmtId="168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2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2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81" fontId="4" fillId="0" borderId="0" xfId="2" applyNumberFormat="1" applyFont="1"/>
    <xf numFmtId="10" fontId="12" fillId="0" borderId="0" xfId="0" applyNumberFormat="1" applyFont="1"/>
    <xf numFmtId="185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9" fontId="5" fillId="14" borderId="1" xfId="0" applyNumberFormat="1" applyFont="1" applyFill="1" applyBorder="1" applyAlignment="1">
      <alignment horizontal="center"/>
    </xf>
    <xf numFmtId="169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9" fontId="5" fillId="16" borderId="31" xfId="0" applyNumberFormat="1" applyFont="1" applyFill="1" applyBorder="1" applyAlignment="1">
      <alignment horizontal="center" vertical="center"/>
    </xf>
    <xf numFmtId="169" fontId="5" fillId="16" borderId="32" xfId="0" applyNumberFormat="1" applyFont="1" applyFill="1" applyBorder="1" applyAlignment="1">
      <alignment horizontal="center" vertical="center"/>
    </xf>
    <xf numFmtId="169" fontId="5" fillId="2" borderId="31" xfId="0" applyNumberFormat="1" applyFont="1" applyFill="1" applyBorder="1" applyAlignment="1">
      <alignment horizontal="center" vertical="center"/>
    </xf>
    <xf numFmtId="169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8" fontId="10" fillId="11" borderId="35" xfId="0" applyNumberFormat="1" applyFont="1" applyFill="1" applyBorder="1" applyAlignment="1">
      <alignment horizontal="right" vertical="center"/>
    </xf>
    <xf numFmtId="168" fontId="10" fillId="11" borderId="36" xfId="0" applyNumberFormat="1" applyFont="1" applyFill="1" applyBorder="1" applyAlignment="1">
      <alignment horizontal="right" vertical="center"/>
    </xf>
    <xf numFmtId="168" fontId="10" fillId="11" borderId="37" xfId="0" applyNumberFormat="1" applyFont="1" applyFill="1" applyBorder="1" applyAlignment="1">
      <alignment horizontal="right" vertical="center"/>
    </xf>
    <xf numFmtId="172" fontId="10" fillId="11" borderId="35" xfId="2" applyNumberFormat="1" applyFont="1" applyFill="1" applyBorder="1" applyAlignment="1">
      <alignment horizontal="right" vertical="center"/>
    </xf>
    <xf numFmtId="173" fontId="10" fillId="11" borderId="37" xfId="0" applyNumberFormat="1" applyFont="1" applyFill="1" applyBorder="1" applyAlignment="1">
      <alignment horizontal="right" vertical="center"/>
    </xf>
    <xf numFmtId="184" fontId="12" fillId="0" borderId="0" xfId="2" applyNumberFormat="1" applyFont="1" applyAlignment="1">
      <alignment horizontal="right" vertical="center"/>
    </xf>
    <xf numFmtId="184" fontId="12" fillId="0" borderId="0" xfId="2" applyNumberFormat="1" applyFont="1" applyFill="1" applyBorder="1" applyAlignment="1">
      <alignment horizontal="right" vertical="center"/>
    </xf>
    <xf numFmtId="177" fontId="10" fillId="4" borderId="3" xfId="0" applyNumberFormat="1" applyFont="1" applyFill="1" applyBorder="1" applyAlignment="1">
      <alignment vertical="center"/>
    </xf>
    <xf numFmtId="173" fontId="10" fillId="5" borderId="4" xfId="0" applyNumberFormat="1" applyFont="1" applyFill="1" applyBorder="1" applyAlignment="1">
      <alignment horizontal="right" vertical="center"/>
    </xf>
    <xf numFmtId="168" fontId="10" fillId="4" borderId="6" xfId="0" applyNumberFormat="1" applyFont="1" applyFill="1" applyBorder="1" applyAlignment="1">
      <alignment horizontal="right" vertical="center"/>
    </xf>
    <xf numFmtId="166" fontId="10" fillId="4" borderId="3" xfId="0" applyNumberFormat="1" applyFont="1" applyFill="1" applyBorder="1" applyAlignment="1">
      <alignment horizontal="right" vertical="center"/>
    </xf>
    <xf numFmtId="175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8" fontId="10" fillId="0" borderId="1" xfId="0" applyNumberFormat="1" applyFont="1" applyBorder="1" applyAlignment="1">
      <alignment horizontal="right" vertical="center"/>
    </xf>
    <xf numFmtId="168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8" fontId="9" fillId="0" borderId="16" xfId="0" applyNumberFormat="1" applyFont="1" applyBorder="1" applyAlignment="1">
      <alignment horizontal="center" vertical="center"/>
    </xf>
    <xf numFmtId="168" fontId="4" fillId="0" borderId="16" xfId="0" applyNumberFormat="1" applyFont="1" applyBorder="1" applyAlignment="1">
      <alignment horizontal="right" vertical="center"/>
    </xf>
    <xf numFmtId="168" fontId="9" fillId="0" borderId="16" xfId="0" applyNumberFormat="1" applyFont="1" applyBorder="1" applyAlignment="1">
      <alignment horizontal="right" vertical="center"/>
    </xf>
    <xf numFmtId="168" fontId="18" fillId="0" borderId="16" xfId="0" applyNumberFormat="1" applyFont="1" applyBorder="1" applyAlignment="1">
      <alignment horizontal="right" vertical="center"/>
    </xf>
    <xf numFmtId="168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8" fontId="10" fillId="0" borderId="16" xfId="0" applyNumberFormat="1" applyFont="1" applyBorder="1" applyAlignment="1">
      <alignment horizontal="right" vertical="center"/>
    </xf>
    <xf numFmtId="168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9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81" fontId="0" fillId="0" borderId="0" xfId="0" applyNumberFormat="1"/>
    <xf numFmtId="168" fontId="4" fillId="0" borderId="1" xfId="0" applyNumberFormat="1" applyFont="1" applyBorder="1" applyAlignment="1">
      <alignment horizontal="right" vertical="center"/>
    </xf>
    <xf numFmtId="168" fontId="18" fillId="0" borderId="1" xfId="0" applyNumberFormat="1" applyFont="1" applyBorder="1" applyAlignment="1">
      <alignment horizontal="right" vertical="center"/>
    </xf>
    <xf numFmtId="175" fontId="4" fillId="0" borderId="0" xfId="0" applyNumberFormat="1" applyFont="1"/>
    <xf numFmtId="175" fontId="4" fillId="0" borderId="17" xfId="0" applyNumberFormat="1" applyFont="1" applyBorder="1"/>
    <xf numFmtId="168" fontId="12" fillId="0" borderId="16" xfId="0" applyNumberFormat="1" applyFont="1" applyBorder="1" applyAlignment="1">
      <alignment horizontal="right" vertical="center"/>
    </xf>
    <xf numFmtId="186" fontId="19" fillId="0" borderId="16" xfId="0" applyNumberFormat="1" applyFont="1" applyBorder="1"/>
    <xf numFmtId="186" fontId="12" fillId="0" borderId="1" xfId="0" applyNumberFormat="1" applyFont="1" applyBorder="1"/>
    <xf numFmtId="186" fontId="19" fillId="0" borderId="1" xfId="0" applyNumberFormat="1" applyFont="1" applyBorder="1"/>
    <xf numFmtId="173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2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2" fontId="21" fillId="0" borderId="41" xfId="0" applyNumberFormat="1" applyFont="1" applyBorder="1"/>
    <xf numFmtId="181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2" fontId="21" fillId="0" borderId="40" xfId="0" applyNumberFormat="1" applyFont="1" applyBorder="1"/>
    <xf numFmtId="181" fontId="19" fillId="0" borderId="40" xfId="0" applyNumberFormat="1" applyFont="1" applyBorder="1"/>
    <xf numFmtId="0" fontId="0" fillId="0" borderId="40" xfId="0" applyBorder="1"/>
    <xf numFmtId="169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64" fontId="4" fillId="0" borderId="0" xfId="1" applyFont="1" applyFill="1"/>
    <xf numFmtId="177" fontId="12" fillId="19" borderId="14" xfId="0" applyNumberFormat="1" applyFont="1" applyFill="1" applyBorder="1" applyAlignment="1">
      <alignment vertical="center"/>
    </xf>
    <xf numFmtId="166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8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8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6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6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9" fontId="5" fillId="17" borderId="46" xfId="0" applyNumberFormat="1" applyFont="1" applyFill="1" applyBorder="1" applyAlignment="1">
      <alignment horizontal="center"/>
    </xf>
    <xf numFmtId="169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2" fontId="12" fillId="0" borderId="33" xfId="2" applyNumberFormat="1" applyFont="1" applyFill="1" applyBorder="1"/>
    <xf numFmtId="172" fontId="12" fillId="0" borderId="34" xfId="2" applyNumberFormat="1" applyFont="1" applyFill="1" applyBorder="1"/>
    <xf numFmtId="172" fontId="12" fillId="0" borderId="27" xfId="2" applyNumberFormat="1" applyFont="1" applyFill="1" applyBorder="1"/>
    <xf numFmtId="187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2" fontId="9" fillId="20" borderId="3" xfId="0" applyNumberFormat="1" applyFont="1" applyFill="1" applyBorder="1" applyAlignment="1">
      <alignment horizontal="right" vertical="center"/>
    </xf>
    <xf numFmtId="168" fontId="12" fillId="20" borderId="5" xfId="0" applyNumberFormat="1" applyFont="1" applyFill="1" applyBorder="1" applyAlignment="1">
      <alignment horizontal="right" vertical="center"/>
    </xf>
    <xf numFmtId="168" fontId="10" fillId="20" borderId="5" xfId="0" applyNumberFormat="1" applyFont="1" applyFill="1" applyBorder="1" applyAlignment="1">
      <alignment horizontal="right" vertical="center"/>
    </xf>
    <xf numFmtId="168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7" fontId="12" fillId="20" borderId="3" xfId="0" applyNumberFormat="1" applyFont="1" applyFill="1" applyBorder="1" applyAlignment="1">
      <alignment horizontal="right" vertical="center"/>
    </xf>
    <xf numFmtId="166" fontId="9" fillId="20" borderId="3" xfId="0" applyNumberFormat="1" applyFont="1" applyFill="1" applyBorder="1" applyAlignment="1">
      <alignment horizontal="right" vertical="center"/>
    </xf>
    <xf numFmtId="176" fontId="9" fillId="20" borderId="7" xfId="0" applyNumberFormat="1" applyFont="1" applyFill="1" applyBorder="1" applyAlignment="1">
      <alignment horizontal="right" vertical="center"/>
    </xf>
    <xf numFmtId="177" fontId="9" fillId="20" borderId="3" xfId="0" applyNumberFormat="1" applyFont="1" applyFill="1" applyBorder="1" applyAlignment="1">
      <alignment horizontal="right" vertical="center"/>
    </xf>
    <xf numFmtId="177" fontId="12" fillId="19" borderId="3" xfId="0" applyNumberFormat="1" applyFont="1" applyFill="1" applyBorder="1" applyAlignment="1">
      <alignment vertical="center"/>
    </xf>
    <xf numFmtId="166" fontId="13" fillId="20" borderId="3" xfId="0" applyNumberFormat="1" applyFont="1" applyFill="1" applyBorder="1" applyAlignment="1">
      <alignment horizontal="right" vertical="center"/>
    </xf>
    <xf numFmtId="172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0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8" fontId="14" fillId="0" borderId="0" xfId="0" applyNumberFormat="1" applyFont="1" applyAlignment="1">
      <alignment horizontal="right" vertical="center"/>
    </xf>
    <xf numFmtId="172" fontId="8" fillId="0" borderId="0" xfId="2" applyNumberFormat="1" applyFont="1" applyAlignment="1">
      <alignment horizontal="right" vertical="center"/>
    </xf>
    <xf numFmtId="166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8" fontId="4" fillId="0" borderId="17" xfId="0" applyNumberFormat="1" applyFont="1" applyBorder="1" applyAlignment="1">
      <alignment vertical="center"/>
    </xf>
    <xf numFmtId="168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8" fontId="10" fillId="11" borderId="50" xfId="0" applyNumberFormat="1" applyFont="1" applyFill="1" applyBorder="1" applyAlignment="1">
      <alignment horizontal="right" vertical="center"/>
    </xf>
    <xf numFmtId="168" fontId="10" fillId="11" borderId="51" xfId="0" applyNumberFormat="1" applyFont="1" applyFill="1" applyBorder="1" applyAlignment="1">
      <alignment horizontal="right" vertical="center"/>
    </xf>
    <xf numFmtId="168" fontId="10" fillId="11" borderId="52" xfId="0" applyNumberFormat="1" applyFont="1" applyFill="1" applyBorder="1" applyAlignment="1">
      <alignment horizontal="right" vertical="center"/>
    </xf>
    <xf numFmtId="168" fontId="12" fillId="0" borderId="51" xfId="0" applyNumberFormat="1" applyFont="1" applyBorder="1" applyAlignment="1">
      <alignment horizontal="right" vertical="center"/>
    </xf>
    <xf numFmtId="170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164" fontId="4" fillId="0" borderId="0" xfId="1" applyFont="1" applyAlignment="1">
      <alignment vertical="center"/>
    </xf>
    <xf numFmtId="168" fontId="11" fillId="11" borderId="53" xfId="0" applyNumberFormat="1" applyFont="1" applyFill="1" applyBorder="1" applyAlignment="1">
      <alignment horizontal="right" vertical="center"/>
    </xf>
    <xf numFmtId="168" fontId="11" fillId="11" borderId="54" xfId="0" applyNumberFormat="1" applyFont="1" applyFill="1" applyBorder="1" applyAlignment="1">
      <alignment horizontal="right" vertical="center"/>
    </xf>
    <xf numFmtId="168" fontId="11" fillId="11" borderId="55" xfId="0" applyNumberFormat="1" applyFont="1" applyFill="1" applyBorder="1" applyAlignment="1">
      <alignment horizontal="right" vertical="center"/>
    </xf>
    <xf numFmtId="168" fontId="11" fillId="11" borderId="36" xfId="0" applyNumberFormat="1" applyFont="1" applyFill="1" applyBorder="1" applyAlignment="1">
      <alignment horizontal="right" vertical="center"/>
    </xf>
    <xf numFmtId="168" fontId="11" fillId="11" borderId="56" xfId="0" applyNumberFormat="1" applyFont="1" applyFill="1" applyBorder="1" applyAlignment="1">
      <alignment horizontal="right" vertical="center"/>
    </xf>
    <xf numFmtId="168" fontId="11" fillId="11" borderId="57" xfId="0" applyNumberFormat="1" applyFont="1" applyFill="1" applyBorder="1" applyAlignment="1">
      <alignment horizontal="right" vertical="center"/>
    </xf>
    <xf numFmtId="168" fontId="11" fillId="11" borderId="58" xfId="0" applyNumberFormat="1" applyFont="1" applyFill="1" applyBorder="1" applyAlignment="1">
      <alignment horizontal="right" vertical="center"/>
    </xf>
    <xf numFmtId="186" fontId="0" fillId="0" borderId="0" xfId="0" applyNumberFormat="1"/>
    <xf numFmtId="0" fontId="31" fillId="11" borderId="35" xfId="0" applyFont="1" applyFill="1" applyBorder="1"/>
    <xf numFmtId="173" fontId="10" fillId="11" borderId="36" xfId="0" applyNumberFormat="1" applyFont="1" applyFill="1" applyBorder="1" applyAlignment="1">
      <alignment horizontal="right" vertical="center"/>
    </xf>
    <xf numFmtId="166" fontId="7" fillId="20" borderId="6" xfId="0" applyNumberFormat="1" applyFont="1" applyFill="1" applyBorder="1" applyAlignment="1">
      <alignment horizontal="right" vertical="center"/>
    </xf>
    <xf numFmtId="166" fontId="23" fillId="5" borderId="36" xfId="0" applyNumberFormat="1" applyFont="1" applyFill="1" applyBorder="1" applyAlignment="1">
      <alignment horizontal="right" vertical="center"/>
    </xf>
    <xf numFmtId="166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8" fontId="0" fillId="0" borderId="0" xfId="0" applyNumberFormat="1"/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81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2" fontId="10" fillId="11" borderId="36" xfId="2" applyNumberFormat="1" applyFont="1" applyFill="1" applyBorder="1" applyAlignment="1">
      <alignment horizontal="right" vertical="center"/>
    </xf>
    <xf numFmtId="172" fontId="10" fillId="11" borderId="37" xfId="2" applyNumberFormat="1" applyFont="1" applyFill="1" applyBorder="1" applyAlignment="1">
      <alignment horizontal="right" vertical="center"/>
    </xf>
    <xf numFmtId="181" fontId="9" fillId="0" borderId="0" xfId="0" applyNumberFormat="1" applyFont="1" applyAlignment="1">
      <alignment vertical="center"/>
    </xf>
    <xf numFmtId="169" fontId="5" fillId="14" borderId="39" xfId="0" applyNumberFormat="1" applyFont="1" applyFill="1" applyBorder="1" applyAlignment="1">
      <alignment horizontal="right" vertical="center"/>
    </xf>
    <xf numFmtId="169" fontId="5" fillId="14" borderId="1" xfId="0" applyNumberFormat="1" applyFont="1" applyFill="1" applyBorder="1" applyAlignment="1">
      <alignment horizontal="right" vertical="center"/>
    </xf>
    <xf numFmtId="169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70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3" fontId="11" fillId="11" borderId="22" xfId="0" applyNumberFormat="1" applyFont="1" applyFill="1" applyBorder="1" applyAlignment="1">
      <alignment vertical="center"/>
    </xf>
    <xf numFmtId="173" fontId="11" fillId="11" borderId="23" xfId="0" applyNumberFormat="1" applyFont="1" applyFill="1" applyBorder="1" applyAlignment="1">
      <alignment vertical="center"/>
    </xf>
    <xf numFmtId="166" fontId="7" fillId="20" borderId="59" xfId="0" applyNumberFormat="1" applyFont="1" applyFill="1" applyBorder="1" applyAlignment="1">
      <alignment horizontal="right" vertical="center"/>
    </xf>
    <xf numFmtId="166" fontId="23" fillId="5" borderId="21" xfId="0" applyNumberFormat="1" applyFont="1" applyFill="1" applyBorder="1" applyAlignment="1">
      <alignment horizontal="right" vertical="center"/>
    </xf>
    <xf numFmtId="166" fontId="23" fillId="5" borderId="22" xfId="0" applyNumberFormat="1" applyFont="1" applyFill="1" applyBorder="1" applyAlignment="1">
      <alignment horizontal="right" vertical="center"/>
    </xf>
    <xf numFmtId="166" fontId="23" fillId="5" borderId="23" xfId="0" applyNumberFormat="1" applyFont="1" applyFill="1" applyBorder="1" applyAlignment="1">
      <alignment horizontal="right" vertical="center"/>
    </xf>
    <xf numFmtId="172" fontId="25" fillId="0" borderId="60" xfId="0" applyNumberFormat="1" applyFont="1" applyBorder="1" applyAlignment="1">
      <alignment horizontal="center" vertical="center"/>
    </xf>
    <xf numFmtId="166" fontId="23" fillId="11" borderId="61" xfId="0" applyNumberFormat="1" applyFont="1" applyFill="1" applyBorder="1" applyAlignment="1">
      <alignment horizontal="right" vertical="center"/>
    </xf>
    <xf numFmtId="169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9" fontId="5" fillId="14" borderId="62" xfId="0" applyNumberFormat="1" applyFont="1" applyFill="1" applyBorder="1" applyAlignment="1">
      <alignment horizontal="center"/>
    </xf>
    <xf numFmtId="169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9" fontId="0" fillId="0" borderId="0" xfId="2" applyFont="1"/>
    <xf numFmtId="168" fontId="18" fillId="25" borderId="12" xfId="0" applyNumberFormat="1" applyFont="1" applyFill="1" applyBorder="1" applyAlignment="1">
      <alignment horizontal="right" vertical="center"/>
    </xf>
    <xf numFmtId="177" fontId="10" fillId="4" borderId="63" xfId="0" applyNumberFormat="1" applyFont="1" applyFill="1" applyBorder="1" applyAlignment="1">
      <alignment vertical="center"/>
    </xf>
    <xf numFmtId="2" fontId="10" fillId="4" borderId="63" xfId="0" applyNumberFormat="1" applyFont="1" applyFill="1" applyBorder="1" applyAlignment="1">
      <alignment vertical="center"/>
    </xf>
    <xf numFmtId="10" fontId="9" fillId="20" borderId="63" xfId="2" applyNumberFormat="1" applyFont="1" applyFill="1" applyBorder="1" applyAlignment="1">
      <alignment horizontal="right" vertical="center"/>
    </xf>
    <xf numFmtId="43" fontId="10" fillId="4" borderId="63" xfId="5" applyFont="1" applyFill="1" applyBorder="1" applyAlignment="1">
      <alignment vertical="center"/>
    </xf>
    <xf numFmtId="2" fontId="10" fillId="4" borderId="63" xfId="5" applyNumberFormat="1" applyFont="1" applyFill="1" applyBorder="1" applyAlignment="1">
      <alignment vertical="center"/>
    </xf>
    <xf numFmtId="10" fontId="10" fillId="4" borderId="63" xfId="2" applyNumberFormat="1" applyFont="1" applyFill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10" fillId="4" borderId="5" xfId="0" applyNumberFormat="1" applyFont="1" applyFill="1" applyBorder="1" applyAlignment="1">
      <alignment vertical="center"/>
    </xf>
    <xf numFmtId="10" fontId="4" fillId="0" borderId="0" xfId="2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8" fontId="4" fillId="0" borderId="0" xfId="0" applyNumberFormat="1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66" fontId="4" fillId="0" borderId="0" xfId="0" applyNumberFormat="1" applyFont="1" applyAlignment="1">
      <alignment horizontal="left" vertical="top"/>
    </xf>
    <xf numFmtId="173" fontId="1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8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3" borderId="0" xfId="0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9" fontId="4" fillId="0" borderId="0" xfId="2" applyFont="1"/>
    <xf numFmtId="2" fontId="3" fillId="0" borderId="0" xfId="0" applyNumberFormat="1" applyFont="1" applyAlignment="1">
      <alignment vertical="center"/>
    </xf>
    <xf numFmtId="166" fontId="7" fillId="25" borderId="64" xfId="0" applyNumberFormat="1" applyFont="1" applyFill="1" applyBorder="1" applyAlignment="1">
      <alignment horizontal="right" vertical="center"/>
    </xf>
    <xf numFmtId="0" fontId="0" fillId="0" borderId="64" xfId="0" applyBorder="1"/>
    <xf numFmtId="43" fontId="25" fillId="0" borderId="20" xfId="5" applyFont="1" applyBorder="1" applyAlignment="1">
      <alignment horizontal="center" vertical="center"/>
    </xf>
    <xf numFmtId="168" fontId="18" fillId="0" borderId="66" xfId="0" applyNumberFormat="1" applyFont="1" applyBorder="1" applyAlignment="1">
      <alignment horizontal="center" vertical="center"/>
    </xf>
    <xf numFmtId="170" fontId="3" fillId="0" borderId="67" xfId="0" applyNumberFormat="1" applyFont="1" applyBorder="1"/>
    <xf numFmtId="189" fontId="3" fillId="18" borderId="28" xfId="2" applyNumberFormat="1" applyFont="1" applyFill="1" applyBorder="1"/>
    <xf numFmtId="189" fontId="0" fillId="0" borderId="0" xfId="0" applyNumberFormat="1"/>
    <xf numFmtId="0" fontId="32" fillId="0" borderId="0" xfId="0" applyFont="1"/>
    <xf numFmtId="168" fontId="33" fillId="2" borderId="0" xfId="0" applyNumberFormat="1" applyFont="1" applyFill="1" applyAlignment="1">
      <alignment horizontal="center" vertical="center"/>
    </xf>
    <xf numFmtId="0" fontId="0" fillId="26" borderId="0" xfId="0" applyFill="1"/>
    <xf numFmtId="0" fontId="32" fillId="26" borderId="0" xfId="0" applyFont="1" applyFill="1"/>
    <xf numFmtId="0" fontId="0" fillId="0" borderId="0" xfId="0" applyAlignment="1">
      <alignment horizontal="right"/>
    </xf>
    <xf numFmtId="168" fontId="4" fillId="3" borderId="0" xfId="0" applyNumberFormat="1" applyFont="1" applyFill="1" applyAlignment="1">
      <alignment horizontal="right"/>
    </xf>
    <xf numFmtId="168" fontId="9" fillId="3" borderId="0" xfId="0" applyNumberFormat="1" applyFont="1" applyFill="1" applyAlignment="1">
      <alignment horizontal="right"/>
    </xf>
    <xf numFmtId="173" fontId="4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8" fontId="3" fillId="0" borderId="2" xfId="0" applyNumberFormat="1" applyFont="1" applyBorder="1" applyAlignment="1">
      <alignment horizontal="right"/>
    </xf>
    <xf numFmtId="168" fontId="9" fillId="0" borderId="0" xfId="0" applyNumberFormat="1" applyFont="1" applyAlignment="1">
      <alignment horizontal="right"/>
    </xf>
    <xf numFmtId="168" fontId="18" fillId="0" borderId="2" xfId="0" applyNumberFormat="1" applyFont="1" applyBorder="1" applyAlignment="1">
      <alignment horizontal="right"/>
    </xf>
    <xf numFmtId="168" fontId="4" fillId="0" borderId="2" xfId="0" applyNumberFormat="1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68" fontId="4" fillId="0" borderId="16" xfId="0" applyNumberFormat="1" applyFont="1" applyBorder="1" applyAlignment="1">
      <alignment horizontal="right"/>
    </xf>
    <xf numFmtId="168" fontId="12" fillId="0" borderId="0" xfId="0" applyNumberFormat="1" applyFont="1" applyAlignment="1">
      <alignment horizontal="right"/>
    </xf>
    <xf numFmtId="166" fontId="7" fillId="20" borderId="6" xfId="0" applyNumberFormat="1" applyFont="1" applyFill="1" applyBorder="1" applyAlignment="1">
      <alignment horizontal="right"/>
    </xf>
    <xf numFmtId="173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9" fontId="5" fillId="2" borderId="16" xfId="0" applyNumberFormat="1" applyFont="1" applyFill="1" applyBorder="1" applyAlignment="1">
      <alignment horizontal="right"/>
    </xf>
    <xf numFmtId="171" fontId="9" fillId="3" borderId="0" xfId="0" applyNumberFormat="1" applyFont="1" applyFill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73" fontId="11" fillId="11" borderId="21" xfId="0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0" fontId="4" fillId="7" borderId="0" xfId="0" applyFont="1" applyFill="1" applyAlignment="1">
      <alignment horizontal="right"/>
    </xf>
    <xf numFmtId="168" fontId="11" fillId="11" borderId="68" xfId="0" applyNumberFormat="1" applyFont="1" applyFill="1" applyBorder="1" applyAlignment="1">
      <alignment horizontal="right" vertical="center"/>
    </xf>
    <xf numFmtId="44" fontId="23" fillId="5" borderId="3" xfId="2" applyNumberFormat="1" applyFont="1" applyFill="1" applyBorder="1" applyAlignment="1">
      <alignment horizontal="right" vertical="center"/>
    </xf>
    <xf numFmtId="183" fontId="10" fillId="11" borderId="69" xfId="0" applyNumberFormat="1" applyFont="1" applyFill="1" applyBorder="1" applyAlignment="1">
      <alignment vertical="center"/>
    </xf>
    <xf numFmtId="190" fontId="23" fillId="5" borderId="70" xfId="5" applyNumberFormat="1" applyFont="1" applyFill="1" applyBorder="1" applyAlignment="1">
      <alignment horizontal="right" vertical="center"/>
    </xf>
    <xf numFmtId="183" fontId="10" fillId="11" borderId="2" xfId="0" applyNumberFormat="1" applyFont="1" applyFill="1" applyBorder="1" applyAlignment="1">
      <alignment vertical="center"/>
    </xf>
    <xf numFmtId="2" fontId="14" fillId="5" borderId="16" xfId="2" applyNumberFormat="1" applyFont="1" applyFill="1" applyBorder="1" applyAlignment="1">
      <alignment horizontal="right" vertical="center"/>
    </xf>
    <xf numFmtId="10" fontId="23" fillId="12" borderId="50" xfId="0" applyNumberFormat="1" applyFont="1" applyFill="1" applyBorder="1" applyAlignment="1">
      <alignment vertical="center"/>
    </xf>
    <xf numFmtId="166" fontId="7" fillId="0" borderId="71" xfId="0" applyNumberFormat="1" applyFont="1" applyBorder="1" applyAlignment="1">
      <alignment horizontal="right" vertical="center"/>
    </xf>
    <xf numFmtId="183" fontId="10" fillId="11" borderId="73" xfId="0" applyNumberFormat="1" applyFont="1" applyFill="1" applyBorder="1" applyAlignment="1">
      <alignment vertical="center"/>
    </xf>
    <xf numFmtId="166" fontId="7" fillId="0" borderId="74" xfId="0" applyNumberFormat="1" applyFont="1" applyBorder="1" applyAlignment="1">
      <alignment horizontal="right" vertical="center"/>
    </xf>
    <xf numFmtId="9" fontId="28" fillId="0" borderId="75" xfId="0" applyNumberFormat="1" applyFont="1" applyBorder="1" applyAlignment="1">
      <alignment horizontal="right" vertical="center"/>
    </xf>
    <xf numFmtId="183" fontId="28" fillId="27" borderId="72" xfId="0" applyNumberFormat="1" applyFont="1" applyFill="1" applyBorder="1" applyAlignment="1">
      <alignment vertical="center"/>
    </xf>
    <xf numFmtId="9" fontId="28" fillId="27" borderId="72" xfId="0" applyNumberFormat="1" applyFont="1" applyFill="1" applyBorder="1" applyAlignment="1">
      <alignment horizontal="right" vertical="center"/>
    </xf>
    <xf numFmtId="168" fontId="11" fillId="11" borderId="2" xfId="0" applyNumberFormat="1" applyFont="1" applyFill="1" applyBorder="1" applyAlignment="1">
      <alignment horizontal="right" vertical="center"/>
    </xf>
    <xf numFmtId="168" fontId="18" fillId="25" borderId="65" xfId="0" applyNumberFormat="1" applyFont="1" applyFill="1" applyBorder="1" applyAlignment="1">
      <alignment horizontal="right" vertical="center"/>
    </xf>
    <xf numFmtId="2" fontId="0" fillId="25" borderId="0" xfId="0" applyNumberFormat="1" applyFill="1"/>
    <xf numFmtId="9" fontId="11" fillId="11" borderId="35" xfId="2" applyFont="1" applyFill="1" applyBorder="1" applyAlignment="1">
      <alignment vertical="center"/>
    </xf>
    <xf numFmtId="0" fontId="0" fillId="25" borderId="0" xfId="1" applyNumberFormat="1" applyFont="1" applyFill="1"/>
    <xf numFmtId="0" fontId="0" fillId="25" borderId="0" xfId="0" applyFill="1"/>
    <xf numFmtId="0" fontId="3" fillId="0" borderId="0" xfId="0" applyFont="1" applyAlignment="1">
      <alignment horizontal="center" vertical="center"/>
    </xf>
    <xf numFmtId="0" fontId="0" fillId="0" borderId="0" xfId="0"/>
    <xf numFmtId="168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8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8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6">
    <cellStyle name="Comma" xfId="5" builtinId="3"/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  <dxf>
      <numFmt numFmtId="167" formatCode="0.0\x;\(0.0\x\);&quot;–&quot;"/>
      <fill>
        <patternFill patternType="none"/>
      </fill>
    </dxf>
    <dxf>
      <numFmt numFmtId="166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FFFE88"/>
      <color rgb="FFFFFD60"/>
      <color rgb="FF44546A"/>
      <color rgb="FF3E345A"/>
      <color rgb="FF2A233D"/>
      <color rgb="FF5A4B81"/>
      <color rgb="FF000518"/>
      <color rgb="FFCFB173"/>
      <color rgb="FF4B0082"/>
      <color rgb="FFF9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82</c:v>
                </c:pt>
                <c:pt idx="1">
                  <c:v>71</c:v>
                </c:pt>
                <c:pt idx="2">
                  <c:v>70.521162790697673</c:v>
                </c:pt>
                <c:pt idx="3">
                  <c:v>70.974737209302333</c:v>
                </c:pt>
                <c:pt idx="4">
                  <c:v>71.473582227136944</c:v>
                </c:pt>
                <c:pt idx="5">
                  <c:v>71.927735833234777</c:v>
                </c:pt>
                <c:pt idx="6">
                  <c:v>72.479949216511812</c:v>
                </c:pt>
                <c:pt idx="7">
                  <c:v>72.834763381121462</c:v>
                </c:pt>
                <c:pt idx="8">
                  <c:v>73.009530831001172</c:v>
                </c:pt>
                <c:pt idx="9">
                  <c:v>73.213310191801156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-2932.9879999999998</c:v>
                </c:pt>
                <c:pt idx="1">
                  <c:v>-1487.19</c:v>
                </c:pt>
                <c:pt idx="2">
                  <c:v>-1444.1716477480998</c:v>
                </c:pt>
                <c:pt idx="3">
                  <c:v>22.95258764901951</c:v>
                </c:pt>
                <c:pt idx="4">
                  <c:v>21.992999899641347</c:v>
                </c:pt>
                <c:pt idx="5">
                  <c:v>20.847934955171475</c:v>
                </c:pt>
                <c:pt idx="6">
                  <c:v>19.948300437760679</c:v>
                </c:pt>
                <c:pt idx="7">
                  <c:v>18.546226861702117</c:v>
                </c:pt>
                <c:pt idx="8">
                  <c:v>16.933772251816023</c:v>
                </c:pt>
                <c:pt idx="9">
                  <c:v>15.257069233538729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51.839999999999996</c:v>
                </c:pt>
                <c:pt idx="1">
                  <c:v>43.2</c:v>
                </c:pt>
                <c:pt idx="2">
                  <c:v>42.710337209302324</c:v>
                </c:pt>
                <c:pt idx="3">
                  <c:v>43.109360790697679</c:v>
                </c:pt>
                <c:pt idx="4">
                  <c:v>43.068906703538602</c:v>
                </c:pt>
                <c:pt idx="5">
                  <c:v>42.976293674929032</c:v>
                </c:pt>
                <c:pt idx="6">
                  <c:v>42.933303504638502</c:v>
                </c:pt>
                <c:pt idx="7">
                  <c:v>42.726156706594949</c:v>
                </c:pt>
                <c:pt idx="8">
                  <c:v>42.36624562411771</c:v>
                </c:pt>
                <c:pt idx="9">
                  <c:v>42.002935935183544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</a:t>
            </a:r>
            <a:r>
              <a:rPr lang="en-US" baseline="0"/>
              <a:t>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E-BB44-9658-CE39FD1312CB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E-BB44-9658-CE39FD1312CB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E-BB44-9658-CE39FD13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286463"/>
        <c:axId val="8942881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4E-BB44-9658-CE39FD1312CB}"/>
                  </c:ext>
                </c:extLst>
              </c15:ser>
            </c15:filteredBarSeries>
          </c:ext>
        </c:extLst>
      </c:barChart>
      <c:catAx>
        <c:axId val="894286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8111"/>
        <c:crosses val="autoZero"/>
        <c:auto val="1"/>
        <c:lblAlgn val="ctr"/>
        <c:lblOffset val="100"/>
        <c:noMultiLvlLbl val="0"/>
      </c:catAx>
      <c:valAx>
        <c:axId val="89428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2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Comparison Among</a:t>
            </a:r>
            <a:r>
              <a:rPr lang="en-US" baseline="0"/>
              <a:t> Peers	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'Valuation Multiples'!$C$7</c:f>
              <c:strCache>
                <c:ptCount val="1"/>
                <c:pt idx="0">
                  <c:v>ROE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'Valuation Multiples'!$D$7:$K$7</c:f>
              <c:numCache>
                <c:formatCode>General</c:formatCode>
                <c:ptCount val="8"/>
                <c:pt idx="0">
                  <c:v>6.57</c:v>
                </c:pt>
                <c:pt idx="1">
                  <c:v>4.21</c:v>
                </c:pt>
                <c:pt idx="2">
                  <c:v>2.0699999999999998</c:v>
                </c:pt>
                <c:pt idx="3">
                  <c:v>11.83</c:v>
                </c:pt>
                <c:pt idx="4">
                  <c:v>0.06</c:v>
                </c:pt>
                <c:pt idx="5">
                  <c:v>14.64</c:v>
                </c:pt>
                <c:pt idx="6">
                  <c:v>5.15</c:v>
                </c:pt>
                <c:pt idx="7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8-D041-A161-4A16DFAFE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4073823"/>
        <c:axId val="894120687"/>
      </c:barChart>
      <c:catAx>
        <c:axId val="89407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20687"/>
        <c:crosses val="autoZero"/>
        <c:auto val="1"/>
        <c:lblAlgn val="ctr"/>
        <c:lblOffset val="100"/>
        <c:noMultiLvlLbl val="0"/>
      </c:catAx>
      <c:valAx>
        <c:axId val="89412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Valuation Multiples Across Peers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'Valuation Multiples'!$C$4</c:f>
              <c:strCache>
                <c:ptCount val="1"/>
                <c:pt idx="0">
                  <c:v>P/B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Multiples'!$D$4:$K$4</c:f>
              <c:numCache>
                <c:formatCode>General</c:formatCode>
                <c:ptCount val="8"/>
                <c:pt idx="0">
                  <c:v>0.7</c:v>
                </c:pt>
                <c:pt idx="1">
                  <c:v>2</c:v>
                </c:pt>
                <c:pt idx="2">
                  <c:v>1.2</c:v>
                </c:pt>
                <c:pt idx="3">
                  <c:v>3.8</c:v>
                </c:pt>
                <c:pt idx="4">
                  <c:v>1.4</c:v>
                </c:pt>
                <c:pt idx="5">
                  <c:v>3.7</c:v>
                </c:pt>
                <c:pt idx="6">
                  <c:v>0.9</c:v>
                </c:pt>
                <c:pt idx="7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B-FC4D-9900-0E3D5A2C3AD7}"/>
            </c:ext>
          </c:extLst>
        </c:ser>
        <c:ser>
          <c:idx val="2"/>
          <c:order val="2"/>
          <c:tx>
            <c:strRef>
              <c:f>'Valuation Multiples'!$C$5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Multiples'!$D$5:$K$5</c:f>
              <c:numCache>
                <c:formatCode>General</c:formatCode>
                <c:ptCount val="8"/>
                <c:pt idx="0">
                  <c:v>7.6</c:v>
                </c:pt>
                <c:pt idx="1">
                  <c:v>35.200000000000003</c:v>
                </c:pt>
                <c:pt idx="2">
                  <c:v>14.3</c:v>
                </c:pt>
                <c:pt idx="3">
                  <c:v>24.3</c:v>
                </c:pt>
                <c:pt idx="4">
                  <c:v>42.2</c:v>
                </c:pt>
                <c:pt idx="5">
                  <c:v>19.399999999999999</c:v>
                </c:pt>
                <c:pt idx="6">
                  <c:v>24.2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BB-FC4D-9900-0E3D5A2C3AD7}"/>
            </c:ext>
          </c:extLst>
        </c:ser>
        <c:ser>
          <c:idx val="3"/>
          <c:order val="3"/>
          <c:tx>
            <c:strRef>
              <c:f>'Valuation Multiples'!$C$6</c:f>
              <c:strCache>
                <c:ptCount val="1"/>
                <c:pt idx="0">
                  <c:v>P/TBV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'Valuation Multiples'!$D$2:$K$2</c:f>
              <c:strCache>
                <c:ptCount val="8"/>
                <c:pt idx="0">
                  <c:v>HGH.NZ</c:v>
                </c:pt>
                <c:pt idx="1">
                  <c:v>POT.NZ</c:v>
                </c:pt>
                <c:pt idx="2">
                  <c:v>VCT.NZ</c:v>
                </c:pt>
                <c:pt idx="3">
                  <c:v>NZX.NZ</c:v>
                </c:pt>
                <c:pt idx="4">
                  <c:v>AIA.NZ</c:v>
                </c:pt>
                <c:pt idx="5">
                  <c:v>FRW.NZ</c:v>
                </c:pt>
                <c:pt idx="6">
                  <c:v>GNE.NZ</c:v>
                </c:pt>
                <c:pt idx="7">
                  <c:v>MCY.NZ</c:v>
                </c:pt>
              </c:strCache>
            </c:strRef>
          </c:cat>
          <c:val>
            <c:numRef>
              <c:f>'Valuation Multiples'!$D$6:$K$6</c:f>
              <c:numCache>
                <c:formatCode>General</c:formatCode>
                <c:ptCount val="8"/>
                <c:pt idx="0">
                  <c:v>0.96</c:v>
                </c:pt>
                <c:pt idx="1">
                  <c:v>1.52</c:v>
                </c:pt>
                <c:pt idx="2">
                  <c:v>1.41</c:v>
                </c:pt>
                <c:pt idx="3">
                  <c:v>0</c:v>
                </c:pt>
                <c:pt idx="4">
                  <c:v>1.31</c:v>
                </c:pt>
                <c:pt idx="5">
                  <c:v>0</c:v>
                </c:pt>
                <c:pt idx="6">
                  <c:v>0.99</c:v>
                </c:pt>
                <c:pt idx="7">
                  <c:v>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BB-FC4D-9900-0E3D5A2C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090879"/>
        <c:axId val="8932768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'Valuation Multiples'!$C$3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'Valuation Multiples'!$D$2:$K$2</c15:sqref>
                        </c15:formulaRef>
                      </c:ext>
                    </c:extLst>
                    <c:strCache>
                      <c:ptCount val="8"/>
                      <c:pt idx="0">
                        <c:v>HGH.NZ</c:v>
                      </c:pt>
                      <c:pt idx="1">
                        <c:v>POT.NZ</c:v>
                      </c:pt>
                      <c:pt idx="2">
                        <c:v>VCT.NZ</c:v>
                      </c:pt>
                      <c:pt idx="3">
                        <c:v>NZX.NZ</c:v>
                      </c:pt>
                      <c:pt idx="4">
                        <c:v>AIA.NZ</c:v>
                      </c:pt>
                      <c:pt idx="5">
                        <c:v>FRW.NZ</c:v>
                      </c:pt>
                      <c:pt idx="6">
                        <c:v>GNE.NZ</c:v>
                      </c:pt>
                      <c:pt idx="7">
                        <c:v>MCY.NZ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'Valuation Multiples'!$D$3:$K$3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4BB-FC4D-9900-0E3D5A2C3AD7}"/>
                  </c:ext>
                </c:extLst>
              </c15:ser>
            </c15:filteredBarSeries>
          </c:ext>
        </c:extLst>
      </c:barChart>
      <c:catAx>
        <c:axId val="89309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76863"/>
        <c:crosses val="autoZero"/>
        <c:auto val="1"/>
        <c:lblAlgn val="ctr"/>
        <c:lblOffset val="100"/>
        <c:noMultiLvlLbl val="0"/>
      </c:catAx>
      <c:valAx>
        <c:axId val="8932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0</xdr:row>
      <xdr:rowOff>152400</xdr:rowOff>
    </xdr:from>
    <xdr:to>
      <xdr:col>16</xdr:col>
      <xdr:colOff>812800</xdr:colOff>
      <xdr:row>14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2CDDB4-7896-2342-A670-A2EDB4F2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14</xdr:row>
      <xdr:rowOff>171450</xdr:rowOff>
    </xdr:from>
    <xdr:to>
      <xdr:col>16</xdr:col>
      <xdr:colOff>749300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6DD203-F720-824A-8AC2-4A9DCFCD7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15</xdr:row>
      <xdr:rowOff>6350</xdr:rowOff>
    </xdr:from>
    <xdr:to>
      <xdr:col>11</xdr:col>
      <xdr:colOff>50800</xdr:colOff>
      <xdr:row>29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C33F55-21D1-A24D-97D9-EFB8B6846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baseColWidth="10" defaultColWidth="14.5" defaultRowHeight="15" customHeight="1" x14ac:dyDescent="0.2"/>
  <cols>
    <col min="1" max="26" width="8.8320312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opLeftCell="A16" workbookViewId="0">
      <selection activeCell="G35" sqref="G35"/>
    </sheetView>
  </sheetViews>
  <sheetFormatPr baseColWidth="10" defaultColWidth="14.5" defaultRowHeight="15" customHeight="1" x14ac:dyDescent="0.2"/>
  <cols>
    <col min="1" max="2" width="2.6640625" customWidth="1"/>
    <col min="3" max="3" width="1.6640625" customWidth="1"/>
    <col min="4" max="4" width="2.83203125" customWidth="1"/>
    <col min="5" max="5" width="37.6640625" customWidth="1"/>
    <col min="6" max="6" width="13.5" customWidth="1"/>
    <col min="7" max="7" width="16.6640625" bestFit="1" customWidth="1"/>
    <col min="8" max="25" width="11.1640625" customWidth="1"/>
    <col min="26" max="26" width="12.5" customWidth="1"/>
    <col min="27" max="35" width="9.1640625" customWidth="1"/>
  </cols>
  <sheetData>
    <row r="2" spans="3:25" ht="12.75" customHeight="1" x14ac:dyDescent="0.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43100</v>
      </c>
      <c r="I5" s="6">
        <f t="shared" si="0"/>
        <v>43465</v>
      </c>
      <c r="J5" s="6">
        <f t="shared" si="0"/>
        <v>43830</v>
      </c>
      <c r="K5" s="6">
        <f t="shared" si="0"/>
        <v>44196</v>
      </c>
      <c r="L5" s="6">
        <f t="shared" si="0"/>
        <v>44561</v>
      </c>
      <c r="M5" s="6">
        <f t="shared" si="0"/>
        <v>44926</v>
      </c>
      <c r="N5" s="6">
        <f>EOMONTH(O5,-12)</f>
        <v>45291</v>
      </c>
      <c r="O5" s="6">
        <f>$G$17</f>
        <v>45655</v>
      </c>
      <c r="P5" s="6">
        <f>EOMONTH(O5,12)</f>
        <v>46022</v>
      </c>
      <c r="Q5" s="6">
        <f t="shared" ref="Q5:Y5" si="1">EOMONTH(P5,12)</f>
        <v>46387</v>
      </c>
      <c r="R5" s="6">
        <f t="shared" si="1"/>
        <v>46752</v>
      </c>
      <c r="S5" s="6">
        <f t="shared" si="1"/>
        <v>47118</v>
      </c>
      <c r="T5" s="6">
        <f t="shared" si="1"/>
        <v>47483</v>
      </c>
      <c r="U5" s="6">
        <f t="shared" si="1"/>
        <v>47848</v>
      </c>
      <c r="V5" s="6">
        <f t="shared" si="1"/>
        <v>48213</v>
      </c>
      <c r="W5" s="6">
        <f t="shared" si="1"/>
        <v>48579</v>
      </c>
      <c r="X5" s="6">
        <f t="shared" si="1"/>
        <v>48944</v>
      </c>
      <c r="Y5" s="6">
        <f t="shared" si="1"/>
        <v>49309</v>
      </c>
    </row>
    <row r="6" spans="3:25" ht="12.75" customHeight="1" x14ac:dyDescent="0.2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Actual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">
      <c r="C14" s="2"/>
      <c r="D14" s="1"/>
      <c r="E14" s="2" t="s">
        <v>4</v>
      </c>
      <c r="F14" s="16" t="s">
        <v>5</v>
      </c>
      <c r="G14" s="17" t="s">
        <v>270</v>
      </c>
      <c r="H14" s="2"/>
      <c r="I14" s="333"/>
      <c r="J14" s="2"/>
      <c r="K14" s="2"/>
      <c r="L14" s="2"/>
      <c r="M14" s="422"/>
      <c r="N14" s="423"/>
      <c r="O14" s="423"/>
      <c r="P14" s="423"/>
      <c r="Q14" s="423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">
      <c r="C15" s="2"/>
      <c r="D15" s="2"/>
      <c r="E15" s="2" t="s">
        <v>6</v>
      </c>
      <c r="F15" s="16" t="s">
        <v>7</v>
      </c>
      <c r="G15" s="259">
        <f>'&gt;&gt; Dash'!K43</f>
        <v>6.5072578063651063E-2</v>
      </c>
      <c r="H15" s="2"/>
      <c r="I15" s="334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">
      <c r="C16" s="2"/>
      <c r="D16" s="2"/>
      <c r="E16" s="2" t="s">
        <v>8</v>
      </c>
      <c r="F16" s="16" t="s">
        <v>7</v>
      </c>
      <c r="G16" s="259">
        <f>'&gt;&gt; Dash'!F49</f>
        <v>0.10413003999999999</v>
      </c>
      <c r="H16" s="2"/>
      <c r="I16" s="334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">
      <c r="D17" s="2"/>
      <c r="E17" s="2" t="s">
        <v>9</v>
      </c>
      <c r="F17" s="16" t="s">
        <v>10</v>
      </c>
      <c r="G17" s="257">
        <v>45655</v>
      </c>
    </row>
    <row r="18" spans="4:7" ht="15" customHeight="1" x14ac:dyDescent="0.2">
      <c r="D18" s="2"/>
      <c r="E18" s="2" t="s">
        <v>11</v>
      </c>
      <c r="F18" s="16" t="s">
        <v>12</v>
      </c>
      <c r="G18" s="257">
        <v>42735</v>
      </c>
    </row>
    <row r="19" spans="4:7" ht="15" customHeight="1" x14ac:dyDescent="0.2">
      <c r="D19" s="2"/>
      <c r="E19" s="2" t="s">
        <v>13</v>
      </c>
      <c r="F19" s="16"/>
      <c r="G19" s="257">
        <v>45655</v>
      </c>
    </row>
    <row r="20" spans="4:7" ht="15" customHeight="1" x14ac:dyDescent="0.2">
      <c r="D20" s="2"/>
      <c r="E20" s="2" t="s">
        <v>14</v>
      </c>
      <c r="F20" s="16" t="s">
        <v>12</v>
      </c>
      <c r="G20" s="258">
        <f ca="1">G26</f>
        <v>45667</v>
      </c>
    </row>
    <row r="21" spans="4:7" ht="15" customHeight="1" x14ac:dyDescent="0.2">
      <c r="D21" s="2"/>
      <c r="E21" s="2" t="s">
        <v>15</v>
      </c>
      <c r="F21" s="16" t="s">
        <v>16</v>
      </c>
      <c r="G21" s="178">
        <v>0.99</v>
      </c>
    </row>
    <row r="22" spans="4:7" ht="15" customHeight="1" x14ac:dyDescent="0.2">
      <c r="D22" s="2"/>
      <c r="E22" s="2"/>
      <c r="F22" s="16"/>
      <c r="G22" s="21"/>
    </row>
    <row r="23" spans="4:7" ht="15" customHeight="1" x14ac:dyDescent="0.2">
      <c r="D23" s="2"/>
      <c r="E23" s="2"/>
      <c r="F23" s="16"/>
      <c r="G23" s="22"/>
    </row>
    <row r="24" spans="4:7" ht="15" customHeight="1" x14ac:dyDescent="0.2">
      <c r="D24" s="1" t="s">
        <v>17</v>
      </c>
      <c r="E24" s="2"/>
      <c r="F24" s="16"/>
      <c r="G24" s="22"/>
    </row>
    <row r="25" spans="4:7" ht="15" customHeight="1" x14ac:dyDescent="0.2">
      <c r="D25" s="1"/>
      <c r="E25" s="2" t="s">
        <v>18</v>
      </c>
      <c r="F25" s="16" t="s">
        <v>12</v>
      </c>
      <c r="G25" s="264">
        <f>EOMONTH( G19, 12 )</f>
        <v>46022</v>
      </c>
    </row>
    <row r="26" spans="4:7" ht="15" customHeight="1" x14ac:dyDescent="0.2">
      <c r="D26" s="2"/>
      <c r="E26" s="2" t="s">
        <v>19</v>
      </c>
      <c r="F26" s="16" t="s">
        <v>12</v>
      </c>
      <c r="G26" s="264">
        <f ca="1">TODAY()</f>
        <v>45667</v>
      </c>
    </row>
    <row r="27" spans="4:7" ht="15" customHeight="1" x14ac:dyDescent="0.2">
      <c r="D27" s="2"/>
      <c r="E27" s="2"/>
      <c r="F27" s="2"/>
      <c r="G27" s="23"/>
    </row>
    <row r="28" spans="4:7" ht="15" customHeight="1" x14ac:dyDescent="0.2">
      <c r="D28" s="1" t="s">
        <v>20</v>
      </c>
      <c r="E28" s="2"/>
      <c r="F28" s="2"/>
      <c r="G28" s="23"/>
    </row>
    <row r="29" spans="4:7" ht="15" customHeight="1" x14ac:dyDescent="0.2">
      <c r="D29" s="1"/>
      <c r="E29" s="1" t="s">
        <v>21</v>
      </c>
      <c r="F29" s="2"/>
      <c r="G29" s="23"/>
    </row>
    <row r="30" spans="4:7" ht="15" customHeight="1" x14ac:dyDescent="0.2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">
      <c r="D31" s="2"/>
      <c r="E31" s="2"/>
      <c r="F31" s="2"/>
      <c r="G31" s="2"/>
    </row>
    <row r="32" spans="4:7" ht="15" customHeight="1" x14ac:dyDescent="0.2">
      <c r="D32" s="1"/>
      <c r="E32" s="2" t="s">
        <v>24</v>
      </c>
      <c r="F32" s="16" t="s">
        <v>25</v>
      </c>
      <c r="G32" s="260">
        <f>'&gt;&gt; Fin Stmts'!O64+'&gt;&gt; Fin Stmts'!O53</f>
        <v>2688.14</v>
      </c>
    </row>
    <row r="33" spans="4:25" ht="15" customHeight="1" x14ac:dyDescent="0.2">
      <c r="E33" s="2" t="s">
        <v>26</v>
      </c>
      <c r="F33" s="16" t="s">
        <v>25</v>
      </c>
      <c r="G33" s="260">
        <f>'&gt;&gt; Fin Stmts'!O55+'&gt;&gt; Fin Stmts'!O62</f>
        <v>-18925.46</v>
      </c>
    </row>
    <row r="34" spans="4:25" ht="15" customHeight="1" x14ac:dyDescent="0.2">
      <c r="E34" s="2" t="s">
        <v>27</v>
      </c>
      <c r="F34" s="16" t="s">
        <v>25</v>
      </c>
      <c r="G34" s="260">
        <f>'&gt;&gt; Fin Stmts'!O29</f>
        <v>629.62</v>
      </c>
    </row>
    <row r="35" spans="4:25" ht="15" customHeight="1" x14ac:dyDescent="0.2">
      <c r="E35" s="2" t="s">
        <v>28</v>
      </c>
      <c r="F35" s="16" t="s">
        <v>25</v>
      </c>
      <c r="G35" s="261">
        <f>SUM(G32:G34)</f>
        <v>-15607.699999999999</v>
      </c>
      <c r="H35" s="299"/>
    </row>
    <row r="36" spans="4:25" ht="15" customHeight="1" x14ac:dyDescent="0.2">
      <c r="E36" s="15"/>
      <c r="F36" s="15"/>
      <c r="G36" s="15"/>
    </row>
    <row r="37" spans="4:25" ht="15" customHeight="1" x14ac:dyDescent="0.2">
      <c r="D37" s="1" t="s">
        <v>29</v>
      </c>
      <c r="E37" s="2"/>
      <c r="F37" s="2"/>
      <c r="G37" s="2"/>
    </row>
    <row r="38" spans="4:25" ht="15" customHeight="1" x14ac:dyDescent="0.2">
      <c r="D38" s="2"/>
      <c r="E38" s="2" t="s">
        <v>30</v>
      </c>
      <c r="F38" s="16" t="s">
        <v>25</v>
      </c>
      <c r="G38" s="262">
        <f t="array" ref="G38">INDEX( '&gt;&gt; DCF'!$I$16:$AB$16, MATCH( G41, '&gt;&gt; DCF'!$I$5:$AB$5, 0 ) )</f>
        <v>223.75391607732286</v>
      </c>
    </row>
    <row r="39" spans="4:25" ht="15" customHeight="1" x14ac:dyDescent="0.2">
      <c r="D39" s="2"/>
      <c r="E39" s="2" t="s">
        <v>32</v>
      </c>
      <c r="F39" s="16" t="s">
        <v>7</v>
      </c>
      <c r="G39" s="263">
        <f>'&gt;&gt; Dash'!F43</f>
        <v>1.4999999999999999E-2</v>
      </c>
    </row>
    <row r="40" spans="4:25" ht="15" customHeight="1" x14ac:dyDescent="0.2">
      <c r="D40" s="2"/>
      <c r="E40" s="2"/>
      <c r="F40" s="16"/>
      <c r="G40" s="31"/>
    </row>
    <row r="41" spans="4:25" ht="15" customHeight="1" x14ac:dyDescent="0.2">
      <c r="D41" s="2"/>
      <c r="E41" s="2" t="s">
        <v>33</v>
      </c>
      <c r="F41" s="16" t="s">
        <v>34</v>
      </c>
      <c r="G41" s="179">
        <v>10</v>
      </c>
    </row>
    <row r="42" spans="4:25" ht="15" customHeight="1" x14ac:dyDescent="0.2">
      <c r="D42" s="2"/>
      <c r="E42" s="2" t="s">
        <v>35</v>
      </c>
      <c r="F42" s="16" t="s">
        <v>10</v>
      </c>
      <c r="G42" s="33">
        <f>G41</f>
        <v>10</v>
      </c>
    </row>
    <row r="43" spans="4:25" ht="15" customHeight="1" x14ac:dyDescent="0.2">
      <c r="D43" s="2"/>
      <c r="E43" s="2"/>
      <c r="F43" s="2"/>
      <c r="G43" s="2"/>
    </row>
    <row r="44" spans="4:25" ht="15" customHeight="1" x14ac:dyDescent="0.2">
      <c r="D44" s="2"/>
      <c r="E44" s="15"/>
      <c r="F44" s="34"/>
      <c r="G44" s="34"/>
    </row>
    <row r="45" spans="4:25" ht="15" customHeight="1" x14ac:dyDescent="0.2">
      <c r="D45" s="2"/>
      <c r="E45" s="2" t="s">
        <v>36</v>
      </c>
      <c r="F45" s="16" t="s">
        <v>7</v>
      </c>
      <c r="G45" s="16"/>
      <c r="H45" s="265">
        <f t="shared" ref="H45:N45" si="2">IF(H6&lt;1,1,MIN(((H9-$G20)/DiY),1))</f>
        <v>1</v>
      </c>
      <c r="I45" s="265">
        <f t="shared" si="2"/>
        <v>1</v>
      </c>
      <c r="J45" s="265">
        <f t="shared" si="2"/>
        <v>1</v>
      </c>
      <c r="K45" s="265">
        <f t="shared" si="2"/>
        <v>1</v>
      </c>
      <c r="L45" s="265">
        <f t="shared" si="2"/>
        <v>1</v>
      </c>
      <c r="M45" s="265">
        <f t="shared" si="2"/>
        <v>1</v>
      </c>
      <c r="N45" s="265">
        <f t="shared" si="2"/>
        <v>1</v>
      </c>
      <c r="O45" s="35">
        <v>1</v>
      </c>
      <c r="P45" s="265">
        <f t="shared" ref="P45:Y45" ca="1" si="3">IF(P6&lt;1,1,MIN(((P9-$G20)/DiY),1))</f>
        <v>-2.7397260273972601E-2</v>
      </c>
      <c r="Q45" s="265">
        <f t="shared" ca="1" si="3"/>
        <v>0.9726027397260274</v>
      </c>
      <c r="R45" s="265">
        <f t="shared" ca="1" si="3"/>
        <v>1</v>
      </c>
      <c r="S45" s="265">
        <f t="shared" ca="1" si="3"/>
        <v>1</v>
      </c>
      <c r="T45" s="265">
        <f t="shared" ca="1" si="3"/>
        <v>1</v>
      </c>
      <c r="U45" s="265">
        <f t="shared" ca="1" si="3"/>
        <v>1</v>
      </c>
      <c r="V45" s="265">
        <f t="shared" ca="1" si="3"/>
        <v>1</v>
      </c>
      <c r="W45" s="265">
        <f t="shared" ca="1" si="3"/>
        <v>1</v>
      </c>
      <c r="X45" s="265">
        <f t="shared" ca="1" si="3"/>
        <v>1</v>
      </c>
      <c r="Y45" s="265">
        <f t="shared" ca="1" si="3"/>
        <v>1</v>
      </c>
    </row>
    <row r="46" spans="4:25" ht="15" customHeight="1" x14ac:dyDescent="0.2">
      <c r="D46" s="2"/>
      <c r="E46" s="2" t="s">
        <v>37</v>
      </c>
      <c r="F46" s="16" t="s">
        <v>7</v>
      </c>
      <c r="G46" s="180">
        <v>0.28000000000000003</v>
      </c>
      <c r="H46" s="2"/>
      <c r="I46" s="2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4:25" ht="15" customHeight="1" x14ac:dyDescent="0.2">
      <c r="D47" s="2"/>
      <c r="E47" s="2" t="s">
        <v>38</v>
      </c>
      <c r="F47" s="37" t="s">
        <v>39</v>
      </c>
      <c r="G47" s="181">
        <v>937.42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77"/>
      <c r="V48" s="77"/>
      <c r="W48" s="77"/>
      <c r="X48" s="77"/>
      <c r="Y48" s="77"/>
    </row>
    <row r="49" spans="1:27" ht="15" customHeight="1" x14ac:dyDescent="0.2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">
      <c r="D50" s="1" t="s">
        <v>40</v>
      </c>
      <c r="E50" s="2"/>
      <c r="F50" s="2"/>
      <c r="G50" s="2"/>
      <c r="H50" s="2"/>
      <c r="I50" s="3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">
      <c r="D51" s="2"/>
      <c r="E51" s="2" t="s">
        <v>41</v>
      </c>
      <c r="F51" s="24" t="s">
        <v>12</v>
      </c>
      <c r="G51" s="266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">
      <c r="D52" s="2"/>
      <c r="E52" s="2" t="s">
        <v>42</v>
      </c>
      <c r="F52" s="24" t="s">
        <v>10</v>
      </c>
      <c r="G52" s="266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">
      <c r="D53" s="2"/>
      <c r="E53" s="2" t="s">
        <v>43</v>
      </c>
      <c r="F53" s="24" t="s">
        <v>10</v>
      </c>
      <c r="G53" s="266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">
      <c r="D54" s="2"/>
      <c r="E54" s="2" t="s">
        <v>44</v>
      </c>
      <c r="F54" s="24" t="s">
        <v>12</v>
      </c>
      <c r="G54" s="266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">
      <c r="D55" s="2"/>
      <c r="E55" s="2"/>
      <c r="F55" s="24"/>
      <c r="G55" s="3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">
      <c r="B56" s="2"/>
      <c r="C56" s="2"/>
      <c r="D56" s="1"/>
      <c r="E56" s="2"/>
      <c r="F56" s="2"/>
      <c r="G56" s="2"/>
      <c r="H56" s="2"/>
    </row>
    <row r="57" spans="1:27" ht="15" customHeight="1" x14ac:dyDescent="0.2">
      <c r="B57" s="2"/>
      <c r="C57" s="2"/>
      <c r="D57" s="2"/>
      <c r="E57" s="2"/>
      <c r="F57" s="2"/>
      <c r="G57" s="2"/>
      <c r="H57" s="2"/>
    </row>
    <row r="58" spans="1:27" ht="15" customHeight="1" x14ac:dyDescent="0.2">
      <c r="A58" s="40"/>
      <c r="B58" s="40" t="s">
        <v>45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134" spans="31:35" ht="12.75" customHeight="1" x14ac:dyDescent="0.2">
      <c r="AE134" s="2"/>
      <c r="AF134" s="42" t="s">
        <v>46</v>
      </c>
      <c r="AG134" s="42" t="s">
        <v>47</v>
      </c>
      <c r="AH134" s="2"/>
      <c r="AI134" s="2"/>
    </row>
    <row r="135" spans="31:35" ht="12.75" customHeight="1" x14ac:dyDescent="0.2">
      <c r="AE135" s="2"/>
      <c r="AF135" s="2"/>
      <c r="AG135" s="2"/>
      <c r="AH135" s="2"/>
      <c r="AI135" s="2"/>
    </row>
    <row r="136" spans="31:35" ht="12.75" customHeight="1" x14ac:dyDescent="0.2">
      <c r="AE136" s="2"/>
      <c r="AF136" s="2"/>
      <c r="AG136" s="2"/>
      <c r="AH136" s="2"/>
      <c r="AI136" s="2"/>
    </row>
    <row r="137" spans="31:35" ht="12.75" customHeight="1" x14ac:dyDescent="0.2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">
      <c r="AE138" s="2"/>
      <c r="AF138" s="2"/>
      <c r="AG138" s="2"/>
      <c r="AH138" s="2"/>
      <c r="AI138" s="2"/>
    </row>
    <row r="139" spans="31:35" ht="12.75" customHeight="1" x14ac:dyDescent="0.2">
      <c r="AE139" s="2"/>
      <c r="AF139" s="2"/>
      <c r="AG139" s="2"/>
      <c r="AH139" s="2"/>
      <c r="AI139" s="2"/>
    </row>
    <row r="140" spans="31:35" ht="12.75" customHeight="1" x14ac:dyDescent="0.2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">
      <c r="AE142" s="2" t="s">
        <v>51</v>
      </c>
      <c r="AF142" s="43">
        <f t="shared" ref="AF142:AG142" si="4">AF137 / AF141</f>
        <v>0.11897142857142858</v>
      </c>
      <c r="AG142" s="43">
        <f t="shared" si="4"/>
        <v>0.13731726083611182</v>
      </c>
      <c r="AH142" s="2"/>
      <c r="AI142" s="2"/>
    </row>
    <row r="143" spans="31:35" ht="12.75" customHeight="1" x14ac:dyDescent="0.2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">
      <c r="AE144" s="2" t="s">
        <v>53</v>
      </c>
      <c r="AF144" s="2"/>
      <c r="AG144" s="43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">
      <c r="AE145" s="2"/>
      <c r="AF145" s="2"/>
      <c r="AG145" s="2"/>
      <c r="AH145" s="2"/>
      <c r="AI145" s="2"/>
    </row>
    <row r="146" spans="31:35" ht="12.75" customHeight="1" x14ac:dyDescent="0.2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65"/>
  <sheetViews>
    <sheetView showGridLines="0" topLeftCell="A28" zoomScale="107" workbookViewId="0">
      <selection activeCell="F42" sqref="F42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6" width="16" customWidth="1"/>
    <col min="7" max="7" width="11.1640625" customWidth="1"/>
    <col min="8" max="8" width="11.1640625" style="361" customWidth="1"/>
    <col min="9" max="9" width="17.5" customWidth="1"/>
    <col min="10" max="11" width="11.1640625" customWidth="1"/>
    <col min="12" max="12" width="13.1640625" customWidth="1"/>
    <col min="13" max="18" width="11.1640625" customWidth="1"/>
    <col min="19" max="19" width="23.6640625" customWidth="1"/>
    <col min="20" max="20" width="12.5" bestFit="1" customWidth="1"/>
    <col min="21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27" ht="12.75" customHeight="1" x14ac:dyDescent="0.2">
      <c r="C2" s="4"/>
      <c r="D2" s="4" t="s">
        <v>55</v>
      </c>
      <c r="E2" s="4"/>
      <c r="F2" s="3"/>
      <c r="G2" s="3"/>
      <c r="H2" s="34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">
      <c r="C3" s="7"/>
      <c r="D3" s="7"/>
      <c r="E3" s="7"/>
      <c r="F3" s="7"/>
      <c r="G3" s="7"/>
      <c r="H3" s="34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">
      <c r="C4" s="15"/>
      <c r="D4" s="15"/>
      <c r="E4" s="15"/>
      <c r="F4" s="15"/>
      <c r="G4" s="15"/>
      <c r="H4" s="34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">
      <c r="C5" s="4"/>
      <c r="D5" s="4" t="s">
        <v>235</v>
      </c>
      <c r="E5" s="4"/>
      <c r="F5" s="4"/>
      <c r="G5" s="4"/>
      <c r="H5" s="350"/>
    </row>
    <row r="6" spans="3:27" ht="15" customHeight="1" x14ac:dyDescent="0.2">
      <c r="C6" s="44"/>
      <c r="D6" s="44"/>
      <c r="E6" s="44"/>
      <c r="F6" s="44"/>
      <c r="G6" s="44"/>
      <c r="H6" s="351"/>
    </row>
    <row r="7" spans="3:27" ht="15" customHeight="1" x14ac:dyDescent="0.2">
      <c r="C7" s="45"/>
      <c r="D7" s="45"/>
      <c r="E7" s="45"/>
      <c r="F7" s="45"/>
      <c r="G7" s="45"/>
      <c r="H7" s="352"/>
    </row>
    <row r="8" spans="3:27" ht="15" customHeight="1" x14ac:dyDescent="0.2">
      <c r="D8" s="2"/>
      <c r="E8" s="2" t="s">
        <v>63</v>
      </c>
      <c r="F8" s="24" t="s">
        <v>64</v>
      </c>
      <c r="G8" s="24"/>
      <c r="H8" s="353">
        <f t="array" ref="H8">INDEX( '&gt;&gt; DCF'!$H$71:$H$97, MATCH( '&gt;&gt; Dash'!E8, '&gt;&gt; DCF'!$E$71:$E$97, 0 ) )</f>
        <v>937.42</v>
      </c>
    </row>
    <row r="9" spans="3:27" ht="15" customHeight="1" x14ac:dyDescent="0.2">
      <c r="D9" s="2"/>
      <c r="E9" s="1" t="s">
        <v>122</v>
      </c>
      <c r="F9" s="24" t="s">
        <v>65</v>
      </c>
      <c r="G9" s="47"/>
      <c r="H9" s="354">
        <f ca="1">'&gt;&gt; DCF'!H76</f>
        <v>16.968479444077449</v>
      </c>
    </row>
    <row r="10" spans="3:27" ht="15" customHeight="1" x14ac:dyDescent="0.2">
      <c r="D10" s="2"/>
      <c r="E10" s="2" t="s">
        <v>67</v>
      </c>
      <c r="F10" s="24" t="s">
        <v>7</v>
      </c>
      <c r="G10" s="47"/>
      <c r="H10" s="355">
        <f ca="1">H9/H16-1</f>
        <v>16.139878226340858</v>
      </c>
    </row>
    <row r="11" spans="3:27" ht="15" customHeight="1" x14ac:dyDescent="0.2">
      <c r="D11" s="2"/>
      <c r="E11" s="1" t="s">
        <v>231</v>
      </c>
      <c r="F11" s="24" t="s">
        <v>65</v>
      </c>
      <c r="G11" s="47"/>
      <c r="H11" s="354">
        <f ca="1">'&gt;&gt; DCF'!H96</f>
        <v>-2.2789066758030998</v>
      </c>
    </row>
    <row r="12" spans="3:27" ht="15" customHeight="1" x14ac:dyDescent="0.2">
      <c r="D12" s="2"/>
      <c r="E12" s="2" t="s">
        <v>67</v>
      </c>
      <c r="F12" s="24" t="s">
        <v>7</v>
      </c>
      <c r="G12" s="47"/>
      <c r="H12" s="355">
        <f ca="1">H11/H16-1</f>
        <v>-3.3019259351546464</v>
      </c>
    </row>
    <row r="13" spans="3:27" ht="15" customHeight="1" x14ac:dyDescent="0.2">
      <c r="D13" s="2"/>
      <c r="E13" s="1" t="s">
        <v>236</v>
      </c>
      <c r="F13" s="24" t="s">
        <v>65</v>
      </c>
      <c r="G13" s="47"/>
      <c r="H13" s="354">
        <f ca="1">'&gt;&gt; DDM'!H43</f>
        <v>0.54634784577352913</v>
      </c>
    </row>
    <row r="14" spans="3:27" ht="15" customHeight="1" x14ac:dyDescent="0.2">
      <c r="D14" s="2"/>
      <c r="E14" s="2" t="s">
        <v>67</v>
      </c>
      <c r="F14" s="24" t="s">
        <v>7</v>
      </c>
      <c r="G14" s="47"/>
      <c r="H14" s="355">
        <f ca="1">H13/H16-1</f>
        <v>-0.44813348911764739</v>
      </c>
    </row>
    <row r="16" spans="3:27" ht="15" customHeight="1" x14ac:dyDescent="0.2">
      <c r="D16" s="2"/>
      <c r="E16" s="2" t="s">
        <v>66</v>
      </c>
      <c r="F16" s="24" t="s">
        <v>65</v>
      </c>
      <c r="G16" s="47"/>
      <c r="H16" s="356">
        <f>'&gt;&gt; Inputs'!G21</f>
        <v>0.99</v>
      </c>
    </row>
    <row r="17" spans="4:27" ht="15" customHeight="1" x14ac:dyDescent="0.2">
      <c r="D17" s="2"/>
      <c r="E17" s="2"/>
      <c r="F17" s="24"/>
      <c r="G17" s="47"/>
      <c r="H17" s="355"/>
    </row>
    <row r="18" spans="4:27" ht="15" customHeight="1" x14ac:dyDescent="0.2">
      <c r="D18" s="2"/>
      <c r="E18" s="2" t="s">
        <v>8</v>
      </c>
      <c r="F18" s="24" t="s">
        <v>7</v>
      </c>
      <c r="G18" s="47"/>
      <c r="H18" s="355">
        <f>$F$49</f>
        <v>0.10413003999999999</v>
      </c>
    </row>
    <row r="19" spans="4:27" ht="15" customHeight="1" x14ac:dyDescent="0.2">
      <c r="D19" s="2"/>
      <c r="E19" s="2" t="s">
        <v>68</v>
      </c>
      <c r="F19" s="24" t="s">
        <v>7</v>
      </c>
      <c r="G19" s="47"/>
      <c r="H19" s="355">
        <f>$K$43</f>
        <v>6.5072578063651063E-2</v>
      </c>
    </row>
    <row r="20" spans="4:27" ht="15" customHeight="1" x14ac:dyDescent="0.2">
      <c r="D20" s="2"/>
      <c r="E20" s="2"/>
      <c r="F20" s="24"/>
      <c r="G20" s="2"/>
      <c r="H20" s="357"/>
    </row>
    <row r="21" spans="4:27" ht="15" customHeight="1" x14ac:dyDescent="0.2">
      <c r="D21" s="2"/>
      <c r="E21" s="2" t="s">
        <v>69</v>
      </c>
      <c r="F21" s="24" t="s">
        <v>70</v>
      </c>
      <c r="G21" s="24"/>
      <c r="H21" s="358">
        <f t="array" aca="1" ref="H21" ca="1">INDEX( '&gt;&gt; DCF'!$H$71:$H$97, MATCH( '&gt;&gt; Dash'!E21, '&gt;&gt; DCF'!$E$71:$E$97, 0 ) )</f>
        <v>224.03650704883214</v>
      </c>
    </row>
    <row r="22" spans="4:27" ht="15" customHeight="1" x14ac:dyDescent="0.2">
      <c r="D22" s="2"/>
      <c r="E22" s="2" t="s">
        <v>71</v>
      </c>
      <c r="F22" s="24" t="s">
        <v>70</v>
      </c>
      <c r="G22" s="24"/>
      <c r="H22" s="358">
        <f t="array" aca="1" ref="H22" ca="1">INDEX( '&gt;&gt; DCF'!$H$71:$H$97, MATCH( '&gt;&gt; Dash'!E22, '&gt;&gt; DCF'!$E$71:$E$97, 0 ) )</f>
        <v>265.10986667445138</v>
      </c>
    </row>
    <row r="23" spans="4:27" ht="15" customHeight="1" x14ac:dyDescent="0.2">
      <c r="D23" s="2"/>
      <c r="E23" s="2" t="s">
        <v>72</v>
      </c>
      <c r="F23" s="24" t="s">
        <v>70</v>
      </c>
      <c r="G23" s="24"/>
      <c r="H23" s="358">
        <f t="array" ref="H23">INDEX( '&gt;&gt; DCF'!$H$71:$H$97, MATCH( '&gt;&gt; Dash'!E23, '&gt;&gt; DCF'!$E$71:$E$97, 0 ) )</f>
        <v>234.61212698810516</v>
      </c>
    </row>
    <row r="24" spans="4:27" ht="15" customHeight="1" x14ac:dyDescent="0.2">
      <c r="D24" s="2"/>
      <c r="E24" s="2" t="s">
        <v>73</v>
      </c>
      <c r="F24" s="24" t="s">
        <v>70</v>
      </c>
      <c r="G24" s="24"/>
      <c r="H24" s="358">
        <f t="array" ref="H24">INDEX( '&gt;&gt; DCF'!$H$71:$H$97, MATCH( '&gt;&gt; Dash'!E24, '&gt;&gt; DCF'!$E$71:$E$97, 0 ) )</f>
        <v>278.91342420507641</v>
      </c>
    </row>
    <row r="25" spans="4:27" ht="15" customHeight="1" x14ac:dyDescent="0.2">
      <c r="D25" s="2"/>
      <c r="E25" s="2"/>
      <c r="F25" s="24"/>
      <c r="G25" s="24"/>
      <c r="H25" s="358"/>
    </row>
    <row r="26" spans="4:27" ht="15" customHeight="1" x14ac:dyDescent="0.2">
      <c r="D26" s="1" t="s">
        <v>74</v>
      </c>
      <c r="E26" s="2"/>
      <c r="F26" s="24"/>
      <c r="G26" s="24"/>
      <c r="H26" s="358"/>
    </row>
    <row r="27" spans="4:27" ht="15" customHeight="1" x14ac:dyDescent="0.2">
      <c r="D27" s="2"/>
      <c r="E27" s="2" t="s">
        <v>75</v>
      </c>
      <c r="F27" s="24" t="s">
        <v>7</v>
      </c>
      <c r="G27" s="24"/>
      <c r="H27" s="355">
        <f ca="1">'&gt;&gt; Summary'!G13</f>
        <v>7.8458723686116052</v>
      </c>
    </row>
    <row r="28" spans="4:27" ht="15" customHeight="1" x14ac:dyDescent="0.2">
      <c r="D28" s="2"/>
      <c r="E28" s="2" t="str">
        <f>"Forecast FY" &amp; TEXT(YEAR(EOMONTH('&gt;&gt; Inputs'!$G$17, 12)), "00") &amp; " Dividend Yield"</f>
        <v>Forecast FY2025 Dividend Yield</v>
      </c>
      <c r="F28" s="24" t="s">
        <v>7</v>
      </c>
      <c r="G28" s="24"/>
      <c r="H28" s="355">
        <f ca="1">'&gt;&gt; DDM'!H25/'&gt;&gt; Summary'!G11</f>
        <v>5.6855855919549919E-3</v>
      </c>
    </row>
    <row r="29" spans="4:27" ht="15" customHeight="1" x14ac:dyDescent="0.2">
      <c r="D29" s="2"/>
      <c r="E29" s="2" t="s">
        <v>76</v>
      </c>
      <c r="F29" s="24" t="s">
        <v>7</v>
      </c>
      <c r="G29" s="24"/>
      <c r="H29" s="355">
        <f ca="1">H27 + H28</f>
        <v>7.8515579542035603</v>
      </c>
    </row>
    <row r="31" spans="4:27" ht="15" customHeight="1" x14ac:dyDescent="0.2">
      <c r="D31" s="2"/>
      <c r="E31" s="15"/>
      <c r="F31" s="15"/>
      <c r="G31" s="15"/>
      <c r="H31" s="34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">
      <c r="D32" s="2"/>
      <c r="E32" s="2"/>
      <c r="F32" s="2"/>
      <c r="G32" s="2"/>
      <c r="H32" s="35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">
      <c r="D33" s="3"/>
      <c r="E33" s="4" t="s">
        <v>77</v>
      </c>
      <c r="F33" s="3"/>
      <c r="G33" s="3"/>
      <c r="H33" s="34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">
      <c r="D34" s="7"/>
      <c r="E34" s="7"/>
      <c r="F34" s="7"/>
      <c r="G34" s="7"/>
      <c r="H34" s="34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">
      <c r="D35" s="15"/>
      <c r="E35" s="15"/>
      <c r="F35" s="15"/>
      <c r="G35" s="15"/>
      <c r="H35" s="349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">
      <c r="D36" s="1" t="s">
        <v>78</v>
      </c>
      <c r="E36" s="2"/>
      <c r="F36" s="2"/>
      <c r="H36" s="359" t="s">
        <v>269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">
      <c r="D37" s="2"/>
      <c r="E37" s="2"/>
      <c r="F37" s="2"/>
      <c r="H37" s="357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">
      <c r="D38" s="2" t="s">
        <v>80</v>
      </c>
      <c r="E38" s="2"/>
      <c r="F38" s="337">
        <v>0.28299999999999997</v>
      </c>
      <c r="H38" s="357" t="s">
        <v>79</v>
      </c>
      <c r="J38" s="16" t="s">
        <v>7</v>
      </c>
      <c r="K38" s="51"/>
      <c r="L38" s="2"/>
      <c r="W38" s="2"/>
      <c r="X38" s="2"/>
    </row>
    <row r="39" spans="4:27" ht="15" customHeight="1" x14ac:dyDescent="0.2">
      <c r="D39" s="2" t="s">
        <v>298</v>
      </c>
      <c r="E39" s="2"/>
      <c r="F39" s="337">
        <v>5.8000000000000003E-2</v>
      </c>
      <c r="H39" s="357" t="s">
        <v>283</v>
      </c>
      <c r="J39" s="16" t="s">
        <v>7</v>
      </c>
      <c r="K39" s="177">
        <v>0.20399999999999999</v>
      </c>
      <c r="L39" s="2"/>
      <c r="W39" s="2"/>
      <c r="X39" s="2"/>
    </row>
    <row r="40" spans="4:27" ht="15" customHeight="1" x14ac:dyDescent="0.2">
      <c r="D40" s="2"/>
      <c r="E40" s="2"/>
      <c r="H40" s="357" t="s">
        <v>284</v>
      </c>
      <c r="J40" s="16"/>
      <c r="K40" s="346">
        <v>6.3E-2</v>
      </c>
      <c r="L40" s="2"/>
      <c r="W40" s="2"/>
      <c r="X40" s="2"/>
    </row>
    <row r="41" spans="4:27" ht="15" customHeight="1" x14ac:dyDescent="0.2">
      <c r="D41" s="2"/>
      <c r="E41" s="2"/>
      <c r="H41" s="360" t="s">
        <v>285</v>
      </c>
      <c r="J41" s="16"/>
      <c r="K41" s="346">
        <v>4.6656000000000003E-2</v>
      </c>
      <c r="L41" s="2"/>
      <c r="W41" s="2"/>
      <c r="X41" s="2"/>
    </row>
    <row r="42" spans="4:27" ht="15" customHeight="1" x14ac:dyDescent="0.2">
      <c r="D42" s="2" t="s">
        <v>81</v>
      </c>
      <c r="E42" s="2"/>
      <c r="F42" s="337">
        <f>F53-F39</f>
        <v>2.9699999999999997E-2</v>
      </c>
      <c r="H42" s="357"/>
      <c r="J42" s="2"/>
      <c r="K42" s="2"/>
      <c r="L42" s="2"/>
      <c r="M42" s="24"/>
      <c r="P42" s="2"/>
      <c r="Q42" s="2"/>
      <c r="W42" s="2"/>
      <c r="X42" s="2"/>
    </row>
    <row r="43" spans="4:27" ht="15" customHeight="1" x14ac:dyDescent="0.2">
      <c r="D43" s="2" t="s">
        <v>32</v>
      </c>
      <c r="E43" s="2"/>
      <c r="F43" s="337">
        <v>1.4999999999999999E-2</v>
      </c>
      <c r="H43" s="357" t="s">
        <v>6</v>
      </c>
      <c r="J43" s="16" t="s">
        <v>7</v>
      </c>
      <c r="K43" s="267">
        <f>(F48*F54)+(F47*F39*(1-F38))</f>
        <v>6.5072578063651063E-2</v>
      </c>
      <c r="L43" s="345"/>
      <c r="M43" s="134"/>
      <c r="W43" s="2"/>
      <c r="X43" s="2"/>
    </row>
    <row r="44" spans="4:27" ht="15" customHeight="1" x14ac:dyDescent="0.2">
      <c r="D44" s="2"/>
      <c r="E44" s="2"/>
      <c r="F44" s="54"/>
      <c r="H44" s="357"/>
      <c r="J44" s="2"/>
      <c r="K44" s="2"/>
      <c r="L44" s="2"/>
      <c r="W44" s="2"/>
      <c r="X44" s="2"/>
    </row>
    <row r="45" spans="4:27" ht="15" customHeight="1" x14ac:dyDescent="0.2">
      <c r="D45" s="2" t="s">
        <v>288</v>
      </c>
      <c r="E45" s="2"/>
      <c r="F45" s="338">
        <v>1.5531999999999999</v>
      </c>
      <c r="H45" s="357" t="s">
        <v>32</v>
      </c>
      <c r="J45" s="16" t="s">
        <v>7</v>
      </c>
      <c r="K45" s="268">
        <f>F43</f>
        <v>1.4999999999999999E-2</v>
      </c>
      <c r="M45" s="2"/>
      <c r="P45" s="24"/>
      <c r="Q45" s="55"/>
      <c r="W45" s="2"/>
      <c r="X45" s="2"/>
    </row>
    <row r="46" spans="4:27" ht="15" customHeight="1" x14ac:dyDescent="0.2">
      <c r="H46" s="360" t="s">
        <v>31</v>
      </c>
      <c r="J46" s="271" t="s">
        <v>7</v>
      </c>
      <c r="K46" s="268">
        <f>'&gt;&gt; Segments'!Y54</f>
        <v>0.54411460906888953</v>
      </c>
      <c r="W46" s="2"/>
      <c r="X46" s="2"/>
    </row>
    <row r="47" spans="4:27" ht="15" customHeight="1" x14ac:dyDescent="0.2">
      <c r="D47" s="2" t="s">
        <v>294</v>
      </c>
      <c r="E47" s="2"/>
      <c r="F47" s="337">
        <f>F58/(F58+F57)</f>
        <v>0.62447935784686981</v>
      </c>
      <c r="K47" s="2"/>
      <c r="L47" s="2"/>
      <c r="W47" s="2"/>
      <c r="X47" s="2"/>
    </row>
    <row r="48" spans="4:27" ht="15" customHeight="1" x14ac:dyDescent="0.2">
      <c r="D48" s="2" t="s">
        <v>295</v>
      </c>
      <c r="E48" s="2"/>
      <c r="F48" s="337">
        <f>F57/(F58+F57)</f>
        <v>0.37552064215313019</v>
      </c>
      <c r="K48" s="2"/>
      <c r="L48" s="2"/>
      <c r="W48" s="2"/>
      <c r="X48" s="2"/>
    </row>
    <row r="49" spans="1:27" ht="15" customHeight="1" x14ac:dyDescent="0.2">
      <c r="D49" s="2" t="s">
        <v>286</v>
      </c>
      <c r="E49" s="2"/>
      <c r="F49" s="339">
        <f>F39+F45*F42</f>
        <v>0.10413003999999999</v>
      </c>
      <c r="L49" s="2"/>
      <c r="M49" s="2"/>
      <c r="N49" s="2"/>
      <c r="O49" s="2"/>
      <c r="P49" s="2"/>
      <c r="Q49" s="2"/>
      <c r="R49" s="2"/>
      <c r="S49" s="2"/>
      <c r="T49" s="16"/>
      <c r="U49" s="2"/>
      <c r="V49" s="56"/>
      <c r="W49" s="2"/>
      <c r="X49" s="2"/>
    </row>
    <row r="50" spans="1:27" ht="15" customHeight="1" x14ac:dyDescent="0.2">
      <c r="D50" s="2" t="s">
        <v>287</v>
      </c>
      <c r="E50" s="2"/>
      <c r="F50" s="342">
        <f>(F56/F58)</f>
        <v>0.19846590301864428</v>
      </c>
      <c r="G50" s="286"/>
      <c r="H50" s="362" t="s">
        <v>257</v>
      </c>
      <c r="K50" s="344">
        <v>102.636</v>
      </c>
      <c r="L50" s="343"/>
      <c r="M50" s="2"/>
      <c r="N50" s="2"/>
      <c r="O50" s="2"/>
      <c r="P50" s="2"/>
      <c r="Q50" s="2"/>
      <c r="R50" s="2"/>
      <c r="S50" s="2" t="s">
        <v>208</v>
      </c>
      <c r="T50" s="16"/>
      <c r="U50" s="2"/>
      <c r="V50" s="57"/>
      <c r="W50" s="2"/>
      <c r="X50" s="2"/>
    </row>
    <row r="51" spans="1:27" ht="15" customHeight="1" x14ac:dyDescent="0.2">
      <c r="D51" s="2" t="s">
        <v>282</v>
      </c>
      <c r="E51" s="2"/>
      <c r="F51" s="342">
        <f>F50*(1-F38)</f>
        <v>0.14230005246436797</v>
      </c>
      <c r="G51" s="286"/>
      <c r="L51" s="2"/>
      <c r="M51" s="2"/>
      <c r="N51" s="2"/>
      <c r="O51" s="2"/>
      <c r="P51" s="2"/>
      <c r="Q51" s="2"/>
      <c r="R51" s="2"/>
      <c r="S51" s="2"/>
      <c r="T51" s="16"/>
      <c r="U51" s="2"/>
      <c r="V51" s="57"/>
      <c r="W51" s="2"/>
      <c r="X51" s="2"/>
    </row>
    <row r="52" spans="1:27" ht="15" customHeight="1" x14ac:dyDescent="0.2">
      <c r="D52" s="2" t="s">
        <v>290</v>
      </c>
      <c r="F52" s="337">
        <v>7.3000000000000001E-3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7" ht="15" customHeight="1" x14ac:dyDescent="0.2">
      <c r="D53" s="2" t="s">
        <v>291</v>
      </c>
      <c r="F53" s="337">
        <v>8.77E-2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7" ht="15" customHeight="1" x14ac:dyDescent="0.2">
      <c r="D54" s="2" t="s">
        <v>289</v>
      </c>
      <c r="F54" s="337">
        <f>F39+F45*(F53-F39)</f>
        <v>0.10413003999999999</v>
      </c>
    </row>
    <row r="55" spans="1:27" ht="15" customHeight="1" x14ac:dyDescent="0.2">
      <c r="D55" s="2" t="s">
        <v>281</v>
      </c>
      <c r="F55" s="337"/>
    </row>
    <row r="56" spans="1:27" ht="15" customHeight="1" x14ac:dyDescent="0.2">
      <c r="D56" s="2" t="s">
        <v>156</v>
      </c>
      <c r="F56" s="341">
        <v>408.55</v>
      </c>
      <c r="M56" s="2"/>
      <c r="N56" s="2"/>
      <c r="O56" s="2"/>
      <c r="P56" s="2"/>
    </row>
    <row r="57" spans="1:27" ht="15" customHeight="1" x14ac:dyDescent="0.2">
      <c r="D57" s="2" t="s">
        <v>292</v>
      </c>
      <c r="F57" s="340">
        <v>1237.8699999999999</v>
      </c>
      <c r="M57" s="2"/>
      <c r="N57" s="2"/>
      <c r="O57" s="2"/>
      <c r="P57" s="2"/>
    </row>
    <row r="58" spans="1:27" ht="15" customHeight="1" x14ac:dyDescent="0.2">
      <c r="D58" s="2" t="s">
        <v>293</v>
      </c>
      <c r="F58" s="340">
        <v>2058.54</v>
      </c>
      <c r="M58" s="2"/>
      <c r="N58" s="2"/>
      <c r="O58" s="2"/>
      <c r="P58" s="2"/>
    </row>
    <row r="59" spans="1:27" ht="15" customHeight="1" x14ac:dyDescent="0.2">
      <c r="A59" s="40"/>
      <c r="B59" s="40" t="s">
        <v>45</v>
      </c>
      <c r="C59" s="41"/>
      <c r="D59" s="41"/>
      <c r="E59" s="41"/>
      <c r="F59" s="41"/>
      <c r="G59" s="41"/>
      <c r="H59" s="363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1" spans="1:27" ht="12.75" customHeight="1" x14ac:dyDescent="0.2"/>
    <row r="62" spans="1:27" ht="12.75" customHeight="1" x14ac:dyDescent="0.2"/>
    <row r="63" spans="1:27" ht="12.75" customHeight="1" x14ac:dyDescent="0.2"/>
    <row r="64" spans="1:27" ht="12.75" customHeight="1" x14ac:dyDescent="0.2"/>
    <row r="65" ht="12.75" customHeight="1" x14ac:dyDescent="0.2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tabSelected="1" topLeftCell="A4" zoomScaleNormal="100" workbookViewId="0">
      <pane xSplit="5" ySplit="6" topLeftCell="F66" activePane="bottomRight" state="frozen"/>
      <selection activeCell="A4" sqref="A4"/>
      <selection pane="topRight" activeCell="F4" sqref="F4"/>
      <selection pane="bottomLeft" activeCell="A10" sqref="A10"/>
      <selection pane="bottomRight" activeCell="H76" sqref="H76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9.5" style="377" customWidth="1"/>
    <col min="9" max="9" width="14.5" customWidth="1"/>
    <col min="10" max="22" width="11.1640625" customWidth="1"/>
    <col min="23" max="23" width="13.33203125" customWidth="1"/>
    <col min="24" max="24" width="13.5" customWidth="1"/>
    <col min="25" max="25" width="16.6640625" customWidth="1"/>
    <col min="26" max="37" width="9.1640625" customWidth="1"/>
  </cols>
  <sheetData>
    <row r="2" spans="3:25" x14ac:dyDescent="0.2">
      <c r="C2" s="62" t="s">
        <v>56</v>
      </c>
      <c r="E2" s="2"/>
      <c r="F2" s="2"/>
      <c r="G2" s="2"/>
      <c r="H2" s="427" t="s">
        <v>85</v>
      </c>
      <c r="I2" s="427"/>
      <c r="J2" s="427"/>
      <c r="K2" s="427"/>
      <c r="L2" s="427"/>
      <c r="M2" s="427"/>
      <c r="N2" s="427"/>
      <c r="O2" s="427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39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395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378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378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396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396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379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"/>
      <c r="G10" s="2"/>
      <c r="H10" s="39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">
      <c r="C11" s="2"/>
      <c r="D11" s="2"/>
      <c r="E11" s="2" t="s">
        <v>95</v>
      </c>
      <c r="F11" s="24" t="s">
        <v>10</v>
      </c>
      <c r="G11" s="24"/>
      <c r="H11" s="380">
        <f>IF( AND( H5 &lt;= '&gt;&gt; Inputs'!$G41, H5 &gt;= 1 ), 1, 0 )</f>
        <v>0</v>
      </c>
      <c r="I11" s="49">
        <f>IF( AND( I5 &lt;= '&gt;&gt; Inputs'!$G41, I5 &gt;= 1 ), 1, 0 )</f>
        <v>0</v>
      </c>
      <c r="J11" s="49">
        <f>IF( AND( J5 &lt;= '&gt;&gt; Inputs'!$G41, J5 &gt;= 1 ), 1, 0 )</f>
        <v>0</v>
      </c>
      <c r="K11" s="49">
        <f>IF( AND( K5 &lt;= '&gt;&gt; Inputs'!$G41, K5 &gt;= 1 ), 1, 0 )</f>
        <v>0</v>
      </c>
      <c r="L11" s="49">
        <f>IF( AND( L5 &lt;= '&gt;&gt; Inputs'!$G41, L5 &gt;= 1 ), 1, 0 )</f>
        <v>0</v>
      </c>
      <c r="M11" s="49">
        <f>IF( AND( M5 &lt;= '&gt;&gt; Inputs'!$G41, M5 &gt;= 1 ), 1, 0 )</f>
        <v>0</v>
      </c>
      <c r="N11" s="59">
        <f>IF( AND( N5 &lt;= '&gt;&gt; Inputs'!$G41, N5 &gt;= 1 ), 1, 0 )</f>
        <v>0</v>
      </c>
      <c r="O11" s="59">
        <f>IF( AND( O5 &lt;= '&gt;&gt; Inputs'!$G41, O5 &gt;= 1 ), 1, 0 )</f>
        <v>0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  <c r="R11" s="59">
        <f>IF( AND( R5 &lt;= '&gt;&gt; Inputs'!$G41, R5 &gt;= 1 ), 1, 0 )</f>
        <v>1</v>
      </c>
      <c r="S11" s="59">
        <f>IF( AND( S5 &lt;= '&gt;&gt; Inputs'!$G41, S5 &gt;= 1 ), 1, 0 )</f>
        <v>1</v>
      </c>
      <c r="T11" s="59">
        <f>IF( AND( T5 &lt;= '&gt;&gt; Inputs'!$G41, T5 &gt;= 1 ), 1, 0 )</f>
        <v>1</v>
      </c>
      <c r="U11" s="59">
        <f>IF( AND( U5 &lt;= '&gt;&gt; Inputs'!$G41, U5 &gt;= 1 ), 1, 0 )</f>
        <v>1</v>
      </c>
      <c r="V11" s="59">
        <f>IF( AND( V5 &lt;= '&gt;&gt; Inputs'!$G41, V5 &gt;= 1 ), 1, 0 )</f>
        <v>1</v>
      </c>
      <c r="W11" s="59">
        <f>IF( AND( W5 &lt;= '&gt;&gt; Inputs'!$G41, W5 &gt;= 1 ), 1, 0 )</f>
        <v>1</v>
      </c>
      <c r="X11" s="59">
        <f>IF( AND( X5 &lt;= '&gt;&gt; Inputs'!$G41, X5 &gt;= 1 ), 1, 0 )</f>
        <v>1</v>
      </c>
      <c r="Y11" s="59">
        <f>IF( AND( Y5 &lt;= '&gt;&gt; Inputs'!$G41, Y5 &gt;= 1 ), 1, 0 )</f>
        <v>1</v>
      </c>
    </row>
    <row r="12" spans="3:25" ht="15" customHeight="1" x14ac:dyDescent="0.2">
      <c r="C12" s="2"/>
      <c r="D12" s="2"/>
      <c r="E12" s="2" t="s">
        <v>96</v>
      </c>
      <c r="F12" s="24" t="s">
        <v>10</v>
      </c>
      <c r="G12" s="24"/>
      <c r="H12" s="380">
        <f>IF( H5 = '&gt;&gt; Inputs'!$G41, 1, 0 )</f>
        <v>0</v>
      </c>
      <c r="I12" s="49">
        <f>IF( I5 = '&gt;&gt; Inputs'!$G41, 1, 0 )</f>
        <v>0</v>
      </c>
      <c r="J12" s="49">
        <f>IF( J5 = '&gt;&gt; Inputs'!$G41, 1, 0 )</f>
        <v>0</v>
      </c>
      <c r="K12" s="49">
        <f>IF( K5 = '&gt;&gt; Inputs'!$G41, 1, 0 )</f>
        <v>0</v>
      </c>
      <c r="L12" s="49">
        <f>IF( L5 = '&gt;&gt; Inputs'!$G41, 1, 0 )</f>
        <v>0</v>
      </c>
      <c r="M12" s="49">
        <f>IF( M5 = '&gt;&gt; Inputs'!$G41, 1, 0 )</f>
        <v>0</v>
      </c>
      <c r="N12" s="49">
        <f>IF( N5 = '&gt;&gt; Inputs'!$G41, 1, 0 )</f>
        <v>0</v>
      </c>
      <c r="O12" s="49">
        <f>IF( O5 = '&gt;&gt; Inputs'!$G41, 1, 0 )</f>
        <v>0</v>
      </c>
      <c r="P12" s="49">
        <f>IF( P5 = '&gt;&gt; Inputs'!$G41, 1, 0 )</f>
        <v>0</v>
      </c>
      <c r="Q12" s="49">
        <f>IF( Q5 = '&gt;&gt; Inputs'!$G41, 1, 0 )</f>
        <v>0</v>
      </c>
      <c r="R12" s="49">
        <f>IF( R5 = '&gt;&gt; Inputs'!$G41, 1, 0 )</f>
        <v>0</v>
      </c>
      <c r="S12" s="49">
        <f>IF( S5 = '&gt;&gt; Inputs'!$G41, 1, 0 )</f>
        <v>0</v>
      </c>
      <c r="T12" s="49">
        <f>IF( T5 = '&gt;&gt; Inputs'!$G41, 1, 0 )</f>
        <v>0</v>
      </c>
      <c r="U12" s="49">
        <f>IF( U5 = '&gt;&gt; Inputs'!$G41, 1, 0 )</f>
        <v>0</v>
      </c>
      <c r="V12" s="49">
        <f>IF( V5 = '&gt;&gt; Inputs'!$G41, 1, 0 )</f>
        <v>0</v>
      </c>
      <c r="W12" s="49">
        <f>IF( W5 = '&gt;&gt; Inputs'!$G41, 1, 0 )</f>
        <v>0</v>
      </c>
      <c r="X12" s="49">
        <f>IF( X5 = '&gt;&gt; Inputs'!$G41, 1, 0 )</f>
        <v>0</v>
      </c>
      <c r="Y12" s="49">
        <f>IF( Y5 = '&gt;&gt; Inputs'!$G41, 1, 0 )</f>
        <v>1</v>
      </c>
    </row>
    <row r="13" spans="3:25" ht="15" customHeight="1" x14ac:dyDescent="0.2">
      <c r="C13" s="2"/>
      <c r="D13" s="2"/>
      <c r="E13" s="15"/>
      <c r="F13" s="29"/>
      <c r="G13" s="29"/>
      <c r="H13" s="397"/>
      <c r="I13" s="15"/>
      <c r="J13" s="1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</row>
    <row r="14" spans="3:25" ht="15" customHeight="1" x14ac:dyDescent="0.2">
      <c r="C14" s="62" t="s">
        <v>97</v>
      </c>
      <c r="D14" s="2"/>
      <c r="E14" s="2"/>
      <c r="F14" s="24"/>
      <c r="G14" s="24"/>
      <c r="H14" s="381"/>
      <c r="I14" s="2"/>
      <c r="J14" s="2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6" spans="3:25" ht="15" customHeight="1" x14ac:dyDescent="0.2">
      <c r="D16" s="2"/>
      <c r="E16" s="2" t="s">
        <v>98</v>
      </c>
      <c r="F16" s="24" t="s">
        <v>25</v>
      </c>
      <c r="G16" s="24"/>
      <c r="H16" s="382"/>
      <c r="I16" s="27">
        <f>'&gt;&gt; Fin Stmts'!I13</f>
        <v>190</v>
      </c>
      <c r="J16" s="27">
        <f>'&gt;&gt; Fin Stmts'!J13</f>
        <v>166</v>
      </c>
      <c r="K16" s="27">
        <f>'&gt;&gt; Fin Stmts'!K13</f>
        <v>177</v>
      </c>
      <c r="L16" s="27">
        <f>'&gt;&gt; Fin Stmts'!L13</f>
        <v>195</v>
      </c>
      <c r="M16" s="27">
        <f>'&gt;&gt; Fin Stmts'!M13</f>
        <v>209</v>
      </c>
      <c r="N16" s="27">
        <f>'&gt;&gt; Fin Stmts'!N13</f>
        <v>215</v>
      </c>
      <c r="O16" s="27">
        <f>'&gt;&gt; Fin Stmts'!O13</f>
        <v>215</v>
      </c>
      <c r="P16" s="27">
        <f>'&gt;&gt; Fin Stmts'!P13</f>
        <v>213.55</v>
      </c>
      <c r="Q16" s="27">
        <f>'&gt;&gt; Fin Stmts'!Q13</f>
        <v>214.92349999999999</v>
      </c>
      <c r="R16" s="27">
        <f>'&gt;&gt; Fin Stmts'!R13</f>
        <v>216.43408702583724</v>
      </c>
      <c r="S16" s="27">
        <f>'&gt;&gt; Fin Stmts'!S13</f>
        <v>217.80934090345744</v>
      </c>
      <c r="T16" s="27">
        <f>'&gt;&gt; Fin Stmts'!T13</f>
        <v>219.48153635985972</v>
      </c>
      <c r="U16" s="27">
        <f>'&gt;&gt; Fin Stmts'!U13</f>
        <v>220.55597361888897</v>
      </c>
      <c r="V16" s="27">
        <f>'&gt;&gt; Fin Stmts'!V13</f>
        <v>221.08519899528531</v>
      </c>
      <c r="W16" s="27">
        <f>'&gt;&gt; Fin Stmts'!W13</f>
        <v>221.70227734136975</v>
      </c>
      <c r="X16" s="27">
        <f>'&gt;&gt; Fin Stmts'!X13</f>
        <v>222.79919125692413</v>
      </c>
      <c r="Y16" s="27">
        <f>'&gt;&gt; Fin Stmts'!Y13</f>
        <v>223.75391607732286</v>
      </c>
    </row>
    <row r="17" spans="4:25" ht="15" customHeight="1" x14ac:dyDescent="0.2">
      <c r="D17" s="2" t="s">
        <v>59</v>
      </c>
      <c r="E17" s="2" t="s">
        <v>99</v>
      </c>
      <c r="F17" s="24" t="s">
        <v>25</v>
      </c>
      <c r="G17" s="24"/>
      <c r="H17" s="382"/>
      <c r="I17" s="27">
        <f>'&gt;&gt; Fin Stmts'!I14</f>
        <v>84</v>
      </c>
      <c r="J17" s="27">
        <f>'&gt;&gt; Fin Stmts'!J14</f>
        <v>89</v>
      </c>
      <c r="K17" s="27">
        <f>'&gt;&gt; Fin Stmts'!K14</f>
        <v>111</v>
      </c>
      <c r="L17" s="27">
        <f>'&gt;&gt; Fin Stmts'!L14</f>
        <v>105</v>
      </c>
      <c r="M17" s="27">
        <f>'&gt;&gt; Fin Stmts'!M14</f>
        <v>101</v>
      </c>
      <c r="N17" s="27">
        <f>'&gt;&gt; Fin Stmts'!N14</f>
        <v>133</v>
      </c>
      <c r="O17" s="27">
        <f>'&gt;&gt; Fin Stmts'!O14</f>
        <v>144</v>
      </c>
      <c r="P17" s="27">
        <f>'&gt;&gt; Fin Stmts'!P14</f>
        <v>143.02883720930234</v>
      </c>
      <c r="Q17" s="27">
        <f>'&gt;&gt; Fin Stmts'!Q14</f>
        <v>143.94876279069766</v>
      </c>
      <c r="R17" s="27">
        <f>'&gt;&gt; Fin Stmts'!R14</f>
        <v>144.9605047987003</v>
      </c>
      <c r="S17" s="27">
        <f>'&gt;&gt; Fin Stmts'!S14</f>
        <v>145.88160507022266</v>
      </c>
      <c r="T17" s="27">
        <f>'&gt;&gt; Fin Stmts'!T14</f>
        <v>147.0015871433479</v>
      </c>
      <c r="U17" s="27">
        <f>'&gt;&gt; Fin Stmts'!U14</f>
        <v>147.72121023776751</v>
      </c>
      <c r="V17" s="27">
        <f>'&gt;&gt; Fin Stmts'!V14</f>
        <v>148.07566816428414</v>
      </c>
      <c r="W17" s="27">
        <f>'&gt;&gt; Fin Stmts'!W14</f>
        <v>148.48896714956859</v>
      </c>
      <c r="X17" s="27">
        <f>'&gt;&gt; Fin Stmts'!X14</f>
        <v>149.22364437673059</v>
      </c>
      <c r="Y17" s="27">
        <f>'&gt;&gt; Fin Stmts'!Y14</f>
        <v>149.86308797736973</v>
      </c>
    </row>
    <row r="18" spans="4:25" ht="15" customHeight="1" x14ac:dyDescent="0.2">
      <c r="D18" s="2"/>
      <c r="E18" s="63" t="s">
        <v>83</v>
      </c>
      <c r="F18" s="29" t="s">
        <v>25</v>
      </c>
      <c r="G18" s="29"/>
      <c r="H18" s="383"/>
      <c r="I18" s="64">
        <f>I16-I17</f>
        <v>106</v>
      </c>
      <c r="J18" s="64">
        <f t="shared" ref="J18:Y18" si="7">J16-J17</f>
        <v>77</v>
      </c>
      <c r="K18" s="64">
        <f t="shared" si="7"/>
        <v>66</v>
      </c>
      <c r="L18" s="64">
        <f t="shared" si="7"/>
        <v>90</v>
      </c>
      <c r="M18" s="64">
        <f t="shared" si="7"/>
        <v>108</v>
      </c>
      <c r="N18" s="64">
        <f t="shared" si="7"/>
        <v>82</v>
      </c>
      <c r="O18" s="64">
        <f t="shared" si="7"/>
        <v>71</v>
      </c>
      <c r="P18" s="64">
        <f t="shared" si="7"/>
        <v>70.521162790697673</v>
      </c>
      <c r="Q18" s="64">
        <f t="shared" si="7"/>
        <v>70.974737209302333</v>
      </c>
      <c r="R18" s="64">
        <f t="shared" si="7"/>
        <v>71.473582227136944</v>
      </c>
      <c r="S18" s="64">
        <f t="shared" si="7"/>
        <v>71.927735833234777</v>
      </c>
      <c r="T18" s="64">
        <f t="shared" si="7"/>
        <v>72.479949216511812</v>
      </c>
      <c r="U18" s="64">
        <f t="shared" si="7"/>
        <v>72.834763381121462</v>
      </c>
      <c r="V18" s="64">
        <f t="shared" si="7"/>
        <v>73.009530831001172</v>
      </c>
      <c r="W18" s="64">
        <f t="shared" si="7"/>
        <v>73.213310191801156</v>
      </c>
      <c r="X18" s="64">
        <f t="shared" si="7"/>
        <v>73.575546880193542</v>
      </c>
      <c r="Y18" s="64">
        <f t="shared" si="7"/>
        <v>73.890828099953126</v>
      </c>
    </row>
    <row r="19" spans="4:25" ht="15" customHeight="1" x14ac:dyDescent="0.2">
      <c r="D19" s="2"/>
      <c r="E19" s="1"/>
      <c r="F19" s="24"/>
      <c r="G19" s="24"/>
      <c r="H19" s="381"/>
      <c r="I19" s="27"/>
      <c r="J19" s="27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4:25" ht="15" customHeight="1" x14ac:dyDescent="0.2">
      <c r="D20" s="24" t="s">
        <v>59</v>
      </c>
      <c r="E20" s="2" t="s">
        <v>259</v>
      </c>
      <c r="F20" s="24" t="s">
        <v>25</v>
      </c>
      <c r="G20" s="24"/>
      <c r="H20" s="384"/>
      <c r="I20" s="32">
        <f>'&gt;&gt; Segments'!I58</f>
        <v>8.41</v>
      </c>
      <c r="J20" s="32">
        <f>'&gt;&gt; Segments'!J58</f>
        <v>9.120000000000001</v>
      </c>
      <c r="K20" s="32">
        <f>'&gt;&gt; Segments'!K58</f>
        <v>12.8</v>
      </c>
      <c r="L20" s="32">
        <f>'&gt;&gt; Segments'!L58</f>
        <v>17.420000000000002</v>
      </c>
      <c r="M20" s="32">
        <f>'&gt;&gt; Segments'!M58</f>
        <v>13.79</v>
      </c>
      <c r="N20" s="32">
        <f>'&gt;&gt; Segments'!N58</f>
        <v>10</v>
      </c>
      <c r="O20" s="32">
        <f>'&gt;&gt; Segments'!O58</f>
        <v>11</v>
      </c>
      <c r="P20" s="32">
        <f>'&gt;&gt; Segments'!P58</f>
        <v>11.201250000000002</v>
      </c>
      <c r="Q20" s="32">
        <f>'&gt;&gt; Segments'!Q58</f>
        <v>11.100625000000001</v>
      </c>
      <c r="R20" s="32">
        <f>'&gt;&gt; Segments'!R58</f>
        <v>11.655656250000002</v>
      </c>
      <c r="S20" s="32">
        <f>'&gt;&gt; Segments'!S58</f>
        <v>12.238439062500003</v>
      </c>
      <c r="T20" s="32">
        <f>'&gt;&gt; Segments'!T58</f>
        <v>12.850361015625003</v>
      </c>
      <c r="U20" s="32">
        <f>'&gt;&gt; Segments'!U58</f>
        <v>13.492879066406253</v>
      </c>
      <c r="V20" s="32">
        <f>'&gt;&gt; Segments'!V58</f>
        <v>14.167523019726566</v>
      </c>
      <c r="W20" s="32">
        <f>'&gt;&gt; Segments'!W58</f>
        <v>14.875899170712895</v>
      </c>
      <c r="X20" s="32">
        <f>'&gt;&gt; Segments'!X58</f>
        <v>15.61969412924854</v>
      </c>
      <c r="Y20" s="32">
        <f>'&gt;&gt; Segments'!Y58</f>
        <v>16.400678835710966</v>
      </c>
    </row>
    <row r="21" spans="4:25" ht="15" customHeight="1" x14ac:dyDescent="0.2">
      <c r="D21" s="24" t="s">
        <v>61</v>
      </c>
      <c r="E21" s="63" t="s">
        <v>100</v>
      </c>
      <c r="F21" s="29" t="s">
        <v>25</v>
      </c>
      <c r="G21" s="29"/>
      <c r="H21" s="385"/>
      <c r="I21" s="65">
        <f>I18 - I20</f>
        <v>97.59</v>
      </c>
      <c r="J21" s="65">
        <f t="shared" ref="J21:Y21" si="8">J18 - J20</f>
        <v>67.88</v>
      </c>
      <c r="K21" s="65">
        <f t="shared" si="8"/>
        <v>53.2</v>
      </c>
      <c r="L21" s="65">
        <f t="shared" si="8"/>
        <v>72.58</v>
      </c>
      <c r="M21" s="65">
        <f t="shared" si="8"/>
        <v>94.210000000000008</v>
      </c>
      <c r="N21" s="65">
        <f t="shared" si="8"/>
        <v>72</v>
      </c>
      <c r="O21" s="65">
        <f t="shared" si="8"/>
        <v>60</v>
      </c>
      <c r="P21" s="65">
        <f t="shared" si="8"/>
        <v>59.319912790697671</v>
      </c>
      <c r="Q21" s="65">
        <f t="shared" si="8"/>
        <v>59.874112209302332</v>
      </c>
      <c r="R21" s="65">
        <f t="shared" si="8"/>
        <v>59.817925977136944</v>
      </c>
      <c r="S21" s="65">
        <f t="shared" si="8"/>
        <v>59.689296770734771</v>
      </c>
      <c r="T21" s="65">
        <f t="shared" si="8"/>
        <v>59.629588200886808</v>
      </c>
      <c r="U21" s="65">
        <f t="shared" si="8"/>
        <v>59.341884314715209</v>
      </c>
      <c r="V21" s="65">
        <f t="shared" si="8"/>
        <v>58.842007811274605</v>
      </c>
      <c r="W21" s="65">
        <f t="shared" si="8"/>
        <v>58.337411021088258</v>
      </c>
      <c r="X21" s="65">
        <f t="shared" si="8"/>
        <v>57.955852750944999</v>
      </c>
      <c r="Y21" s="65">
        <f t="shared" si="8"/>
        <v>57.490149264242163</v>
      </c>
    </row>
    <row r="22" spans="4:25" ht="15" customHeight="1" x14ac:dyDescent="0.2">
      <c r="D22" s="24" t="s">
        <v>59</v>
      </c>
      <c r="E22" s="2" t="s">
        <v>101</v>
      </c>
      <c r="F22" s="24" t="s">
        <v>25</v>
      </c>
      <c r="G22" s="24"/>
      <c r="H22" s="384"/>
      <c r="I22" s="32">
        <f>0 - ( '&gt;&gt; Inputs'!$G$46 * I21 )</f>
        <v>-27.325200000000002</v>
      </c>
      <c r="J22" s="32">
        <f>0 - ( '&gt;&gt; Inputs'!$G$46 * J21 )</f>
        <v>-19.006399999999999</v>
      </c>
      <c r="K22" s="32">
        <f>0 - ( '&gt;&gt; Inputs'!$G$46 * K21 )</f>
        <v>-14.896000000000003</v>
      </c>
      <c r="L22" s="32">
        <f>0 - ( '&gt;&gt; Inputs'!$G$46 * L21 )</f>
        <v>-20.322400000000002</v>
      </c>
      <c r="M22" s="32">
        <f>0 - ( '&gt;&gt; Inputs'!$G$46 * M21 )</f>
        <v>-26.378800000000005</v>
      </c>
      <c r="N22" s="32">
        <f>0 - ( '&gt;&gt; Inputs'!$G$46 * N21 )</f>
        <v>-20.160000000000004</v>
      </c>
      <c r="O22" s="32">
        <f>0 - ( '&gt;&gt; Inputs'!$G$46 * O21 )</f>
        <v>-16.8</v>
      </c>
      <c r="P22" s="32">
        <f>0 - ( '&gt;&gt; Inputs'!$G$46 * P21 )</f>
        <v>-16.609575581395351</v>
      </c>
      <c r="Q22" s="32">
        <f>0 - ( '&gt;&gt; Inputs'!$G$46 * Q21 )</f>
        <v>-16.764751418604654</v>
      </c>
      <c r="R22" s="32">
        <f>0 - ( '&gt;&gt; Inputs'!$G$46 * R21 )</f>
        <v>-16.749019273598346</v>
      </c>
      <c r="S22" s="32">
        <f>0 - ( '&gt;&gt; Inputs'!$G$46 * S21 )</f>
        <v>-16.713003095805739</v>
      </c>
      <c r="T22" s="32">
        <f>0 - ( '&gt;&gt; Inputs'!$G$46 * T21 )</f>
        <v>-16.696284696248309</v>
      </c>
      <c r="U22" s="32">
        <f>0 - ( '&gt;&gt; Inputs'!$G$46 * U21 )</f>
        <v>-16.61572760812026</v>
      </c>
      <c r="V22" s="32">
        <f>0 - ( '&gt;&gt; Inputs'!$G$46 * V21 )</f>
        <v>-16.475762187156892</v>
      </c>
      <c r="W22" s="32">
        <f>0 - ( '&gt;&gt; Inputs'!$G$46 * W21 )</f>
        <v>-16.334475085904714</v>
      </c>
      <c r="X22" s="32">
        <f>0 - ( '&gt;&gt; Inputs'!$G$46 * X21 )</f>
        <v>-16.227638770264601</v>
      </c>
      <c r="Y22" s="32">
        <f>0 - ( '&gt;&gt; Inputs'!$G$46 * Y21 )</f>
        <v>-16.097241793987806</v>
      </c>
    </row>
    <row r="23" spans="4:25" ht="15" customHeight="1" x14ac:dyDescent="0.2">
      <c r="D23" s="53" t="s">
        <v>61</v>
      </c>
      <c r="E23" s="63" t="s">
        <v>102</v>
      </c>
      <c r="F23" s="29" t="s">
        <v>25</v>
      </c>
      <c r="G23" s="29"/>
      <c r="H23" s="385"/>
      <c r="I23" s="65">
        <f>SUM(I21:I22)</f>
        <v>70.264800000000008</v>
      </c>
      <c r="J23" s="65">
        <f t="shared" ref="J23:Y23" si="9">SUM(J21:J22)</f>
        <v>48.873599999999996</v>
      </c>
      <c r="K23" s="65">
        <f t="shared" si="9"/>
        <v>38.304000000000002</v>
      </c>
      <c r="L23" s="65">
        <f t="shared" si="9"/>
        <v>52.257599999999996</v>
      </c>
      <c r="M23" s="65">
        <f t="shared" si="9"/>
        <v>67.831199999999995</v>
      </c>
      <c r="N23" s="65">
        <f t="shared" si="9"/>
        <v>51.839999999999996</v>
      </c>
      <c r="O23" s="65">
        <f t="shared" si="9"/>
        <v>43.2</v>
      </c>
      <c r="P23" s="65">
        <f t="shared" si="9"/>
        <v>42.710337209302324</v>
      </c>
      <c r="Q23" s="65">
        <f t="shared" si="9"/>
        <v>43.109360790697679</v>
      </c>
      <c r="R23" s="65">
        <f t="shared" si="9"/>
        <v>43.068906703538602</v>
      </c>
      <c r="S23" s="65">
        <f t="shared" si="9"/>
        <v>42.976293674929032</v>
      </c>
      <c r="T23" s="65">
        <f t="shared" si="9"/>
        <v>42.933303504638502</v>
      </c>
      <c r="U23" s="65">
        <f t="shared" si="9"/>
        <v>42.726156706594949</v>
      </c>
      <c r="V23" s="65">
        <f t="shared" si="9"/>
        <v>42.36624562411771</v>
      </c>
      <c r="W23" s="65">
        <f t="shared" si="9"/>
        <v>42.002935935183544</v>
      </c>
      <c r="X23" s="65">
        <f t="shared" si="9"/>
        <v>41.728213980680394</v>
      </c>
      <c r="Y23" s="65">
        <f t="shared" si="9"/>
        <v>41.392907470254357</v>
      </c>
    </row>
    <row r="25" spans="4:25" ht="15" customHeight="1" x14ac:dyDescent="0.2">
      <c r="D25" s="2" t="s">
        <v>58</v>
      </c>
      <c r="E25" s="2" t="s">
        <v>209</v>
      </c>
      <c r="F25" s="24" t="s">
        <v>25</v>
      </c>
      <c r="G25" s="24"/>
      <c r="H25" s="384"/>
      <c r="I25" s="32">
        <f t="shared" ref="I25:Y25" si="10" xml:space="preserve"> I20</f>
        <v>8.41</v>
      </c>
      <c r="J25" s="32">
        <f t="shared" si="10"/>
        <v>9.120000000000001</v>
      </c>
      <c r="K25" s="32">
        <f t="shared" si="10"/>
        <v>12.8</v>
      </c>
      <c r="L25" s="32">
        <f t="shared" si="10"/>
        <v>17.420000000000002</v>
      </c>
      <c r="M25" s="32">
        <f t="shared" si="10"/>
        <v>13.79</v>
      </c>
      <c r="N25" s="32">
        <f t="shared" si="10"/>
        <v>10</v>
      </c>
      <c r="O25" s="32">
        <f t="shared" si="10"/>
        <v>11</v>
      </c>
      <c r="P25" s="32">
        <f t="shared" si="10"/>
        <v>11.201250000000002</v>
      </c>
      <c r="Q25" s="32">
        <f t="shared" si="10"/>
        <v>11.100625000000001</v>
      </c>
      <c r="R25" s="32">
        <f t="shared" si="10"/>
        <v>11.655656250000002</v>
      </c>
      <c r="S25" s="32">
        <f t="shared" si="10"/>
        <v>12.238439062500003</v>
      </c>
      <c r="T25" s="32">
        <f t="shared" si="10"/>
        <v>12.850361015625003</v>
      </c>
      <c r="U25" s="32">
        <f t="shared" si="10"/>
        <v>13.492879066406253</v>
      </c>
      <c r="V25" s="32">
        <f t="shared" si="10"/>
        <v>14.167523019726566</v>
      </c>
      <c r="W25" s="32">
        <f t="shared" si="10"/>
        <v>14.875899170712895</v>
      </c>
      <c r="X25" s="32">
        <f t="shared" si="10"/>
        <v>15.61969412924854</v>
      </c>
      <c r="Y25" s="32">
        <f t="shared" si="10"/>
        <v>16.400678835710966</v>
      </c>
    </row>
    <row r="26" spans="4:25" ht="15" customHeight="1" x14ac:dyDescent="0.2">
      <c r="D26" s="19" t="s">
        <v>59</v>
      </c>
      <c r="E26" s="2" t="s">
        <v>103</v>
      </c>
      <c r="F26" s="24" t="s">
        <v>25</v>
      </c>
      <c r="G26" s="24"/>
      <c r="H26" s="382"/>
      <c r="I26" s="27">
        <f>'&gt;&gt; Fin Stmts'!I75</f>
        <v>5.4259999999999984</v>
      </c>
      <c r="J26" s="27">
        <f>-'&gt;&gt; Fin Stmts'!J75</f>
        <v>11.459</v>
      </c>
      <c r="K26" s="27">
        <f>-'&gt;&gt; Fin Stmts'!K75</f>
        <v>5.0120000000000005</v>
      </c>
      <c r="L26" s="27">
        <f>-'&gt;&gt; Fin Stmts'!L75</f>
        <v>-14.512999999999998</v>
      </c>
      <c r="M26" s="27">
        <f>-'&gt;&gt; Fin Stmts'!M75</f>
        <v>39.878999999999991</v>
      </c>
      <c r="N26" s="27">
        <f>-'&gt;&gt; Fin Stmts'!N75</f>
        <v>-5.7819999999999965</v>
      </c>
      <c r="O26" s="27">
        <f>-'&gt;&gt; Fin Stmts'!O75</f>
        <v>-15.699999999999996</v>
      </c>
      <c r="P26" s="27">
        <f>-'&gt;&gt; Fin Stmts'!P75</f>
        <v>3.5887349574021812</v>
      </c>
      <c r="Q26" s="27">
        <f>-'&gt;&gt; Fin Stmts'!Q75</f>
        <v>0.28817314167816477</v>
      </c>
      <c r="R26" s="27">
        <f>-'&gt;&gt; Fin Stmts'!R75</f>
        <v>0.21387680389725006</v>
      </c>
      <c r="S26" s="27">
        <f>-'&gt;&gt; Fin Stmts'!S75</f>
        <v>0.223227219757554</v>
      </c>
      <c r="T26" s="27">
        <f>-'&gt;&gt; Fin Stmts'!T75</f>
        <v>-1.538500812217336E-2</v>
      </c>
      <c r="U26" s="27">
        <f>-'&gt;&gt; Fin Stmts'!U75</f>
        <v>2.952236614283521E-2</v>
      </c>
      <c r="V26" s="27">
        <f>-'&gt;&gt; Fin Stmts'!V75</f>
        <v>7.4545519614190425E-2</v>
      </c>
      <c r="W26" s="27">
        <f>-'&gt;&gt; Fin Stmts'!W75</f>
        <v>0.12004245632294896</v>
      </c>
      <c r="X26" s="27">
        <f>-'&gt;&gt; Fin Stmts'!X75</f>
        <v>0.16637587987107594</v>
      </c>
      <c r="Y26" s="27">
        <f>-'&gt;&gt; Fin Stmts'!Y75</f>
        <v>0.21391799733851258</v>
      </c>
    </row>
    <row r="27" spans="4:25" ht="15" customHeight="1" x14ac:dyDescent="0.2">
      <c r="D27" s="19" t="s">
        <v>59</v>
      </c>
      <c r="E27" s="2" t="s">
        <v>104</v>
      </c>
      <c r="F27" s="24" t="s">
        <v>25</v>
      </c>
      <c r="G27" s="24"/>
      <c r="H27" s="384"/>
      <c r="I27" s="32">
        <f>'&gt;&gt; Fin Stmts'!I81</f>
        <v>8.84</v>
      </c>
      <c r="J27" s="32">
        <f>'&gt;&gt; Fin Stmts'!J81</f>
        <v>4.51</v>
      </c>
      <c r="K27" s="32">
        <f>'&gt;&gt; Fin Stmts'!K81</f>
        <v>6.62</v>
      </c>
      <c r="L27" s="32">
        <f>'&gt;&gt; Fin Stmts'!L81</f>
        <v>7.56</v>
      </c>
      <c r="M27" s="32">
        <f>'&gt;&gt; Fin Stmts'!M81</f>
        <v>9.81</v>
      </c>
      <c r="N27" s="32">
        <f>'&gt;&gt; Fin Stmts'!N81</f>
        <v>28.61</v>
      </c>
      <c r="O27" s="32">
        <f>'&gt;&gt; Fin Stmts'!O81</f>
        <v>28.09</v>
      </c>
      <c r="P27" s="32">
        <f>'&gt;&gt; Fin Stmts'!P81</f>
        <v>29.494500000000002</v>
      </c>
      <c r="Q27" s="32">
        <f>'&gt;&gt; Fin Stmts'!Q81</f>
        <v>30.969225000000005</v>
      </c>
      <c r="R27" s="32">
        <f>'&gt;&gt; Fin Stmts'!R81</f>
        <v>32.517686250000004</v>
      </c>
      <c r="S27" s="32">
        <f>'&gt;&gt; Fin Stmts'!S81</f>
        <v>34.143570562500003</v>
      </c>
      <c r="T27" s="32">
        <f>'&gt;&gt; Fin Stmts'!T81</f>
        <v>35.850749090625001</v>
      </c>
      <c r="U27" s="32">
        <f>'&gt;&gt; Fin Stmts'!U81</f>
        <v>37.643286545156251</v>
      </c>
      <c r="V27" s="32">
        <f>'&gt;&gt; Fin Stmts'!V81</f>
        <v>39.525450872414062</v>
      </c>
      <c r="W27" s="32">
        <f>'&gt;&gt; Fin Stmts'!W81</f>
        <v>41.501723416034764</v>
      </c>
      <c r="X27" s="32">
        <f>'&gt;&gt; Fin Stmts'!X81</f>
        <v>43.576809586836504</v>
      </c>
      <c r="Y27" s="32">
        <f>'&gt;&gt; Fin Stmts'!Y81</f>
        <v>45.755650066178333</v>
      </c>
    </row>
    <row r="28" spans="4:25" ht="15" customHeight="1" x14ac:dyDescent="0.2">
      <c r="D28" s="19" t="s">
        <v>59</v>
      </c>
      <c r="E28" s="2" t="s">
        <v>105</v>
      </c>
      <c r="F28" s="24" t="s">
        <v>25</v>
      </c>
      <c r="G28" s="24"/>
      <c r="H28" s="384"/>
      <c r="I28" s="32">
        <f>'&gt;&gt; Fin Stmts'!H80</f>
        <v>-342</v>
      </c>
      <c r="J28" s="32">
        <f>'&gt;&gt; Fin Stmts'!I80</f>
        <v>-2100</v>
      </c>
      <c r="K28" s="32">
        <f>'&gt;&gt; Fin Stmts'!J80</f>
        <v>-4182</v>
      </c>
      <c r="L28" s="32">
        <f>'&gt;&gt; Fin Stmts'!K80</f>
        <v>-4576</v>
      </c>
      <c r="M28" s="32">
        <f>'&gt;&gt; Fin Stmts'!L80</f>
        <v>-3800</v>
      </c>
      <c r="N28" s="32">
        <f>'&gt;&gt; Fin Stmts'!M80</f>
        <v>-2972</v>
      </c>
      <c r="O28" s="32">
        <f>'&gt;&gt; Fin Stmts'!N80</f>
        <v>-1529</v>
      </c>
      <c r="P28" s="32">
        <f>'&gt;&gt; Fin Stmts'!O80</f>
        <v>-1465</v>
      </c>
      <c r="Q28" s="32">
        <f>'&gt;&gt; Fin Stmts'!P80</f>
        <v>0</v>
      </c>
      <c r="R28" s="32">
        <f>'&gt;&gt; Fin Stmts'!Q80</f>
        <v>0</v>
      </c>
      <c r="S28" s="32">
        <f>'&gt;&gt; Fin Stmts'!R80</f>
        <v>0</v>
      </c>
      <c r="T28" s="32">
        <f>'&gt;&gt; Fin Stmts'!S80</f>
        <v>0</v>
      </c>
      <c r="U28" s="32">
        <f>'&gt;&gt; Fin Stmts'!T80</f>
        <v>0</v>
      </c>
      <c r="V28" s="32">
        <f>'&gt;&gt; Fin Stmts'!U80</f>
        <v>0</v>
      </c>
      <c r="W28" s="32">
        <f>'&gt;&gt; Fin Stmts'!V80</f>
        <v>0</v>
      </c>
      <c r="X28" s="32">
        <f>'&gt;&gt; Fin Stmts'!W80</f>
        <v>0</v>
      </c>
      <c r="Y28" s="32">
        <f>'&gt;&gt; Fin Stmts'!X80</f>
        <v>0</v>
      </c>
    </row>
    <row r="29" spans="4:25" ht="15" customHeight="1" x14ac:dyDescent="0.2">
      <c r="D29" s="19" t="s">
        <v>59</v>
      </c>
      <c r="E29" s="2" t="s">
        <v>106</v>
      </c>
      <c r="F29" s="24" t="s">
        <v>25</v>
      </c>
      <c r="G29" s="24"/>
      <c r="H29" s="384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4:25" ht="15" customHeight="1" x14ac:dyDescent="0.2">
      <c r="D30" s="19"/>
      <c r="E30" s="63" t="s">
        <v>107</v>
      </c>
      <c r="F30" s="29" t="s">
        <v>25</v>
      </c>
      <c r="G30" s="29"/>
      <c r="H30" s="383"/>
      <c r="I30" s="64">
        <f xml:space="preserve"> I23+I25-I26-I27+I28</f>
        <v>-277.59120000000001</v>
      </c>
      <c r="J30" s="64">
        <f t="shared" ref="J30:Y30" si="11" xml:space="preserve"> J23+J25-J26-J27+J28</f>
        <v>-2057.9753999999998</v>
      </c>
      <c r="K30" s="64">
        <f t="shared" si="11"/>
        <v>-4142.5280000000002</v>
      </c>
      <c r="L30" s="64">
        <f t="shared" si="11"/>
        <v>-4499.3693999999996</v>
      </c>
      <c r="M30" s="64">
        <f t="shared" si="11"/>
        <v>-3768.0677999999998</v>
      </c>
      <c r="N30" s="64">
        <f t="shared" si="11"/>
        <v>-2932.9879999999998</v>
      </c>
      <c r="O30" s="64">
        <f t="shared" si="11"/>
        <v>-1487.19</v>
      </c>
      <c r="P30" s="64">
        <f t="shared" si="11"/>
        <v>-1444.1716477480998</v>
      </c>
      <c r="Q30" s="64">
        <f t="shared" si="11"/>
        <v>22.95258764901951</v>
      </c>
      <c r="R30" s="64">
        <f t="shared" si="11"/>
        <v>21.992999899641347</v>
      </c>
      <c r="S30" s="64">
        <f t="shared" si="11"/>
        <v>20.847934955171475</v>
      </c>
      <c r="T30" s="64">
        <f t="shared" si="11"/>
        <v>19.948300437760679</v>
      </c>
      <c r="U30" s="64">
        <f t="shared" si="11"/>
        <v>18.546226861702117</v>
      </c>
      <c r="V30" s="64">
        <f t="shared" si="11"/>
        <v>16.933772251816023</v>
      </c>
      <c r="W30" s="64">
        <f t="shared" si="11"/>
        <v>15.257069233538729</v>
      </c>
      <c r="X30" s="64">
        <f t="shared" si="11"/>
        <v>13.604722643221358</v>
      </c>
      <c r="Y30" s="64">
        <f t="shared" si="11"/>
        <v>11.824018242448474</v>
      </c>
    </row>
    <row r="31" spans="4:25" ht="15" customHeight="1" x14ac:dyDescent="0.2">
      <c r="D31" s="19"/>
      <c r="E31" s="182" t="s">
        <v>113</v>
      </c>
      <c r="F31" s="24" t="s">
        <v>25</v>
      </c>
      <c r="G31" s="24"/>
      <c r="H31" s="394"/>
      <c r="I31" s="27"/>
      <c r="J31" s="27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67">
        <f>(Y30*(1+'&gt;&gt; Dash'!$F$43))/('&gt;&gt; Dash'!$K$43-'&gt;&gt; Dash'!$F$43)</f>
        <v>239.67966060843392</v>
      </c>
    </row>
    <row r="32" spans="4:25" ht="15" customHeight="1" x14ac:dyDescent="0.2">
      <c r="D32" s="19"/>
      <c r="E32" s="15"/>
      <c r="F32" s="29"/>
      <c r="G32" s="29"/>
      <c r="H32" s="38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">
      <c r="D33" s="19"/>
      <c r="E33" s="2" t="s">
        <v>36</v>
      </c>
      <c r="F33" s="24" t="s">
        <v>7</v>
      </c>
      <c r="G33" s="24"/>
      <c r="H33" s="393"/>
      <c r="I33" s="291"/>
      <c r="J33" s="28"/>
      <c r="K33" s="21"/>
      <c r="L33" s="21"/>
      <c r="M33" s="21"/>
      <c r="N33" s="21"/>
      <c r="O33" s="21"/>
      <c r="P33" s="21">
        <f ca="1">P11 * '&gt;&gt; Inputs'!P45</f>
        <v>-2.7397260273972601E-2</v>
      </c>
      <c r="Q33" s="21">
        <f ca="1">Q11 * '&gt;&gt; Inputs'!Q45</f>
        <v>0.9726027397260274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">
      <c r="D34" s="19"/>
      <c r="E34" s="2" t="s">
        <v>108</v>
      </c>
      <c r="F34" s="24" t="s">
        <v>25</v>
      </c>
      <c r="G34" s="24"/>
      <c r="H34" s="382"/>
      <c r="I34" s="27"/>
      <c r="J34" s="27"/>
      <c r="K34" s="32"/>
      <c r="L34" s="32"/>
      <c r="M34" s="32"/>
      <c r="N34" s="32"/>
      <c r="O34" s="32"/>
      <c r="P34" s="32">
        <f ca="1">( P33 * P30 )</f>
        <v>39.566346513646565</v>
      </c>
      <c r="Q34" s="32">
        <f t="shared" ref="Q34:Y34" ca="1" si="12">( Q33 * Q30 )</f>
        <v>22.323749631238154</v>
      </c>
      <c r="R34" s="32">
        <f t="shared" ca="1" si="12"/>
        <v>21.992999899641347</v>
      </c>
      <c r="S34" s="32">
        <f t="shared" ca="1" si="12"/>
        <v>20.847934955171475</v>
      </c>
      <c r="T34" s="32">
        <f t="shared" ca="1" si="12"/>
        <v>19.948300437760679</v>
      </c>
      <c r="U34" s="32">
        <f t="shared" ca="1" si="12"/>
        <v>18.546226861702117</v>
      </c>
      <c r="V34" s="32">
        <f t="shared" ca="1" si="12"/>
        <v>16.933772251816023</v>
      </c>
      <c r="W34" s="32">
        <f t="shared" ca="1" si="12"/>
        <v>15.257069233538729</v>
      </c>
      <c r="X34" s="32">
        <f t="shared" ca="1" si="12"/>
        <v>13.604722643221358</v>
      </c>
      <c r="Y34" s="32">
        <f t="shared" ca="1" si="12"/>
        <v>11.824018242448474</v>
      </c>
    </row>
    <row r="35" spans="4:25" ht="15" customHeight="1" x14ac:dyDescent="0.2">
      <c r="D35" s="19"/>
      <c r="E35" s="2" t="s">
        <v>109</v>
      </c>
      <c r="F35" s="24" t="s">
        <v>25</v>
      </c>
      <c r="G35" s="24"/>
      <c r="H35" s="382"/>
      <c r="I35" s="27"/>
      <c r="J35" s="27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f ca="1">Y33 * Y31</f>
        <v>239.67966060843392</v>
      </c>
    </row>
    <row r="36" spans="4:25" ht="15" customHeight="1" x14ac:dyDescent="0.2">
      <c r="D36" s="19"/>
      <c r="E36" s="2"/>
      <c r="F36" s="24"/>
      <c r="G36" s="24"/>
      <c r="H36" s="381"/>
      <c r="I36" s="27"/>
      <c r="J36" s="27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4:25" ht="15" customHeight="1" x14ac:dyDescent="0.2">
      <c r="D37" s="19"/>
      <c r="E37" s="2" t="s">
        <v>110</v>
      </c>
      <c r="F37" s="16" t="s">
        <v>10</v>
      </c>
      <c r="G37" s="16"/>
      <c r="H37" s="382"/>
      <c r="I37" s="27"/>
      <c r="J37" s="27"/>
      <c r="K37" s="59"/>
      <c r="L37" s="59"/>
      <c r="M37" s="59"/>
      <c r="N37" s="59"/>
      <c r="O37" s="59"/>
      <c r="P37" s="59">
        <f ca="1">IF( P11 = 1, ( P8 - '&gt;&gt; Inputs'!$G$26 ) / DiY, 0 )</f>
        <v>-2.7397260273972601E-2</v>
      </c>
      <c r="Q37" s="59">
        <f ca="1">IF( Q11 = 1, ( Q8 - '&gt;&gt; Inputs'!$G$26 ) / DiY, 0 )</f>
        <v>0.9726027397260274</v>
      </c>
      <c r="R37" s="59">
        <f ca="1">IF( R11 = 1, ( R8 - '&gt;&gt; Inputs'!$G$26 ) / DiY, 0 )</f>
        <v>1.9726027397260273</v>
      </c>
      <c r="S37" s="59">
        <f ca="1">IF( S11 = 1, ( S8 - '&gt;&gt; Inputs'!$G$26 ) / DiY, 0 )</f>
        <v>2.9726027397260273</v>
      </c>
      <c r="T37" s="59">
        <f ca="1">IF( T11 = 1, ( T8 - '&gt;&gt; Inputs'!$G$26 ) / DiY, 0 )</f>
        <v>3.9753424657534246</v>
      </c>
      <c r="U37" s="59">
        <f ca="1">IF( U11 = 1, ( U8 - '&gt;&gt; Inputs'!$G$26 ) / DiY, 0 )</f>
        <v>4.9753424657534246</v>
      </c>
      <c r="V37" s="59">
        <f ca="1">IF( V11 = 1, ( V8 - '&gt;&gt; Inputs'!$G$26 ) / DiY, 0 )</f>
        <v>5.9753424657534246</v>
      </c>
      <c r="W37" s="59">
        <f ca="1">IF( W11 = 1, ( W8 - '&gt;&gt; Inputs'!$G$26 ) / DiY, 0 )</f>
        <v>6.9753424657534246</v>
      </c>
      <c r="X37" s="59">
        <f ca="1">IF( X11 = 1, ( X8 - '&gt;&gt; Inputs'!$G$26 ) / DiY, 0 )</f>
        <v>7.978082191780822</v>
      </c>
      <c r="Y37" s="59">
        <f ca="1">IF( Y11 = 1, ( Y8 - '&gt;&gt; Inputs'!$G$26 ) / DiY, 0 )</f>
        <v>8.9780821917808211</v>
      </c>
    </row>
    <row r="38" spans="4:25" ht="15" customHeight="1" x14ac:dyDescent="0.2">
      <c r="D38" s="19"/>
      <c r="E38" s="2" t="s">
        <v>111</v>
      </c>
      <c r="F38" s="24" t="s">
        <v>10</v>
      </c>
      <c r="G38" s="24"/>
      <c r="H38" s="387"/>
      <c r="I38" s="43"/>
      <c r="J38" s="43"/>
      <c r="K38" s="22"/>
      <c r="L38" s="22"/>
      <c r="M38" s="22"/>
      <c r="N38" s="22"/>
      <c r="O38" s="22"/>
      <c r="P38" s="22">
        <f ca="1">P11 * ( 1 / ( 1 +'&gt;&gt; Dash'!$K$43 ) ^ P$37 )</f>
        <v>1.0017286964555554</v>
      </c>
      <c r="Q38" s="22">
        <f ca="1">Q11 * ( 1 / ( 1 +'&gt;&gt; Dash'!$K$43 ) ^ Q$37 )</f>
        <v>0.94052622993706447</v>
      </c>
      <c r="R38" s="22">
        <f ca="1">R11 * ( 1 / ( 1 +'&gt;&gt; Dash'!$K$43 ) ^ R$37 )</f>
        <v>0.88306304125018675</v>
      </c>
      <c r="S38" s="22">
        <f ca="1">S11 * ( 1 / ( 1 +'&gt;&gt; Dash'!$K$43 ) ^ S$37 )</f>
        <v>0.82911067230332269</v>
      </c>
      <c r="T38" s="22">
        <f ca="1">T11 * ( 1 / ( 1 +'&gt;&gt; Dash'!$K$43 ) ^ T$37 )</f>
        <v>0.77832017969290856</v>
      </c>
      <c r="U38" s="22">
        <f ca="1">U11 * ( 1 / ( 1 +'&gt;&gt; Dash'!$K$43 ) ^ U$37 )</f>
        <v>0.73076726950188597</v>
      </c>
      <c r="V38" s="22">
        <f ca="1">V11 * ( 1 / ( 1 +'&gt;&gt; Dash'!$K$43 ) ^ V$37 )</f>
        <v>0.68611969226590475</v>
      </c>
      <c r="W38" s="22">
        <f ca="1">W11 * ( 1 / ( 1 +'&gt;&gt; Dash'!$K$43 ) ^ W$37 )</f>
        <v>0.64419994129724067</v>
      </c>
      <c r="X38" s="22">
        <f ca="1">X11 * ( 1 / ( 1 +'&gt;&gt; Dash'!$K$43 ) ^ X$37 )</f>
        <v>0.6047368955892527</v>
      </c>
      <c r="Y38" s="22">
        <f ca="1">Y11 * ( 1 / ( 1 +'&gt;&gt; Dash'!$K$43 ) ^ Y$37 )</f>
        <v>0.56778937702883236</v>
      </c>
    </row>
    <row r="40" spans="4:25" ht="15" customHeight="1" x14ac:dyDescent="0.2">
      <c r="D40" s="19"/>
      <c r="E40" s="185" t="s">
        <v>112</v>
      </c>
      <c r="F40" s="186" t="s">
        <v>25</v>
      </c>
      <c r="G40" s="186"/>
      <c r="H40" s="388"/>
      <c r="I40" s="187"/>
      <c r="J40" s="187"/>
      <c r="K40" s="188"/>
      <c r="L40" s="188"/>
      <c r="M40" s="188"/>
      <c r="N40" s="188"/>
      <c r="O40" s="188"/>
      <c r="P40" s="189">
        <f ca="1">P34 * P38</f>
        <v>39.634744716623985</v>
      </c>
      <c r="Q40" s="189">
        <f ca="1">Q34 * Q38</f>
        <v>20.996072078727355</v>
      </c>
      <c r="R40" s="189">
        <f t="shared" ref="R40:X40" ca="1" si="13">R34 * R38</f>
        <v>19.42120537759234</v>
      </c>
      <c r="S40" s="189">
        <f t="shared" ca="1" si="13"/>
        <v>17.285245366818163</v>
      </c>
      <c r="T40" s="189">
        <f t="shared" ca="1" si="13"/>
        <v>15.526164781286019</v>
      </c>
      <c r="U40" s="189">
        <f t="shared" ca="1" si="13"/>
        <v>13.552975563288587</v>
      </c>
      <c r="V40" s="189">
        <f t="shared" ca="1" si="13"/>
        <v>11.618594606316927</v>
      </c>
      <c r="W40" s="189">
        <f t="shared" ca="1" si="13"/>
        <v>9.8286031046135864</v>
      </c>
      <c r="X40" s="189">
        <f t="shared" ca="1" si="13"/>
        <v>8.2272777366144965</v>
      </c>
      <c r="Y40" s="189">
        <f ca="1">Y34 * Y38</f>
        <v>6.7135519518573687</v>
      </c>
    </row>
    <row r="41" spans="4:25" ht="15" customHeight="1" x14ac:dyDescent="0.2">
      <c r="D41" s="19"/>
      <c r="E41" s="182" t="s">
        <v>238</v>
      </c>
      <c r="F41" s="76" t="s">
        <v>25</v>
      </c>
      <c r="G41" s="76"/>
      <c r="H41" s="398"/>
      <c r="I41" s="77"/>
      <c r="J41" s="77"/>
      <c r="K41" s="77"/>
      <c r="L41" s="201"/>
      <c r="M41" s="77"/>
      <c r="N41" s="77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202">
        <f ca="1">Y35 * Y38</f>
        <v>136.08756518334468</v>
      </c>
    </row>
    <row r="42" spans="4:25" ht="15" customHeight="1" x14ac:dyDescent="0.2">
      <c r="D42" s="19"/>
      <c r="E42" s="2"/>
      <c r="F42" s="24"/>
      <c r="G42" s="24"/>
      <c r="H42" s="382"/>
      <c r="I42" s="27"/>
      <c r="J42" s="27"/>
      <c r="K42" s="27"/>
      <c r="M42" s="27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4:25" ht="15" customHeight="1" x14ac:dyDescent="0.2">
      <c r="D43" s="19"/>
      <c r="E43" s="2" t="s">
        <v>24</v>
      </c>
      <c r="F43" s="24" t="s">
        <v>25</v>
      </c>
      <c r="G43" s="24"/>
      <c r="H43" s="389">
        <f>'&gt;&gt; Fin Stmts'!H64+'&gt;&gt; Fin Stmts'!H53</f>
        <v>855.76</v>
      </c>
      <c r="I43" s="69">
        <f>'&gt;&gt; Fin Stmts'!I64+'&gt;&gt; Fin Stmts'!I53</f>
        <v>963.83799999999997</v>
      </c>
      <c r="J43" s="69">
        <f>'&gt;&gt; Fin Stmts'!J64+'&gt;&gt; Fin Stmts'!J53</f>
        <v>1132.066</v>
      </c>
      <c r="K43" s="69">
        <f>'&gt;&gt; Fin Stmts'!K64+'&gt;&gt; Fin Stmts'!K53</f>
        <v>1415.0790000000002</v>
      </c>
      <c r="L43" s="69">
        <f>'&gt;&gt; Fin Stmts'!L64+'&gt;&gt; Fin Stmts'!L53</f>
        <v>1729.5</v>
      </c>
      <c r="M43" s="69">
        <f>'&gt;&gt; Fin Stmts'!M64+'&gt;&gt; Fin Stmts'!M53</f>
        <v>2883.3979999999997</v>
      </c>
      <c r="N43" s="69">
        <f>'&gt;&gt; Fin Stmts'!N64+'&gt;&gt; Fin Stmts'!N53</f>
        <v>2872.4830000000002</v>
      </c>
      <c r="O43" s="69">
        <f>'&gt;&gt; Fin Stmts'!O64+'&gt;&gt; Fin Stmts'!O53</f>
        <v>2688.14</v>
      </c>
      <c r="P43" s="69">
        <f>'&gt;&gt; Fin Stmts'!P64+'&gt;&gt; Fin Stmts'!P53</f>
        <v>3013.485062064301</v>
      </c>
      <c r="Q43" s="69">
        <f>'&gt;&gt; Fin Stmts'!Q64+'&gt;&gt; Fin Stmts'!Q53</f>
        <v>3425.8880258450013</v>
      </c>
      <c r="R43" s="69">
        <f>'&gt;&gt; Fin Stmts'!R64+'&gt;&gt; Fin Stmts'!R53</f>
        <v>3918.7139881576072</v>
      </c>
      <c r="S43" s="69">
        <f>'&gt;&gt; Fin Stmts'!S64+'&gt;&gt; Fin Stmts'!S53</f>
        <v>4479.7826789088249</v>
      </c>
      <c r="T43" s="69">
        <f>'&gt;&gt; Fin Stmts'!T64+'&gt;&gt; Fin Stmts'!T53</f>
        <v>5072.773220455877</v>
      </c>
      <c r="U43" s="69">
        <f>'&gt;&gt; Fin Stmts'!U64+'&gt;&gt; Fin Stmts'!U53</f>
        <v>4626.8500688731528</v>
      </c>
      <c r="V43" s="69">
        <f>'&gt;&gt; Fin Stmts'!V64+'&gt;&gt; Fin Stmts'!V53</f>
        <v>3842.6274960281376</v>
      </c>
      <c r="W43" s="69">
        <f>'&gt;&gt; Fin Stmts'!W64+'&gt;&gt; Fin Stmts'!W53</f>
        <v>3781.3486177549162</v>
      </c>
      <c r="X43" s="69">
        <f>'&gt;&gt; Fin Stmts'!X64+'&gt;&gt; Fin Stmts'!X53</f>
        <v>3923.0219766494461</v>
      </c>
      <c r="Y43" s="69">
        <f>'&gt;&gt; Fin Stmts'!Y64+'&gt;&gt; Fin Stmts'!Y53</f>
        <v>4179.1638102311972</v>
      </c>
    </row>
    <row r="44" spans="4:25" ht="15" customHeight="1" x14ac:dyDescent="0.2">
      <c r="D44" s="19"/>
      <c r="E44" s="2" t="s">
        <v>26</v>
      </c>
      <c r="F44" s="24" t="s">
        <v>25</v>
      </c>
      <c r="G44" s="24"/>
      <c r="H44" s="389">
        <f>'&gt;&gt; Fin Stmts'!H55+'&gt;&gt; Fin Stmts'!H62</f>
        <v>3709.76</v>
      </c>
      <c r="I44" s="69">
        <f>'&gt;&gt; Fin Stmts'!I55+'&gt;&gt; Fin Stmts'!I62</f>
        <v>2643.25</v>
      </c>
      <c r="J44" s="69">
        <f>'&gt;&gt; Fin Stmts'!J55+'&gt;&gt; Fin Stmts'!J62</f>
        <v>10056.57</v>
      </c>
      <c r="K44" s="69">
        <f>'&gt;&gt; Fin Stmts'!K55+'&gt;&gt; Fin Stmts'!K62</f>
        <v>2345.59</v>
      </c>
      <c r="L44" s="69">
        <f>'&gt;&gt; Fin Stmts'!L55+'&gt;&gt; Fin Stmts'!L62</f>
        <v>5085.3</v>
      </c>
      <c r="M44" s="69">
        <f>'&gt;&gt; Fin Stmts'!M55+'&gt;&gt; Fin Stmts'!M62</f>
        <v>10297.450000000001</v>
      </c>
      <c r="N44" s="69">
        <f>'&gt;&gt; Fin Stmts'!N55+'&gt;&gt; Fin Stmts'!N62</f>
        <v>-5992.34</v>
      </c>
      <c r="O44" s="69">
        <f>'&gt;&gt; Fin Stmts'!O55+'&gt;&gt; Fin Stmts'!O62</f>
        <v>-18925.46</v>
      </c>
      <c r="P44" s="69">
        <f>'&gt;&gt; Fin Stmts'!P55+'&gt;&gt; Fin Stmts'!P62</f>
        <v>-18925.46</v>
      </c>
      <c r="Q44" s="69">
        <f>'&gt;&gt; Fin Stmts'!Q55+'&gt;&gt; Fin Stmts'!Q62</f>
        <v>-18925.46</v>
      </c>
      <c r="R44" s="69">
        <f>'&gt;&gt; Fin Stmts'!R55+'&gt;&gt; Fin Stmts'!R62</f>
        <v>-18925.46</v>
      </c>
      <c r="S44" s="69">
        <f>'&gt;&gt; Fin Stmts'!S55+'&gt;&gt; Fin Stmts'!S62</f>
        <v>-18925.46</v>
      </c>
      <c r="T44" s="69">
        <f>'&gt;&gt; Fin Stmts'!T55+'&gt;&gt; Fin Stmts'!T62</f>
        <v>-18925.46</v>
      </c>
      <c r="U44" s="69">
        <f>'&gt;&gt; Fin Stmts'!U55+'&gt;&gt; Fin Stmts'!U62</f>
        <v>-18925.46</v>
      </c>
      <c r="V44" s="69">
        <f>'&gt;&gt; Fin Stmts'!V55+'&gt;&gt; Fin Stmts'!V62</f>
        <v>-18925.46</v>
      </c>
      <c r="W44" s="69">
        <f>'&gt;&gt; Fin Stmts'!W55+'&gt;&gt; Fin Stmts'!W62</f>
        <v>-18925.46</v>
      </c>
      <c r="X44" s="69">
        <f>'&gt;&gt; Fin Stmts'!X55+'&gt;&gt; Fin Stmts'!X62</f>
        <v>-18925.46</v>
      </c>
      <c r="Y44" s="69">
        <f>'&gt;&gt; Fin Stmts'!Y55+'&gt;&gt; Fin Stmts'!Y62</f>
        <v>-18925.46</v>
      </c>
    </row>
    <row r="45" spans="4:25" ht="15" customHeight="1" x14ac:dyDescent="0.2">
      <c r="D45" s="19"/>
      <c r="E45" s="2" t="s">
        <v>27</v>
      </c>
      <c r="F45" s="24" t="s">
        <v>25</v>
      </c>
      <c r="G45" s="24"/>
      <c r="H45" s="389">
        <f>'&gt;&gt; Fin Stmts'!H29</f>
        <v>57.04</v>
      </c>
      <c r="I45" s="69">
        <f>'&gt;&gt; Fin Stmts'!I29</f>
        <v>49.59</v>
      </c>
      <c r="J45" s="69">
        <f>'&gt;&gt; Fin Stmts'!J29</f>
        <v>74.495999999999995</v>
      </c>
      <c r="K45" s="69">
        <f>'&gt;&gt; Fin Stmts'!K29</f>
        <v>147.18</v>
      </c>
      <c r="L45" s="69">
        <f>'&gt;&gt; Fin Stmts'!L29</f>
        <v>182.33</v>
      </c>
      <c r="M45" s="69">
        <f>'&gt;&gt; Fin Stmts'!M29</f>
        <v>310.76</v>
      </c>
      <c r="N45" s="69">
        <f>'&gt;&gt; Fin Stmts'!N29</f>
        <v>311.5</v>
      </c>
      <c r="O45" s="69">
        <f>'&gt;&gt; Fin Stmts'!O29</f>
        <v>629.62</v>
      </c>
      <c r="P45" s="69">
        <f>'&gt;&gt; Fin Stmts'!P29</f>
        <v>808.46591608988149</v>
      </c>
      <c r="Q45" s="69">
        <f>'&gt;&gt; Fin Stmts'!Q29</f>
        <v>822.82712975644847</v>
      </c>
      <c r="R45" s="69">
        <f>'&gt;&gt; Fin Stmts'!R29</f>
        <v>833.48575831983169</v>
      </c>
      <c r="S45" s="69">
        <f>'&gt;&gt; Fin Stmts'!S29</f>
        <v>844.61036826947168</v>
      </c>
      <c r="T45" s="69">
        <f>'&gt;&gt; Fin Stmts'!T29</f>
        <v>843.84365077589234</v>
      </c>
      <c r="U45" s="69">
        <f>'&gt;&gt; Fin Stmts'!U29</f>
        <v>845.31490866498916</v>
      </c>
      <c r="V45" s="69">
        <f>'&gt;&gt; Fin Stmts'!V29</f>
        <v>849.02991183575739</v>
      </c>
      <c r="W45" s="69">
        <f>'&gt;&gt; Fin Stmts'!W29</f>
        <v>855.01227144871098</v>
      </c>
      <c r="X45" s="69">
        <f>'&gt;&gt; Fin Stmts'!X29</f>
        <v>863.30367413071417</v>
      </c>
      <c r="Y45" s="69">
        <f>'&gt;&gt; Fin Stmts'!Y29</f>
        <v>873.96435558427379</v>
      </c>
    </row>
    <row r="46" spans="4:25" ht="15" customHeight="1" x14ac:dyDescent="0.2">
      <c r="D46" s="19"/>
      <c r="E46" s="2" t="s">
        <v>28</v>
      </c>
      <c r="F46" s="24" t="s">
        <v>25</v>
      </c>
      <c r="G46" s="24"/>
      <c r="H46" s="389">
        <f t="shared" ref="H46:N46" si="14">SUM(H43:H45)</f>
        <v>4622.5600000000004</v>
      </c>
      <c r="I46" s="69">
        <f t="shared" si="14"/>
        <v>3656.6779999999999</v>
      </c>
      <c r="J46" s="69">
        <f t="shared" si="14"/>
        <v>11263.132</v>
      </c>
      <c r="K46" s="69">
        <f t="shared" si="14"/>
        <v>3907.8490000000002</v>
      </c>
      <c r="L46" s="69">
        <f t="shared" si="14"/>
        <v>6997.13</v>
      </c>
      <c r="M46" s="69">
        <f t="shared" si="14"/>
        <v>13491.608</v>
      </c>
      <c r="N46" s="69">
        <f t="shared" si="14"/>
        <v>-2808.357</v>
      </c>
      <c r="O46" s="69">
        <f>SUM(O43:O45)</f>
        <v>-15607.699999999999</v>
      </c>
      <c r="P46" s="69">
        <f>SUM(P43:P45)</f>
        <v>-15103.509021845817</v>
      </c>
      <c r="Q46" s="69">
        <f t="shared" ref="Q46:Y46" si="15">SUM(Q43:Q45)</f>
        <v>-14676.74484439855</v>
      </c>
      <c r="R46" s="69">
        <f t="shared" si="15"/>
        <v>-14173.26025352256</v>
      </c>
      <c r="S46" s="69">
        <f t="shared" si="15"/>
        <v>-13601.066952821702</v>
      </c>
      <c r="T46" s="69">
        <f t="shared" si="15"/>
        <v>-13008.843128768229</v>
      </c>
      <c r="U46" s="69">
        <f t="shared" si="15"/>
        <v>-13453.295022461858</v>
      </c>
      <c r="V46" s="69">
        <f t="shared" si="15"/>
        <v>-14233.802592136104</v>
      </c>
      <c r="W46" s="69">
        <f t="shared" si="15"/>
        <v>-14289.099110796371</v>
      </c>
      <c r="X46" s="69">
        <f t="shared" si="15"/>
        <v>-14139.134349219839</v>
      </c>
      <c r="Y46" s="69">
        <f t="shared" si="15"/>
        <v>-13872.331834184528</v>
      </c>
    </row>
    <row r="47" spans="4:25" ht="15" customHeight="1" x14ac:dyDescent="0.2">
      <c r="D47" s="19"/>
      <c r="E47" s="2" t="s">
        <v>114</v>
      </c>
      <c r="F47" s="24" t="s">
        <v>25</v>
      </c>
      <c r="G47" s="24"/>
      <c r="H47" s="389">
        <f>H46</f>
        <v>4622.5600000000004</v>
      </c>
      <c r="I47" s="69">
        <f t="shared" ref="I47:O47" si="16">H46-I46</f>
        <v>965.88200000000052</v>
      </c>
      <c r="J47" s="69">
        <f t="shared" si="16"/>
        <v>-7606.4539999999997</v>
      </c>
      <c r="K47" s="69">
        <f t="shared" si="16"/>
        <v>7355.2829999999994</v>
      </c>
      <c r="L47" s="69">
        <f t="shared" si="16"/>
        <v>-3089.2809999999999</v>
      </c>
      <c r="M47" s="69">
        <f t="shared" si="16"/>
        <v>-6494.4780000000001</v>
      </c>
      <c r="N47" s="69">
        <f t="shared" si="16"/>
        <v>16299.965</v>
      </c>
      <c r="O47" s="69">
        <f t="shared" si="16"/>
        <v>12799.342999999999</v>
      </c>
      <c r="P47" s="69">
        <f>O46-P46</f>
        <v>-504.19097815418172</v>
      </c>
      <c r="Q47" s="69">
        <f t="shared" ref="Q47:Y47" si="17">P46-Q46</f>
        <v>-426.76417744726677</v>
      </c>
      <c r="R47" s="69">
        <f t="shared" si="17"/>
        <v>-503.48459087599076</v>
      </c>
      <c r="S47" s="69">
        <f t="shared" si="17"/>
        <v>-572.19330070085744</v>
      </c>
      <c r="T47" s="69">
        <f t="shared" si="17"/>
        <v>-592.22382405347344</v>
      </c>
      <c r="U47" s="69">
        <f t="shared" si="17"/>
        <v>444.45189369362924</v>
      </c>
      <c r="V47" s="69">
        <f t="shared" si="17"/>
        <v>780.50756967424604</v>
      </c>
      <c r="W47" s="69">
        <f t="shared" si="17"/>
        <v>55.296518660266884</v>
      </c>
      <c r="X47" s="69">
        <f t="shared" si="17"/>
        <v>-149.9647615765316</v>
      </c>
      <c r="Y47" s="69">
        <f t="shared" si="17"/>
        <v>-266.80251503531144</v>
      </c>
    </row>
    <row r="48" spans="4:25" ht="15" customHeight="1" x14ac:dyDescent="0.2">
      <c r="D48" s="19"/>
      <c r="E48" s="2"/>
      <c r="F48" s="24"/>
      <c r="G48" s="24"/>
      <c r="H48" s="394"/>
      <c r="I48" s="2"/>
      <c r="J48" s="2"/>
      <c r="K48" s="2"/>
      <c r="L48" s="2"/>
      <c r="M48" s="2"/>
      <c r="N48" s="2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4:25" ht="15" customHeight="1" x14ac:dyDescent="0.2">
      <c r="E49" s="2" t="s">
        <v>115</v>
      </c>
      <c r="F49" s="24" t="s">
        <v>25</v>
      </c>
      <c r="O49" s="71"/>
      <c r="P49" s="71">
        <f t="shared" ref="P49:Y49" ca="1" si="18">P30*P33</f>
        <v>39.566346513646565</v>
      </c>
      <c r="Q49" s="71">
        <f t="shared" ca="1" si="18"/>
        <v>22.323749631238154</v>
      </c>
      <c r="R49" s="71">
        <f t="shared" ca="1" si="18"/>
        <v>21.992999899641347</v>
      </c>
      <c r="S49" s="71">
        <f t="shared" ca="1" si="18"/>
        <v>20.847934955171475</v>
      </c>
      <c r="T49" s="71">
        <f t="shared" ca="1" si="18"/>
        <v>19.948300437760679</v>
      </c>
      <c r="U49" s="71">
        <f t="shared" ca="1" si="18"/>
        <v>18.546226861702117</v>
      </c>
      <c r="V49" s="71">
        <f t="shared" ca="1" si="18"/>
        <v>16.933772251816023</v>
      </c>
      <c r="W49" s="71">
        <f t="shared" ca="1" si="18"/>
        <v>15.257069233538729</v>
      </c>
      <c r="X49" s="71">
        <f t="shared" ca="1" si="18"/>
        <v>13.604722643221358</v>
      </c>
      <c r="Y49" s="71">
        <f t="shared" ca="1" si="18"/>
        <v>11.824018242448474</v>
      </c>
    </row>
    <row r="50" spans="4:25" ht="15" customHeight="1" x14ac:dyDescent="0.2">
      <c r="D50" s="19" t="s">
        <v>59</v>
      </c>
      <c r="E50" s="2" t="s">
        <v>262</v>
      </c>
      <c r="F50" s="24" t="s">
        <v>25</v>
      </c>
      <c r="G50" s="52"/>
      <c r="H50" s="399">
        <v>0</v>
      </c>
      <c r="I50" s="321">
        <v>-0.2</v>
      </c>
      <c r="J50" s="321">
        <v>-0.5</v>
      </c>
      <c r="K50" s="321">
        <v>-1.2</v>
      </c>
      <c r="L50" s="321">
        <v>-0.9</v>
      </c>
      <c r="M50" s="321">
        <v>-2.8</v>
      </c>
      <c r="N50" s="321">
        <v>-1.9</v>
      </c>
      <c r="O50" s="322">
        <v>0</v>
      </c>
      <c r="P50" s="69">
        <f>P46*P51</f>
        <v>0.14190782235636673</v>
      </c>
      <c r="Q50" s="69">
        <f t="shared" ref="Q50:Y50" si="19">Q46*Q51</f>
        <v>0.13789808031604672</v>
      </c>
      <c r="R50" s="69">
        <f t="shared" si="19"/>
        <v>0.13316749739138631</v>
      </c>
      <c r="S50" s="69">
        <f t="shared" si="19"/>
        <v>0.12779134903063691</v>
      </c>
      <c r="T50" s="69">
        <f t="shared" si="19"/>
        <v>0.12222700016988999</v>
      </c>
      <c r="U50" s="69">
        <f t="shared" si="19"/>
        <v>0.12640293043119546</v>
      </c>
      <c r="V50" s="69">
        <f t="shared" si="19"/>
        <v>0.13373633417101038</v>
      </c>
      <c r="W50" s="69">
        <f t="shared" si="19"/>
        <v>0.13425588287559398</v>
      </c>
      <c r="X50" s="69">
        <f t="shared" si="19"/>
        <v>0.13284686112344776</v>
      </c>
      <c r="Y50" s="69">
        <f t="shared" si="19"/>
        <v>0.13034006857258426</v>
      </c>
    </row>
    <row r="51" spans="4:25" ht="15" customHeight="1" x14ac:dyDescent="0.2">
      <c r="D51" s="19"/>
      <c r="E51" s="18" t="s">
        <v>84</v>
      </c>
      <c r="F51" s="24" t="s">
        <v>7</v>
      </c>
      <c r="G51" s="36"/>
      <c r="H51" s="390"/>
      <c r="I51" s="302">
        <f>I50/I46</f>
        <v>-5.4694452177632274E-5</v>
      </c>
      <c r="J51" s="302">
        <f t="shared" ref="J51:O51" si="20">J50/J46</f>
        <v>-4.4392625426036025E-5</v>
      </c>
      <c r="K51" s="302">
        <f t="shared" si="20"/>
        <v>-3.0707430097734071E-4</v>
      </c>
      <c r="L51" s="302">
        <f t="shared" si="20"/>
        <v>-1.2862416447886492E-4</v>
      </c>
      <c r="M51" s="302">
        <f t="shared" si="20"/>
        <v>-2.0753641819418412E-4</v>
      </c>
      <c r="N51" s="302">
        <f t="shared" si="20"/>
        <v>6.7655216199364969E-4</v>
      </c>
      <c r="O51" s="323">
        <f t="shared" si="20"/>
        <v>0</v>
      </c>
      <c r="P51" s="324">
        <f>AVERAGE(I51:O51)</f>
        <v>-9.3956856086297758E-6</v>
      </c>
      <c r="Q51" s="325">
        <f>P51</f>
        <v>-9.3956856086297758E-6</v>
      </c>
      <c r="R51" s="325">
        <f t="shared" ref="R51:Y51" si="21">Q51</f>
        <v>-9.3956856086297758E-6</v>
      </c>
      <c r="S51" s="325">
        <f t="shared" si="21"/>
        <v>-9.3956856086297758E-6</v>
      </c>
      <c r="T51" s="325">
        <f t="shared" si="21"/>
        <v>-9.3956856086297758E-6</v>
      </c>
      <c r="U51" s="325">
        <f t="shared" si="21"/>
        <v>-9.3956856086297758E-6</v>
      </c>
      <c r="V51" s="325">
        <f t="shared" si="21"/>
        <v>-9.3956856086297758E-6</v>
      </c>
      <c r="W51" s="325">
        <f t="shared" si="21"/>
        <v>-9.3956856086297758E-6</v>
      </c>
      <c r="X51" s="325">
        <f t="shared" si="21"/>
        <v>-9.3956856086297758E-6</v>
      </c>
      <c r="Y51" s="326">
        <f t="shared" si="21"/>
        <v>-9.3956856086297758E-6</v>
      </c>
    </row>
    <row r="52" spans="4:25" ht="15" customHeight="1" x14ac:dyDescent="0.2">
      <c r="D52" s="19" t="s">
        <v>58</v>
      </c>
      <c r="E52" s="2" t="s">
        <v>116</v>
      </c>
      <c r="F52" s="24" t="s">
        <v>25</v>
      </c>
      <c r="G52" s="24"/>
      <c r="H52" s="394"/>
      <c r="I52" s="2"/>
      <c r="J52" s="2"/>
      <c r="K52" s="2"/>
      <c r="L52" s="2"/>
      <c r="M52" s="2"/>
      <c r="N52" s="2"/>
      <c r="O52" s="69"/>
      <c r="P52" s="71">
        <f t="shared" ref="P52:Y52" si="22">P47</f>
        <v>-504.19097815418172</v>
      </c>
      <c r="Q52" s="71">
        <f t="shared" si="22"/>
        <v>-426.76417744726677</v>
      </c>
      <c r="R52" s="71">
        <f t="shared" si="22"/>
        <v>-503.48459087599076</v>
      </c>
      <c r="S52" s="71">
        <f t="shared" si="22"/>
        <v>-572.19330070085744</v>
      </c>
      <c r="T52" s="71">
        <f t="shared" si="22"/>
        <v>-592.22382405347344</v>
      </c>
      <c r="U52" s="71">
        <f t="shared" si="22"/>
        <v>444.45189369362924</v>
      </c>
      <c r="V52" s="71">
        <f t="shared" si="22"/>
        <v>780.50756967424604</v>
      </c>
      <c r="W52" s="71">
        <f t="shared" si="22"/>
        <v>55.296518660266884</v>
      </c>
      <c r="X52" s="71">
        <f t="shared" si="22"/>
        <v>-149.9647615765316</v>
      </c>
      <c r="Y52" s="71">
        <f t="shared" si="22"/>
        <v>-266.80251503531144</v>
      </c>
    </row>
    <row r="53" spans="4:25" ht="15" customHeight="1" x14ac:dyDescent="0.2">
      <c r="D53" s="19"/>
      <c r="E53" s="185" t="s">
        <v>117</v>
      </c>
      <c r="F53" s="186" t="s">
        <v>25</v>
      </c>
      <c r="G53" s="186"/>
      <c r="H53" s="400"/>
      <c r="I53" s="191"/>
      <c r="J53" s="191"/>
      <c r="K53" s="191"/>
      <c r="L53" s="191"/>
      <c r="M53" s="191"/>
      <c r="N53" s="191"/>
      <c r="O53" s="205"/>
      <c r="P53" s="206">
        <f ca="1">SUM(P49:P50,P52)</f>
        <v>-464.48272381817878</v>
      </c>
      <c r="Q53" s="206">
        <f t="shared" ref="Q53:Y53" ca="1" si="23">SUM(Q49:Q50,Q52)</f>
        <v>-404.3025297357126</v>
      </c>
      <c r="R53" s="206">
        <f t="shared" ca="1" si="23"/>
        <v>-481.358423478958</v>
      </c>
      <c r="S53" s="206">
        <f t="shared" ca="1" si="23"/>
        <v>-551.21757439665532</v>
      </c>
      <c r="T53" s="206">
        <f t="shared" ca="1" si="23"/>
        <v>-572.1532966155429</v>
      </c>
      <c r="U53" s="206">
        <f t="shared" ca="1" si="23"/>
        <v>463.12452348576255</v>
      </c>
      <c r="V53" s="206">
        <f t="shared" ca="1" si="23"/>
        <v>797.57507826023311</v>
      </c>
      <c r="W53" s="206">
        <f t="shared" ca="1" si="23"/>
        <v>70.687843776681206</v>
      </c>
      <c r="X53" s="206">
        <f t="shared" ca="1" si="23"/>
        <v>-136.2271920721868</v>
      </c>
      <c r="Y53" s="206">
        <f t="shared" ca="1" si="23"/>
        <v>-254.84815672429039</v>
      </c>
    </row>
    <row r="54" spans="4:25" ht="15" customHeight="1" x14ac:dyDescent="0.2">
      <c r="D54" s="19"/>
      <c r="E54" s="182" t="s">
        <v>119</v>
      </c>
      <c r="F54" s="76" t="s">
        <v>25</v>
      </c>
      <c r="G54" s="76"/>
      <c r="H54" s="398"/>
      <c r="I54" s="77"/>
      <c r="J54" s="77"/>
      <c r="K54" s="77"/>
      <c r="L54" s="77"/>
      <c r="M54" s="77"/>
      <c r="N54" s="77"/>
      <c r="O54" s="190"/>
      <c r="P54" s="207"/>
      <c r="Q54" s="207"/>
      <c r="R54" s="207"/>
      <c r="S54" s="207"/>
      <c r="T54" s="207"/>
      <c r="U54" s="207"/>
      <c r="V54" s="207"/>
      <c r="W54" s="207"/>
      <c r="X54" s="207"/>
      <c r="Y54" s="208">
        <f ca="1">(Y53*(1+'&gt;&gt; Dash'!F43))/('&gt;&gt; Dash'!$F$49-'&gt;&gt; Dash'!$F$43)</f>
        <v>-2902.1739368136127</v>
      </c>
    </row>
    <row r="55" spans="4:25" ht="15" customHeight="1" x14ac:dyDescent="0.2">
      <c r="D55" s="19"/>
      <c r="E55" s="2"/>
      <c r="F55" s="24"/>
      <c r="G55" s="24"/>
      <c r="H55" s="394"/>
      <c r="I55" s="2"/>
      <c r="J55" s="2"/>
      <c r="K55" s="2"/>
      <c r="L55" s="2"/>
      <c r="M55" s="2"/>
      <c r="N55" s="2"/>
      <c r="O55" s="69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4:25" ht="15" customHeight="1" x14ac:dyDescent="0.2">
      <c r="D56" s="19"/>
      <c r="E56" s="2" t="s">
        <v>36</v>
      </c>
      <c r="F56" s="24" t="s">
        <v>7</v>
      </c>
      <c r="G56" s="24"/>
      <c r="H56" s="393"/>
      <c r="I56" s="28"/>
      <c r="J56" s="28"/>
      <c r="K56" s="21"/>
      <c r="L56" s="21"/>
      <c r="M56" s="21"/>
      <c r="N56" s="21"/>
      <c r="O56" s="21"/>
      <c r="P56" s="21">
        <f ca="1">P11 * '&gt;&gt; Inputs'!P45</f>
        <v>-2.7397260273972601E-2</v>
      </c>
      <c r="Q56" s="21">
        <f ca="1">Q11 * '&gt;&gt; Inputs'!Q45</f>
        <v>0.9726027397260274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">
      <c r="D57" s="19"/>
      <c r="E57" s="2" t="s">
        <v>108</v>
      </c>
      <c r="F57" s="24" t="s">
        <v>25</v>
      </c>
      <c r="G57" s="24"/>
      <c r="H57" s="382"/>
      <c r="I57" s="27"/>
      <c r="J57" s="27"/>
      <c r="K57" s="32"/>
      <c r="L57" s="32"/>
      <c r="M57" s="32"/>
      <c r="N57" s="32"/>
      <c r="O57" s="32"/>
      <c r="P57" s="32">
        <f ca="1">( P56 * P53 )</f>
        <v>12.725554077210377</v>
      </c>
      <c r="Q57" s="32">
        <f t="shared" ref="Q57:Y57" ca="1" si="24">( Q56 * Q53 )</f>
        <v>-393.22574809911771</v>
      </c>
      <c r="R57" s="32">
        <f t="shared" ca="1" si="24"/>
        <v>-481.358423478958</v>
      </c>
      <c r="S57" s="32">
        <f t="shared" ca="1" si="24"/>
        <v>-551.21757439665532</v>
      </c>
      <c r="T57" s="32">
        <f t="shared" ca="1" si="24"/>
        <v>-572.1532966155429</v>
      </c>
      <c r="U57" s="32">
        <f t="shared" ca="1" si="24"/>
        <v>463.12452348576255</v>
      </c>
      <c r="V57" s="32">
        <f t="shared" ca="1" si="24"/>
        <v>797.57507826023311</v>
      </c>
      <c r="W57" s="32">
        <f t="shared" ca="1" si="24"/>
        <v>70.687843776681206</v>
      </c>
      <c r="X57" s="32">
        <f t="shared" ca="1" si="24"/>
        <v>-136.2271920721868</v>
      </c>
      <c r="Y57" s="32">
        <f t="shared" ca="1" si="24"/>
        <v>-254.84815672429039</v>
      </c>
    </row>
    <row r="58" spans="4:25" ht="15" customHeight="1" x14ac:dyDescent="0.2">
      <c r="D58" s="19"/>
      <c r="E58" s="2" t="s">
        <v>109</v>
      </c>
      <c r="F58" s="24" t="s">
        <v>25</v>
      </c>
      <c r="G58" s="24"/>
      <c r="H58" s="382"/>
      <c r="I58" s="27"/>
      <c r="J58" s="27"/>
      <c r="K58" s="32"/>
      <c r="L58" s="32"/>
      <c r="M58" s="32"/>
      <c r="N58" s="32"/>
      <c r="O58" s="32"/>
      <c r="P58" s="32">
        <f t="shared" ref="P58:X58" ca="1" si="25">P56 * P55</f>
        <v>0</v>
      </c>
      <c r="Q58" s="32">
        <f t="shared" ca="1" si="25"/>
        <v>0</v>
      </c>
      <c r="R58" s="32">
        <f t="shared" ca="1" si="25"/>
        <v>0</v>
      </c>
      <c r="S58" s="32">
        <f t="shared" ca="1" si="25"/>
        <v>0</v>
      </c>
      <c r="T58" s="32">
        <f t="shared" ca="1" si="25"/>
        <v>0</v>
      </c>
      <c r="U58" s="32">
        <f t="shared" ca="1" si="25"/>
        <v>0</v>
      </c>
      <c r="V58" s="32">
        <f t="shared" ca="1" si="25"/>
        <v>0</v>
      </c>
      <c r="W58" s="32">
        <f t="shared" ca="1" si="25"/>
        <v>0</v>
      </c>
      <c r="X58" s="32">
        <f t="shared" ca="1" si="25"/>
        <v>0</v>
      </c>
      <c r="Y58" s="32">
        <f ca="1">Y56 * Y54</f>
        <v>-2902.1739368136127</v>
      </c>
    </row>
    <row r="59" spans="4:25" ht="15" customHeight="1" x14ac:dyDescent="0.2">
      <c r="D59" s="19"/>
      <c r="E59" s="2"/>
      <c r="F59" s="24"/>
      <c r="G59" s="24"/>
      <c r="H59" s="381"/>
      <c r="I59" s="27"/>
      <c r="J59" s="27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4:25" ht="15" customHeight="1" x14ac:dyDescent="0.2">
      <c r="D60" s="19"/>
      <c r="E60" s="2" t="s">
        <v>110</v>
      </c>
      <c r="F60" s="16" t="s">
        <v>10</v>
      </c>
      <c r="G60" s="16"/>
      <c r="H60" s="382"/>
      <c r="I60" s="27"/>
      <c r="J60" s="27"/>
      <c r="K60" s="59"/>
      <c r="L60" s="59"/>
      <c r="M60" s="59"/>
      <c r="N60" s="59"/>
      <c r="O60" s="59"/>
      <c r="P60" s="59">
        <f ca="1">IF( P11 = 1, ( P8 - '&gt;&gt; Inputs'!$G$26 ) / DiY, 0 )</f>
        <v>-2.7397260273972601E-2</v>
      </c>
      <c r="Q60" s="59">
        <f ca="1">IF( Q11 = 1, ( Q8 - '&gt;&gt; Inputs'!$G$26 ) / DiY, 0 )</f>
        <v>0.9726027397260274</v>
      </c>
      <c r="R60" s="59">
        <f ca="1">IF( R11 = 1, ( R8 - '&gt;&gt; Inputs'!$G$26 ) / DiY, 0 )</f>
        <v>1.9726027397260273</v>
      </c>
      <c r="S60" s="59">
        <f ca="1">IF( S11 = 1, ( S8 - '&gt;&gt; Inputs'!$G$26 ) / DiY, 0 )</f>
        <v>2.9726027397260273</v>
      </c>
      <c r="T60" s="59">
        <f ca="1">IF( T11 = 1, ( T8 - '&gt;&gt; Inputs'!$G$26 ) / DiY, 0 )</f>
        <v>3.9753424657534246</v>
      </c>
      <c r="U60" s="59">
        <f ca="1">IF( U11 = 1, ( U8 - '&gt;&gt; Inputs'!$G$26 ) / DiY, 0 )</f>
        <v>4.9753424657534246</v>
      </c>
      <c r="V60" s="59">
        <f ca="1">IF( V11 = 1, ( V8 - '&gt;&gt; Inputs'!$G$26 ) / DiY, 0 )</f>
        <v>5.9753424657534246</v>
      </c>
      <c r="W60" s="59">
        <f ca="1">IF( W11 = 1, ( W8 - '&gt;&gt; Inputs'!$G$26 ) / DiY, 0 )</f>
        <v>6.9753424657534246</v>
      </c>
      <c r="X60" s="59">
        <f ca="1">IF( X11 = 1, ( X8 - '&gt;&gt; Inputs'!$G$26 ) / DiY, 0 )</f>
        <v>7.978082191780822</v>
      </c>
      <c r="Y60" s="59">
        <f ca="1">IF( Y11 = 1, ( Y8 - '&gt;&gt; Inputs'!$G$26 ) / DiY, 0 )</f>
        <v>8.9780821917808211</v>
      </c>
    </row>
    <row r="61" spans="4:25" ht="15" customHeight="1" x14ac:dyDescent="0.2">
      <c r="D61" s="19"/>
      <c r="E61" s="2" t="s">
        <v>111</v>
      </c>
      <c r="F61" s="24" t="s">
        <v>10</v>
      </c>
      <c r="G61" s="24"/>
      <c r="H61" s="387"/>
      <c r="I61" s="43"/>
      <c r="J61" s="43"/>
      <c r="K61" s="22"/>
      <c r="L61" s="22"/>
      <c r="M61" s="22"/>
      <c r="N61" s="22"/>
      <c r="O61" s="22"/>
      <c r="P61" s="22">
        <f ca="1">P11 * ( 1 / ( 1 + '&gt;&gt; Dash'!$F$49 ) ^ '&gt;&gt; DCF'!P$60 )</f>
        <v>1.0027175964207886</v>
      </c>
      <c r="Q61" s="22">
        <f ca="1">Q11 * ( 1 / ( 1 + '&gt;&gt; Dash'!$F$49 ) ^ '&gt;&gt; DCF'!Q$60 )</f>
        <v>0.90815172135049294</v>
      </c>
      <c r="R61" s="22">
        <f ca="1">R11 * ( 1 / ( 1 + '&gt;&gt; Dash'!$F$49 ) ^ '&gt;&gt; DCF'!R$60 )</f>
        <v>0.82250431421147907</v>
      </c>
      <c r="S61" s="22">
        <f ca="1">S11 * ( 1 / ( 1 + '&gt;&gt; Dash'!$F$49 ) ^ '&gt;&gt; DCF'!S$60 )</f>
        <v>0.7449342780416327</v>
      </c>
      <c r="T61" s="22">
        <f ca="1">T11 * ( 1 / ( 1 + '&gt;&gt; Dash'!$F$49 ) ^ '&gt;&gt; DCF'!T$60 )</f>
        <v>0.67449676215825627</v>
      </c>
      <c r="U61" s="22">
        <f ca="1">U11 * ( 1 / ( 1 + '&gt;&gt; Dash'!$F$49 ) ^ '&gt;&gt; DCF'!U$60 )</f>
        <v>0.61088525601409793</v>
      </c>
      <c r="V61" s="22">
        <f ca="1">V11 * ( 1 / ( 1 + '&gt;&gt; Dash'!$F$49 ) ^ '&gt;&gt; DCF'!V$60 )</f>
        <v>0.55327292427810215</v>
      </c>
      <c r="W61" s="22">
        <f ca="1">W11 * ( 1 / ( 1 + '&gt;&gt; Dash'!$F$49 ) ^ '&gt;&gt; DCF'!W$60 )</f>
        <v>0.50109398733332366</v>
      </c>
      <c r="X61" s="22">
        <f ca="1">X11 * ( 1 / ( 1 + '&gt;&gt; Dash'!$F$49 ) ^ '&gt;&gt; DCF'!X$60 )</f>
        <v>0.45371287368039176</v>
      </c>
      <c r="Y61" s="22">
        <f ca="1">Y11 * ( 1 / ( 1 + '&gt;&gt; Dash'!$F$49 ) ^ '&gt;&gt; DCF'!Y$60 )</f>
        <v>0.41092340326180399</v>
      </c>
    </row>
    <row r="62" spans="4:25" ht="15" customHeight="1" x14ac:dyDescent="0.2">
      <c r="D62" s="19"/>
      <c r="E62" s="68"/>
      <c r="F62" s="24"/>
      <c r="G62" s="24"/>
      <c r="H62" s="394"/>
      <c r="I62" s="2"/>
      <c r="J62" s="2"/>
      <c r="K62" s="2"/>
      <c r="L62" s="2"/>
      <c r="M62" s="2"/>
      <c r="N62" s="2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4:25" ht="15" customHeight="1" x14ac:dyDescent="0.2">
      <c r="D63" s="19"/>
      <c r="E63" s="185" t="s">
        <v>118</v>
      </c>
      <c r="F63" s="186" t="s">
        <v>25</v>
      </c>
      <c r="G63" s="186"/>
      <c r="H63" s="400"/>
      <c r="I63" s="191"/>
      <c r="J63" s="191"/>
      <c r="K63" s="191"/>
      <c r="L63" s="191"/>
      <c r="M63" s="191"/>
      <c r="N63" s="191"/>
      <c r="O63" s="192"/>
      <c r="P63" s="193">
        <f ca="1">P61*P57</f>
        <v>12.760136997423157</v>
      </c>
      <c r="Q63" s="193">
        <f t="shared" ref="Q63:Y63" ca="1" si="26">Q61*Q57</f>
        <v>-357.1086400155491</v>
      </c>
      <c r="R63" s="193">
        <f t="shared" ca="1" si="26"/>
        <v>-395.91937999347908</v>
      </c>
      <c r="S63" s="193">
        <f t="shared" ca="1" si="26"/>
        <v>-410.62086582703239</v>
      </c>
      <c r="T63" s="193">
        <f t="shared" ca="1" si="26"/>
        <v>-385.91554602535609</v>
      </c>
      <c r="U63" s="193">
        <f t="shared" ca="1" si="26"/>
        <v>282.91594309600714</v>
      </c>
      <c r="V63" s="193">
        <f t="shared" ca="1" si="26"/>
        <v>441.27669588037537</v>
      </c>
      <c r="W63" s="193">
        <f t="shared" ca="1" si="26"/>
        <v>35.421253494052252</v>
      </c>
      <c r="X63" s="193">
        <f t="shared" ca="1" si="26"/>
        <v>-61.808030788482554</v>
      </c>
      <c r="Y63" s="193">
        <f t="shared" ca="1" si="26"/>
        <v>-104.72307187614301</v>
      </c>
    </row>
    <row r="64" spans="4:25" ht="15" customHeight="1" x14ac:dyDescent="0.2">
      <c r="E64" s="182" t="s">
        <v>239</v>
      </c>
      <c r="F64" s="76" t="s">
        <v>25</v>
      </c>
      <c r="G64" s="76"/>
      <c r="H64" s="398"/>
      <c r="I64" s="77"/>
      <c r="J64" s="77"/>
      <c r="K64" s="77"/>
      <c r="L64" s="77"/>
      <c r="M64" s="77"/>
      <c r="N64" s="77"/>
      <c r="O64" s="183"/>
      <c r="P64" s="184"/>
      <c r="Q64" s="184"/>
      <c r="R64" s="184"/>
      <c r="S64" s="184"/>
      <c r="T64" s="184"/>
      <c r="U64" s="184"/>
      <c r="V64" s="184"/>
      <c r="W64" s="184"/>
      <c r="X64" s="184"/>
      <c r="Y64" s="202">
        <f ca="1">Y58 * Y61</f>
        <v>-1192.5711909731574</v>
      </c>
    </row>
    <row r="65" spans="5:25" ht="15" customHeight="1" x14ac:dyDescent="0.2">
      <c r="E65" s="68"/>
      <c r="F65" s="24"/>
      <c r="G65" s="24"/>
      <c r="H65" s="394"/>
      <c r="I65" s="2"/>
      <c r="J65" s="2"/>
      <c r="K65" s="2"/>
      <c r="L65" s="2"/>
      <c r="M65" s="2"/>
      <c r="N65" s="2"/>
      <c r="O65" s="33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spans="5:25" ht="15" customHeight="1" x14ac:dyDescent="0.2">
      <c r="E66" s="2"/>
      <c r="F66" s="24"/>
      <c r="G66" s="24"/>
      <c r="H66" s="394"/>
      <c r="I66" s="2"/>
      <c r="J66" s="2"/>
      <c r="K66" s="2"/>
      <c r="L66" s="2"/>
      <c r="M66" s="2"/>
      <c r="N66" s="2"/>
      <c r="O66" s="33"/>
      <c r="Y66" s="73"/>
    </row>
    <row r="67" spans="5:25" ht="15" customHeight="1" x14ac:dyDescent="0.2">
      <c r="E67" s="424" t="s">
        <v>120</v>
      </c>
      <c r="F67" s="425"/>
      <c r="G67" s="425"/>
      <c r="H67" s="426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">
      <c r="E68" s="2"/>
      <c r="F68" s="24"/>
      <c r="G68" s="24"/>
      <c r="H68" s="39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">
      <c r="E69" s="74" t="s">
        <v>121</v>
      </c>
      <c r="F69" s="24" t="s">
        <v>25</v>
      </c>
      <c r="G69" s="24"/>
      <c r="H69" s="39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">
      <c r="E70" s="2" t="s">
        <v>57</v>
      </c>
      <c r="F70" s="24" t="s">
        <v>25</v>
      </c>
      <c r="G70" s="24"/>
      <c r="H70" s="382">
        <f ca="1">SUM(P40:Y41)</f>
        <v>298.89200046708351</v>
      </c>
      <c r="I70" s="2"/>
      <c r="J70" s="2" t="s">
        <v>320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">
      <c r="E71" s="2" t="s">
        <v>297</v>
      </c>
      <c r="F71" s="24" t="s">
        <v>25</v>
      </c>
      <c r="G71" s="24"/>
      <c r="H71" s="401">
        <v>0</v>
      </c>
      <c r="I71" s="75"/>
      <c r="J71" s="46"/>
      <c r="K71" s="2"/>
      <c r="L71" s="2"/>
      <c r="M71" s="2"/>
      <c r="N71" s="2"/>
      <c r="O71" s="2"/>
      <c r="P71" s="46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">
      <c r="E72" s="2" t="s">
        <v>60</v>
      </c>
      <c r="F72" s="24" t="s">
        <v>25</v>
      </c>
      <c r="G72" s="24"/>
      <c r="H72" s="382">
        <f>'&gt;&gt; Inputs'!$G$35</f>
        <v>-15607.699999999999</v>
      </c>
      <c r="I72" s="2"/>
      <c r="J72" s="4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">
      <c r="E73" s="15" t="s">
        <v>62</v>
      </c>
      <c r="F73" s="29" t="s">
        <v>25</v>
      </c>
      <c r="G73" s="29"/>
      <c r="H73" s="386">
        <f ca="1">H70 + H71 - H72</f>
        <v>15906.592000467082</v>
      </c>
      <c r="I73" s="2"/>
      <c r="J73" s="3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">
      <c r="E74" s="2"/>
      <c r="F74" s="2"/>
      <c r="G74" s="2"/>
      <c r="H74" s="394"/>
      <c r="I74" s="46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">
      <c r="E75" s="2" t="s">
        <v>63</v>
      </c>
      <c r="F75" s="16" t="s">
        <v>64</v>
      </c>
      <c r="G75" s="16"/>
      <c r="H75" s="382">
        <f>'&gt;&gt; Inputs'!$G$47</f>
        <v>937.42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">
      <c r="E76" s="1" t="s">
        <v>122</v>
      </c>
      <c r="F76" s="47" t="s">
        <v>65</v>
      </c>
      <c r="G76" s="47"/>
      <c r="H76" s="391">
        <f ca="1">H73 / H75</f>
        <v>16.968479444077449</v>
      </c>
      <c r="I76" s="2"/>
      <c r="J76" s="3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">
      <c r="E77" s="1"/>
      <c r="F77" s="47"/>
      <c r="G77" s="47"/>
      <c r="H77" s="391"/>
      <c r="I77" s="2"/>
      <c r="J77" s="3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">
      <c r="E78" s="1" t="s">
        <v>66</v>
      </c>
      <c r="F78" s="47" t="s">
        <v>65</v>
      </c>
      <c r="G78" s="16"/>
      <c r="H78" s="391">
        <v>1</v>
      </c>
      <c r="I78" s="2"/>
      <c r="J78" s="3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">
      <c r="E79" s="2" t="s">
        <v>67</v>
      </c>
      <c r="F79" s="16" t="s">
        <v>7</v>
      </c>
      <c r="G79" s="16"/>
      <c r="H79" s="393">
        <f ca="1">H76 / H78 - 1</f>
        <v>15.968479444077449</v>
      </c>
      <c r="I79" s="2"/>
      <c r="J79" s="3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">
      <c r="E80" s="2"/>
      <c r="F80" s="16"/>
      <c r="G80" s="16"/>
      <c r="H80" s="393"/>
      <c r="I80" s="2"/>
      <c r="J80" s="3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">
      <c r="E81" s="2" t="s">
        <v>256</v>
      </c>
      <c r="F81" s="16" t="s">
        <v>7</v>
      </c>
      <c r="G81" s="16"/>
      <c r="H81" s="393">
        <f>'&gt;&gt; Dash'!$K$43</f>
        <v>6.5072578063651063E-2</v>
      </c>
      <c r="I81" s="2"/>
      <c r="J81" s="3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">
      <c r="E82" s="2"/>
      <c r="F82" s="271"/>
      <c r="G82" s="271"/>
      <c r="H82" s="394"/>
      <c r="I82" s="2"/>
      <c r="J82" s="3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">
      <c r="E83" s="2" t="str">
        <f>"Forecast FY" &amp; TEXT(YEAR(EOMONTH('&gt;&gt; Inputs'!$G$17, 12)), "00") &amp; " EBITDA"</f>
        <v>Forecast FY2025 EBITDA</v>
      </c>
      <c r="F83" s="271" t="s">
        <v>25</v>
      </c>
      <c r="G83" s="271"/>
      <c r="H83" s="382">
        <f>P18</f>
        <v>70.521162790697673</v>
      </c>
      <c r="I83" s="2"/>
      <c r="J83" s="3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">
      <c r="E84" s="2" t="str">
        <f>"Forecast FY" &amp; TEXT(YEAR(EOMONTH('&gt;&gt; Inputs'!$G$17, 12)), "00") &amp; " EBIT"</f>
        <v>Forecast FY2025 EBIT</v>
      </c>
      <c r="F84" s="271" t="s">
        <v>25</v>
      </c>
      <c r="G84" s="271"/>
      <c r="H84" s="382">
        <f>P21</f>
        <v>59.319912790697671</v>
      </c>
      <c r="I84" s="2"/>
      <c r="J84" s="3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">
      <c r="I85" s="2"/>
      <c r="J85" s="3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">
      <c r="E86" s="2" t="s">
        <v>69</v>
      </c>
      <c r="F86" s="16" t="s">
        <v>70</v>
      </c>
      <c r="G86" s="16"/>
      <c r="H86" s="392">
        <f ca="1">H73 / '&gt;&gt; Fin Stmts'!O15</f>
        <v>224.03650704883214</v>
      </c>
      <c r="I86" s="2"/>
      <c r="J86" s="3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">
      <c r="E87" s="2" t="s">
        <v>71</v>
      </c>
      <c r="F87" s="16" t="s">
        <v>70</v>
      </c>
      <c r="G87" s="16"/>
      <c r="H87" s="392">
        <f ca="1">H73/ '&gt;&gt; Fin Stmts'!O17</f>
        <v>265.10986667445138</v>
      </c>
      <c r="I87" s="2"/>
      <c r="J87" s="3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">
      <c r="E88" s="2" t="s">
        <v>72</v>
      </c>
      <c r="F88" s="16" t="s">
        <v>70</v>
      </c>
      <c r="G88" s="16"/>
      <c r="H88" s="392">
        <f>( ( H75 * H78 ) + ( 0 - H72 ) ) / H83</f>
        <v>234.61212698810516</v>
      </c>
      <c r="I88" s="2"/>
      <c r="J88" s="3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">
      <c r="E89" s="2" t="s">
        <v>73</v>
      </c>
      <c r="F89" s="16" t="s">
        <v>70</v>
      </c>
      <c r="G89" s="16"/>
      <c r="H89" s="392">
        <f>( ( H75 * H78 ) + ( 0 - H72 ) ) / H84</f>
        <v>278.91342420507641</v>
      </c>
      <c r="I89" s="2"/>
      <c r="J89" s="4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">
      <c r="E90" s="2"/>
      <c r="F90" s="16"/>
      <c r="G90" s="16"/>
      <c r="H90" s="392"/>
      <c r="I90" s="2"/>
      <c r="J90" s="4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">
      <c r="E91" s="424" t="s">
        <v>123</v>
      </c>
      <c r="F91" s="425"/>
      <c r="G91" s="425"/>
      <c r="H91" s="426"/>
      <c r="I91" s="2"/>
      <c r="J91" s="48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">
      <c r="E92" s="156"/>
    </row>
    <row r="93" spans="5:25" ht="15" customHeight="1" x14ac:dyDescent="0.2">
      <c r="E93" s="2" t="s">
        <v>62</v>
      </c>
      <c r="F93" s="24" t="s">
        <v>25</v>
      </c>
      <c r="G93" s="24"/>
      <c r="H93" s="382">
        <f ca="1">SUM(P63:Y64)</f>
        <v>-2136.2926960313416</v>
      </c>
    </row>
    <row r="95" spans="5:25" ht="15" customHeight="1" x14ac:dyDescent="0.2">
      <c r="E95" s="2" t="s">
        <v>63</v>
      </c>
      <c r="F95" s="16" t="s">
        <v>64</v>
      </c>
      <c r="G95" s="16"/>
      <c r="H95" s="382">
        <f>'&gt;&gt; Inputs'!$G$47</f>
        <v>937.42</v>
      </c>
    </row>
    <row r="96" spans="5:25" ht="15" customHeight="1" x14ac:dyDescent="0.2">
      <c r="E96" s="1" t="s">
        <v>231</v>
      </c>
      <c r="F96" s="47" t="s">
        <v>65</v>
      </c>
      <c r="G96" s="47"/>
      <c r="H96" s="391">
        <f ca="1">H93 / H95</f>
        <v>-2.2789066758030998</v>
      </c>
    </row>
    <row r="98" spans="1:27" ht="15" customHeight="1" x14ac:dyDescent="0.2">
      <c r="E98" s="1" t="s">
        <v>66</v>
      </c>
      <c r="F98" s="16" t="s">
        <v>65</v>
      </c>
      <c r="G98" s="16"/>
      <c r="H98" s="391">
        <v>1</v>
      </c>
    </row>
    <row r="99" spans="1:27" ht="15" customHeight="1" x14ac:dyDescent="0.2">
      <c r="E99" s="2" t="s">
        <v>67</v>
      </c>
      <c r="F99" s="16" t="s">
        <v>7</v>
      </c>
      <c r="G99" s="16"/>
      <c r="H99" s="393">
        <f ca="1">H96 / H98 - 1</f>
        <v>-3.2789066758030998</v>
      </c>
    </row>
    <row r="100" spans="1:27" ht="15" customHeight="1" x14ac:dyDescent="0.2">
      <c r="E100" s="2"/>
      <c r="F100" s="16"/>
      <c r="G100" s="16"/>
      <c r="H100" s="393"/>
    </row>
    <row r="101" spans="1:27" ht="15" customHeight="1" x14ac:dyDescent="0.2">
      <c r="E101" s="2" t="s">
        <v>8</v>
      </c>
      <c r="F101" s="16" t="s">
        <v>7</v>
      </c>
      <c r="G101" s="16"/>
      <c r="H101" s="393">
        <f>'&gt;&gt; Inputs'!G16</f>
        <v>0.10413003999999999</v>
      </c>
    </row>
    <row r="102" spans="1:27" ht="15" customHeight="1" x14ac:dyDescent="0.2">
      <c r="E102" s="2"/>
      <c r="F102" s="271"/>
      <c r="G102" s="271"/>
      <c r="H102" s="394"/>
    </row>
    <row r="103" spans="1:27" ht="15" customHeight="1" x14ac:dyDescent="0.2">
      <c r="E103" s="2" t="str">
        <f>"Forecast FY" &amp; TEXT(YEAR(EOMONTH('&gt;&gt; Inputs'!$G$17, 12)), "00") &amp; " EBITDA"</f>
        <v>Forecast FY2025 EBITDA</v>
      </c>
      <c r="F103" s="271" t="s">
        <v>25</v>
      </c>
      <c r="G103" s="271"/>
      <c r="H103" s="382">
        <f>P18</f>
        <v>70.521162790697673</v>
      </c>
    </row>
    <row r="104" spans="1:27" ht="15" customHeight="1" x14ac:dyDescent="0.2">
      <c r="E104" s="2" t="str">
        <f>"Forecast FY" &amp; TEXT(YEAR(EOMONTH('&gt;&gt; Inputs'!$G$17, 12)), "00") &amp; " EBIT"</f>
        <v>Forecast FY2025 EBIT</v>
      </c>
      <c r="F104" s="271" t="s">
        <v>25</v>
      </c>
      <c r="G104" s="271"/>
      <c r="H104" s="382">
        <f>P21</f>
        <v>59.319912790697671</v>
      </c>
    </row>
    <row r="106" spans="1:27" ht="15" customHeight="1" x14ac:dyDescent="0.2">
      <c r="B106" s="2"/>
      <c r="C106" s="2"/>
      <c r="D106" s="2"/>
      <c r="E106" s="2" t="s">
        <v>69</v>
      </c>
      <c r="F106" s="16" t="s">
        <v>70</v>
      </c>
      <c r="G106" s="16"/>
      <c r="H106" s="392">
        <f ca="1">H93 / '&gt;&gt; Fin Stmts'!O15</f>
        <v>-30.08862952156819</v>
      </c>
    </row>
    <row r="107" spans="1:27" ht="15" customHeight="1" x14ac:dyDescent="0.2">
      <c r="B107" s="2"/>
      <c r="C107" s="2"/>
      <c r="D107" s="2"/>
      <c r="E107" s="2" t="s">
        <v>71</v>
      </c>
      <c r="F107" s="16" t="s">
        <v>70</v>
      </c>
      <c r="G107" s="16"/>
      <c r="H107" s="392">
        <f ca="1">H93 / '&gt;&gt; Fin Stmts'!O17</f>
        <v>-35.604878267189029</v>
      </c>
    </row>
    <row r="108" spans="1:27" ht="15" customHeight="1" x14ac:dyDescent="0.2">
      <c r="B108" s="2"/>
      <c r="C108" s="2"/>
      <c r="D108" s="2"/>
      <c r="E108" s="2" t="s">
        <v>72</v>
      </c>
      <c r="F108" s="16" t="s">
        <v>70</v>
      </c>
      <c r="G108" s="16"/>
      <c r="H108" s="392">
        <f>( ( H98 * H95 )  ) / H103</f>
        <v>13.292747352765621</v>
      </c>
    </row>
    <row r="109" spans="1:27" ht="15" customHeight="1" x14ac:dyDescent="0.2">
      <c r="B109" s="2"/>
      <c r="C109" s="2"/>
      <c r="D109" s="2"/>
      <c r="E109" s="2" t="s">
        <v>73</v>
      </c>
      <c r="F109" s="16" t="s">
        <v>70</v>
      </c>
      <c r="G109" s="16"/>
      <c r="H109" s="392">
        <f>( ( H98 * H95 )  ) / H104</f>
        <v>15.802787898686908</v>
      </c>
    </row>
    <row r="110" spans="1:27" ht="15" customHeight="1" x14ac:dyDescent="0.2">
      <c r="B110" s="2"/>
      <c r="C110" s="2"/>
      <c r="D110" s="2"/>
    </row>
    <row r="111" spans="1:27" ht="15" customHeight="1" x14ac:dyDescent="0.2">
      <c r="B111" s="2"/>
      <c r="C111" s="2"/>
      <c r="D111" s="2"/>
    </row>
    <row r="112" spans="1:27" ht="15" customHeight="1" x14ac:dyDescent="0.2">
      <c r="A112" s="40"/>
      <c r="B112" s="40" t="s">
        <v>45</v>
      </c>
      <c r="C112" s="41"/>
      <c r="D112" s="41"/>
      <c r="E112" s="41"/>
      <c r="F112" s="41"/>
      <c r="G112" s="41"/>
      <c r="H112" s="402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54DD-3C3F-D947-A39A-07E68D1C73B3}">
  <sheetPr>
    <tabColor rgb="FF8496B0"/>
  </sheetPr>
  <dimension ref="A1:K9"/>
  <sheetViews>
    <sheetView showGridLines="0" workbookViewId="0">
      <selection activeCell="D15" sqref="D15"/>
    </sheetView>
  </sheetViews>
  <sheetFormatPr baseColWidth="10" defaultRowHeight="15" x14ac:dyDescent="0.2"/>
  <cols>
    <col min="1" max="1" width="3" customWidth="1"/>
    <col min="2" max="2" width="2.83203125" customWidth="1"/>
    <col min="3" max="3" width="25" customWidth="1"/>
    <col min="4" max="4" width="15.1640625" customWidth="1"/>
    <col min="5" max="5" width="14" customWidth="1"/>
    <col min="6" max="6" width="13" customWidth="1"/>
    <col min="7" max="7" width="13.33203125" customWidth="1"/>
    <col min="8" max="8" width="12.5" customWidth="1"/>
    <col min="9" max="9" width="12.6640625" customWidth="1"/>
    <col min="11" max="11" width="13" customWidth="1"/>
  </cols>
  <sheetData>
    <row r="1" spans="1:11" x14ac:dyDescent="0.2">
      <c r="A1" s="374"/>
      <c r="B1" s="374"/>
      <c r="C1" s="374"/>
      <c r="D1" s="374"/>
      <c r="E1" s="374"/>
      <c r="F1" s="374" t="s">
        <v>319</v>
      </c>
      <c r="G1" s="374"/>
      <c r="H1" s="374"/>
      <c r="I1" s="374"/>
      <c r="J1" s="374"/>
      <c r="K1" s="374"/>
    </row>
    <row r="2" spans="1:11" x14ac:dyDescent="0.2">
      <c r="A2" s="375"/>
      <c r="B2" s="375"/>
      <c r="C2" s="375" t="s">
        <v>299</v>
      </c>
      <c r="D2" s="376" t="s">
        <v>300</v>
      </c>
      <c r="E2" s="376" t="s">
        <v>305</v>
      </c>
      <c r="F2" s="376" t="s">
        <v>306</v>
      </c>
      <c r="G2" s="376" t="s">
        <v>307</v>
      </c>
      <c r="H2" s="376" t="s">
        <v>308</v>
      </c>
      <c r="I2" s="376" t="s">
        <v>309</v>
      </c>
      <c r="J2" s="376" t="s">
        <v>310</v>
      </c>
      <c r="K2" s="376" t="s">
        <v>311</v>
      </c>
    </row>
    <row r="3" spans="1:11" x14ac:dyDescent="0.2">
      <c r="E3" s="377"/>
      <c r="F3" s="377"/>
      <c r="H3" s="377"/>
      <c r="I3" s="377"/>
      <c r="J3" s="377"/>
      <c r="K3" s="377"/>
    </row>
    <row r="4" spans="1:11" x14ac:dyDescent="0.2">
      <c r="C4" s="373" t="s">
        <v>301</v>
      </c>
      <c r="D4">
        <v>0.7</v>
      </c>
      <c r="E4" s="377">
        <v>2</v>
      </c>
      <c r="F4" s="377">
        <v>1.2</v>
      </c>
      <c r="G4">
        <v>3.8</v>
      </c>
      <c r="H4" s="377">
        <v>1.4</v>
      </c>
      <c r="I4" s="377">
        <v>3.7</v>
      </c>
      <c r="J4" s="377">
        <v>0.9</v>
      </c>
      <c r="K4" s="377">
        <v>1.7</v>
      </c>
    </row>
    <row r="5" spans="1:11" x14ac:dyDescent="0.2">
      <c r="C5" s="373" t="s">
        <v>302</v>
      </c>
      <c r="D5">
        <v>7.6</v>
      </c>
      <c r="E5" s="377">
        <v>35.200000000000003</v>
      </c>
      <c r="F5" s="377">
        <v>14.3</v>
      </c>
      <c r="G5">
        <v>24.3</v>
      </c>
      <c r="H5" s="377">
        <v>42.2</v>
      </c>
      <c r="I5" s="377">
        <v>19.399999999999999</v>
      </c>
      <c r="J5" s="377">
        <v>24.2</v>
      </c>
      <c r="K5" s="377">
        <v>30</v>
      </c>
    </row>
    <row r="6" spans="1:11" x14ac:dyDescent="0.2">
      <c r="C6" s="373" t="s">
        <v>303</v>
      </c>
      <c r="D6">
        <v>0.96</v>
      </c>
      <c r="E6" s="377">
        <v>1.52</v>
      </c>
      <c r="F6" s="377">
        <v>1.41</v>
      </c>
      <c r="G6">
        <v>0</v>
      </c>
      <c r="H6" s="377">
        <v>1.31</v>
      </c>
      <c r="I6" s="377">
        <v>0</v>
      </c>
      <c r="J6" s="377">
        <v>0.99</v>
      </c>
      <c r="K6" s="377">
        <v>1.94</v>
      </c>
    </row>
    <row r="7" spans="1:11" x14ac:dyDescent="0.2">
      <c r="C7" s="373" t="s">
        <v>304</v>
      </c>
      <c r="D7">
        <v>6.57</v>
      </c>
      <c r="E7" s="377">
        <v>4.21</v>
      </c>
      <c r="F7" s="377">
        <v>2.0699999999999998</v>
      </c>
      <c r="G7">
        <v>11.83</v>
      </c>
      <c r="H7" s="377">
        <v>0.06</v>
      </c>
      <c r="I7" s="377">
        <v>14.64</v>
      </c>
      <c r="J7" s="377">
        <v>5.15</v>
      </c>
      <c r="K7" s="377">
        <v>5.97</v>
      </c>
    </row>
    <row r="8" spans="1:11" x14ac:dyDescent="0.2">
      <c r="C8" s="373" t="s">
        <v>312</v>
      </c>
      <c r="D8">
        <v>935.68</v>
      </c>
      <c r="E8" s="377" t="s">
        <v>313</v>
      </c>
      <c r="F8" s="377" t="s">
        <v>314</v>
      </c>
      <c r="G8">
        <v>481.38</v>
      </c>
      <c r="H8" s="377" t="s">
        <v>315</v>
      </c>
      <c r="I8" s="377" t="s">
        <v>316</v>
      </c>
      <c r="J8" s="377" t="s">
        <v>317</v>
      </c>
      <c r="K8" s="377" t="s">
        <v>318</v>
      </c>
    </row>
    <row r="9" spans="1:11" x14ac:dyDescent="0.2">
      <c r="C9" s="37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topLeftCell="A32" workbookViewId="0">
      <selection activeCell="H43" sqref="H43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38" customWidth="1"/>
    <col min="6" max="17" width="11.1640625" customWidth="1"/>
    <col min="18" max="18" width="15.1640625" bestFit="1" customWidth="1"/>
    <col min="19" max="26" width="11.1640625" customWidth="1"/>
    <col min="27" max="28" width="9.1640625" customWidth="1"/>
    <col min="29" max="29" width="12.33203125" customWidth="1"/>
    <col min="30" max="30" width="17.5" customWidth="1"/>
    <col min="31" max="31" width="17.33203125" customWidth="1"/>
    <col min="32" max="32" width="15.6640625" customWidth="1"/>
    <col min="33" max="34" width="9.1640625" customWidth="1"/>
  </cols>
  <sheetData>
    <row r="2" spans="3:26" ht="15" customHeight="1" x14ac:dyDescent="0.2">
      <c r="C2" s="62" t="s">
        <v>240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">
      <c r="C4" s="3"/>
      <c r="D4" s="4" t="s">
        <v>86</v>
      </c>
      <c r="E4" s="3"/>
      <c r="F4" s="5" t="s">
        <v>87</v>
      </c>
      <c r="G4" s="6">
        <f>EOMONTH('&gt;&gt; Inputs'!$G$17,0)</f>
        <v>45657</v>
      </c>
      <c r="H4" s="6">
        <f>EOMONTH(G4,12)</f>
        <v>46022</v>
      </c>
      <c r="I4" s="6">
        <f t="shared" ref="I4:Q4" si="0">EOMONTH(H4,12)</f>
        <v>46387</v>
      </c>
      <c r="J4" s="6">
        <f t="shared" si="0"/>
        <v>46752</v>
      </c>
      <c r="K4" s="6">
        <f t="shared" si="0"/>
        <v>47118</v>
      </c>
      <c r="L4" s="6">
        <f t="shared" si="0"/>
        <v>47483</v>
      </c>
      <c r="M4" s="6">
        <f t="shared" si="0"/>
        <v>47848</v>
      </c>
      <c r="N4" s="6">
        <f t="shared" si="0"/>
        <v>48213</v>
      </c>
      <c r="O4" s="6">
        <f t="shared" si="0"/>
        <v>48579</v>
      </c>
      <c r="P4" s="6">
        <f t="shared" si="0"/>
        <v>48944</v>
      </c>
      <c r="Q4" s="6">
        <f t="shared" si="0"/>
        <v>49309</v>
      </c>
    </row>
    <row r="5" spans="3:26" ht="15" customHeight="1" x14ac:dyDescent="0.2">
      <c r="C5" s="7"/>
      <c r="D5" s="7"/>
      <c r="E5" s="7" t="s">
        <v>88</v>
      </c>
      <c r="F5" s="8" t="s">
        <v>89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">
      <c r="C6" s="7"/>
      <c r="D6" s="7"/>
      <c r="E6" s="7" t="s">
        <v>90</v>
      </c>
      <c r="F6" s="10" t="s">
        <v>91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">
      <c r="C7" s="7"/>
      <c r="D7" s="7"/>
      <c r="E7" s="7" t="s">
        <v>92</v>
      </c>
      <c r="F7" s="10" t="s">
        <v>5</v>
      </c>
      <c r="G7" s="58">
        <f>'&gt;&gt; DCF'!O7</f>
        <v>44927</v>
      </c>
      <c r="H7" s="58">
        <f t="shared" ref="H7:Q7" si="3">G8 + 1</f>
        <v>45292</v>
      </c>
      <c r="I7" s="58">
        <f t="shared" si="3"/>
        <v>45658</v>
      </c>
      <c r="J7" s="58">
        <f t="shared" si="3"/>
        <v>46023</v>
      </c>
      <c r="K7" s="58">
        <f t="shared" si="3"/>
        <v>46388</v>
      </c>
      <c r="L7" s="58">
        <f t="shared" si="3"/>
        <v>46753</v>
      </c>
      <c r="M7" s="58">
        <f t="shared" si="3"/>
        <v>47119</v>
      </c>
      <c r="N7" s="58">
        <f t="shared" si="3"/>
        <v>47484</v>
      </c>
      <c r="O7" s="58">
        <f t="shared" si="3"/>
        <v>47849</v>
      </c>
      <c r="P7" s="58">
        <f t="shared" si="3"/>
        <v>48214</v>
      </c>
      <c r="Q7" s="58">
        <f t="shared" si="3"/>
        <v>48580</v>
      </c>
    </row>
    <row r="8" spans="3:26" ht="15" customHeight="1" x14ac:dyDescent="0.2">
      <c r="C8" s="7"/>
      <c r="D8" s="7"/>
      <c r="E8" s="7" t="s">
        <v>93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">
      <c r="C9" s="7"/>
      <c r="D9" s="7"/>
      <c r="E9" s="7" t="s">
        <v>94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Actual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">
      <c r="C11" s="2"/>
      <c r="D11" s="2"/>
      <c r="E11" s="2" t="s">
        <v>95</v>
      </c>
      <c r="F11" s="24" t="s">
        <v>10</v>
      </c>
      <c r="G11" s="59">
        <f>IF( AND( G5 &lt;= '&gt;&gt; Inputs'!$G41, G5 &gt;= 1 ), 1, 0 )</f>
        <v>0</v>
      </c>
      <c r="H11" s="59">
        <f>IF( AND( H5 &lt;= '&gt;&gt; Inputs'!$G41, H5 &gt;= 1 ), 1, 0 )</f>
        <v>1</v>
      </c>
      <c r="I11" s="59">
        <f>IF( AND( I5 &lt;= '&gt;&gt; Inputs'!$G41, I5 &gt;= 1 ), 1, 0 )</f>
        <v>1</v>
      </c>
      <c r="J11" s="59">
        <f>IF( AND( J5 &lt;= '&gt;&gt; Inputs'!$G41, J5 &gt;= 1 ), 1, 0 )</f>
        <v>1</v>
      </c>
      <c r="K11" s="59">
        <f>IF( AND( K5 &lt;= '&gt;&gt; Inputs'!$G41, K5 &gt;= 1 ), 1, 0 )</f>
        <v>1</v>
      </c>
      <c r="L11" s="59">
        <f>IF( AND( L5 &lt;= '&gt;&gt; Inputs'!$G41, L5 &gt;= 1 ), 1, 0 )</f>
        <v>1</v>
      </c>
      <c r="M11" s="59">
        <f>IF( AND( M5 &lt;= '&gt;&gt; Inputs'!$G41, M5 &gt;= 1 ), 1, 0 )</f>
        <v>1</v>
      </c>
      <c r="N11" s="59">
        <f>IF( AND( N5 &lt;= '&gt;&gt; Inputs'!$G41, N5 &gt;= 1 ), 1, 0 )</f>
        <v>1</v>
      </c>
      <c r="O11" s="59">
        <f>IF( AND( O5 &lt;= '&gt;&gt; Inputs'!$G41, O5 &gt;= 1 ), 1, 0 )</f>
        <v>1</v>
      </c>
      <c r="P11" s="59">
        <f>IF( AND( P5 &lt;= '&gt;&gt; Inputs'!$G41, P5 &gt;= 1 ), 1, 0 )</f>
        <v>1</v>
      </c>
      <c r="Q11" s="59">
        <f>IF( AND( Q5 &lt;= '&gt;&gt; Inputs'!$G41, Q5 &gt;= 1 ), 1, 0 )</f>
        <v>1</v>
      </c>
    </row>
    <row r="12" spans="3:26" ht="15" customHeight="1" x14ac:dyDescent="0.2">
      <c r="C12" s="2"/>
      <c r="D12" s="2"/>
      <c r="E12" s="77" t="s">
        <v>96</v>
      </c>
      <c r="F12" s="76" t="s">
        <v>10</v>
      </c>
      <c r="G12" s="209">
        <f>IF( G5 = '&gt;&gt; Inputs'!$G41, 1, 0 )</f>
        <v>0</v>
      </c>
      <c r="H12" s="209">
        <f>IF( H5 = '&gt;&gt; Inputs'!$G41, 1, 0 )</f>
        <v>0</v>
      </c>
      <c r="I12" s="209">
        <f>IF( I5 = '&gt;&gt; Inputs'!$G41, 1, 0 )</f>
        <v>0</v>
      </c>
      <c r="J12" s="209">
        <f>IF( J5 = '&gt;&gt; Inputs'!$G41, 1, 0 )</f>
        <v>0</v>
      </c>
      <c r="K12" s="209">
        <f>IF( K5 = '&gt;&gt; Inputs'!$G41, 1, 0 )</f>
        <v>0</v>
      </c>
      <c r="L12" s="209">
        <f>IF( L5 = '&gt;&gt; Inputs'!$G41, 1, 0 )</f>
        <v>0</v>
      </c>
      <c r="M12" s="209">
        <f>IF( M5 = '&gt;&gt; Inputs'!$G41, 1, 0 )</f>
        <v>0</v>
      </c>
      <c r="N12" s="209">
        <f>IF( N5 = '&gt;&gt; Inputs'!$G41, 1, 0 )</f>
        <v>0</v>
      </c>
      <c r="O12" s="209">
        <f>IF( O5 = '&gt;&gt; Inputs'!$G41, 1, 0 )</f>
        <v>0</v>
      </c>
      <c r="P12" s="209">
        <f>IF( P5 = '&gt;&gt; Inputs'!$G41, 1, 0 )</f>
        <v>0</v>
      </c>
      <c r="Q12" s="209">
        <f>IF( Q5 = '&gt;&gt; Inputs'!$G41, 1, 0 )</f>
        <v>1</v>
      </c>
    </row>
    <row r="14" spans="3:26" ht="15" customHeight="1" x14ac:dyDescent="0.2">
      <c r="C14" s="4"/>
      <c r="D14" s="4" t="s">
        <v>247</v>
      </c>
      <c r="E14" s="4"/>
      <c r="F14" s="4"/>
      <c r="G14" s="4"/>
    </row>
    <row r="15" spans="3:26" ht="15" customHeight="1" x14ac:dyDescent="0.2">
      <c r="C15" s="44"/>
      <c r="D15" s="44"/>
      <c r="E15" s="44"/>
      <c r="F15" s="44"/>
      <c r="G15" s="44"/>
    </row>
    <row r="16" spans="3:26" ht="15" customHeight="1" x14ac:dyDescent="0.2">
      <c r="C16" s="45"/>
      <c r="D16" s="45"/>
      <c r="E16" s="45"/>
      <c r="F16" s="45"/>
      <c r="G16" s="45"/>
    </row>
    <row r="17" spans="3:26" ht="15" customHeight="1" x14ac:dyDescent="0.2">
      <c r="E17" s="2" t="s">
        <v>8</v>
      </c>
      <c r="F17" s="24" t="s">
        <v>7</v>
      </c>
      <c r="G17" s="225">
        <f>'&gt;&gt; Dash'!F49</f>
        <v>0.10413003999999999</v>
      </c>
    </row>
    <row r="18" spans="3:26" ht="15" customHeight="1" x14ac:dyDescent="0.2">
      <c r="E18" s="2" t="s">
        <v>32</v>
      </c>
      <c r="F18" s="24" t="s">
        <v>7</v>
      </c>
      <c r="G18" s="225">
        <f>'&gt;&gt; Dash'!F43</f>
        <v>1.4999999999999999E-2</v>
      </c>
    </row>
    <row r="19" spans="3:26" ht="15" customHeight="1" x14ac:dyDescent="0.2">
      <c r="C19" s="221"/>
      <c r="D19" s="221"/>
      <c r="E19" s="221"/>
      <c r="F19" s="221"/>
      <c r="G19" s="221"/>
    </row>
    <row r="21" spans="3:26" ht="15" customHeight="1" x14ac:dyDescent="0.2">
      <c r="C21" s="62" t="s">
        <v>246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">
      <c r="E23" s="210"/>
      <c r="F23" s="210"/>
      <c r="G23" s="195"/>
      <c r="H23" s="428" t="s">
        <v>237</v>
      </c>
      <c r="I23" s="429"/>
      <c r="J23" s="429"/>
      <c r="K23" s="429"/>
      <c r="L23" s="429"/>
      <c r="M23" s="429"/>
      <c r="N23" s="429"/>
      <c r="O23" s="429"/>
      <c r="P23" s="429"/>
      <c r="Q23" s="429"/>
      <c r="R23" s="223"/>
      <c r="S23" s="197"/>
      <c r="T23" s="197"/>
    </row>
    <row r="24" spans="3:26" ht="15" customHeight="1" x14ac:dyDescent="0.2">
      <c r="E24" s="194"/>
      <c r="F24" s="194"/>
      <c r="G24" s="196"/>
      <c r="H24" s="315">
        <f>EOMONTH('&gt;&gt; Inputs'!$G$17,12)</f>
        <v>46022</v>
      </c>
      <c r="I24" s="316">
        <f>EOMONTH(H24,12)</f>
        <v>46387</v>
      </c>
      <c r="J24" s="316">
        <f t="shared" ref="J24:Q24" si="5">EOMONTH(I24,12)</f>
        <v>46752</v>
      </c>
      <c r="K24" s="316">
        <f t="shared" si="5"/>
        <v>47118</v>
      </c>
      <c r="L24" s="316">
        <f t="shared" si="5"/>
        <v>47483</v>
      </c>
      <c r="M24" s="316">
        <f t="shared" si="5"/>
        <v>47848</v>
      </c>
      <c r="N24" s="316">
        <f t="shared" si="5"/>
        <v>48213</v>
      </c>
      <c r="O24" s="316">
        <f t="shared" si="5"/>
        <v>48579</v>
      </c>
      <c r="P24" s="316">
        <f t="shared" si="5"/>
        <v>48944</v>
      </c>
      <c r="Q24" s="317">
        <f t="shared" si="5"/>
        <v>49309</v>
      </c>
      <c r="R24" s="222"/>
      <c r="S24" s="198"/>
      <c r="T24" s="198"/>
    </row>
    <row r="25" spans="3:26" ht="15" customHeight="1" x14ac:dyDescent="0.2">
      <c r="E25" s="78" t="s">
        <v>124</v>
      </c>
      <c r="F25" s="24" t="s">
        <v>159</v>
      </c>
      <c r="G25" s="78"/>
      <c r="H25" s="79">
        <f>'&gt;&gt; Segments'!P95</f>
        <v>4.9791024842378406E-2</v>
      </c>
      <c r="I25" s="79">
        <f>'&gt;&gt; Segments'!Q95</f>
        <v>5.1357722757317065E-2</v>
      </c>
      <c r="J25" s="79">
        <f>'&gt;&gt; Segments'!R95</f>
        <v>5.235615770631008E-2</v>
      </c>
      <c r="K25" s="79">
        <f>'&gt;&gt; Segments'!S95</f>
        <v>5.3425498409221728E-2</v>
      </c>
      <c r="L25" s="79">
        <f>'&gt;&gt; Segments'!T95</f>
        <v>5.2612746245362496E-2</v>
      </c>
      <c r="M25" s="79">
        <f>'&gt;&gt; Segments'!U95</f>
        <v>5.511609944506668E-2</v>
      </c>
      <c r="N25" s="79">
        <f>'&gt;&gt; Segments'!V95</f>
        <v>5.4101124109240478E-2</v>
      </c>
      <c r="O25" s="79">
        <f>'&gt;&gt; Segments'!W95</f>
        <v>5.2757437101163512E-2</v>
      </c>
      <c r="P25" s="79">
        <f>'&gt;&gt; Segments'!X95</f>
        <v>5.2689726327007552E-2</v>
      </c>
      <c r="Q25" s="79">
        <f>'&gt;&gt; Segments'!Y95</f>
        <v>5.3052064012586206E-2</v>
      </c>
      <c r="S25" s="79"/>
      <c r="T25" s="79"/>
    </row>
    <row r="26" spans="3:26" ht="15" customHeight="1" x14ac:dyDescent="0.2">
      <c r="E26" s="199" t="s">
        <v>242</v>
      </c>
      <c r="F26" s="24" t="s">
        <v>159</v>
      </c>
      <c r="G26" s="78"/>
      <c r="H26" s="79"/>
      <c r="I26" s="79"/>
      <c r="J26" s="79"/>
      <c r="K26" s="79"/>
      <c r="L26" s="79"/>
      <c r="M26" s="79"/>
      <c r="N26" s="79"/>
      <c r="O26" s="79"/>
      <c r="P26" s="79"/>
      <c r="Q26" s="79">
        <f>(Q25*(1+G18))/(G17-G18)</f>
        <v>0.60414922929211068</v>
      </c>
      <c r="R26" s="79"/>
      <c r="S26" s="79"/>
      <c r="T26" s="79"/>
    </row>
    <row r="27" spans="3:26" ht="15" customHeight="1" x14ac:dyDescent="0.2">
      <c r="E27" s="80" t="s">
        <v>125</v>
      </c>
      <c r="F27" s="212" t="s">
        <v>7</v>
      </c>
      <c r="I27" s="81">
        <f>I25/H25-1</f>
        <v>3.1465468322821044E-2</v>
      </c>
      <c r="J27" s="81">
        <f t="shared" ref="J27:Q27" si="6">J25/I25-1</f>
        <v>1.9440794789733262E-2</v>
      </c>
      <c r="K27" s="81">
        <f t="shared" si="6"/>
        <v>2.0424354073308226E-2</v>
      </c>
      <c r="L27" s="81">
        <f t="shared" si="6"/>
        <v>-1.5212813882124587E-2</v>
      </c>
      <c r="M27" s="81">
        <f t="shared" si="6"/>
        <v>4.7580736197073925E-2</v>
      </c>
      <c r="N27" s="81">
        <f t="shared" si="6"/>
        <v>-1.8415224336363112E-2</v>
      </c>
      <c r="O27" s="81">
        <f t="shared" si="6"/>
        <v>-2.4836582052598533E-2</v>
      </c>
      <c r="P27" s="81">
        <f t="shared" si="6"/>
        <v>-1.283435623040674E-3</v>
      </c>
      <c r="Q27" s="81">
        <f t="shared" si="6"/>
        <v>6.8768185154328698E-3</v>
      </c>
      <c r="S27" s="81"/>
      <c r="T27" s="81"/>
    </row>
    <row r="28" spans="3:26" ht="15" customHeight="1" x14ac:dyDescent="0.2">
      <c r="E28" s="80"/>
      <c r="F28" s="80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</row>
    <row r="29" spans="3:26" ht="15" customHeight="1" x14ac:dyDescent="0.2">
      <c r="E29" s="2" t="s">
        <v>36</v>
      </c>
      <c r="F29" s="24" t="s">
        <v>7</v>
      </c>
      <c r="H29" s="211">
        <f ca="1">H11 * '&gt;&gt; Inputs'!P45</f>
        <v>-2.7397260273972601E-2</v>
      </c>
      <c r="I29" s="211">
        <f ca="1">I11 * '&gt;&gt; Inputs'!Q45</f>
        <v>0.9726027397260274</v>
      </c>
      <c r="J29" s="211">
        <f ca="1">J11 * '&gt;&gt; Inputs'!R45</f>
        <v>1</v>
      </c>
      <c r="K29" s="211">
        <f ca="1">K11 * '&gt;&gt; Inputs'!S45</f>
        <v>1</v>
      </c>
      <c r="L29" s="211">
        <f ca="1">L11 * '&gt;&gt; Inputs'!T45</f>
        <v>1</v>
      </c>
      <c r="M29" s="211">
        <f ca="1">M11 * '&gt;&gt; Inputs'!U45</f>
        <v>1</v>
      </c>
      <c r="N29" s="211">
        <f ca="1">N11 * '&gt;&gt; Inputs'!V45</f>
        <v>1</v>
      </c>
      <c r="O29" s="211">
        <f ca="1">O11 * '&gt;&gt; Inputs'!W45</f>
        <v>1</v>
      </c>
      <c r="P29" s="211">
        <f ca="1">P11 * '&gt;&gt; Inputs'!X45</f>
        <v>1</v>
      </c>
      <c r="Q29" s="211">
        <f ca="1">Q11 * '&gt;&gt; Inputs'!Y45</f>
        <v>1</v>
      </c>
      <c r="R29" s="211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">
      <c r="E30" s="2" t="s">
        <v>241</v>
      </c>
      <c r="F30" s="24" t="s">
        <v>159</v>
      </c>
      <c r="H30" s="22">
        <f t="shared" ref="H30:Q30" ca="1" si="7">H29*H25</f>
        <v>-1.3641376669144768E-3</v>
      </c>
      <c r="I30" s="22">
        <f t="shared" ca="1" si="7"/>
        <v>4.9950661859856325E-2</v>
      </c>
      <c r="J30" s="22">
        <f t="shared" ca="1" si="7"/>
        <v>5.235615770631008E-2</v>
      </c>
      <c r="K30" s="22">
        <f t="shared" ca="1" si="7"/>
        <v>5.3425498409221728E-2</v>
      </c>
      <c r="L30" s="22">
        <f t="shared" ca="1" si="7"/>
        <v>5.2612746245362496E-2</v>
      </c>
      <c r="M30" s="22">
        <f t="shared" ca="1" si="7"/>
        <v>5.511609944506668E-2</v>
      </c>
      <c r="N30" s="22">
        <f t="shared" ca="1" si="7"/>
        <v>5.4101124109240478E-2</v>
      </c>
      <c r="O30" s="22">
        <f t="shared" ca="1" si="7"/>
        <v>5.2757437101163512E-2</v>
      </c>
      <c r="P30" s="22">
        <f t="shared" ca="1" si="7"/>
        <v>5.2689726327007552E-2</v>
      </c>
      <c r="Q30" s="22">
        <f t="shared" ca="1" si="7"/>
        <v>5.3052064012586206E-2</v>
      </c>
      <c r="R30" s="22"/>
      <c r="S30" s="59"/>
      <c r="T30" s="59"/>
      <c r="U30" s="59"/>
      <c r="V30" s="59"/>
      <c r="W30" s="59"/>
      <c r="X30" s="59"/>
      <c r="Y30" s="59"/>
      <c r="Z30" s="59"/>
    </row>
    <row r="31" spans="3:26" ht="15" customHeight="1" x14ac:dyDescent="0.2">
      <c r="E31" s="2" t="s">
        <v>109</v>
      </c>
      <c r="F31" s="24" t="s">
        <v>159</v>
      </c>
      <c r="H31" s="24"/>
      <c r="I31" s="27"/>
      <c r="J31" s="27"/>
      <c r="K31" s="27"/>
      <c r="L31" s="32"/>
      <c r="M31" s="32"/>
      <c r="N31" s="32"/>
      <c r="O31" s="32"/>
      <c r="P31" s="32"/>
      <c r="Q31" s="22">
        <f ca="1">Q26*Q29</f>
        <v>0.60414922929211068</v>
      </c>
      <c r="R31" s="22"/>
      <c r="S31" s="32"/>
      <c r="T31" s="32"/>
      <c r="U31" s="32"/>
      <c r="V31" s="32"/>
      <c r="W31" s="32"/>
      <c r="X31" s="32"/>
      <c r="Y31" s="32"/>
      <c r="Z31" s="59"/>
    </row>
    <row r="32" spans="3:26" ht="15" customHeight="1" x14ac:dyDescent="0.2">
      <c r="E32" s="2"/>
      <c r="F32" s="24"/>
      <c r="H32" s="24"/>
      <c r="I32" s="16"/>
      <c r="J32" s="27"/>
      <c r="K32" s="27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7" ht="15" customHeight="1" x14ac:dyDescent="0.2">
      <c r="E33" s="2" t="s">
        <v>110</v>
      </c>
      <c r="F33" s="16" t="s">
        <v>10</v>
      </c>
      <c r="H33" s="59">
        <f ca="1">IF( H11 = 1, ( H8 - '&gt;&gt; Inputs'!$G$26 ) / DiY, 0 )</f>
        <v>-2.7397260273972601E-2</v>
      </c>
      <c r="I33" s="59">
        <f ca="1">IF( I11 = 1, ( I8 - '&gt;&gt; Inputs'!$G$26 ) / DiY, 0 )</f>
        <v>0.9726027397260274</v>
      </c>
      <c r="J33" s="59">
        <f ca="1">IF( J11 = 1, ( J8 - '&gt;&gt; Inputs'!$G$26 ) / DiY, 0 )</f>
        <v>1.9726027397260273</v>
      </c>
      <c r="K33" s="59">
        <f ca="1">IF( K11 = 1, ( K8 - '&gt;&gt; Inputs'!$G$26 ) / DiY, 0 )</f>
        <v>2.9726027397260273</v>
      </c>
      <c r="L33" s="59">
        <f ca="1">IF( L11 = 1, ( L8 - '&gt;&gt; Inputs'!$G$26 ) / DiY, 0 )</f>
        <v>3.9753424657534246</v>
      </c>
      <c r="M33" s="59">
        <f ca="1">IF( M11 = 1, ( M8 - '&gt;&gt; Inputs'!$G$26 ) / DiY, 0 )</f>
        <v>4.9753424657534246</v>
      </c>
      <c r="N33" s="59">
        <f ca="1">IF( N11 = 1, ( N8 - '&gt;&gt; Inputs'!$G$26 ) / DiY, 0 )</f>
        <v>5.9753424657534246</v>
      </c>
      <c r="O33" s="59">
        <f ca="1">IF( O11 = 1, ( O8 - '&gt;&gt; Inputs'!$G$26 ) / DiY, 0 )</f>
        <v>6.9753424657534246</v>
      </c>
      <c r="P33" s="59">
        <f ca="1">IF( P11 = 1, ( P8 - '&gt;&gt; Inputs'!$G$26 ) / DiY, 0 )</f>
        <v>7.978082191780822</v>
      </c>
      <c r="Q33" s="59">
        <f ca="1">IF( Q11 = 1, ( Q8 - '&gt;&gt; Inputs'!$G$26 ) / DiY, 0 )</f>
        <v>8.9780821917808211</v>
      </c>
      <c r="R33" s="59"/>
      <c r="S33" s="59"/>
      <c r="T33" s="59"/>
      <c r="U33" s="59"/>
      <c r="V33" s="59"/>
      <c r="W33" s="59"/>
      <c r="X33" s="59"/>
      <c r="Y33" s="59"/>
      <c r="Z33" s="59"/>
    </row>
    <row r="34" spans="1:27" ht="15" customHeight="1" x14ac:dyDescent="0.2">
      <c r="E34" s="2" t="s">
        <v>111</v>
      </c>
      <c r="F34" s="24" t="s">
        <v>10</v>
      </c>
      <c r="H34" s="22">
        <f ca="1">H11 * ( 1 / ( 1 +'&gt;&gt; Dash'!$F$49 ) ^ H$33 )</f>
        <v>1.0027175964207886</v>
      </c>
      <c r="I34" s="22">
        <f ca="1">I11 * ( 1 / ( 1 +'&gt;&gt; Dash'!$F$49 ) ^ I$33 )</f>
        <v>0.90815172135049294</v>
      </c>
      <c r="J34" s="22">
        <f ca="1">J11 * ( 1 / ( 1 +'&gt;&gt; Dash'!$F$49 ) ^ J$33 )</f>
        <v>0.82250431421147907</v>
      </c>
      <c r="K34" s="22">
        <f ca="1">K11 * ( 1 / ( 1 +'&gt;&gt; Dash'!$F$49 ) ^ K$33 )</f>
        <v>0.7449342780416327</v>
      </c>
      <c r="L34" s="22">
        <f ca="1">L11 * ( 1 / ( 1 +'&gt;&gt; Dash'!$F$49 ) ^ L$33 )</f>
        <v>0.67449676215825627</v>
      </c>
      <c r="M34" s="22">
        <f ca="1">M11 * ( 1 / ( 1 +'&gt;&gt; Dash'!$F$49 ) ^ M$33 )</f>
        <v>0.61088525601409793</v>
      </c>
      <c r="N34" s="22">
        <f ca="1">N11 * ( 1 / ( 1 +'&gt;&gt; Dash'!$F$49 ) ^ N$33 )</f>
        <v>0.55327292427810215</v>
      </c>
      <c r="O34" s="22">
        <f ca="1">O11 * ( 1 / ( 1 +'&gt;&gt; Dash'!$F$49 ) ^ O$33 )</f>
        <v>0.50109398733332366</v>
      </c>
      <c r="P34" s="22">
        <f ca="1">P11 * ( 1 / ( 1 +'&gt;&gt; Dash'!$F$49 ) ^ P$33 )</f>
        <v>0.45371287368039176</v>
      </c>
      <c r="Q34" s="22">
        <f ca="1">Q11 * ( 1 / ( 1 +'&gt;&gt; Dash'!$F$49 ) ^ Q$33 )</f>
        <v>0.41092340326180399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">
      <c r="E35" s="80"/>
      <c r="F35" s="21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</row>
    <row r="36" spans="1:27" ht="15" customHeight="1" x14ac:dyDescent="0.2">
      <c r="E36" s="213" t="s">
        <v>243</v>
      </c>
      <c r="F36" s="214" t="s">
        <v>159</v>
      </c>
      <c r="G36" s="215"/>
      <c r="H36" s="216">
        <f ca="1">H30*H34</f>
        <v>-1.3678448425555466E-3</v>
      </c>
      <c r="I36" s="216">
        <f t="shared" ref="I36:Q36" ca="1" si="8">I30*I34</f>
        <v>4.5362779550624933E-2</v>
      </c>
      <c r="J36" s="216">
        <f t="shared" ca="1" si="8"/>
        <v>4.3063165588976618E-2</v>
      </c>
      <c r="K36" s="216">
        <f t="shared" ca="1" si="8"/>
        <v>3.9798485086487985E-2</v>
      </c>
      <c r="L36" s="216">
        <f t="shared" ca="1" si="8"/>
        <v>3.5487126990750961E-2</v>
      </c>
      <c r="M36" s="216">
        <f t="shared" ca="1" si="8"/>
        <v>3.3669612519998039E-2</v>
      </c>
      <c r="N36" s="216">
        <f t="shared" ca="1" si="8"/>
        <v>2.9932687142652015E-2</v>
      </c>
      <c r="O36" s="216">
        <f t="shared" ca="1" si="8"/>
        <v>2.643643451850905E-2</v>
      </c>
      <c r="P36" s="216">
        <f t="shared" ca="1" si="8"/>
        <v>2.3906007145259988E-2</v>
      </c>
      <c r="Q36" s="216">
        <f t="shared" ca="1" si="8"/>
        <v>2.1800334694114999E-2</v>
      </c>
      <c r="R36" s="81"/>
      <c r="S36" s="81"/>
      <c r="T36" s="81"/>
    </row>
    <row r="37" spans="1:27" ht="15" customHeight="1" x14ac:dyDescent="0.2">
      <c r="E37" s="217" t="s">
        <v>244</v>
      </c>
      <c r="F37" s="218" t="s">
        <v>159</v>
      </c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20">
        <f ca="1">Q31*Q34</f>
        <v>0.24825905737871007</v>
      </c>
      <c r="R37" s="81"/>
      <c r="S37" s="81"/>
      <c r="T37" s="81"/>
    </row>
    <row r="38" spans="1:27" ht="15" customHeight="1" x14ac:dyDescent="0.2">
      <c r="E38" s="80"/>
      <c r="F38" s="80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</row>
    <row r="39" spans="1:27" ht="15" customHeight="1" x14ac:dyDescent="0.2">
      <c r="E39" s="80"/>
      <c r="F39" s="80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</row>
    <row r="40" spans="1:27" ht="15" customHeight="1" x14ac:dyDescent="0.2">
      <c r="E40" s="424" t="s">
        <v>245</v>
      </c>
      <c r="F40" s="425"/>
      <c r="G40" s="425"/>
      <c r="H40" s="426"/>
    </row>
    <row r="42" spans="1:27" ht="15" customHeight="1" x14ac:dyDescent="0.2">
      <c r="E42" s="2" t="s">
        <v>63</v>
      </c>
      <c r="F42" s="16" t="s">
        <v>64</v>
      </c>
      <c r="H42" s="27">
        <f>'&gt;&gt; Inputs'!$G$47</f>
        <v>937.42</v>
      </c>
    </row>
    <row r="43" spans="1:27" ht="15" customHeight="1" x14ac:dyDescent="0.2">
      <c r="E43" s="1" t="s">
        <v>126</v>
      </c>
      <c r="F43" s="16" t="s">
        <v>65</v>
      </c>
      <c r="H43" s="48">
        <f ca="1">SUM(H36:Q37)</f>
        <v>0.54634784577352913</v>
      </c>
    </row>
    <row r="44" spans="1:27" ht="15" customHeight="1" x14ac:dyDescent="0.2">
      <c r="E44" s="2" t="s">
        <v>66</v>
      </c>
      <c r="F44" s="16" t="s">
        <v>65</v>
      </c>
      <c r="H44" s="82">
        <f>'&gt;&gt; Inputs'!G21</f>
        <v>0.99</v>
      </c>
      <c r="J44" s="200"/>
    </row>
    <row r="45" spans="1:27" ht="15" customHeight="1" x14ac:dyDescent="0.2">
      <c r="E45" s="2" t="s">
        <v>67</v>
      </c>
      <c r="F45" s="16" t="s">
        <v>7</v>
      </c>
      <c r="H45" s="50">
        <f ca="1">H43/H44-1</f>
        <v>-0.44813348911764739</v>
      </c>
    </row>
    <row r="48" spans="1:27" ht="15" customHeight="1" x14ac:dyDescent="0.2">
      <c r="A48" s="40"/>
      <c r="B48" s="40" t="s">
        <v>45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58" spans="3:26" ht="15" customHeight="1" x14ac:dyDescent="0.2">
      <c r="C58" s="2"/>
      <c r="D58" s="2"/>
      <c r="E58" s="2"/>
      <c r="F58" s="2"/>
      <c r="G58" s="24"/>
      <c r="H58" s="24"/>
      <c r="I58" s="2"/>
      <c r="J58" s="2"/>
      <c r="K58" s="2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G11" sqref="G11"/>
    </sheetView>
  </sheetViews>
  <sheetFormatPr baseColWidth="10" defaultColWidth="14.5" defaultRowHeight="15" customHeight="1" x14ac:dyDescent="0.2"/>
  <cols>
    <col min="1" max="2" width="2.5" customWidth="1"/>
    <col min="3" max="3" width="1.33203125" customWidth="1"/>
    <col min="4" max="4" width="3.33203125" customWidth="1"/>
    <col min="5" max="5" width="21.1640625" customWidth="1"/>
    <col min="6" max="6" width="11.1640625" customWidth="1"/>
    <col min="7" max="7" width="14.83203125" bestFit="1" customWidth="1"/>
    <col min="8" max="12" width="11.1640625" customWidth="1"/>
    <col min="13" max="17" width="9.1640625" customWidth="1"/>
    <col min="18" max="18" width="3.5" customWidth="1"/>
    <col min="19" max="19" width="23.6640625" customWidth="1"/>
    <col min="20" max="21" width="9.1640625" customWidth="1"/>
    <col min="22" max="22" width="10.6640625" customWidth="1"/>
    <col min="23" max="24" width="9.1640625" customWidth="1"/>
    <col min="25" max="25" width="12.33203125" customWidth="1"/>
    <col min="26" max="26" width="17.5" customWidth="1"/>
    <col min="27" max="27" width="17.33203125" customWidth="1"/>
    <col min="28" max="28" width="15.6640625" customWidth="1"/>
    <col min="29" max="30" width="9.1640625" customWidth="1"/>
  </cols>
  <sheetData>
    <row r="2" spans="3:12" ht="15" customHeight="1" x14ac:dyDescent="0.2">
      <c r="C2" s="4" t="s">
        <v>128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">
      <c r="D5" s="84"/>
      <c r="E5" s="232" t="s">
        <v>129</v>
      </c>
      <c r="F5" s="232"/>
      <c r="G5" s="233" t="s">
        <v>130</v>
      </c>
      <c r="H5" s="233" t="s">
        <v>131</v>
      </c>
      <c r="I5" s="84"/>
      <c r="J5" s="430" t="s">
        <v>132</v>
      </c>
      <c r="K5" s="430"/>
      <c r="L5" s="233" t="s">
        <v>133</v>
      </c>
    </row>
    <row r="6" spans="3:12" ht="15" customHeight="1" x14ac:dyDescent="0.2">
      <c r="D6" s="84"/>
      <c r="E6" s="230" t="s">
        <v>249</v>
      </c>
      <c r="F6" s="231" t="s">
        <v>65</v>
      </c>
      <c r="G6" s="237">
        <f ca="1">'&gt;&gt; DCF'!H76</f>
        <v>16.968479444077449</v>
      </c>
      <c r="H6" s="239">
        <v>0.5</v>
      </c>
      <c r="I6" s="84"/>
      <c r="J6" s="230" t="s">
        <v>135</v>
      </c>
      <c r="K6" s="237">
        <f ca="1">K7*(1+L6)</f>
        <v>9.1952843271717644</v>
      </c>
      <c r="L6" s="244">
        <v>0.05</v>
      </c>
    </row>
    <row r="7" spans="3:12" ht="15" customHeight="1" x14ac:dyDescent="0.2">
      <c r="D7" s="84"/>
      <c r="E7" s="84" t="s">
        <v>248</v>
      </c>
      <c r="F7" s="16" t="s">
        <v>65</v>
      </c>
      <c r="G7" s="238">
        <f ca="1">'&gt;&gt; DCF'!H96</f>
        <v>-2.2789066758030998</v>
      </c>
      <c r="H7" s="240">
        <v>0</v>
      </c>
      <c r="I7" s="84"/>
      <c r="J7" s="84" t="s">
        <v>136</v>
      </c>
      <c r="K7" s="238">
        <f ca="1">G11</f>
        <v>8.7574136449254887</v>
      </c>
      <c r="L7" s="243">
        <v>0</v>
      </c>
    </row>
    <row r="8" spans="3:12" ht="15" customHeight="1" x14ac:dyDescent="0.2">
      <c r="D8" s="84"/>
      <c r="E8" s="230" t="s">
        <v>134</v>
      </c>
      <c r="F8" s="231" t="s">
        <v>65</v>
      </c>
      <c r="G8" s="237">
        <f ca="1">'&gt;&gt; DDM'!H43</f>
        <v>0.54634784577352913</v>
      </c>
      <c r="H8" s="239">
        <v>0.5</v>
      </c>
      <c r="I8" s="84"/>
      <c r="J8" s="230" t="s">
        <v>137</v>
      </c>
      <c r="K8" s="237">
        <f ca="1">K7*(1+L8)</f>
        <v>8.319542962679213</v>
      </c>
      <c r="L8" s="244">
        <v>-0.05</v>
      </c>
    </row>
    <row r="9" spans="3:12" ht="15" customHeight="1" x14ac:dyDescent="0.2">
      <c r="D9" s="84"/>
      <c r="E9" s="84"/>
      <c r="F9" s="84"/>
      <c r="G9" s="224"/>
      <c r="H9" s="240">
        <f>SUM(H6:H8)</f>
        <v>1</v>
      </c>
      <c r="I9" s="84"/>
      <c r="J9" s="84"/>
      <c r="K9" s="84"/>
      <c r="L9" s="84"/>
    </row>
    <row r="10" spans="3:12" ht="15" customHeight="1" x14ac:dyDescent="0.2">
      <c r="D10" s="84"/>
      <c r="E10" s="84"/>
      <c r="F10" s="84"/>
      <c r="G10" s="84"/>
      <c r="H10" s="85"/>
      <c r="I10" s="84"/>
      <c r="J10" s="84"/>
      <c r="K10" s="84"/>
      <c r="L10" s="84"/>
    </row>
    <row r="11" spans="3:12" ht="15" customHeight="1" x14ac:dyDescent="0.2">
      <c r="D11" s="84"/>
      <c r="E11" s="234" t="s">
        <v>250</v>
      </c>
      <c r="F11" s="235" t="s">
        <v>65</v>
      </c>
      <c r="G11" s="236">
        <f ca="1">SUMPRODUCT(G6:G8,H6:H8)</f>
        <v>8.7574136449254887</v>
      </c>
      <c r="H11" s="84"/>
      <c r="I11" s="84"/>
      <c r="J11" s="84"/>
      <c r="K11" s="84"/>
      <c r="L11" s="84"/>
    </row>
    <row r="12" spans="3:12" ht="15" customHeight="1" x14ac:dyDescent="0.2">
      <c r="D12" s="84"/>
      <c r="E12" s="84" t="s">
        <v>138</v>
      </c>
      <c r="F12" s="16" t="s">
        <v>65</v>
      </c>
      <c r="G12" s="238">
        <f>'&gt;&gt; Inputs'!G21</f>
        <v>0.99</v>
      </c>
      <c r="H12" s="84"/>
      <c r="I12" s="84"/>
      <c r="J12" s="84"/>
      <c r="K12" s="84"/>
      <c r="L12" s="84"/>
    </row>
    <row r="13" spans="3:12" ht="15" customHeight="1" x14ac:dyDescent="0.2">
      <c r="D13" s="84"/>
      <c r="E13" s="241" t="s">
        <v>261</v>
      </c>
      <c r="F13" s="245" t="s">
        <v>7</v>
      </c>
      <c r="G13" s="242">
        <f ca="1">G11/G12-1</f>
        <v>7.8458723686116052</v>
      </c>
      <c r="H13" s="84"/>
      <c r="I13" s="84"/>
      <c r="J13" s="84"/>
      <c r="K13" s="84"/>
      <c r="L13" s="84"/>
    </row>
    <row r="15" spans="3:12" ht="15" customHeight="1" x14ac:dyDescent="0.2">
      <c r="E15" s="4" t="s">
        <v>139</v>
      </c>
      <c r="F15" s="4"/>
      <c r="G15" s="233" t="str">
        <f ca="1">IF(G13 &gt;= 0.15, "BUY", IF(G13 &gt;= 0.05, "OVERWEIGHT", IF(G13 &gt;= -0.05, "HOLD", IF(G13 &gt;= -0.15, "UNDERWEIGHT", "SELL"))))</f>
        <v>BUY</v>
      </c>
    </row>
    <row r="30" spans="1:27" ht="15" customHeight="1" x14ac:dyDescent="0.2">
      <c r="A30" s="40"/>
      <c r="B30" s="40" t="s">
        <v>45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4" ht="12.75" customHeight="1" x14ac:dyDescent="0.2"/>
    <row r="35" ht="12.75" customHeight="1" x14ac:dyDescent="0.2"/>
  </sheetData>
  <mergeCells count="1">
    <mergeCell ref="J5:K5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F188"/>
  <sheetViews>
    <sheetView showGridLines="0" topLeftCell="A2" zoomScale="90" zoomScaleNormal="90" workbookViewId="0">
      <pane xSplit="5" ySplit="3" topLeftCell="F82" activePane="bottomRight" state="frozen"/>
      <selection activeCell="A2" sqref="A2"/>
      <selection pane="topRight" activeCell="F2" sqref="F2"/>
      <selection pane="bottomLeft" activeCell="A5" sqref="A5"/>
      <selection pane="bottomRight" activeCell="I91" sqref="I91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44.5" customWidth="1"/>
    <col min="6" max="7" width="11.1640625" customWidth="1"/>
    <col min="8" max="8" width="12.83203125" customWidth="1"/>
    <col min="9" max="20" width="11.1640625" customWidth="1"/>
    <col min="21" max="21" width="13.1640625" customWidth="1"/>
    <col min="22" max="23" width="15.1640625" customWidth="1"/>
    <col min="24" max="24" width="14.6640625" customWidth="1"/>
    <col min="25" max="25" width="14" customWidth="1"/>
    <col min="26" max="26" width="11.1640625" customWidth="1"/>
    <col min="27" max="37" width="9.1640625" customWidth="1"/>
  </cols>
  <sheetData>
    <row r="2" spans="3:25" x14ac:dyDescent="0.2">
      <c r="C2" s="2"/>
      <c r="D2" s="1" t="s">
        <v>140</v>
      </c>
      <c r="E2" s="2"/>
      <c r="F2" s="2"/>
      <c r="G2" s="2"/>
      <c r="H2" s="431" t="s">
        <v>85</v>
      </c>
      <c r="I2" s="432"/>
      <c r="J2" s="432"/>
      <c r="K2" s="432"/>
      <c r="L2" s="432"/>
      <c r="M2" s="432"/>
      <c r="N2" s="432"/>
      <c r="O2" s="43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">
      <c r="C10" s="2"/>
      <c r="D10" s="2"/>
      <c r="E10" s="2"/>
      <c r="F10" s="24"/>
      <c r="G10" s="24"/>
      <c r="H10" s="86"/>
      <c r="I10" s="86"/>
      <c r="J10" s="86"/>
      <c r="K10" s="86"/>
      <c r="L10" s="86"/>
      <c r="M10" s="8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">
      <c r="C12" s="2"/>
      <c r="D12" s="2"/>
      <c r="E12" s="2" t="s">
        <v>95</v>
      </c>
      <c r="F12" s="24" t="s">
        <v>10</v>
      </c>
      <c r="G12" s="24"/>
      <c r="H12" s="49">
        <f>IF( AND( H5 &lt;= '&gt;&gt; Inputs'!$G41, H5 &gt;= 1 ), 1, 0 )</f>
        <v>0</v>
      </c>
      <c r="I12" s="49">
        <f>IF( AND( I5 &lt;= '&gt;&gt; Inputs'!$G41, I5 &gt;= 1 ), 1, 0 )</f>
        <v>0</v>
      </c>
      <c r="J12" s="49">
        <f>IF( AND( J5 &lt;= '&gt;&gt; Inputs'!$G41, J5 &gt;= 1 ), 1, 0 )</f>
        <v>0</v>
      </c>
      <c r="K12" s="59">
        <f>IF( AND( K5 &lt;= '&gt;&gt; Inputs'!$G41, K5 &gt;= 1 ), 1, 0 )</f>
        <v>0</v>
      </c>
      <c r="L12" s="59">
        <f>IF( AND( L5 &lt;= '&gt;&gt; Inputs'!$G41, L5 &gt;= 1 ), 1, 0 )</f>
        <v>0</v>
      </c>
      <c r="M12" s="59">
        <f>IF( AND( M5 &lt;= '&gt;&gt; Inputs'!$G41, M5 &gt;= 1 ), 1, 0 )</f>
        <v>0</v>
      </c>
      <c r="N12" s="59">
        <f>IF( AND( N5 &lt;= '&gt;&gt; Inputs'!$G41, N5 &gt;= 1 ), 1, 0 )</f>
        <v>0</v>
      </c>
      <c r="O12" s="59">
        <f>IF( AND( O5 &lt;= '&gt;&gt; Inputs'!$G41, O5 &gt;= 1 ), 1, 0 )</f>
        <v>0</v>
      </c>
      <c r="P12" s="59">
        <f>IF( AND( P5 &lt;= '&gt;&gt; Inputs'!$G41, P5 &gt;= 1 ), 1, 0 )</f>
        <v>1</v>
      </c>
      <c r="Q12" s="59">
        <f>IF( AND( Q5 &lt;= '&gt;&gt; Inputs'!$G41, Q5 &gt;= 1 ), 1, 0 )</f>
        <v>1</v>
      </c>
      <c r="R12" s="59">
        <f>IF( AND( R5 &lt;= '&gt;&gt; Inputs'!$G41, R5 &gt;= 1 ), 1, 0 )</f>
        <v>1</v>
      </c>
      <c r="S12" s="59">
        <f>IF( AND( S5 &lt;= '&gt;&gt; Inputs'!$G41, S5 &gt;= 1 ), 1, 0 )</f>
        <v>1</v>
      </c>
      <c r="T12" s="59">
        <f>IF( AND( T5 &lt;= '&gt;&gt; Inputs'!$G41, T5 &gt;= 1 ), 1, 0 )</f>
        <v>1</v>
      </c>
      <c r="U12" s="59">
        <f>IF( AND( U5 &lt;= '&gt;&gt; Inputs'!$G41, U5 &gt;= 1 ), 1, 0 )</f>
        <v>1</v>
      </c>
      <c r="V12" s="59">
        <f>IF( AND( V5 &lt;= '&gt;&gt; Inputs'!$G41, V5 &gt;= 1 ), 1, 0 )</f>
        <v>1</v>
      </c>
      <c r="W12" s="59">
        <f>IF( AND( W5 &lt;= '&gt;&gt; Inputs'!$G41, W5 &gt;= 1 ), 1, 0 )</f>
        <v>1</v>
      </c>
      <c r="X12" s="59">
        <f>IF( AND( X5 &lt;= '&gt;&gt; Inputs'!$G41, X5 &gt;= 1 ), 1, 0 )</f>
        <v>1</v>
      </c>
      <c r="Y12" s="59">
        <f>IF( AND( Y5 &lt;= '&gt;&gt; Inputs'!$G41, Y5 &gt;= 1 ), 1, 0 )</f>
        <v>1</v>
      </c>
    </row>
    <row r="13" spans="3:25" ht="15" customHeight="1" x14ac:dyDescent="0.2">
      <c r="C13" s="2"/>
      <c r="D13" s="2"/>
      <c r="E13" s="2" t="s">
        <v>96</v>
      </c>
      <c r="F13" s="24" t="s">
        <v>10</v>
      </c>
      <c r="G13" s="24"/>
      <c r="H13" s="49">
        <f>IF( H5 = '&gt;&gt; Inputs'!$G41, 1, 0 )</f>
        <v>0</v>
      </c>
      <c r="I13" s="49">
        <f>IF( I5 = '&gt;&gt; Inputs'!$G41, 1, 0 )</f>
        <v>0</v>
      </c>
      <c r="J13" s="49">
        <f>IF( J5 = '&gt;&gt; Inputs'!$G41, 1, 0 )</f>
        <v>0</v>
      </c>
      <c r="K13" s="49">
        <f>IF( K5 = '&gt;&gt; Inputs'!$G41, 1, 0 )</f>
        <v>0</v>
      </c>
      <c r="L13" s="49">
        <f>IF( L5 = '&gt;&gt; Inputs'!$G41, 1, 0 )</f>
        <v>0</v>
      </c>
      <c r="M13" s="49">
        <f>IF( M5 = '&gt;&gt; Inputs'!$G41, 1, 0 )</f>
        <v>0</v>
      </c>
      <c r="N13" s="49">
        <f>IF( N5 = '&gt;&gt; Inputs'!$G41, 1, 0 )</f>
        <v>0</v>
      </c>
      <c r="O13" s="49">
        <f>IF( O5 = '&gt;&gt; Inputs'!$G41, 1, 0 )</f>
        <v>0</v>
      </c>
      <c r="P13" s="49">
        <f>IF( P5 = '&gt;&gt; Inputs'!$G41, 1, 0 )</f>
        <v>0</v>
      </c>
      <c r="Q13" s="49">
        <f>IF( Q5 = '&gt;&gt; Inputs'!$G41, 1, 0 )</f>
        <v>0</v>
      </c>
      <c r="R13" s="49">
        <f>IF( R5 = '&gt;&gt; Inputs'!$G41, 1, 0 )</f>
        <v>0</v>
      </c>
      <c r="S13" s="49">
        <f>IF( S5 = '&gt;&gt; Inputs'!$G41, 1, 0 )</f>
        <v>0</v>
      </c>
      <c r="T13" s="49">
        <f>IF( T5 = '&gt;&gt; Inputs'!$G41, 1, 0 )</f>
        <v>0</v>
      </c>
      <c r="U13" s="49">
        <f>IF( U5 = '&gt;&gt; Inputs'!$G41, 1, 0 )</f>
        <v>0</v>
      </c>
      <c r="V13" s="49">
        <f>IF( V5 = '&gt;&gt; Inputs'!$G41, 1, 0 )</f>
        <v>0</v>
      </c>
      <c r="W13" s="49">
        <f>IF( W5 = '&gt;&gt; Inputs'!$G41, 1, 0 )</f>
        <v>0</v>
      </c>
      <c r="X13" s="49">
        <f>IF( X5 = '&gt;&gt; Inputs'!$G41, 1, 0 )</f>
        <v>0</v>
      </c>
      <c r="Y13" s="49">
        <f>IF( Y5 = '&gt;&gt; Inputs'!$G41, 1, 0 )</f>
        <v>1</v>
      </c>
    </row>
    <row r="14" spans="3:25" ht="15" customHeight="1" x14ac:dyDescent="0.2">
      <c r="C14" s="2"/>
      <c r="D14" s="2"/>
      <c r="E14" s="2"/>
      <c r="F14" s="24"/>
      <c r="G14" s="24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3:25" ht="15" customHeight="1" x14ac:dyDescent="0.2">
      <c r="C15" s="87" t="s">
        <v>141</v>
      </c>
      <c r="D15" s="88"/>
      <c r="E15" s="88"/>
      <c r="F15" s="89"/>
      <c r="G15" s="89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7" spans="5:25" ht="15" customHeight="1" x14ac:dyDescent="0.2">
      <c r="E17" s="2" t="s">
        <v>142</v>
      </c>
      <c r="F17" s="24" t="s">
        <v>25</v>
      </c>
      <c r="G17" s="24"/>
      <c r="H17" s="46">
        <f t="shared" ref="H17:Y17" si="7">H120</f>
        <v>93</v>
      </c>
      <c r="I17" s="46">
        <f t="shared" si="7"/>
        <v>105</v>
      </c>
      <c r="J17" s="46">
        <f t="shared" si="7"/>
        <v>0</v>
      </c>
      <c r="K17" s="46" t="str">
        <f t="shared" si="7"/>
        <v>-</v>
      </c>
      <c r="L17" s="46" t="str">
        <f t="shared" si="7"/>
        <v>-</v>
      </c>
      <c r="M17" s="46" t="str">
        <f t="shared" si="7"/>
        <v>-</v>
      </c>
      <c r="N17" s="46" t="str">
        <f t="shared" si="7"/>
        <v>-</v>
      </c>
      <c r="O17" s="46" t="str">
        <f t="shared" si="7"/>
        <v>-</v>
      </c>
      <c r="P17" s="46">
        <f t="shared" si="7"/>
        <v>0</v>
      </c>
      <c r="Q17" s="46">
        <f t="shared" si="7"/>
        <v>0</v>
      </c>
      <c r="R17" s="46">
        <f t="shared" si="7"/>
        <v>0</v>
      </c>
      <c r="S17" s="46">
        <f t="shared" si="7"/>
        <v>0</v>
      </c>
      <c r="T17" s="46">
        <f t="shared" si="7"/>
        <v>0</v>
      </c>
      <c r="U17" s="46">
        <f t="shared" si="7"/>
        <v>0</v>
      </c>
      <c r="V17" s="46">
        <f t="shared" si="7"/>
        <v>0</v>
      </c>
      <c r="W17" s="46">
        <f t="shared" si="7"/>
        <v>0</v>
      </c>
      <c r="X17" s="46">
        <f t="shared" si="7"/>
        <v>0</v>
      </c>
      <c r="Y17" s="46">
        <f t="shared" si="7"/>
        <v>0</v>
      </c>
    </row>
    <row r="18" spans="5:25" ht="15" customHeight="1" x14ac:dyDescent="0.2">
      <c r="E18" s="2" t="s">
        <v>143</v>
      </c>
      <c r="F18" s="24" t="s">
        <v>25</v>
      </c>
      <c r="G18" s="24"/>
      <c r="H18" s="46">
        <f>H132</f>
        <v>47</v>
      </c>
      <c r="I18" s="46">
        <f t="shared" ref="I18:Y18" si="8">I132</f>
        <v>53</v>
      </c>
      <c r="J18" s="46">
        <f t="shared" si="8"/>
        <v>56</v>
      </c>
      <c r="K18" s="46">
        <f t="shared" si="8"/>
        <v>61</v>
      </c>
      <c r="L18" s="46">
        <f t="shared" si="8"/>
        <v>69</v>
      </c>
      <c r="M18" s="46">
        <f t="shared" si="8"/>
        <v>73</v>
      </c>
      <c r="N18" s="46">
        <f t="shared" si="8"/>
        <v>75</v>
      </c>
      <c r="O18" s="46">
        <f t="shared" si="8"/>
        <v>67</v>
      </c>
      <c r="P18" s="46">
        <f t="shared" si="8"/>
        <v>68.674999999999997</v>
      </c>
      <c r="Q18" s="46">
        <f t="shared" si="8"/>
        <v>70.048500000000004</v>
      </c>
      <c r="R18" s="46">
        <f t="shared" si="8"/>
        <v>71.099227499999998</v>
      </c>
      <c r="S18" s="46">
        <f t="shared" si="8"/>
        <v>72.30791436749999</v>
      </c>
      <c r="T18" s="46">
        <f t="shared" si="8"/>
        <v>73.754072654849992</v>
      </c>
      <c r="U18" s="46">
        <f t="shared" si="8"/>
        <v>74.451985392837585</v>
      </c>
      <c r="V18" s="46">
        <f t="shared" si="8"/>
        <v>74.705059739564774</v>
      </c>
      <c r="W18" s="46">
        <f t="shared" si="8"/>
        <v>74.734896904690686</v>
      </c>
      <c r="X18" s="46">
        <f t="shared" si="8"/>
        <v>75.76494241408804</v>
      </c>
      <c r="Y18" s="46">
        <f t="shared" si="8"/>
        <v>76.702949527481749</v>
      </c>
    </row>
    <row r="19" spans="5:25" ht="15" customHeight="1" x14ac:dyDescent="0.2">
      <c r="E19" s="2" t="s">
        <v>144</v>
      </c>
      <c r="F19" s="24" t="s">
        <v>25</v>
      </c>
      <c r="G19" s="24"/>
      <c r="H19" s="46">
        <f>H144</f>
        <v>29</v>
      </c>
      <c r="I19" s="46">
        <f t="shared" ref="I19:Y19" si="9">I144</f>
        <v>32</v>
      </c>
      <c r="J19" s="46">
        <f t="shared" si="9"/>
        <v>32</v>
      </c>
      <c r="K19" s="46">
        <f t="shared" si="9"/>
        <v>31</v>
      </c>
      <c r="L19" s="46">
        <f t="shared" si="9"/>
        <v>32</v>
      </c>
      <c r="M19" s="46">
        <f t="shared" si="9"/>
        <v>30</v>
      </c>
      <c r="N19" s="46">
        <f t="shared" si="9"/>
        <v>34</v>
      </c>
      <c r="O19" s="46">
        <f t="shared" si="9"/>
        <v>35</v>
      </c>
      <c r="P19" s="46">
        <f t="shared" si="9"/>
        <v>31.875</v>
      </c>
      <c r="Q19" s="46">
        <f t="shared" si="9"/>
        <v>31.875</v>
      </c>
      <c r="R19" s="46">
        <f t="shared" si="9"/>
        <v>32.334859525837238</v>
      </c>
      <c r="S19" s="46">
        <f t="shared" si="9"/>
        <v>32.501426535957464</v>
      </c>
      <c r="T19" s="46">
        <f t="shared" si="9"/>
        <v>32.727463705009733</v>
      </c>
      <c r="U19" s="46">
        <f t="shared" si="9"/>
        <v>33.103988226051371</v>
      </c>
      <c r="V19" s="46">
        <f t="shared" si="9"/>
        <v>33.380139255720543</v>
      </c>
      <c r="W19" s="46">
        <f t="shared" si="9"/>
        <v>33.967380436679072</v>
      </c>
      <c r="X19" s="46">
        <f t="shared" si="9"/>
        <v>34.034248842836092</v>
      </c>
      <c r="Y19" s="46">
        <f t="shared" si="9"/>
        <v>34.050966549841093</v>
      </c>
    </row>
    <row r="20" spans="5:25" ht="15" customHeight="1" x14ac:dyDescent="0.2">
      <c r="E20" s="2" t="s">
        <v>145</v>
      </c>
      <c r="F20" s="24" t="s">
        <v>25</v>
      </c>
      <c r="G20" s="24"/>
      <c r="H20" s="46">
        <f>H156</f>
        <v>0</v>
      </c>
      <c r="I20" s="46">
        <f t="shared" ref="I20:Y20" si="10">I156</f>
        <v>0</v>
      </c>
      <c r="J20" s="46">
        <f t="shared" si="10"/>
        <v>0</v>
      </c>
      <c r="K20" s="46">
        <f t="shared" si="10"/>
        <v>0</v>
      </c>
      <c r="L20" s="46">
        <f t="shared" si="10"/>
        <v>0</v>
      </c>
      <c r="M20" s="46">
        <f t="shared" si="10"/>
        <v>0</v>
      </c>
      <c r="N20" s="46">
        <f t="shared" si="10"/>
        <v>0</v>
      </c>
      <c r="O20" s="46">
        <f t="shared" si="10"/>
        <v>0</v>
      </c>
      <c r="P20" s="46">
        <f t="shared" si="10"/>
        <v>0</v>
      </c>
      <c r="Q20" s="46">
        <f t="shared" si="10"/>
        <v>0</v>
      </c>
      <c r="R20" s="46">
        <f t="shared" si="10"/>
        <v>0</v>
      </c>
      <c r="S20" s="46">
        <f t="shared" si="10"/>
        <v>0</v>
      </c>
      <c r="T20" s="46">
        <f t="shared" si="10"/>
        <v>0</v>
      </c>
      <c r="U20" s="46">
        <f t="shared" si="10"/>
        <v>0</v>
      </c>
      <c r="V20" s="46">
        <f t="shared" si="10"/>
        <v>0</v>
      </c>
      <c r="W20" s="46">
        <f t="shared" si="10"/>
        <v>0</v>
      </c>
      <c r="X20" s="46">
        <f t="shared" si="10"/>
        <v>0</v>
      </c>
      <c r="Y20" s="46">
        <f t="shared" si="10"/>
        <v>0</v>
      </c>
    </row>
    <row r="21" spans="5:25" ht="15" customHeight="1" x14ac:dyDescent="0.2">
      <c r="E21" s="2" t="s">
        <v>146</v>
      </c>
      <c r="F21" s="24" t="s">
        <v>25</v>
      </c>
      <c r="G21" s="24"/>
      <c r="H21" s="46">
        <f>H168</f>
        <v>0</v>
      </c>
      <c r="I21" s="46">
        <f t="shared" ref="I21:Y21" si="11">I168</f>
        <v>0</v>
      </c>
      <c r="J21" s="46">
        <f t="shared" si="11"/>
        <v>57</v>
      </c>
      <c r="K21" s="46">
        <f t="shared" si="11"/>
        <v>61</v>
      </c>
      <c r="L21" s="46">
        <f t="shared" si="11"/>
        <v>69</v>
      </c>
      <c r="M21" s="46">
        <f t="shared" si="11"/>
        <v>73</v>
      </c>
      <c r="N21" s="46">
        <f t="shared" si="11"/>
        <v>64</v>
      </c>
      <c r="O21" s="46">
        <f t="shared" si="11"/>
        <v>64</v>
      </c>
      <c r="P21" s="46">
        <f t="shared" si="11"/>
        <v>64</v>
      </c>
      <c r="Q21" s="46">
        <f t="shared" si="11"/>
        <v>64</v>
      </c>
      <c r="R21" s="46">
        <f t="shared" si="11"/>
        <v>64</v>
      </c>
      <c r="S21" s="46">
        <f t="shared" si="11"/>
        <v>64</v>
      </c>
      <c r="T21" s="46">
        <f t="shared" si="11"/>
        <v>64</v>
      </c>
      <c r="U21" s="46">
        <f t="shared" si="11"/>
        <v>64</v>
      </c>
      <c r="V21" s="46">
        <f t="shared" si="11"/>
        <v>64</v>
      </c>
      <c r="W21" s="46">
        <f t="shared" si="11"/>
        <v>64</v>
      </c>
      <c r="X21" s="46">
        <f t="shared" si="11"/>
        <v>64</v>
      </c>
      <c r="Y21" s="46">
        <f t="shared" si="11"/>
        <v>64</v>
      </c>
    </row>
    <row r="22" spans="5:25" ht="15" customHeight="1" x14ac:dyDescent="0.2">
      <c r="E22" s="2" t="s">
        <v>280</v>
      </c>
      <c r="F22" s="24" t="s">
        <v>25</v>
      </c>
      <c r="G22" s="24"/>
      <c r="H22" s="46">
        <f>H179</f>
        <v>0</v>
      </c>
      <c r="I22" s="46">
        <f t="shared" ref="I22:Y22" si="12">I179</f>
        <v>0</v>
      </c>
      <c r="J22" s="46">
        <f t="shared" si="12"/>
        <v>21</v>
      </c>
      <c r="K22" s="46">
        <f t="shared" si="12"/>
        <v>24</v>
      </c>
      <c r="L22" s="46">
        <f t="shared" si="12"/>
        <v>25</v>
      </c>
      <c r="M22" s="46">
        <f t="shared" si="12"/>
        <v>33</v>
      </c>
      <c r="N22" s="46">
        <f t="shared" si="12"/>
        <v>42</v>
      </c>
      <c r="O22" s="46">
        <f t="shared" si="12"/>
        <v>49</v>
      </c>
      <c r="P22" s="46">
        <f t="shared" si="12"/>
        <v>49</v>
      </c>
      <c r="Q22" s="46">
        <f t="shared" si="12"/>
        <v>49</v>
      </c>
      <c r="R22" s="46">
        <f t="shared" si="12"/>
        <v>49</v>
      </c>
      <c r="S22" s="46">
        <f t="shared" si="12"/>
        <v>49</v>
      </c>
      <c r="T22" s="46">
        <f t="shared" si="12"/>
        <v>49</v>
      </c>
      <c r="U22" s="46">
        <f>U179</f>
        <v>49</v>
      </c>
      <c r="V22" s="46">
        <f t="shared" si="12"/>
        <v>49</v>
      </c>
      <c r="W22" s="46">
        <f>W179</f>
        <v>49</v>
      </c>
      <c r="X22" s="46">
        <f t="shared" si="12"/>
        <v>49</v>
      </c>
      <c r="Y22" s="46">
        <f t="shared" si="12"/>
        <v>49</v>
      </c>
    </row>
    <row r="23" spans="5:25" ht="15" customHeight="1" x14ac:dyDescent="0.2">
      <c r="E23" s="1" t="s">
        <v>253</v>
      </c>
      <c r="F23" s="91" t="s">
        <v>25</v>
      </c>
      <c r="G23" s="91"/>
      <c r="H23" s="92">
        <f>SUM(H17:H22)</f>
        <v>169</v>
      </c>
      <c r="I23" s="92">
        <f t="shared" ref="I23:Y23" si="13">SUM(I17:I22)</f>
        <v>190</v>
      </c>
      <c r="J23" s="92">
        <f t="shared" si="13"/>
        <v>166</v>
      </c>
      <c r="K23" s="92">
        <f t="shared" si="13"/>
        <v>177</v>
      </c>
      <c r="L23" s="92">
        <f t="shared" si="13"/>
        <v>195</v>
      </c>
      <c r="M23" s="92">
        <f t="shared" si="13"/>
        <v>209</v>
      </c>
      <c r="N23" s="92">
        <f t="shared" si="13"/>
        <v>215</v>
      </c>
      <c r="O23" s="92">
        <f t="shared" si="13"/>
        <v>215</v>
      </c>
      <c r="P23" s="92">
        <f t="shared" si="13"/>
        <v>213.55</v>
      </c>
      <c r="Q23" s="92">
        <f t="shared" si="13"/>
        <v>214.92349999999999</v>
      </c>
      <c r="R23" s="92">
        <f t="shared" si="13"/>
        <v>216.43408702583724</v>
      </c>
      <c r="S23" s="92">
        <f t="shared" si="13"/>
        <v>217.80934090345744</v>
      </c>
      <c r="T23" s="92">
        <f t="shared" si="13"/>
        <v>219.48153635985972</v>
      </c>
      <c r="U23" s="92">
        <f t="shared" si="13"/>
        <v>220.55597361888897</v>
      </c>
      <c r="V23" s="92">
        <f t="shared" si="13"/>
        <v>221.08519899528531</v>
      </c>
      <c r="W23" s="92">
        <f t="shared" si="13"/>
        <v>221.70227734136975</v>
      </c>
      <c r="X23" s="92">
        <f t="shared" si="13"/>
        <v>222.79919125692413</v>
      </c>
      <c r="Y23" s="92">
        <f t="shared" si="13"/>
        <v>223.75391607732286</v>
      </c>
    </row>
    <row r="24" spans="5:25" ht="15" customHeight="1" x14ac:dyDescent="0.2">
      <c r="E24" s="1"/>
      <c r="F24" s="91"/>
      <c r="G24" s="91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spans="5:25" s="95" customFormat="1" ht="15" customHeight="1" x14ac:dyDescent="0.2">
      <c r="E25" s="1" t="s">
        <v>147</v>
      </c>
      <c r="F25" s="91" t="s">
        <v>25</v>
      </c>
      <c r="G25" s="91"/>
      <c r="H25" s="66"/>
      <c r="I25" s="94">
        <f t="shared" ref="I25:Y25" si="14">I45-I23</f>
        <v>-61.069000000000017</v>
      </c>
      <c r="J25" s="94">
        <f t="shared" si="14"/>
        <v>-23.97</v>
      </c>
      <c r="K25" s="94">
        <f t="shared" si="14"/>
        <v>-19.962999999999994</v>
      </c>
      <c r="L25" s="94">
        <f t="shared" si="14"/>
        <v>-12.945999999999998</v>
      </c>
      <c r="M25" s="94">
        <f t="shared" si="14"/>
        <v>-46</v>
      </c>
      <c r="N25" s="94">
        <f t="shared" si="14"/>
        <v>-53.216000000000008</v>
      </c>
      <c r="O25" s="94">
        <f t="shared" si="14"/>
        <v>-32.33499999999998</v>
      </c>
      <c r="P25" s="94">
        <f t="shared" si="14"/>
        <v>58.21001415236293</v>
      </c>
      <c r="Q25" s="94">
        <f t="shared" si="14"/>
        <v>-96.378796313410987</v>
      </c>
      <c r="R25" s="94">
        <f t="shared" si="14"/>
        <v>-98.900251257411981</v>
      </c>
      <c r="S25" s="94">
        <f t="shared" si="14"/>
        <v>-99.714596299183484</v>
      </c>
      <c r="T25" s="94">
        <f t="shared" si="14"/>
        <v>-100.3725381727281</v>
      </c>
      <c r="U25" s="94">
        <f t="shared" si="14"/>
        <v>-103.04290890618564</v>
      </c>
      <c r="V25" s="94">
        <f t="shared" si="14"/>
        <v>-101.90823242547297</v>
      </c>
      <c r="W25" s="94">
        <f t="shared" si="14"/>
        <v>-100.85121405119062</v>
      </c>
      <c r="X25" s="94">
        <f t="shared" si="14"/>
        <v>-101.18296468818563</v>
      </c>
      <c r="Y25" s="94">
        <f t="shared" si="14"/>
        <v>-102.00614150327722</v>
      </c>
    </row>
    <row r="26" spans="5:25" s="95" customFormat="1" ht="15" customHeight="1" x14ac:dyDescent="0.2">
      <c r="E26" s="18" t="s">
        <v>127</v>
      </c>
      <c r="F26" s="16" t="s">
        <v>7</v>
      </c>
      <c r="G26" s="16"/>
      <c r="H26" s="274"/>
      <c r="I26" s="275">
        <f>IFERROR(I25/I23,"NA")</f>
        <v>-0.32141578947368432</v>
      </c>
      <c r="J26" s="275">
        <f t="shared" ref="J26:Y26" si="15">IFERROR(J25/J23,"NA")</f>
        <v>-0.14439759036144578</v>
      </c>
      <c r="K26" s="275">
        <f t="shared" si="15"/>
        <v>-0.11278531073446324</v>
      </c>
      <c r="L26" s="275">
        <f t="shared" si="15"/>
        <v>-6.6389743589743574E-2</v>
      </c>
      <c r="M26" s="275">
        <f t="shared" si="15"/>
        <v>-0.22009569377990432</v>
      </c>
      <c r="N26" s="275">
        <f t="shared" si="15"/>
        <v>-0.24751627906976748</v>
      </c>
      <c r="O26" s="275">
        <f t="shared" si="15"/>
        <v>-0.1503953488372092</v>
      </c>
      <c r="P26" s="275">
        <f t="shared" si="15"/>
        <v>0.27258259963644543</v>
      </c>
      <c r="Q26" s="275">
        <f t="shared" si="15"/>
        <v>-0.44843302995443024</v>
      </c>
      <c r="R26" s="275">
        <f t="shared" si="15"/>
        <v>-0.45695321202156836</v>
      </c>
      <c r="S26" s="275">
        <f t="shared" si="15"/>
        <v>-0.45780679508773375</v>
      </c>
      <c r="T26" s="275">
        <f t="shared" si="15"/>
        <v>-0.45731654624541307</v>
      </c>
      <c r="U26" s="275">
        <f t="shared" si="15"/>
        <v>-0.46719618251754658</v>
      </c>
      <c r="V26" s="275">
        <f t="shared" si="15"/>
        <v>-0.46094552185579002</v>
      </c>
      <c r="W26" s="275">
        <f t="shared" si="15"/>
        <v>-0.45489480424192169</v>
      </c>
      <c r="X26" s="275">
        <f t="shared" si="15"/>
        <v>-0.45414421891462353</v>
      </c>
      <c r="Y26" s="275">
        <f t="shared" si="15"/>
        <v>-0.45588539093111052</v>
      </c>
    </row>
    <row r="27" spans="5:25" ht="15" customHeight="1" x14ac:dyDescent="0.2">
      <c r="E27" s="2"/>
      <c r="F27" s="24"/>
      <c r="G27" s="24"/>
      <c r="H27" s="33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spans="5:25" ht="15" customHeight="1" x14ac:dyDescent="0.2">
      <c r="E28" s="97" t="s">
        <v>254</v>
      </c>
      <c r="F28" s="91"/>
      <c r="G28" s="36"/>
      <c r="H28" s="94"/>
      <c r="I28" s="94"/>
      <c r="J28" s="94"/>
      <c r="K28" s="94"/>
      <c r="L28" s="94"/>
      <c r="M28" s="94"/>
      <c r="N28" s="94"/>
      <c r="P28" s="96"/>
      <c r="Q28" s="94"/>
      <c r="R28" s="94"/>
      <c r="S28" s="94"/>
      <c r="T28" s="94"/>
      <c r="U28" s="94"/>
      <c r="V28" s="94"/>
      <c r="W28" s="94"/>
      <c r="X28" s="94"/>
      <c r="Y28" s="94"/>
    </row>
    <row r="29" spans="5:25" ht="15" customHeight="1" x14ac:dyDescent="0.2">
      <c r="E29" s="2" t="s">
        <v>142</v>
      </c>
      <c r="F29" s="24" t="s">
        <v>7</v>
      </c>
      <c r="G29" s="36"/>
      <c r="H29" s="226"/>
      <c r="I29" s="226">
        <f>IFERROR(I17/H17-1,"NA")</f>
        <v>0.12903225806451624</v>
      </c>
      <c r="J29" s="226">
        <f t="shared" ref="J29:Y29" si="16">IFERROR(J17/I17-1,"NA")</f>
        <v>-1</v>
      </c>
      <c r="K29" s="226" t="str">
        <f t="shared" si="16"/>
        <v>NA</v>
      </c>
      <c r="L29" s="226" t="str">
        <f t="shared" si="16"/>
        <v>NA</v>
      </c>
      <c r="M29" s="226" t="str">
        <f t="shared" si="16"/>
        <v>NA</v>
      </c>
      <c r="N29" s="226" t="str">
        <f t="shared" si="16"/>
        <v>NA</v>
      </c>
      <c r="O29" s="226" t="str">
        <f t="shared" si="16"/>
        <v>NA</v>
      </c>
      <c r="P29" s="226" t="str">
        <f t="shared" si="16"/>
        <v>NA</v>
      </c>
      <c r="Q29" s="226" t="str">
        <f t="shared" si="16"/>
        <v>NA</v>
      </c>
      <c r="R29" s="226" t="str">
        <f t="shared" si="16"/>
        <v>NA</v>
      </c>
      <c r="S29" s="226" t="str">
        <f t="shared" si="16"/>
        <v>NA</v>
      </c>
      <c r="T29" s="226" t="str">
        <f t="shared" si="16"/>
        <v>NA</v>
      </c>
      <c r="U29" s="226" t="str">
        <f t="shared" si="16"/>
        <v>NA</v>
      </c>
      <c r="V29" s="226" t="str">
        <f t="shared" si="16"/>
        <v>NA</v>
      </c>
      <c r="W29" s="226" t="str">
        <f t="shared" si="16"/>
        <v>NA</v>
      </c>
      <c r="X29" s="226" t="str">
        <f t="shared" si="16"/>
        <v>NA</v>
      </c>
      <c r="Y29" s="226" t="str">
        <f t="shared" si="16"/>
        <v>NA</v>
      </c>
    </row>
    <row r="30" spans="5:25" ht="15" customHeight="1" x14ac:dyDescent="0.2">
      <c r="E30" s="2" t="s">
        <v>143</v>
      </c>
      <c r="F30" s="24" t="s">
        <v>7</v>
      </c>
      <c r="G30" s="36"/>
      <c r="H30" s="226"/>
      <c r="I30" s="226">
        <f t="shared" ref="I30:Y30" si="17">IFERROR(I18/H18-1,"NA")</f>
        <v>0.12765957446808507</v>
      </c>
      <c r="J30" s="226">
        <f t="shared" si="17"/>
        <v>5.6603773584905648E-2</v>
      </c>
      <c r="K30" s="226">
        <f t="shared" si="17"/>
        <v>8.9285714285714191E-2</v>
      </c>
      <c r="L30" s="226">
        <f t="shared" si="17"/>
        <v>0.13114754098360648</v>
      </c>
      <c r="M30" s="226">
        <f t="shared" si="17"/>
        <v>5.7971014492753659E-2</v>
      </c>
      <c r="N30" s="226">
        <f t="shared" si="17"/>
        <v>2.7397260273972712E-2</v>
      </c>
      <c r="O30" s="226">
        <f t="shared" si="17"/>
        <v>-0.10666666666666669</v>
      </c>
      <c r="P30" s="226">
        <f t="shared" si="17"/>
        <v>2.4999999999999911E-2</v>
      </c>
      <c r="Q30" s="226">
        <f t="shared" si="17"/>
        <v>2.0000000000000018E-2</v>
      </c>
      <c r="R30" s="226">
        <f t="shared" si="17"/>
        <v>1.4999999999999902E-2</v>
      </c>
      <c r="S30" s="226">
        <f t="shared" si="17"/>
        <v>1.6999999999999904E-2</v>
      </c>
      <c r="T30" s="226">
        <f t="shared" si="17"/>
        <v>2.0000000000000018E-2</v>
      </c>
      <c r="U30" s="226">
        <f t="shared" si="17"/>
        <v>9.4627010125074573E-3</v>
      </c>
      <c r="V30" s="226">
        <f t="shared" si="17"/>
        <v>3.3991618274766822E-3</v>
      </c>
      <c r="W30" s="226">
        <f t="shared" si="17"/>
        <v>3.993995216646784E-4</v>
      </c>
      <c r="X30" s="226">
        <f t="shared" si="17"/>
        <v>1.3782657795206044E-2</v>
      </c>
      <c r="Y30" s="226">
        <f t="shared" si="17"/>
        <v>1.2380490019606949E-2</v>
      </c>
    </row>
    <row r="31" spans="5:25" ht="15" customHeight="1" x14ac:dyDescent="0.2">
      <c r="E31" s="2" t="s">
        <v>144</v>
      </c>
      <c r="F31" s="24" t="s">
        <v>7</v>
      </c>
      <c r="G31" s="36"/>
      <c r="H31" s="226"/>
      <c r="I31" s="226">
        <f t="shared" ref="I31:Y31" si="18">IFERROR(I19/H19-1,"NA")</f>
        <v>0.10344827586206895</v>
      </c>
      <c r="J31" s="226">
        <f t="shared" si="18"/>
        <v>0</v>
      </c>
      <c r="K31" s="226">
        <f t="shared" si="18"/>
        <v>-3.125E-2</v>
      </c>
      <c r="L31" s="226">
        <f t="shared" si="18"/>
        <v>3.2258064516129004E-2</v>
      </c>
      <c r="M31" s="226">
        <f t="shared" si="18"/>
        <v>-6.25E-2</v>
      </c>
      <c r="N31" s="226">
        <f t="shared" si="18"/>
        <v>0.1333333333333333</v>
      </c>
      <c r="O31" s="226">
        <f t="shared" si="18"/>
        <v>2.9411764705882248E-2</v>
      </c>
      <c r="P31" s="226">
        <f t="shared" si="18"/>
        <v>-8.9285714285714302E-2</v>
      </c>
      <c r="Q31" s="226">
        <f t="shared" si="18"/>
        <v>0</v>
      </c>
      <c r="R31" s="226">
        <f t="shared" si="18"/>
        <v>1.4426965516462387E-2</v>
      </c>
      <c r="S31" s="226">
        <f t="shared" si="18"/>
        <v>5.1513138625862709E-3</v>
      </c>
      <c r="T31" s="226">
        <f t="shared" si="18"/>
        <v>6.954684552143986E-3</v>
      </c>
      <c r="U31" s="226">
        <f t="shared" si="18"/>
        <v>1.1504848784967159E-2</v>
      </c>
      <c r="V31" s="226">
        <f t="shared" si="18"/>
        <v>8.3419262894690593E-3</v>
      </c>
      <c r="W31" s="226">
        <f t="shared" si="18"/>
        <v>1.7592532387590065E-2</v>
      </c>
      <c r="X31" s="226">
        <f t="shared" si="18"/>
        <v>1.9686065071069514E-3</v>
      </c>
      <c r="Y31" s="226">
        <f t="shared" si="18"/>
        <v>4.91202467320484E-4</v>
      </c>
    </row>
    <row r="32" spans="5:25" ht="15" customHeight="1" x14ac:dyDescent="0.2">
      <c r="E32" s="2" t="s">
        <v>145</v>
      </c>
      <c r="F32" s="24" t="s">
        <v>7</v>
      </c>
      <c r="G32" s="36"/>
      <c r="H32" s="226"/>
      <c r="I32" s="226" t="str">
        <f t="shared" ref="I32:Y32" si="19">IFERROR(I20/H20-1,"NA")</f>
        <v>NA</v>
      </c>
      <c r="J32" s="226" t="str">
        <f t="shared" si="19"/>
        <v>NA</v>
      </c>
      <c r="K32" s="226" t="str">
        <f t="shared" si="19"/>
        <v>NA</v>
      </c>
      <c r="L32" s="226" t="str">
        <f t="shared" si="19"/>
        <v>NA</v>
      </c>
      <c r="M32" s="226" t="str">
        <f t="shared" si="19"/>
        <v>NA</v>
      </c>
      <c r="N32" s="226" t="str">
        <f t="shared" si="19"/>
        <v>NA</v>
      </c>
      <c r="O32" s="226" t="str">
        <f t="shared" si="19"/>
        <v>NA</v>
      </c>
      <c r="P32" s="226" t="str">
        <f t="shared" si="19"/>
        <v>NA</v>
      </c>
      <c r="Q32" s="226" t="str">
        <f t="shared" si="19"/>
        <v>NA</v>
      </c>
      <c r="R32" s="226" t="str">
        <f t="shared" si="19"/>
        <v>NA</v>
      </c>
      <c r="S32" s="226" t="str">
        <f t="shared" si="19"/>
        <v>NA</v>
      </c>
      <c r="T32" s="226" t="str">
        <f t="shared" si="19"/>
        <v>NA</v>
      </c>
      <c r="U32" s="226" t="str">
        <f t="shared" si="19"/>
        <v>NA</v>
      </c>
      <c r="V32" s="226" t="str">
        <f t="shared" si="19"/>
        <v>NA</v>
      </c>
      <c r="W32" s="226" t="str">
        <f t="shared" si="19"/>
        <v>NA</v>
      </c>
      <c r="X32" s="226" t="str">
        <f t="shared" si="19"/>
        <v>NA</v>
      </c>
      <c r="Y32" s="226" t="str">
        <f t="shared" si="19"/>
        <v>NA</v>
      </c>
    </row>
    <row r="33" spans="3:25" ht="15" customHeight="1" x14ac:dyDescent="0.2">
      <c r="C33" s="1"/>
      <c r="D33" s="1"/>
      <c r="E33" s="2" t="s">
        <v>146</v>
      </c>
      <c r="F33" s="24" t="s">
        <v>7</v>
      </c>
      <c r="G33" s="36"/>
      <c r="H33" s="226"/>
      <c r="I33" s="226" t="str">
        <f t="shared" ref="I33:Y33" si="20">IFERROR(I21/H21-1,"NA")</f>
        <v>NA</v>
      </c>
      <c r="J33" s="226" t="str">
        <f t="shared" si="20"/>
        <v>NA</v>
      </c>
      <c r="K33" s="226">
        <f t="shared" si="20"/>
        <v>7.0175438596491224E-2</v>
      </c>
      <c r="L33" s="226">
        <f t="shared" si="20"/>
        <v>0.13114754098360648</v>
      </c>
      <c r="M33" s="226">
        <f t="shared" si="20"/>
        <v>5.7971014492753659E-2</v>
      </c>
      <c r="N33" s="226">
        <f t="shared" si="20"/>
        <v>-0.12328767123287676</v>
      </c>
      <c r="O33" s="226">
        <f t="shared" si="20"/>
        <v>0</v>
      </c>
      <c r="P33" s="226">
        <f t="shared" si="20"/>
        <v>0</v>
      </c>
      <c r="Q33" s="226">
        <f t="shared" si="20"/>
        <v>0</v>
      </c>
      <c r="R33" s="226">
        <f t="shared" si="20"/>
        <v>0</v>
      </c>
      <c r="S33" s="226">
        <f t="shared" si="20"/>
        <v>0</v>
      </c>
      <c r="T33" s="226">
        <f t="shared" si="20"/>
        <v>0</v>
      </c>
      <c r="U33" s="226">
        <f t="shared" si="20"/>
        <v>0</v>
      </c>
      <c r="V33" s="226">
        <f t="shared" si="20"/>
        <v>0</v>
      </c>
      <c r="W33" s="226">
        <f t="shared" si="20"/>
        <v>0</v>
      </c>
      <c r="X33" s="226">
        <f t="shared" si="20"/>
        <v>0</v>
      </c>
      <c r="Y33" s="226">
        <f t="shared" si="20"/>
        <v>0</v>
      </c>
    </row>
    <row r="34" spans="3:25" ht="15" customHeight="1" x14ac:dyDescent="0.2">
      <c r="C34" s="1"/>
      <c r="D34" s="1"/>
      <c r="E34" s="2" t="s">
        <v>280</v>
      </c>
      <c r="F34" s="24"/>
      <c r="G34" s="36"/>
      <c r="H34" s="226"/>
      <c r="I34" s="226" t="str">
        <f>IFERROR(I22/H22-1,"NA")</f>
        <v>NA</v>
      </c>
      <c r="J34" s="226" t="str">
        <f t="shared" ref="J34:Y34" si="21">IFERROR(J22/I22-1,"NA")</f>
        <v>NA</v>
      </c>
      <c r="K34" s="226">
        <f t="shared" si="21"/>
        <v>0.14285714285714279</v>
      </c>
      <c r="L34" s="226">
        <f t="shared" si="21"/>
        <v>4.1666666666666741E-2</v>
      </c>
      <c r="M34" s="226">
        <f t="shared" si="21"/>
        <v>0.32000000000000006</v>
      </c>
      <c r="N34" s="226">
        <f t="shared" si="21"/>
        <v>0.27272727272727271</v>
      </c>
      <c r="O34" s="226">
        <f t="shared" si="21"/>
        <v>0.16666666666666674</v>
      </c>
      <c r="P34" s="226">
        <f t="shared" si="21"/>
        <v>0</v>
      </c>
      <c r="Q34" s="226">
        <f t="shared" si="21"/>
        <v>0</v>
      </c>
      <c r="R34" s="226">
        <f t="shared" si="21"/>
        <v>0</v>
      </c>
      <c r="S34" s="226">
        <f t="shared" si="21"/>
        <v>0</v>
      </c>
      <c r="T34" s="226">
        <f t="shared" si="21"/>
        <v>0</v>
      </c>
      <c r="U34" s="226">
        <f t="shared" si="21"/>
        <v>0</v>
      </c>
      <c r="V34" s="226">
        <f t="shared" si="21"/>
        <v>0</v>
      </c>
      <c r="W34" s="226">
        <f t="shared" si="21"/>
        <v>0</v>
      </c>
      <c r="X34" s="226">
        <f t="shared" si="21"/>
        <v>0</v>
      </c>
      <c r="Y34" s="226">
        <f t="shared" si="21"/>
        <v>0</v>
      </c>
    </row>
    <row r="35" spans="3:25" ht="15" customHeight="1" x14ac:dyDescent="0.2">
      <c r="C35" s="1"/>
      <c r="D35" s="1"/>
      <c r="E35" s="1" t="s">
        <v>148</v>
      </c>
      <c r="F35" s="24" t="s">
        <v>7</v>
      </c>
      <c r="G35" s="98"/>
      <c r="H35" s="269"/>
      <c r="I35" s="269">
        <f>IFERROR(I23/H23-1,"NA")</f>
        <v>0.12426035502958577</v>
      </c>
      <c r="J35" s="269">
        <f t="shared" ref="J35:Y35" si="22">IFERROR(J23/I23-1,"NA")</f>
        <v>-0.12631578947368416</v>
      </c>
      <c r="K35" s="269">
        <f t="shared" si="22"/>
        <v>6.6265060240963791E-2</v>
      </c>
      <c r="L35" s="269">
        <f t="shared" si="22"/>
        <v>0.10169491525423724</v>
      </c>
      <c r="M35" s="269">
        <f t="shared" si="22"/>
        <v>7.1794871794871762E-2</v>
      </c>
      <c r="N35" s="269">
        <f t="shared" si="22"/>
        <v>2.8708133971291794E-2</v>
      </c>
      <c r="O35" s="269">
        <f t="shared" si="22"/>
        <v>0</v>
      </c>
      <c r="P35" s="269">
        <f t="shared" si="22"/>
        <v>-6.7441860465116132E-3</v>
      </c>
      <c r="Q35" s="269">
        <f t="shared" si="22"/>
        <v>6.4317490049168313E-3</v>
      </c>
      <c r="R35" s="269">
        <f t="shared" si="22"/>
        <v>7.0284870004315714E-3</v>
      </c>
      <c r="S35" s="269">
        <f t="shared" si="22"/>
        <v>6.3541464125105307E-3</v>
      </c>
      <c r="T35" s="269">
        <f t="shared" si="22"/>
        <v>7.677335827132703E-3</v>
      </c>
      <c r="U35" s="269">
        <f t="shared" si="22"/>
        <v>4.895342345643261E-3</v>
      </c>
      <c r="V35" s="269">
        <f t="shared" si="22"/>
        <v>2.3995059744372771E-3</v>
      </c>
      <c r="W35" s="269">
        <f t="shared" si="22"/>
        <v>2.7911336846100365E-3</v>
      </c>
      <c r="X35" s="269">
        <f t="shared" si="22"/>
        <v>4.9476889850137429E-3</v>
      </c>
      <c r="Y35" s="269">
        <f t="shared" si="22"/>
        <v>4.285135933450368E-3</v>
      </c>
    </row>
    <row r="36" spans="3:25" ht="15" customHeight="1" x14ac:dyDescent="0.2">
      <c r="C36" s="2"/>
      <c r="D36" s="2"/>
      <c r="E36" s="2"/>
      <c r="F36" s="24"/>
      <c r="G36" s="24"/>
      <c r="H36" s="2"/>
      <c r="I36" s="2"/>
      <c r="J36" s="2"/>
      <c r="K36" s="60"/>
      <c r="L36" s="60"/>
      <c r="M36" s="60"/>
      <c r="N36" s="99"/>
      <c r="O36" s="99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3:25" ht="15" customHeight="1" x14ac:dyDescent="0.2">
      <c r="C37" s="87" t="s">
        <v>265</v>
      </c>
      <c r="D37" s="88"/>
      <c r="E37" s="88"/>
      <c r="F37" s="89"/>
      <c r="G37" s="89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</row>
    <row r="38" spans="3:25" ht="15" customHeight="1" x14ac:dyDescent="0.2">
      <c r="C38" s="1"/>
      <c r="D38" s="2"/>
      <c r="E38" s="2"/>
      <c r="F38" s="24"/>
      <c r="G38" s="24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3:25" ht="15" customHeight="1" x14ac:dyDescent="0.2">
      <c r="C39" s="2"/>
      <c r="D39" s="2"/>
      <c r="E39" s="2" t="s">
        <v>142</v>
      </c>
      <c r="F39" s="24" t="s">
        <v>25</v>
      </c>
      <c r="G39" s="24"/>
      <c r="H39" s="46">
        <f>H125</f>
        <v>86.1</v>
      </c>
      <c r="I39" s="46">
        <f t="shared" ref="I39:Y39" si="23">I125</f>
        <v>0</v>
      </c>
      <c r="J39" s="46">
        <f t="shared" si="23"/>
        <v>0</v>
      </c>
      <c r="K39" s="46" t="str">
        <f t="shared" si="23"/>
        <v>-</v>
      </c>
      <c r="L39" s="46" t="str">
        <f t="shared" si="23"/>
        <v>-</v>
      </c>
      <c r="M39" s="46" t="str">
        <f t="shared" si="23"/>
        <v>-</v>
      </c>
      <c r="N39" s="46" t="str">
        <f t="shared" si="23"/>
        <v>-</v>
      </c>
      <c r="O39" s="46" t="str">
        <f t="shared" si="23"/>
        <v>-</v>
      </c>
      <c r="P39" s="46">
        <f t="shared" si="23"/>
        <v>0</v>
      </c>
      <c r="Q39" s="46">
        <f t="shared" si="23"/>
        <v>0</v>
      </c>
      <c r="R39" s="46">
        <f t="shared" si="23"/>
        <v>0</v>
      </c>
      <c r="S39" s="46">
        <f t="shared" si="23"/>
        <v>0</v>
      </c>
      <c r="T39" s="46">
        <f t="shared" si="23"/>
        <v>0</v>
      </c>
      <c r="U39" s="46">
        <f t="shared" si="23"/>
        <v>0</v>
      </c>
      <c r="V39" s="46">
        <f t="shared" si="23"/>
        <v>0</v>
      </c>
      <c r="W39" s="46">
        <f t="shared" si="23"/>
        <v>0</v>
      </c>
      <c r="X39" s="46">
        <f t="shared" si="23"/>
        <v>0</v>
      </c>
      <c r="Y39" s="46">
        <f t="shared" si="23"/>
        <v>0</v>
      </c>
    </row>
    <row r="40" spans="3:25" ht="15" customHeight="1" x14ac:dyDescent="0.2">
      <c r="C40" s="2"/>
      <c r="D40" s="2"/>
      <c r="E40" s="2" t="s">
        <v>143</v>
      </c>
      <c r="F40" s="24" t="s">
        <v>25</v>
      </c>
      <c r="G40" s="24"/>
      <c r="H40" s="46">
        <f>H137</f>
        <v>37.466999999999999</v>
      </c>
      <c r="I40" s="46">
        <f t="shared" ref="I40:Y40" si="24">I137</f>
        <v>47.1</v>
      </c>
      <c r="J40" s="46">
        <f t="shared" si="24"/>
        <v>54.93</v>
      </c>
      <c r="K40" s="46">
        <f t="shared" si="24"/>
        <v>57.85</v>
      </c>
      <c r="L40" s="46">
        <f t="shared" si="24"/>
        <v>63.62</v>
      </c>
      <c r="M40" s="46">
        <f t="shared" si="24"/>
        <v>28.6</v>
      </c>
      <c r="N40" s="46">
        <f t="shared" si="24"/>
        <v>33.9</v>
      </c>
      <c r="O40" s="46">
        <f t="shared" si="24"/>
        <v>35.200000000000003</v>
      </c>
      <c r="P40" s="46">
        <f t="shared" si="24"/>
        <v>45.009014152362923</v>
      </c>
      <c r="Q40" s="46">
        <f t="shared" si="24"/>
        <v>44.910758416691046</v>
      </c>
      <c r="R40" s="46">
        <f t="shared" si="24"/>
        <v>44.050634277091703</v>
      </c>
      <c r="S40" s="46">
        <f t="shared" si="24"/>
        <v>42.827473573452785</v>
      </c>
      <c r="T40" s="46">
        <f t="shared" si="24"/>
        <v>41.725750512145282</v>
      </c>
      <c r="U40" s="46">
        <f t="shared" si="24"/>
        <v>40.179819956131873</v>
      </c>
      <c r="V40" s="46">
        <f t="shared" si="24"/>
        <v>42.312990263892424</v>
      </c>
      <c r="W40" s="46">
        <f t="shared" si="24"/>
        <v>43.712847962106011</v>
      </c>
      <c r="X40" s="46">
        <f t="shared" si="24"/>
        <v>44.952041027733117</v>
      </c>
      <c r="Y40" s="46">
        <f t="shared" si="24"/>
        <v>44.976022278459034</v>
      </c>
    </row>
    <row r="41" spans="3:25" ht="15" customHeight="1" x14ac:dyDescent="0.2">
      <c r="C41" s="2"/>
      <c r="D41" s="2"/>
      <c r="E41" s="2" t="s">
        <v>144</v>
      </c>
      <c r="F41" s="24" t="s">
        <v>25</v>
      </c>
      <c r="G41" s="24"/>
      <c r="H41" s="46">
        <f>H149</f>
        <v>28.416</v>
      </c>
      <c r="I41" s="46">
        <f t="shared" ref="I41:Y41" si="25">I149</f>
        <v>29.631</v>
      </c>
      <c r="J41" s="46">
        <f t="shared" si="25"/>
        <v>16.100000000000001</v>
      </c>
      <c r="K41" s="46">
        <f t="shared" si="25"/>
        <v>16.216999999999999</v>
      </c>
      <c r="L41" s="46">
        <f t="shared" si="25"/>
        <v>31.053999999999998</v>
      </c>
      <c r="M41" s="46">
        <f t="shared" si="25"/>
        <v>32.200000000000003</v>
      </c>
      <c r="N41" s="46">
        <f t="shared" si="25"/>
        <v>30.238</v>
      </c>
      <c r="O41" s="46">
        <f t="shared" si="25"/>
        <v>34.234999999999999</v>
      </c>
      <c r="P41" s="46">
        <f t="shared" si="25"/>
        <v>113.74</v>
      </c>
      <c r="Q41" s="46">
        <f t="shared" si="25"/>
        <v>24.63394526989795</v>
      </c>
      <c r="R41" s="46">
        <f t="shared" si="25"/>
        <v>24.48320149133356</v>
      </c>
      <c r="S41" s="46">
        <f t="shared" si="25"/>
        <v>26.267271030821178</v>
      </c>
      <c r="T41" s="46">
        <f t="shared" si="25"/>
        <v>28.383247674986332</v>
      </c>
      <c r="U41" s="46">
        <f t="shared" si="25"/>
        <v>28.333244756571457</v>
      </c>
      <c r="V41" s="46">
        <f t="shared" si="25"/>
        <v>27.863976305919913</v>
      </c>
      <c r="W41" s="46">
        <f t="shared" si="25"/>
        <v>28.138215328073112</v>
      </c>
      <c r="X41" s="46">
        <f t="shared" si="25"/>
        <v>27.664185541005377</v>
      </c>
      <c r="Y41" s="46">
        <f t="shared" si="25"/>
        <v>27.771752295586598</v>
      </c>
    </row>
    <row r="42" spans="3:25" ht="15" customHeight="1" x14ac:dyDescent="0.2">
      <c r="C42" s="2"/>
      <c r="D42" s="2"/>
      <c r="E42" s="2" t="s">
        <v>145</v>
      </c>
      <c r="F42" s="24" t="s">
        <v>25</v>
      </c>
      <c r="G42" s="24"/>
      <c r="H42" s="46">
        <f>H161</f>
        <v>0</v>
      </c>
      <c r="I42" s="46">
        <f t="shared" ref="I42:Y42" si="26">I161</f>
        <v>0</v>
      </c>
      <c r="J42" s="46">
        <f t="shared" si="26"/>
        <v>0</v>
      </c>
      <c r="K42" s="46">
        <f t="shared" si="26"/>
        <v>0</v>
      </c>
      <c r="L42" s="46">
        <f t="shared" si="26"/>
        <v>0</v>
      </c>
      <c r="M42" s="46">
        <f t="shared" si="26"/>
        <v>0</v>
      </c>
      <c r="N42" s="46" t="str">
        <f t="shared" si="26"/>
        <v>-</v>
      </c>
      <c r="O42" s="46" t="str">
        <f t="shared" si="26"/>
        <v>-</v>
      </c>
      <c r="P42" s="46">
        <f t="shared" si="26"/>
        <v>0</v>
      </c>
      <c r="Q42" s="46">
        <f t="shared" si="26"/>
        <v>0</v>
      </c>
      <c r="R42" s="46">
        <f t="shared" si="26"/>
        <v>0</v>
      </c>
      <c r="S42" s="46">
        <f t="shared" si="26"/>
        <v>0</v>
      </c>
      <c r="T42" s="46">
        <f t="shared" si="26"/>
        <v>0</v>
      </c>
      <c r="U42" s="46">
        <f t="shared" si="26"/>
        <v>0</v>
      </c>
      <c r="V42" s="46">
        <f t="shared" si="26"/>
        <v>0</v>
      </c>
      <c r="W42" s="46">
        <f t="shared" si="26"/>
        <v>0</v>
      </c>
      <c r="X42" s="46">
        <f t="shared" si="26"/>
        <v>0</v>
      </c>
      <c r="Y42" s="46">
        <f t="shared" si="26"/>
        <v>0</v>
      </c>
    </row>
    <row r="43" spans="3:25" ht="15" customHeight="1" x14ac:dyDescent="0.2">
      <c r="C43" s="2"/>
      <c r="D43" s="2"/>
      <c r="E43" s="2" t="s">
        <v>146</v>
      </c>
      <c r="F43" s="24" t="s">
        <v>25</v>
      </c>
      <c r="G43" s="24"/>
      <c r="H43" s="46">
        <f t="shared" ref="H43:Y43" si="27">H173</f>
        <v>50.8</v>
      </c>
      <c r="I43" s="46">
        <f t="shared" si="27"/>
        <v>52.2</v>
      </c>
      <c r="J43" s="46">
        <f t="shared" si="27"/>
        <v>50</v>
      </c>
      <c r="K43" s="46">
        <f t="shared" si="27"/>
        <v>58.97</v>
      </c>
      <c r="L43" s="46">
        <f t="shared" si="27"/>
        <v>62.38</v>
      </c>
      <c r="M43" s="46">
        <f t="shared" si="27"/>
        <v>69.2</v>
      </c>
      <c r="N43" s="46">
        <f t="shared" si="27"/>
        <v>55.646000000000001</v>
      </c>
      <c r="O43" s="46">
        <f t="shared" si="27"/>
        <v>64.23</v>
      </c>
      <c r="P43" s="46">
        <f t="shared" si="27"/>
        <v>64.010999999999996</v>
      </c>
      <c r="Q43" s="46">
        <f t="shared" si="27"/>
        <v>0</v>
      </c>
      <c r="R43" s="46">
        <f t="shared" si="27"/>
        <v>0</v>
      </c>
      <c r="S43" s="46">
        <f t="shared" si="27"/>
        <v>0</v>
      </c>
      <c r="T43" s="46">
        <f t="shared" si="27"/>
        <v>0</v>
      </c>
      <c r="U43" s="46">
        <f t="shared" si="27"/>
        <v>0</v>
      </c>
      <c r="V43" s="46">
        <f t="shared" si="27"/>
        <v>0</v>
      </c>
      <c r="W43" s="46">
        <f t="shared" si="27"/>
        <v>0</v>
      </c>
      <c r="X43" s="46">
        <f t="shared" si="27"/>
        <v>0</v>
      </c>
      <c r="Y43" s="46">
        <f t="shared" si="27"/>
        <v>0</v>
      </c>
    </row>
    <row r="44" spans="3:25" ht="15" customHeight="1" x14ac:dyDescent="0.2">
      <c r="C44" s="2"/>
      <c r="D44" s="2"/>
      <c r="E44" s="2" t="s">
        <v>280</v>
      </c>
      <c r="F44" s="24"/>
      <c r="G44" s="24"/>
      <c r="H44" s="46">
        <f>H179</f>
        <v>0</v>
      </c>
      <c r="I44" s="46">
        <f t="shared" ref="I44:Y44" si="28">I179</f>
        <v>0</v>
      </c>
      <c r="J44" s="46">
        <f t="shared" si="28"/>
        <v>21</v>
      </c>
      <c r="K44" s="46">
        <f t="shared" si="28"/>
        <v>24</v>
      </c>
      <c r="L44" s="46">
        <f t="shared" si="28"/>
        <v>25</v>
      </c>
      <c r="M44" s="46">
        <f t="shared" si="28"/>
        <v>33</v>
      </c>
      <c r="N44" s="46">
        <f t="shared" si="28"/>
        <v>42</v>
      </c>
      <c r="O44" s="46">
        <f t="shared" si="28"/>
        <v>49</v>
      </c>
      <c r="P44" s="46">
        <f t="shared" si="28"/>
        <v>49</v>
      </c>
      <c r="Q44" s="46">
        <f t="shared" si="28"/>
        <v>49</v>
      </c>
      <c r="R44" s="46">
        <f t="shared" si="28"/>
        <v>49</v>
      </c>
      <c r="S44" s="46">
        <f t="shared" si="28"/>
        <v>49</v>
      </c>
      <c r="T44" s="46">
        <f t="shared" si="28"/>
        <v>49</v>
      </c>
      <c r="U44" s="46">
        <f t="shared" si="28"/>
        <v>49</v>
      </c>
      <c r="V44" s="46">
        <f t="shared" si="28"/>
        <v>49</v>
      </c>
      <c r="W44" s="46">
        <f t="shared" si="28"/>
        <v>49</v>
      </c>
      <c r="X44" s="46">
        <f t="shared" si="28"/>
        <v>49</v>
      </c>
      <c r="Y44" s="46">
        <f t="shared" si="28"/>
        <v>49</v>
      </c>
    </row>
    <row r="45" spans="3:25" ht="15" customHeight="1" x14ac:dyDescent="0.2">
      <c r="C45" s="1"/>
      <c r="D45" s="1"/>
      <c r="E45" s="1" t="s">
        <v>149</v>
      </c>
      <c r="F45" s="91" t="s">
        <v>25</v>
      </c>
      <c r="G45" s="91"/>
      <c r="H45" s="92">
        <f>SUM(H39:H44)</f>
        <v>202.78300000000002</v>
      </c>
      <c r="I45" s="92">
        <f t="shared" ref="I45:Y45" si="29">SUM(I39:I44)</f>
        <v>128.93099999999998</v>
      </c>
      <c r="J45" s="92">
        <f t="shared" si="29"/>
        <v>142.03</v>
      </c>
      <c r="K45" s="92">
        <f t="shared" si="29"/>
        <v>157.03700000000001</v>
      </c>
      <c r="L45" s="92">
        <f t="shared" si="29"/>
        <v>182.054</v>
      </c>
      <c r="M45" s="92">
        <f t="shared" si="29"/>
        <v>163</v>
      </c>
      <c r="N45" s="92">
        <f t="shared" si="29"/>
        <v>161.78399999999999</v>
      </c>
      <c r="O45" s="92">
        <f t="shared" si="29"/>
        <v>182.66500000000002</v>
      </c>
      <c r="P45" s="92">
        <f t="shared" si="29"/>
        <v>271.76001415236294</v>
      </c>
      <c r="Q45" s="92">
        <f t="shared" si="29"/>
        <v>118.544703686589</v>
      </c>
      <c r="R45" s="92">
        <f t="shared" si="29"/>
        <v>117.53383576842526</v>
      </c>
      <c r="S45" s="92">
        <f t="shared" si="29"/>
        <v>118.09474460427396</v>
      </c>
      <c r="T45" s="92">
        <f t="shared" si="29"/>
        <v>119.10899818713162</v>
      </c>
      <c r="U45" s="92">
        <f t="shared" si="29"/>
        <v>117.51306471270333</v>
      </c>
      <c r="V45" s="92">
        <f t="shared" si="29"/>
        <v>119.17696656981234</v>
      </c>
      <c r="W45" s="92">
        <f t="shared" si="29"/>
        <v>120.85106329017913</v>
      </c>
      <c r="X45" s="92">
        <f t="shared" si="29"/>
        <v>121.6162265687385</v>
      </c>
      <c r="Y45" s="92">
        <f t="shared" si="29"/>
        <v>121.74777457404564</v>
      </c>
    </row>
    <row r="46" spans="3:25" ht="15" customHeight="1" x14ac:dyDescent="0.2">
      <c r="C46" s="1"/>
      <c r="D46" s="1"/>
      <c r="E46" s="18" t="s">
        <v>127</v>
      </c>
      <c r="F46" s="91" t="s">
        <v>7</v>
      </c>
      <c r="G46" s="91"/>
      <c r="H46" s="93"/>
      <c r="I46" s="104">
        <f>IFERROR((I45/H45)-1,"NA")</f>
        <v>-0.36419226463756837</v>
      </c>
      <c r="J46" s="104">
        <f t="shared" ref="J46" si="30">IFERROR((J45/I45)-1,"NA")</f>
        <v>0.1015969782286652</v>
      </c>
      <c r="K46" s="104">
        <f t="shared" ref="K46" si="31">IFERROR((K45/J45)-1,"NA")</f>
        <v>0.10566077589241707</v>
      </c>
      <c r="L46" s="104">
        <f t="shared" ref="L46" si="32">IFERROR((L45/K45)-1,"NA")</f>
        <v>0.15930640549679365</v>
      </c>
      <c r="M46" s="104">
        <f t="shared" ref="M46" si="33">IFERROR((M45/L45)-1,"NA")</f>
        <v>-0.10466125435310403</v>
      </c>
      <c r="N46" s="104">
        <f t="shared" ref="N46" si="34">IFERROR((N45/M45)-1,"NA")</f>
        <v>-7.4601226993865621E-3</v>
      </c>
      <c r="O46" s="104">
        <f t="shared" ref="O46" si="35">IFERROR((O45/N45)-1,"NA")</f>
        <v>0.12906715126341317</v>
      </c>
      <c r="P46" s="104">
        <f t="shared" ref="P46" si="36">IFERROR((P45/O45)-1,"NA")</f>
        <v>0.48775087812313744</v>
      </c>
      <c r="Q46" s="104">
        <f t="shared" ref="Q46" si="37">IFERROR((Q45/P45)-1,"NA")</f>
        <v>-0.56378901415523686</v>
      </c>
      <c r="R46" s="104">
        <f t="shared" ref="R46" si="38">IFERROR((R45/Q45)-1,"NA")</f>
        <v>-8.5273140572884598E-3</v>
      </c>
      <c r="S46" s="104">
        <f t="shared" ref="S46" si="39">IFERROR((S45/R45)-1,"NA")</f>
        <v>4.7723179642824576E-3</v>
      </c>
      <c r="T46" s="104">
        <f t="shared" ref="T46" si="40">IFERROR((T45/S45)-1,"NA")</f>
        <v>8.5884734858976408E-3</v>
      </c>
      <c r="U46" s="104">
        <f t="shared" ref="U46" si="41">IFERROR((U45/T45)-1,"NA")</f>
        <v>-1.3398932899434945E-2</v>
      </c>
      <c r="V46" s="104">
        <f t="shared" ref="V46" si="42">IFERROR((V45/U45)-1,"NA")</f>
        <v>1.4159292510810939E-2</v>
      </c>
      <c r="W46" s="104">
        <f t="shared" ref="W46" si="43">IFERROR((W45/V45)-1,"NA")</f>
        <v>1.404714995314249E-2</v>
      </c>
      <c r="X46" s="104">
        <f t="shared" ref="X46" si="44">IFERROR((X45/W45)-1,"NA")</f>
        <v>6.331456734659513E-3</v>
      </c>
      <c r="Y46" s="104">
        <f t="shared" ref="Y46" si="45">IFERROR((Y45/X45)-1,"NA")</f>
        <v>1.0816649144493873E-3</v>
      </c>
    </row>
    <row r="47" spans="3:25" ht="15" customHeight="1" x14ac:dyDescent="0.2">
      <c r="C47" s="2"/>
      <c r="D47" s="2"/>
      <c r="E47" s="2"/>
      <c r="F47" s="24"/>
      <c r="G47" s="24"/>
      <c r="H47" s="27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27"/>
      <c r="T47" s="27"/>
      <c r="U47" s="27"/>
      <c r="V47" s="27"/>
      <c r="W47" s="27"/>
      <c r="X47" s="27"/>
      <c r="Y47" s="27"/>
    </row>
    <row r="48" spans="3:25" ht="15" customHeight="1" x14ac:dyDescent="0.2">
      <c r="C48" s="1"/>
      <c r="D48" s="1"/>
      <c r="E48" s="97" t="s">
        <v>84</v>
      </c>
      <c r="F48" s="91"/>
      <c r="G48" s="36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</row>
    <row r="49" spans="3:26" ht="15" customHeight="1" x14ac:dyDescent="0.2">
      <c r="C49" s="1"/>
      <c r="D49" s="1"/>
      <c r="E49" s="2" t="s">
        <v>142</v>
      </c>
      <c r="F49" s="24" t="s">
        <v>7</v>
      </c>
      <c r="G49" s="36"/>
      <c r="H49" s="226">
        <f t="shared" ref="H49:Y49" si="46">IFERROR(H39/H17,"NA")</f>
        <v>0.9258064516129032</v>
      </c>
      <c r="I49" s="226">
        <f t="shared" si="46"/>
        <v>0</v>
      </c>
      <c r="J49" s="226" t="str">
        <f t="shared" si="46"/>
        <v>NA</v>
      </c>
      <c r="K49" s="226" t="str">
        <f t="shared" si="46"/>
        <v>NA</v>
      </c>
      <c r="L49" s="226" t="str">
        <f t="shared" si="46"/>
        <v>NA</v>
      </c>
      <c r="M49" s="226" t="str">
        <f t="shared" si="46"/>
        <v>NA</v>
      </c>
      <c r="N49" s="226" t="str">
        <f t="shared" si="46"/>
        <v>NA</v>
      </c>
      <c r="O49" s="226" t="str">
        <f t="shared" si="46"/>
        <v>NA</v>
      </c>
      <c r="P49" s="226" t="str">
        <f t="shared" si="46"/>
        <v>NA</v>
      </c>
      <c r="Q49" s="226" t="str">
        <f t="shared" si="46"/>
        <v>NA</v>
      </c>
      <c r="R49" s="226" t="str">
        <f t="shared" si="46"/>
        <v>NA</v>
      </c>
      <c r="S49" s="226" t="str">
        <f t="shared" si="46"/>
        <v>NA</v>
      </c>
      <c r="T49" s="226" t="str">
        <f t="shared" si="46"/>
        <v>NA</v>
      </c>
      <c r="U49" s="226" t="str">
        <f t="shared" si="46"/>
        <v>NA</v>
      </c>
      <c r="V49" s="226" t="str">
        <f t="shared" si="46"/>
        <v>NA</v>
      </c>
      <c r="W49" s="226" t="str">
        <f t="shared" si="46"/>
        <v>NA</v>
      </c>
      <c r="X49" s="226" t="str">
        <f t="shared" si="46"/>
        <v>NA</v>
      </c>
      <c r="Y49" s="226" t="str">
        <f t="shared" si="46"/>
        <v>NA</v>
      </c>
    </row>
    <row r="50" spans="3:26" ht="15" customHeight="1" x14ac:dyDescent="0.2">
      <c r="C50" s="1"/>
      <c r="D50" s="1"/>
      <c r="E50" s="2" t="s">
        <v>143</v>
      </c>
      <c r="F50" s="24" t="s">
        <v>7</v>
      </c>
      <c r="G50" s="36"/>
      <c r="H50" s="226">
        <f t="shared" ref="H50:Y50" si="47">IFERROR(H40/H18,"NA")</f>
        <v>0.79717021276595745</v>
      </c>
      <c r="I50" s="226">
        <f t="shared" si="47"/>
        <v>0.88867924528301889</v>
      </c>
      <c r="J50" s="226">
        <f t="shared" si="47"/>
        <v>0.98089285714285712</v>
      </c>
      <c r="K50" s="226">
        <f t="shared" si="47"/>
        <v>0.94836065573770489</v>
      </c>
      <c r="L50" s="226">
        <f t="shared" si="47"/>
        <v>0.92202898550724632</v>
      </c>
      <c r="M50" s="226">
        <f t="shared" si="47"/>
        <v>0.39178082191780822</v>
      </c>
      <c r="N50" s="226">
        <f t="shared" si="47"/>
        <v>0.45199999999999996</v>
      </c>
      <c r="O50" s="226">
        <f t="shared" si="47"/>
        <v>0.5253731343283583</v>
      </c>
      <c r="P50" s="226">
        <f t="shared" si="47"/>
        <v>0.65539154208027561</v>
      </c>
      <c r="Q50" s="226">
        <f t="shared" si="47"/>
        <v>0.64113804602084334</v>
      </c>
      <c r="R50" s="226">
        <f t="shared" si="47"/>
        <v>0.61956558215898627</v>
      </c>
      <c r="S50" s="226">
        <f t="shared" si="47"/>
        <v>0.59229302833691344</v>
      </c>
      <c r="T50" s="226">
        <f t="shared" si="47"/>
        <v>0.56574164666690363</v>
      </c>
      <c r="U50" s="226">
        <f t="shared" si="47"/>
        <v>0.53967425776663358</v>
      </c>
      <c r="V50" s="226">
        <f t="shared" si="47"/>
        <v>0.56640059470406812</v>
      </c>
      <c r="W50" s="226">
        <f t="shared" si="47"/>
        <v>0.58490544273919243</v>
      </c>
      <c r="X50" s="226">
        <f t="shared" si="47"/>
        <v>0.59330924825430276</v>
      </c>
      <c r="Y50" s="226">
        <f t="shared" si="47"/>
        <v>0.58636626825340876</v>
      </c>
    </row>
    <row r="51" spans="3:26" ht="15" customHeight="1" x14ac:dyDescent="0.2">
      <c r="C51" s="1"/>
      <c r="D51" s="1"/>
      <c r="E51" s="2" t="s">
        <v>144</v>
      </c>
      <c r="F51" s="24" t="s">
        <v>7</v>
      </c>
      <c r="G51" s="36"/>
      <c r="H51" s="226">
        <f t="shared" ref="H51:Y51" si="48">IFERROR(H41/H19,"NA")</f>
        <v>0.97986206896551731</v>
      </c>
      <c r="I51" s="226">
        <f t="shared" si="48"/>
        <v>0.92596875000000001</v>
      </c>
      <c r="J51" s="226">
        <f t="shared" si="48"/>
        <v>0.50312500000000004</v>
      </c>
      <c r="K51" s="226">
        <f t="shared" si="48"/>
        <v>0.52312903225806451</v>
      </c>
      <c r="L51" s="226">
        <f t="shared" si="48"/>
        <v>0.97043749999999995</v>
      </c>
      <c r="M51" s="226">
        <f t="shared" si="48"/>
        <v>1.0733333333333335</v>
      </c>
      <c r="N51" s="226">
        <f t="shared" si="48"/>
        <v>0.88935294117647057</v>
      </c>
      <c r="O51" s="226">
        <f t="shared" si="48"/>
        <v>0.97814285714285709</v>
      </c>
      <c r="P51" s="226">
        <f t="shared" si="48"/>
        <v>3.5683137254901958</v>
      </c>
      <c r="Q51" s="226">
        <f t="shared" si="48"/>
        <v>0.77282965552621019</v>
      </c>
      <c r="R51" s="226">
        <f t="shared" si="48"/>
        <v>0.75717667713293157</v>
      </c>
      <c r="S51" s="226">
        <f t="shared" si="48"/>
        <v>0.8081882498837637</v>
      </c>
      <c r="T51" s="226">
        <f t="shared" si="48"/>
        <v>0.86726084033947271</v>
      </c>
      <c r="U51" s="226">
        <f t="shared" si="48"/>
        <v>0.85588614166659382</v>
      </c>
      <c r="V51" s="226">
        <f t="shared" si="48"/>
        <v>0.83474715585989367</v>
      </c>
      <c r="W51" s="226">
        <f t="shared" si="48"/>
        <v>0.82838932429680567</v>
      </c>
      <c r="X51" s="226">
        <f t="shared" si="48"/>
        <v>0.81283373312434493</v>
      </c>
      <c r="Y51" s="226">
        <f t="shared" si="48"/>
        <v>0.81559365590802013</v>
      </c>
    </row>
    <row r="52" spans="3:26" ht="15" customHeight="1" x14ac:dyDescent="0.2">
      <c r="C52" s="1"/>
      <c r="D52" s="1"/>
      <c r="E52" s="2" t="s">
        <v>145</v>
      </c>
      <c r="F52" s="24" t="s">
        <v>7</v>
      </c>
      <c r="G52" s="36"/>
      <c r="H52" s="226" t="str">
        <f t="shared" ref="H52:Y52" si="49">IFERROR(H42/H20,"NA")</f>
        <v>NA</v>
      </c>
      <c r="I52" s="226" t="str">
        <f t="shared" si="49"/>
        <v>NA</v>
      </c>
      <c r="J52" s="226" t="str">
        <f t="shared" si="49"/>
        <v>NA</v>
      </c>
      <c r="K52" s="226" t="str">
        <f t="shared" si="49"/>
        <v>NA</v>
      </c>
      <c r="L52" s="226" t="str">
        <f t="shared" si="49"/>
        <v>NA</v>
      </c>
      <c r="M52" s="226" t="str">
        <f t="shared" si="49"/>
        <v>NA</v>
      </c>
      <c r="N52" s="226" t="str">
        <f t="shared" si="49"/>
        <v>NA</v>
      </c>
      <c r="O52" s="226" t="str">
        <f t="shared" si="49"/>
        <v>NA</v>
      </c>
      <c r="P52" s="226" t="str">
        <f t="shared" si="49"/>
        <v>NA</v>
      </c>
      <c r="Q52" s="226" t="str">
        <f t="shared" si="49"/>
        <v>NA</v>
      </c>
      <c r="R52" s="226" t="str">
        <f t="shared" si="49"/>
        <v>NA</v>
      </c>
      <c r="S52" s="226" t="str">
        <f t="shared" si="49"/>
        <v>NA</v>
      </c>
      <c r="T52" s="226" t="str">
        <f t="shared" si="49"/>
        <v>NA</v>
      </c>
      <c r="U52" s="226" t="str">
        <f t="shared" si="49"/>
        <v>NA</v>
      </c>
      <c r="V52" s="226" t="str">
        <f t="shared" si="49"/>
        <v>NA</v>
      </c>
      <c r="W52" s="226" t="str">
        <f t="shared" si="49"/>
        <v>NA</v>
      </c>
      <c r="X52" s="226" t="str">
        <f t="shared" si="49"/>
        <v>NA</v>
      </c>
      <c r="Y52" s="226" t="str">
        <f t="shared" si="49"/>
        <v>NA</v>
      </c>
    </row>
    <row r="53" spans="3:26" ht="15" customHeight="1" x14ac:dyDescent="0.2">
      <c r="C53" s="1"/>
      <c r="D53" s="1"/>
      <c r="E53" s="2" t="s">
        <v>146</v>
      </c>
      <c r="F53" s="24" t="s">
        <v>7</v>
      </c>
      <c r="G53" s="36"/>
      <c r="H53" s="226" t="str">
        <f t="shared" ref="H53:Y53" si="50">IFERROR(H43/H21,"NA")</f>
        <v>NA</v>
      </c>
      <c r="I53" s="226" t="str">
        <f t="shared" si="50"/>
        <v>NA</v>
      </c>
      <c r="J53" s="226">
        <f t="shared" si="50"/>
        <v>0.8771929824561403</v>
      </c>
      <c r="K53" s="226">
        <f t="shared" si="50"/>
        <v>0.96672131147540985</v>
      </c>
      <c r="L53" s="226">
        <f t="shared" si="50"/>
        <v>0.90405797101449281</v>
      </c>
      <c r="M53" s="226">
        <f t="shared" si="50"/>
        <v>0.94794520547945205</v>
      </c>
      <c r="N53" s="226">
        <f t="shared" si="50"/>
        <v>0.86946875000000001</v>
      </c>
      <c r="O53" s="226">
        <f t="shared" si="50"/>
        <v>1.0035937500000001</v>
      </c>
      <c r="P53" s="226">
        <f t="shared" si="50"/>
        <v>1.0001718749999999</v>
      </c>
      <c r="Q53" s="226">
        <f t="shared" si="50"/>
        <v>0</v>
      </c>
      <c r="R53" s="226">
        <f t="shared" si="50"/>
        <v>0</v>
      </c>
      <c r="S53" s="226">
        <f t="shared" si="50"/>
        <v>0</v>
      </c>
      <c r="T53" s="226">
        <f t="shared" si="50"/>
        <v>0</v>
      </c>
      <c r="U53" s="226">
        <f t="shared" si="50"/>
        <v>0</v>
      </c>
      <c r="V53" s="226">
        <f t="shared" si="50"/>
        <v>0</v>
      </c>
      <c r="W53" s="226">
        <f t="shared" si="50"/>
        <v>0</v>
      </c>
      <c r="X53" s="226">
        <f t="shared" si="50"/>
        <v>0</v>
      </c>
      <c r="Y53" s="226">
        <f t="shared" si="50"/>
        <v>0</v>
      </c>
    </row>
    <row r="54" spans="3:26" ht="15" customHeight="1" x14ac:dyDescent="0.2">
      <c r="C54" s="1"/>
      <c r="D54" s="1"/>
      <c r="E54" s="1" t="s">
        <v>148</v>
      </c>
      <c r="F54" s="24" t="s">
        <v>7</v>
      </c>
      <c r="G54" s="98"/>
      <c r="H54" s="269">
        <f t="shared" ref="H54:Y54" si="51">IFERROR(H45/H23,"NA")</f>
        <v>1.1998994082840237</v>
      </c>
      <c r="I54" s="269">
        <f t="shared" si="51"/>
        <v>0.67858421052631568</v>
      </c>
      <c r="J54" s="269">
        <f t="shared" si="51"/>
        <v>0.85560240963855427</v>
      </c>
      <c r="K54" s="269">
        <f t="shared" si="51"/>
        <v>0.8872146892655367</v>
      </c>
      <c r="L54" s="269">
        <f t="shared" si="51"/>
        <v>0.93361025641025641</v>
      </c>
      <c r="M54" s="269">
        <f t="shared" si="51"/>
        <v>0.77990430622009566</v>
      </c>
      <c r="N54" s="269">
        <f t="shared" si="51"/>
        <v>0.75248372093023252</v>
      </c>
      <c r="O54" s="269">
        <f t="shared" si="51"/>
        <v>0.84960465116279082</v>
      </c>
      <c r="P54" s="269">
        <f t="shared" si="51"/>
        <v>1.2725825996364455</v>
      </c>
      <c r="Q54" s="269">
        <f t="shared" si="51"/>
        <v>0.55156697004556976</v>
      </c>
      <c r="R54" s="269">
        <f t="shared" si="51"/>
        <v>0.54304678797843164</v>
      </c>
      <c r="S54" s="269">
        <f t="shared" si="51"/>
        <v>0.5421932049122663</v>
      </c>
      <c r="T54" s="269">
        <f t="shared" si="51"/>
        <v>0.54268345375458693</v>
      </c>
      <c r="U54" s="269">
        <f t="shared" si="51"/>
        <v>0.53280381748245342</v>
      </c>
      <c r="V54" s="269">
        <f t="shared" si="51"/>
        <v>0.53905447814420993</v>
      </c>
      <c r="W54" s="269">
        <f t="shared" si="51"/>
        <v>0.54510519575807825</v>
      </c>
      <c r="X54" s="269">
        <f t="shared" si="51"/>
        <v>0.54585578108537647</v>
      </c>
      <c r="Y54" s="269">
        <f t="shared" si="51"/>
        <v>0.54411460906888953</v>
      </c>
    </row>
    <row r="55" spans="3:26" ht="15" customHeight="1" x14ac:dyDescent="0.2">
      <c r="C55" s="1"/>
      <c r="D55" s="1"/>
      <c r="E55" s="1"/>
      <c r="F55" s="24"/>
      <c r="G55" s="98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</row>
    <row r="56" spans="3:26" ht="15" customHeight="1" x14ac:dyDescent="0.2">
      <c r="C56" s="87" t="s">
        <v>151</v>
      </c>
      <c r="D56" s="88"/>
      <c r="E56" s="88"/>
      <c r="F56" s="89"/>
      <c r="G56" s="89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3:26" ht="15" customHeight="1" x14ac:dyDescent="0.2">
      <c r="C57" s="1"/>
      <c r="D57" s="1"/>
      <c r="E57" s="1"/>
      <c r="F57" s="24"/>
      <c r="G57" s="98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</row>
    <row r="58" spans="3:26" ht="15" customHeight="1" x14ac:dyDescent="0.2">
      <c r="C58" s="1"/>
      <c r="D58" s="1"/>
      <c r="E58" s="1" t="s">
        <v>152</v>
      </c>
      <c r="F58" s="369" t="s">
        <v>25</v>
      </c>
      <c r="G58" s="417">
        <f>6.78+1.07</f>
        <v>7.8500000000000005</v>
      </c>
      <c r="H58" s="272">
        <f>6.06+1.01</f>
        <v>7.0699999999999994</v>
      </c>
      <c r="I58" s="272">
        <f>5.16+3.25</f>
        <v>8.41</v>
      </c>
      <c r="J58" s="272">
        <f>5.23+3.89</f>
        <v>9.120000000000001</v>
      </c>
      <c r="K58" s="272">
        <f>8.34+4.46</f>
        <v>12.8</v>
      </c>
      <c r="L58" s="272">
        <f>8.11+9.31</f>
        <v>17.420000000000002</v>
      </c>
      <c r="M58" s="272">
        <f>7.87+5.92</f>
        <v>13.79</v>
      </c>
      <c r="N58" s="272">
        <v>10</v>
      </c>
      <c r="O58" s="272">
        <v>11</v>
      </c>
      <c r="P58" s="272">
        <f>AVERAGE(H58:O58)</f>
        <v>11.201250000000002</v>
      </c>
      <c r="Q58" s="285">
        <f>AVERAGE(O58:P58)</f>
        <v>11.100625000000001</v>
      </c>
      <c r="R58" s="285">
        <f t="shared" ref="R58:Y58" si="52">Q58*(1+R59)</f>
        <v>11.655656250000002</v>
      </c>
      <c r="S58" s="285">
        <f t="shared" si="52"/>
        <v>12.238439062500003</v>
      </c>
      <c r="T58" s="285">
        <f t="shared" si="52"/>
        <v>12.850361015625003</v>
      </c>
      <c r="U58" s="285">
        <f t="shared" si="52"/>
        <v>13.492879066406253</v>
      </c>
      <c r="V58" s="285">
        <f t="shared" si="52"/>
        <v>14.167523019726566</v>
      </c>
      <c r="W58" s="285">
        <f t="shared" si="52"/>
        <v>14.875899170712895</v>
      </c>
      <c r="X58" s="285">
        <f t="shared" si="52"/>
        <v>15.61969412924854</v>
      </c>
      <c r="Y58" s="285">
        <f t="shared" si="52"/>
        <v>16.400678835710966</v>
      </c>
    </row>
    <row r="59" spans="3:26" ht="15" customHeight="1" x14ac:dyDescent="0.2">
      <c r="C59" s="1"/>
      <c r="D59" s="1"/>
      <c r="E59" s="30" t="s">
        <v>127</v>
      </c>
      <c r="F59" s="24" t="s">
        <v>7</v>
      </c>
      <c r="G59" s="98"/>
      <c r="H59" s="104">
        <f>IFERROR((H58/G58)-1,"NA")</f>
        <v>-9.9363057324840853E-2</v>
      </c>
      <c r="I59" s="104">
        <f>IFERROR((I58/H58)-1,"NA")</f>
        <v>0.18953323903818964</v>
      </c>
      <c r="J59" s="104">
        <f t="shared" ref="J59" si="53">IFERROR((J58/I58)-1,"NA")</f>
        <v>8.4423305588585018E-2</v>
      </c>
      <c r="K59" s="104">
        <f t="shared" ref="K59" si="54">IFERROR((K58/J58)-1,"NA")</f>
        <v>0.40350877192982448</v>
      </c>
      <c r="L59" s="104">
        <f t="shared" ref="L59" si="55">IFERROR((L58/K58)-1,"NA")</f>
        <v>0.36093750000000013</v>
      </c>
      <c r="M59" s="104">
        <f t="shared" ref="M59" si="56">IFERROR((M58/L58)-1,"NA")</f>
        <v>-0.20838117106773835</v>
      </c>
      <c r="N59" s="104">
        <f t="shared" ref="N59" si="57">IFERROR((N58/M58)-1,"NA")</f>
        <v>-0.27483683828861494</v>
      </c>
      <c r="O59" s="104">
        <f t="shared" ref="O59" si="58">IFERROR((O58/N58)-1,"NA")</f>
        <v>0.10000000000000009</v>
      </c>
      <c r="P59" s="104">
        <f t="shared" ref="P59" si="59">IFERROR((P58/O58)-1,"NA")</f>
        <v>1.8295454545454781E-2</v>
      </c>
      <c r="Q59" s="276">
        <v>0.05</v>
      </c>
      <c r="R59" s="276">
        <v>0.05</v>
      </c>
      <c r="S59" s="276">
        <v>0.05</v>
      </c>
      <c r="T59" s="276">
        <v>0.05</v>
      </c>
      <c r="U59" s="276">
        <v>0.05</v>
      </c>
      <c r="V59" s="276">
        <v>0.05</v>
      </c>
      <c r="W59" s="276">
        <v>0.05</v>
      </c>
      <c r="X59" s="276">
        <v>0.05</v>
      </c>
      <c r="Y59" s="276">
        <v>0.05</v>
      </c>
      <c r="Z59" s="277"/>
    </row>
    <row r="60" spans="3:26" ht="15" customHeight="1" x14ac:dyDescent="0.2">
      <c r="C60" s="1"/>
      <c r="D60" s="1"/>
      <c r="E60" s="30"/>
      <c r="F60" s="24"/>
      <c r="G60" s="98"/>
      <c r="H60" s="101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</row>
    <row r="61" spans="3:26" ht="15" customHeight="1" x14ac:dyDescent="0.2">
      <c r="C61" s="87" t="s">
        <v>264</v>
      </c>
      <c r="D61" s="88"/>
      <c r="E61" s="88"/>
      <c r="F61" s="89"/>
      <c r="G61" s="89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 spans="3:26" ht="15" customHeight="1" x14ac:dyDescent="0.2">
      <c r="C62" s="1"/>
      <c r="D62" s="2"/>
      <c r="E62" s="2"/>
      <c r="F62" s="24"/>
      <c r="G62" s="24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3:26" ht="15" customHeight="1" x14ac:dyDescent="0.2">
      <c r="C63" s="1"/>
      <c r="D63" s="1"/>
      <c r="E63" s="1" t="s">
        <v>150</v>
      </c>
      <c r="F63" s="91" t="s">
        <v>25</v>
      </c>
      <c r="G63" s="91"/>
      <c r="H63" s="370">
        <f>H45-H58</f>
        <v>195.71300000000002</v>
      </c>
      <c r="I63" s="92">
        <f>I45-I58</f>
        <v>120.52099999999999</v>
      </c>
      <c r="J63" s="92">
        <f t="shared" ref="J63:Y63" si="60">J45-J58</f>
        <v>132.91</v>
      </c>
      <c r="K63" s="92">
        <f t="shared" si="60"/>
        <v>144.23699999999999</v>
      </c>
      <c r="L63" s="92">
        <f t="shared" si="60"/>
        <v>164.63400000000001</v>
      </c>
      <c r="M63" s="92">
        <f t="shared" si="60"/>
        <v>149.21</v>
      </c>
      <c r="N63" s="92">
        <f t="shared" si="60"/>
        <v>151.78399999999999</v>
      </c>
      <c r="O63" s="92">
        <f t="shared" si="60"/>
        <v>171.66500000000002</v>
      </c>
      <c r="P63" s="92">
        <f t="shared" si="60"/>
        <v>260.55876415236293</v>
      </c>
      <c r="Q63" s="92">
        <f t="shared" si="60"/>
        <v>107.44407868658899</v>
      </c>
      <c r="R63" s="92">
        <f t="shared" si="60"/>
        <v>105.87817951842526</v>
      </c>
      <c r="S63" s="92">
        <f t="shared" si="60"/>
        <v>105.85630554177395</v>
      </c>
      <c r="T63" s="92">
        <f t="shared" si="60"/>
        <v>106.25863717150662</v>
      </c>
      <c r="U63" s="92">
        <f t="shared" si="60"/>
        <v>104.02018564629708</v>
      </c>
      <c r="V63" s="92">
        <f t="shared" si="60"/>
        <v>105.00944355008576</v>
      </c>
      <c r="W63" s="92">
        <f t="shared" si="60"/>
        <v>105.97516411946623</v>
      </c>
      <c r="X63" s="92">
        <f t="shared" si="60"/>
        <v>105.99653243948995</v>
      </c>
      <c r="Y63" s="92">
        <f t="shared" si="60"/>
        <v>105.34709573833467</v>
      </c>
    </row>
    <row r="64" spans="3:26" ht="15" customHeight="1" x14ac:dyDescent="0.2">
      <c r="C64" s="2"/>
      <c r="D64" s="2"/>
      <c r="E64" s="273" t="s">
        <v>127</v>
      </c>
      <c r="F64" s="102" t="s">
        <v>7</v>
      </c>
      <c r="G64" s="102"/>
      <c r="H64" s="70"/>
      <c r="I64" s="104">
        <f>IFERROR((I63/H63)-1,"NA")</f>
        <v>-0.38419522464016198</v>
      </c>
      <c r="J64" s="104">
        <f t="shared" ref="J64" si="61">IFERROR((J63/I63)-1,"NA")</f>
        <v>0.10279536346362894</v>
      </c>
      <c r="K64" s="104">
        <f t="shared" ref="K64" si="62">IFERROR((K63/J63)-1,"NA")</f>
        <v>8.5223083289444057E-2</v>
      </c>
      <c r="L64" s="104">
        <f t="shared" ref="L64" si="63">IFERROR((L63/K63)-1,"NA")</f>
        <v>0.14141309095447085</v>
      </c>
      <c r="M64" s="104">
        <f t="shared" ref="M64" si="64">IFERROR((M63/L63)-1,"NA")</f>
        <v>-9.3686601795497926E-2</v>
      </c>
      <c r="N64" s="104">
        <f t="shared" ref="N64" si="65">IFERROR((N63/M63)-1,"NA")</f>
        <v>1.7250854500368451E-2</v>
      </c>
      <c r="O64" s="104">
        <f t="shared" ref="O64" si="66">IFERROR((O63/N63)-1,"NA")</f>
        <v>0.1309821852105626</v>
      </c>
      <c r="P64" s="104">
        <f t="shared" ref="P64" si="67">IFERROR((P63/O63)-1,"NA")</f>
        <v>0.51783277984657849</v>
      </c>
      <c r="Q64" s="104">
        <f t="shared" ref="Q64" si="68">IFERROR((Q63/P63)-1,"NA")</f>
        <v>-0.5876397440089155</v>
      </c>
      <c r="R64" s="104">
        <f t="shared" ref="R64" si="69">IFERROR((R63/Q63)-1,"NA")</f>
        <v>-1.4574085303773909E-2</v>
      </c>
      <c r="S64" s="104">
        <f t="shared" ref="S64" si="70">IFERROR((S63/R63)-1,"NA")</f>
        <v>-2.0659570036807295E-4</v>
      </c>
      <c r="T64" s="104">
        <f t="shared" ref="T64" si="71">IFERROR((T63/S63)-1,"NA")</f>
        <v>3.8007337179730705E-3</v>
      </c>
      <c r="U64" s="104">
        <f t="shared" ref="U64" si="72">IFERROR((U63/T63)-1,"NA")</f>
        <v>-2.106606657863086E-2</v>
      </c>
      <c r="V64" s="104">
        <f t="shared" ref="V64" si="73">IFERROR((V63/U63)-1,"NA")</f>
        <v>9.5102493582590597E-3</v>
      </c>
      <c r="W64" s="104">
        <f t="shared" ref="W64" si="74">IFERROR((W63/V63)-1,"NA")</f>
        <v>9.1965116348784459E-3</v>
      </c>
      <c r="X64" s="104">
        <f t="shared" ref="X64" si="75">IFERROR((X63/W63)-1,"NA")</f>
        <v>2.0163516802518267E-4</v>
      </c>
      <c r="Y64" s="104">
        <f t="shared" ref="Y64" si="76">IFERROR((Y63/X63)-1,"NA")</f>
        <v>-6.1269617619427175E-3</v>
      </c>
    </row>
    <row r="66" spans="3:32" ht="15" customHeight="1" x14ac:dyDescent="0.2">
      <c r="C66" s="1"/>
      <c r="D66" s="1"/>
      <c r="E66" s="97" t="s">
        <v>84</v>
      </c>
      <c r="F66" s="91"/>
      <c r="G66" s="36"/>
      <c r="H66" s="94"/>
      <c r="I66" s="94"/>
      <c r="J66" s="94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</row>
    <row r="67" spans="3:32" ht="15" customHeight="1" x14ac:dyDescent="0.2">
      <c r="C67" s="1"/>
      <c r="D67" s="1"/>
      <c r="E67" s="1" t="s">
        <v>148</v>
      </c>
      <c r="F67" s="24" t="s">
        <v>7</v>
      </c>
      <c r="G67" s="98"/>
      <c r="H67" s="269">
        <f t="shared" ref="H67:Y67" si="77">H63 / H23</f>
        <v>1.1580650887573967</v>
      </c>
      <c r="I67" s="269">
        <f t="shared" si="77"/>
        <v>0.6343210526315789</v>
      </c>
      <c r="J67" s="269">
        <f t="shared" si="77"/>
        <v>0.8006626506024096</v>
      </c>
      <c r="K67" s="269">
        <f t="shared" si="77"/>
        <v>0.8148983050847457</v>
      </c>
      <c r="L67" s="269">
        <f t="shared" si="77"/>
        <v>0.84427692307692315</v>
      </c>
      <c r="M67" s="269">
        <f t="shared" si="77"/>
        <v>0.71392344497607663</v>
      </c>
      <c r="N67" s="269">
        <f t="shared" si="77"/>
        <v>0.70597209302325581</v>
      </c>
      <c r="O67" s="269">
        <f t="shared" si="77"/>
        <v>0.79844186046511634</v>
      </c>
      <c r="P67" s="269">
        <f t="shared" si="77"/>
        <v>1.2201300124203367</v>
      </c>
      <c r="Q67" s="269">
        <f t="shared" si="77"/>
        <v>0.49991777858907471</v>
      </c>
      <c r="R67" s="269">
        <f t="shared" si="77"/>
        <v>0.48919364307797708</v>
      </c>
      <c r="S67" s="269">
        <f t="shared" si="77"/>
        <v>0.4860044344411017</v>
      </c>
      <c r="T67" s="269">
        <f t="shared" si="77"/>
        <v>0.48413474287552838</v>
      </c>
      <c r="U67" s="269">
        <f t="shared" si="77"/>
        <v>0.47162715178161252</v>
      </c>
      <c r="V67" s="269">
        <f t="shared" si="77"/>
        <v>0.4749727436630668</v>
      </c>
      <c r="W67" s="269">
        <f t="shared" si="77"/>
        <v>0.47800665554864469</v>
      </c>
      <c r="X67" s="269">
        <f t="shared" si="77"/>
        <v>0.47574917952578433</v>
      </c>
      <c r="Y67" s="269">
        <f t="shared" si="77"/>
        <v>0.47081676864117888</v>
      </c>
    </row>
    <row r="68" spans="3:32" ht="15" customHeight="1" x14ac:dyDescent="0.2">
      <c r="C68" s="1"/>
      <c r="D68" s="1"/>
      <c r="E68" s="30"/>
      <c r="F68" s="24"/>
      <c r="G68" s="98"/>
      <c r="H68" s="101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</row>
    <row r="69" spans="3:32" ht="15" customHeight="1" x14ac:dyDescent="0.2">
      <c r="C69" s="87" t="s">
        <v>153</v>
      </c>
      <c r="D69" s="88"/>
      <c r="E69" s="88"/>
      <c r="F69" s="89"/>
      <c r="G69" s="89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 spans="3:32" ht="15" customHeight="1" x14ac:dyDescent="0.2">
      <c r="C70" s="1"/>
      <c r="D70" s="1"/>
      <c r="E70" s="1"/>
      <c r="F70" s="24"/>
      <c r="G70" s="98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</row>
    <row r="71" spans="3:32" ht="15" customHeight="1" x14ac:dyDescent="0.2">
      <c r="C71" s="1"/>
      <c r="D71" s="1"/>
      <c r="E71" s="1" t="s">
        <v>154</v>
      </c>
      <c r="F71" s="91" t="s">
        <v>25</v>
      </c>
      <c r="G71" s="91"/>
      <c r="H71" s="92">
        <f>SUM(H45,H58)*'&gt;&gt; Dash'!$F$38</f>
        <v>59.388399</v>
      </c>
      <c r="I71" s="92">
        <f>SUM(I45,I58)*'&gt;&gt; Dash'!$F$38</f>
        <v>38.867502999999992</v>
      </c>
      <c r="J71" s="92">
        <f>SUM(J45,J58)*'&gt;&gt; Dash'!$F$38</f>
        <v>42.775449999999999</v>
      </c>
      <c r="K71" s="92">
        <f>SUM(K45,K58)*'&gt;&gt; Dash'!$F$38</f>
        <v>48.063870999999999</v>
      </c>
      <c r="L71" s="92">
        <f>SUM(L45,L58)*'&gt;&gt; Dash'!$F$38</f>
        <v>56.45114199999999</v>
      </c>
      <c r="M71" s="92">
        <f>SUM(M45,M58)*'&gt;&gt; Dash'!$F$38</f>
        <v>50.031569999999995</v>
      </c>
      <c r="N71" s="92">
        <f>SUM(N45,N58)*'&gt;&gt; Dash'!$F$38</f>
        <v>48.614871999999991</v>
      </c>
      <c r="O71" s="92">
        <f>SUM(O45,O58)*'&gt;&gt; Dash'!$F$38</f>
        <v>54.807195</v>
      </c>
      <c r="P71" s="92">
        <f>SUM(P45,P58)*'&gt;&gt; Dash'!$F$38</f>
        <v>80.078037755118714</v>
      </c>
      <c r="Q71" s="92">
        <f>SUM(Q45,Q58)*'&gt;&gt; Dash'!$F$38</f>
        <v>36.689628018304688</v>
      </c>
      <c r="R71" s="92">
        <f>SUM(R45,R58)*'&gt;&gt; Dash'!$F$38</f>
        <v>36.560626241214344</v>
      </c>
      <c r="S71" s="92">
        <f>SUM(S45,S58)*'&gt;&gt; Dash'!$F$38</f>
        <v>36.884290977697027</v>
      </c>
      <c r="T71" s="92">
        <f>SUM(T45,T58)*'&gt;&gt; Dash'!$F$38</f>
        <v>37.344498654380118</v>
      </c>
      <c r="U71" s="92">
        <f>SUM(U45,U58)*'&gt;&gt; Dash'!$F$38</f>
        <v>37.074682089488007</v>
      </c>
      <c r="V71" s="92">
        <f>SUM(V45,V58)*'&gt;&gt; Dash'!$F$38</f>
        <v>37.736490553839509</v>
      </c>
      <c r="W71" s="92">
        <f>SUM(W45,W58)*'&gt;&gt; Dash'!$F$38</f>
        <v>38.41073037643244</v>
      </c>
      <c r="X71" s="92">
        <f>SUM(X45,X58)*'&gt;&gt; Dash'!$F$38</f>
        <v>38.837765557530332</v>
      </c>
      <c r="Y71" s="92">
        <f>SUM(Y45,Y58)*'&gt;&gt; Dash'!$F$38</f>
        <v>39.096012314961115</v>
      </c>
    </row>
    <row r="72" spans="3:32" ht="15" customHeight="1" x14ac:dyDescent="0.2">
      <c r="C72" s="1"/>
      <c r="D72" s="1"/>
      <c r="E72" s="30" t="s">
        <v>127</v>
      </c>
      <c r="F72" s="24" t="s">
        <v>7</v>
      </c>
      <c r="G72" s="98"/>
      <c r="H72" s="101"/>
      <c r="I72" s="104">
        <f>IFERROR((I71/H71)-1,"NA")</f>
        <v>-0.3455371140750908</v>
      </c>
      <c r="J72" s="104">
        <f t="shared" ref="J72" si="78">IFERROR((J71/I71)-1,"NA")</f>
        <v>0.10054535790477725</v>
      </c>
      <c r="K72" s="104">
        <f t="shared" ref="K72" si="79">IFERROR((K71/J71)-1,"NA")</f>
        <v>0.12363215348991075</v>
      </c>
      <c r="L72" s="104">
        <f t="shared" ref="L72" si="80">IFERROR((L71/K71)-1,"NA")</f>
        <v>0.17450261132733136</v>
      </c>
      <c r="M72" s="104">
        <f t="shared" ref="M72" si="81">IFERROR((M71/L71)-1,"NA")</f>
        <v>-0.11371908118351259</v>
      </c>
      <c r="N72" s="104">
        <f t="shared" ref="N72" si="82">IFERROR((N71/M71)-1,"NA")</f>
        <v>-2.8316081226313794E-2</v>
      </c>
      <c r="O72" s="104">
        <f t="shared" ref="O72" si="83">IFERROR((O71/N71)-1,"NA")</f>
        <v>0.12737507567643114</v>
      </c>
      <c r="P72" s="104">
        <f t="shared" ref="P72" si="84">IFERROR((P71/O71)-1,"NA")</f>
        <v>0.46108622700210655</v>
      </c>
      <c r="Q72" s="104">
        <f t="shared" ref="Q72" si="85">IFERROR((Q71/P71)-1,"NA")</f>
        <v>-0.54182658508063364</v>
      </c>
      <c r="R72" s="104">
        <f t="shared" ref="R72" si="86">IFERROR((R71/Q71)-1,"NA")</f>
        <v>-3.5160284815639598E-3</v>
      </c>
      <c r="S72" s="104">
        <f t="shared" ref="S72" si="87">IFERROR((S71/R71)-1,"NA")</f>
        <v>8.852822551431494E-3</v>
      </c>
      <c r="T72" s="104">
        <f t="shared" ref="T72" si="88">IFERROR((T71/S71)-1,"NA")</f>
        <v>1.2477064476076549E-2</v>
      </c>
      <c r="U72" s="104">
        <f t="shared" ref="U72" si="89">IFERROR((U71/T71)-1,"NA")</f>
        <v>-7.2250686075407966E-3</v>
      </c>
      <c r="V72" s="104">
        <f t="shared" ref="V72" si="90">IFERROR((V71/U71)-1,"NA")</f>
        <v>1.7850684808411232E-2</v>
      </c>
      <c r="W72" s="104">
        <f t="shared" ref="W72" si="91">IFERROR((W71/V71)-1,"NA")</f>
        <v>1.7867051564611547E-2</v>
      </c>
      <c r="X72" s="104">
        <f t="shared" ref="X72" si="92">IFERROR((X71/W71)-1,"NA")</f>
        <v>1.1117601173236347E-2</v>
      </c>
      <c r="Y72" s="104">
        <f t="shared" ref="Y72" si="93">IFERROR((Y71/X71)-1,"NA")</f>
        <v>6.6493721696796459E-3</v>
      </c>
    </row>
    <row r="73" spans="3:32" ht="15" customHeight="1" x14ac:dyDescent="0.2">
      <c r="C73" s="1"/>
      <c r="D73" s="1"/>
      <c r="E73" s="30"/>
      <c r="F73" s="24"/>
      <c r="G73" s="98"/>
      <c r="H73" s="101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</row>
    <row r="74" spans="3:32" ht="15" customHeight="1" x14ac:dyDescent="0.2">
      <c r="C74" s="87" t="s">
        <v>155</v>
      </c>
      <c r="D74" s="88"/>
      <c r="E74" s="88"/>
      <c r="F74" s="89"/>
      <c r="G74" s="89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 spans="3:32" ht="15" customHeight="1" x14ac:dyDescent="0.2">
      <c r="C75" s="1"/>
      <c r="D75" s="1"/>
      <c r="E75" s="1"/>
      <c r="F75" s="24"/>
      <c r="G75" s="98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</row>
    <row r="76" spans="3:32" ht="15" customHeight="1" x14ac:dyDescent="0.2">
      <c r="C76" s="1"/>
      <c r="D76" s="1"/>
      <c r="E76" s="2" t="s">
        <v>156</v>
      </c>
      <c r="F76" s="24" t="s">
        <v>25</v>
      </c>
      <c r="G76" s="98"/>
      <c r="H76" s="279">
        <f>'&gt;&gt; Fin Stmts'!H18</f>
        <v>115.17</v>
      </c>
      <c r="I76" s="279">
        <f>'&gt;&gt; Fin Stmts'!I18</f>
        <v>125.48</v>
      </c>
      <c r="J76" s="279">
        <f>'&gt;&gt; Fin Stmts'!J18</f>
        <v>135.72999999999999</v>
      </c>
      <c r="K76" s="279">
        <f>'&gt;&gt; Fin Stmts'!K18</f>
        <v>130.13</v>
      </c>
      <c r="L76" s="279">
        <f>'&gt;&gt; Fin Stmts'!L18</f>
        <v>94.42</v>
      </c>
      <c r="M76" s="279">
        <f>'&gt;&gt; Fin Stmts'!M18</f>
        <v>91.96</v>
      </c>
      <c r="N76" s="279">
        <f>'&gt;&gt; Fin Stmts'!N18</f>
        <v>265.83</v>
      </c>
      <c r="O76" s="279">
        <f>'&gt;&gt; Fin Stmts'!O18</f>
        <v>408.55</v>
      </c>
      <c r="P76" s="278">
        <f t="shared" ref="P76:Y76" ca="1" si="94">O76*(1+P77)</f>
        <v>627.89415227777158</v>
      </c>
      <c r="Q76" s="278">
        <f t="shared" ca="1" si="94"/>
        <v>627.89415227777158</v>
      </c>
      <c r="R76" s="278">
        <f t="shared" ca="1" si="94"/>
        <v>627.89415227777158</v>
      </c>
      <c r="S76" s="278">
        <f t="shared" ca="1" si="94"/>
        <v>627.89415227777158</v>
      </c>
      <c r="T76" s="278">
        <f t="shared" ca="1" si="94"/>
        <v>627.89415227777158</v>
      </c>
      <c r="U76" s="278">
        <f t="shared" ca="1" si="94"/>
        <v>627.89415227777158</v>
      </c>
      <c r="V76" s="278">
        <f t="shared" ca="1" si="94"/>
        <v>627.89415227777158</v>
      </c>
      <c r="W76" s="278">
        <f t="shared" ca="1" si="94"/>
        <v>627.89415227777158</v>
      </c>
      <c r="X76" s="278">
        <f t="shared" ca="1" si="94"/>
        <v>627.89415227777158</v>
      </c>
      <c r="Y76" s="278">
        <f t="shared" ca="1" si="94"/>
        <v>627.89415227777158</v>
      </c>
    </row>
    <row r="77" spans="3:32" ht="15" customHeight="1" x14ac:dyDescent="0.2">
      <c r="C77" s="1"/>
      <c r="D77" s="1"/>
      <c r="E77" s="30" t="s">
        <v>127</v>
      </c>
      <c r="F77" s="24" t="s">
        <v>7</v>
      </c>
      <c r="G77" s="98"/>
      <c r="H77" s="104"/>
      <c r="I77" s="104">
        <f>IFERROR((I76/H76)-1,"NA")</f>
        <v>8.9519840236172543E-2</v>
      </c>
      <c r="J77" s="104">
        <f t="shared" ref="J77:P77" si="95">IFERROR((J76/I76)-1,"NA")</f>
        <v>8.1686324513866593E-2</v>
      </c>
      <c r="K77" s="104">
        <f t="shared" si="95"/>
        <v>-4.1258380608561129E-2</v>
      </c>
      <c r="L77" s="104">
        <f t="shared" si="95"/>
        <v>-0.27441788980250514</v>
      </c>
      <c r="M77" s="104">
        <f t="shared" si="95"/>
        <v>-2.6053802160559303E-2</v>
      </c>
      <c r="N77" s="104">
        <f t="shared" si="95"/>
        <v>1.8907133536320138</v>
      </c>
      <c r="O77" s="104">
        <f t="shared" si="95"/>
        <v>0.53688447504043957</v>
      </c>
      <c r="P77" s="104">
        <f t="shared" ca="1" si="95"/>
        <v>0.53688447504043957</v>
      </c>
      <c r="Q77" s="303">
        <v>0</v>
      </c>
      <c r="R77" s="303">
        <v>0</v>
      </c>
      <c r="S77" s="303">
        <v>0</v>
      </c>
      <c r="T77" s="303">
        <v>0</v>
      </c>
      <c r="U77" s="303">
        <v>0</v>
      </c>
      <c r="V77" s="303">
        <v>0</v>
      </c>
      <c r="W77" s="303">
        <v>0</v>
      </c>
      <c r="X77" s="303">
        <v>0</v>
      </c>
      <c r="Y77" s="304">
        <v>0</v>
      </c>
    </row>
    <row r="79" spans="3:32" ht="15" customHeight="1" x14ac:dyDescent="0.2">
      <c r="C79" s="87" t="s">
        <v>157</v>
      </c>
      <c r="D79" s="88"/>
      <c r="E79" s="88"/>
      <c r="F79" s="89"/>
      <c r="G79" s="89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spans="3:32" ht="15" customHeight="1" x14ac:dyDescent="0.2">
      <c r="C80" s="1"/>
      <c r="D80" s="1"/>
      <c r="E80" s="1"/>
      <c r="F80" s="24"/>
      <c r="G80" s="98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AE80" s="95"/>
      <c r="AF80" s="95"/>
    </row>
    <row r="81" spans="3:27" ht="15" customHeight="1" x14ac:dyDescent="0.2">
      <c r="C81" s="1"/>
      <c r="D81" s="305"/>
      <c r="E81" s="1" t="s">
        <v>180</v>
      </c>
      <c r="F81" s="91" t="s">
        <v>25</v>
      </c>
      <c r="G81" s="98"/>
      <c r="H81" s="319">
        <f>'&gt;&gt; Fin Stmts'!H24</f>
        <v>82.582799999999992</v>
      </c>
      <c r="I81" s="319">
        <f>'&gt;&gt; Fin Stmts'!I24</f>
        <v>87.590800000000002</v>
      </c>
      <c r="J81" s="319">
        <f>'&gt;&gt; Fin Stmts'!J24</f>
        <v>122.47200000000001</v>
      </c>
      <c r="K81" s="319">
        <f>'&gt;&gt; Fin Stmts'!K24</f>
        <v>127.3596</v>
      </c>
      <c r="L81" s="319">
        <f>'&gt;&gt; Fin Stmts'!L24</f>
        <v>102.7548</v>
      </c>
      <c r="M81" s="319">
        <f>'&gt;&gt; Fin Stmts'!M24</f>
        <v>93.509999999999991</v>
      </c>
      <c r="N81" s="319">
        <f>'&gt;&gt; Fin Stmts'!N24</f>
        <v>235.42759999999998</v>
      </c>
      <c r="O81" s="319">
        <f>'&gt;&gt; Fin Stmts'!O24</f>
        <v>325.50599999999997</v>
      </c>
      <c r="P81" s="319">
        <f ca="1">'&gt;&gt; Fin Stmts'!P24</f>
        <v>-409.37345243069319</v>
      </c>
      <c r="Q81" s="319">
        <f ca="1">'&gt;&gt; Fin Stmts'!Q24</f>
        <v>-408.97442884929785</v>
      </c>
      <c r="R81" s="319">
        <f ca="1">'&gt;&gt; Fin Stmts'!R24</f>
        <v>-409.01488293645696</v>
      </c>
      <c r="S81" s="319">
        <f ca="1">'&gt;&gt; Fin Stmts'!S24</f>
        <v>-409.10749596506645</v>
      </c>
      <c r="T81" s="319">
        <f ca="1">'&gt;&gt; Fin Stmts'!T24</f>
        <v>-409.15048613535703</v>
      </c>
      <c r="U81" s="319">
        <f ca="1">'&gt;&gt; Fin Stmts'!U24</f>
        <v>-409.35763293340057</v>
      </c>
      <c r="V81" s="319">
        <f ca="1">'&gt;&gt; Fin Stmts'!V24</f>
        <v>-409.71754401587782</v>
      </c>
      <c r="W81" s="319">
        <f ca="1">'&gt;&gt; Fin Stmts'!W24</f>
        <v>-410.08085370481206</v>
      </c>
      <c r="X81" s="319">
        <f ca="1">'&gt;&gt; Fin Stmts'!X24</f>
        <v>-410.35557565931509</v>
      </c>
      <c r="Y81" s="319">
        <f ca="1">'&gt;&gt; Fin Stmts'!Y24</f>
        <v>-410.69088216974114</v>
      </c>
    </row>
    <row r="82" spans="3:27" ht="15" customHeight="1" x14ac:dyDescent="0.2">
      <c r="C82" s="1"/>
      <c r="D82" s="1"/>
      <c r="E82" s="1"/>
      <c r="F82" s="91"/>
      <c r="G82" s="98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3:27" ht="15" customHeight="1" x14ac:dyDescent="0.2">
      <c r="C83" s="1"/>
      <c r="D83" s="1"/>
      <c r="E83" s="97" t="s">
        <v>84</v>
      </c>
      <c r="F83" s="91"/>
      <c r="G83" s="98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</row>
    <row r="84" spans="3:27" ht="15" customHeight="1" x14ac:dyDescent="0.2">
      <c r="C84" s="1"/>
      <c r="D84" s="1"/>
      <c r="E84" s="1" t="s">
        <v>148</v>
      </c>
      <c r="F84" s="24" t="s">
        <v>7</v>
      </c>
      <c r="G84" s="98"/>
      <c r="H84" s="269">
        <f t="shared" ref="H84:Y84" si="96">H81/H23</f>
        <v>0.48865562130177509</v>
      </c>
      <c r="I84" s="269">
        <f t="shared" si="96"/>
        <v>0.46100421052631579</v>
      </c>
      <c r="J84" s="269">
        <f t="shared" si="96"/>
        <v>0.73778313253012051</v>
      </c>
      <c r="K84" s="269">
        <f t="shared" si="96"/>
        <v>0.71954576271186443</v>
      </c>
      <c r="L84" s="269">
        <f t="shared" si="96"/>
        <v>0.52694769230769234</v>
      </c>
      <c r="M84" s="269">
        <f t="shared" si="96"/>
        <v>0.44741626794258371</v>
      </c>
      <c r="N84" s="269">
        <f t="shared" si="96"/>
        <v>1.0950120930232556</v>
      </c>
      <c r="O84" s="269">
        <f t="shared" si="96"/>
        <v>1.513981395348837</v>
      </c>
      <c r="P84" s="269">
        <f t="shared" ca="1" si="96"/>
        <v>-1.9169911141685467</v>
      </c>
      <c r="Q84" s="269">
        <f t="shared" ca="1" si="96"/>
        <v>-1.9028837183895566</v>
      </c>
      <c r="R84" s="269">
        <f t="shared" ca="1" si="96"/>
        <v>-1.8897895823943389</v>
      </c>
      <c r="S84" s="269">
        <f t="shared" ca="1" si="96"/>
        <v>-1.8782826038044009</v>
      </c>
      <c r="T84" s="269">
        <f t="shared" ca="1" si="96"/>
        <v>-1.8641681342366676</v>
      </c>
      <c r="U84" s="269">
        <f t="shared" ca="1" si="96"/>
        <v>-1.8560260518753964</v>
      </c>
      <c r="V84" s="269">
        <f t="shared" ca="1" si="96"/>
        <v>-1.8532110963457809</v>
      </c>
      <c r="W84" s="269">
        <f t="shared" ca="1" si="96"/>
        <v>-1.8496916613688332</v>
      </c>
      <c r="X84" s="269">
        <f t="shared" ca="1" si="96"/>
        <v>-1.8418180665032469</v>
      </c>
      <c r="Y84" s="269">
        <f t="shared" ca="1" si="96"/>
        <v>-1.8354578519547264</v>
      </c>
      <c r="Z84" s="105"/>
      <c r="AA84" s="106"/>
    </row>
    <row r="85" spans="3:27" ht="15" customHeight="1" x14ac:dyDescent="0.2">
      <c r="D85" s="1"/>
      <c r="E85" s="1"/>
      <c r="F85" s="24"/>
      <c r="G85" s="98"/>
      <c r="Z85" s="106"/>
      <c r="AA85" s="106"/>
    </row>
    <row r="86" spans="3:27" ht="15" customHeight="1" x14ac:dyDescent="0.2">
      <c r="C86" s="87" t="s">
        <v>158</v>
      </c>
      <c r="D86" s="88"/>
      <c r="E86" s="88"/>
      <c r="F86" s="89"/>
      <c r="G86" s="89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106"/>
      <c r="AA86" s="106"/>
    </row>
    <row r="87" spans="3:27" ht="15" customHeight="1" x14ac:dyDescent="0.2">
      <c r="C87" s="1"/>
      <c r="D87" s="1"/>
      <c r="E87" s="2" t="s">
        <v>328</v>
      </c>
      <c r="F87" s="24"/>
      <c r="G87" s="98"/>
      <c r="H87" s="420">
        <v>31</v>
      </c>
      <c r="I87" s="421">
        <v>35</v>
      </c>
      <c r="J87" s="421">
        <v>36</v>
      </c>
      <c r="K87" s="421">
        <v>46</v>
      </c>
      <c r="L87" s="421">
        <v>30</v>
      </c>
      <c r="M87" s="421">
        <v>58</v>
      </c>
      <c r="N87" s="421">
        <v>60</v>
      </c>
      <c r="O87" s="421">
        <v>66</v>
      </c>
      <c r="Q87" s="306"/>
      <c r="Z87" s="106"/>
      <c r="AA87" s="106"/>
    </row>
    <row r="88" spans="3:27" ht="15" customHeight="1" x14ac:dyDescent="0.2">
      <c r="C88" s="1"/>
      <c r="D88" s="1"/>
      <c r="E88" s="2" t="s">
        <v>329</v>
      </c>
      <c r="F88" s="24"/>
      <c r="G88" s="98"/>
      <c r="H88" s="421">
        <v>570.21900000000005</v>
      </c>
      <c r="I88" s="421">
        <v>578.72400000000005</v>
      </c>
      <c r="J88" s="421">
        <v>591.04499999999996</v>
      </c>
      <c r="K88" s="421">
        <v>597.13</v>
      </c>
      <c r="L88" s="418">
        <v>603.70000000000005</v>
      </c>
      <c r="M88" s="418">
        <v>721.9</v>
      </c>
      <c r="N88" s="418">
        <v>732.08</v>
      </c>
      <c r="O88" s="418">
        <v>937.41</v>
      </c>
      <c r="Q88" s="306"/>
      <c r="Z88" s="106"/>
      <c r="AA88" s="106"/>
    </row>
    <row r="89" spans="3:27" ht="15" customHeight="1" x14ac:dyDescent="0.2">
      <c r="C89" s="1"/>
      <c r="D89" s="1"/>
      <c r="E89" s="2" t="s">
        <v>268</v>
      </c>
      <c r="F89" s="24" t="s">
        <v>159</v>
      </c>
      <c r="G89" s="98"/>
      <c r="H89" s="419">
        <f>H87/H88</f>
        <v>5.4365077277326777E-2</v>
      </c>
      <c r="I89" s="419">
        <f t="shared" ref="I89:O89" si="97">I87/I88</f>
        <v>6.0477878919830516E-2</v>
      </c>
      <c r="J89" s="419">
        <f t="shared" si="97"/>
        <v>6.0909067837474309E-2</v>
      </c>
      <c r="K89" s="419">
        <f t="shared" si="97"/>
        <v>7.7035151474553282E-2</v>
      </c>
      <c r="L89" s="419">
        <f t="shared" si="97"/>
        <v>4.9693556402186513E-2</v>
      </c>
      <c r="M89" s="419">
        <f t="shared" si="97"/>
        <v>8.0343537886133812E-2</v>
      </c>
      <c r="N89" s="419">
        <f t="shared" si="97"/>
        <v>8.1958255928313836E-2</v>
      </c>
      <c r="O89" s="419">
        <f t="shared" si="97"/>
        <v>7.04067590488687E-2</v>
      </c>
      <c r="P89" s="365">
        <f>AVERAGE(H89:O89)</f>
        <v>6.6898660596835968E-2</v>
      </c>
      <c r="Q89" s="365">
        <f t="shared" ref="Q89:T89" si="98">AVERAGE(I89:P89)</f>
        <v>6.8465358511774627E-2</v>
      </c>
      <c r="R89" s="365">
        <f t="shared" si="98"/>
        <v>6.9463793460767642E-2</v>
      </c>
      <c r="S89" s="365">
        <f t="shared" si="98"/>
        <v>7.053313416367929E-2</v>
      </c>
      <c r="T89" s="365">
        <f t="shared" si="98"/>
        <v>6.9720381999820058E-2</v>
      </c>
      <c r="U89" s="365">
        <f>AVERAGE(M89:T89)</f>
        <v>7.2223735199524242E-2</v>
      </c>
      <c r="V89" s="365">
        <f t="shared" ref="V89" si="99">AVERAGE(N89:U89)</f>
        <v>7.120875986369804E-2</v>
      </c>
      <c r="W89" s="365">
        <f t="shared" ref="W89" si="100">AVERAGE(O89:V89)</f>
        <v>6.9865072855621074E-2</v>
      </c>
      <c r="X89" s="365">
        <f t="shared" ref="X89" si="101">AVERAGE(P89:W89)</f>
        <v>6.9797362081465114E-2</v>
      </c>
      <c r="Y89" s="365">
        <f t="shared" ref="Y89" si="102">AVERAGE(Q89:X89)</f>
        <v>7.0159699767043768E-2</v>
      </c>
      <c r="Z89" s="106"/>
      <c r="AA89" s="106"/>
    </row>
    <row r="90" spans="3:27" ht="15" customHeight="1" thickBot="1" x14ac:dyDescent="0.25">
      <c r="C90" s="1"/>
      <c r="D90" s="1"/>
      <c r="E90" s="30" t="s">
        <v>127</v>
      </c>
      <c r="F90" s="24" t="s">
        <v>7</v>
      </c>
      <c r="G90" s="98"/>
      <c r="H90" s="104"/>
      <c r="I90" s="104">
        <f>IFERROR((I89/H89-1),"NA")</f>
        <v>0.11243985934796252</v>
      </c>
      <c r="J90" s="104">
        <f t="shared" ref="J90:P90" si="103">IFERROR((J89/I89-1),"NA")</f>
        <v>7.1296964335567647E-3</v>
      </c>
      <c r="K90" s="104">
        <f t="shared" si="103"/>
        <v>0.26475669731325935</v>
      </c>
      <c r="L90" s="104">
        <f t="shared" si="103"/>
        <v>-0.35492362316439929</v>
      </c>
      <c r="M90" s="104">
        <f t="shared" si="103"/>
        <v>0.61677979406196615</v>
      </c>
      <c r="N90" s="104">
        <f t="shared" si="103"/>
        <v>2.0097671631892355E-2</v>
      </c>
      <c r="O90" s="104">
        <f t="shared" si="103"/>
        <v>-0.14094366392506996</v>
      </c>
      <c r="P90" s="104">
        <f t="shared" si="103"/>
        <v>-4.9826160150303056E-2</v>
      </c>
      <c r="Q90" s="104">
        <f t="shared" ref="Q90" si="104">IFERROR((Q89/P89-1),"NA")</f>
        <v>2.3418972830866469E-2</v>
      </c>
      <c r="R90" s="104">
        <f t="shared" ref="R90" si="105">IFERROR((R89/Q89-1),"NA")</f>
        <v>1.4583067564326146E-2</v>
      </c>
      <c r="S90" s="104">
        <f t="shared" ref="S90" si="106">IFERROR((S89/R89-1),"NA")</f>
        <v>1.5394216895390223E-2</v>
      </c>
      <c r="T90" s="104">
        <f t="shared" ref="T90" si="107">IFERROR((T89/S89-1),"NA")</f>
        <v>-1.1522983821662613E-2</v>
      </c>
      <c r="U90" s="104">
        <f t="shared" ref="U90" si="108">IFERROR((U89/T89-1),"NA")</f>
        <v>3.5905615085566334E-2</v>
      </c>
      <c r="V90" s="104">
        <f t="shared" ref="V90:W90" si="109">IFERROR((V89/U89-1),"NA")</f>
        <v>-1.4053210250373316E-2</v>
      </c>
      <c r="W90" s="104">
        <f t="shared" si="109"/>
        <v>-1.8869686968976063E-2</v>
      </c>
      <c r="X90" s="104">
        <f t="shared" ref="X90" si="110">IFERROR((X89/W89-1),"NA")</f>
        <v>-9.6916486863019013E-4</v>
      </c>
      <c r="Y90" s="104">
        <f t="shared" ref="Y90" si="111">IFERROR((Y89/X89-1),"NA")</f>
        <v>5.1912805122311667E-3</v>
      </c>
      <c r="Z90" s="106"/>
      <c r="AA90" s="106"/>
    </row>
    <row r="91" spans="3:27" ht="15" customHeight="1" thickBot="1" x14ac:dyDescent="0.25">
      <c r="C91" s="1"/>
      <c r="D91" s="1"/>
      <c r="E91" s="2" t="s">
        <v>160</v>
      </c>
      <c r="F91" s="24" t="s">
        <v>7</v>
      </c>
      <c r="G91" s="98"/>
      <c r="H91" s="328">
        <f>H89/H100</f>
        <v>0.45304231064438982</v>
      </c>
      <c r="I91" s="328">
        <f t="shared" ref="I91:O91" si="112">I89/I100</f>
        <v>0.46521445322946547</v>
      </c>
      <c r="J91" s="328">
        <f t="shared" si="112"/>
        <v>0.46853129105749469</v>
      </c>
      <c r="K91" s="328">
        <f t="shared" si="112"/>
        <v>0.5925780882657945</v>
      </c>
      <c r="L91" s="328">
        <f t="shared" si="112"/>
        <v>0.31058472751366573</v>
      </c>
      <c r="M91" s="328">
        <f t="shared" si="112"/>
        <v>0.53562358590755876</v>
      </c>
      <c r="N91" s="328">
        <f t="shared" si="112"/>
        <v>0.54638837285542563</v>
      </c>
      <c r="O91" s="328">
        <f t="shared" si="112"/>
        <v>0.64006144589880631</v>
      </c>
      <c r="P91" s="307">
        <v>0.5</v>
      </c>
      <c r="Q91" s="307">
        <v>0.5</v>
      </c>
      <c r="R91" s="307">
        <v>0.5</v>
      </c>
      <c r="S91" s="307">
        <v>0.5</v>
      </c>
      <c r="T91" s="307">
        <v>0.5</v>
      </c>
      <c r="U91" s="307">
        <v>0.5</v>
      </c>
      <c r="V91" s="307">
        <v>0.5</v>
      </c>
      <c r="W91" s="307">
        <v>0.5</v>
      </c>
      <c r="X91" s="307">
        <v>0.5</v>
      </c>
      <c r="Y91" s="307">
        <v>0.5</v>
      </c>
      <c r="Z91" s="327">
        <v>0</v>
      </c>
      <c r="AA91" s="18" t="s">
        <v>161</v>
      </c>
    </row>
    <row r="92" spans="3:27" ht="15" customHeight="1" x14ac:dyDescent="0.2">
      <c r="C92" s="1"/>
      <c r="D92" s="1"/>
      <c r="E92" s="1"/>
      <c r="F92" s="24"/>
      <c r="G92" s="98"/>
      <c r="O92" s="107"/>
      <c r="Q92" s="108"/>
      <c r="Z92" s="106"/>
      <c r="AA92" s="106"/>
    </row>
    <row r="93" spans="3:27" ht="15" customHeight="1" x14ac:dyDescent="0.2">
      <c r="C93" s="1"/>
      <c r="D93" s="1"/>
      <c r="E93" s="2" t="s">
        <v>162</v>
      </c>
      <c r="F93" s="24" t="s">
        <v>159</v>
      </c>
      <c r="G93" s="98"/>
      <c r="H93" s="318">
        <f>(H81*H91)/'&gt;&gt; Inputs'!$G$47</f>
        <v>3.9911141784348007E-2</v>
      </c>
      <c r="I93" s="318">
        <f>(I81*I91)/'&gt;&gt; Inputs'!$G$47</f>
        <v>4.3468782541370425E-2</v>
      </c>
      <c r="J93" s="318">
        <f>(J81*J91)/'&gt;&gt; Inputs'!$G$47</f>
        <v>6.1212652043260755E-2</v>
      </c>
      <c r="K93" s="318">
        <f>(K81*K91)/'&gt;&gt; Inputs'!$G$47</f>
        <v>8.0508745589272984E-2</v>
      </c>
      <c r="L93" s="318">
        <f>(L81*L91)/'&gt;&gt; Inputs'!$G$47</f>
        <v>3.4044581466921145E-2</v>
      </c>
      <c r="M93" s="318">
        <f>(M81*M91)/'&gt;&gt; Inputs'!$G$47</f>
        <v>5.3429798295551431E-2</v>
      </c>
      <c r="N93" s="318">
        <f>(N81*N91)/'&gt;&gt; Inputs'!$G$47</f>
        <v>0.1372222731425167</v>
      </c>
      <c r="O93" s="318">
        <f>(O81*O91)/'&gt;&gt; Inputs'!$G$47</f>
        <v>0.22225239594710677</v>
      </c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106"/>
      <c r="AA93" s="106"/>
    </row>
    <row r="94" spans="3:27" ht="15" customHeight="1" thickBot="1" x14ac:dyDescent="0.25">
      <c r="C94" s="1"/>
      <c r="D94" s="1"/>
      <c r="E94" s="2" t="s">
        <v>163</v>
      </c>
      <c r="F94" s="24" t="s">
        <v>159</v>
      </c>
      <c r="G94" s="98"/>
      <c r="H94" s="318">
        <f>H89-H93</f>
        <v>1.445393549297877E-2</v>
      </c>
      <c r="I94" s="318">
        <f t="shared" ref="I94:O94" si="113">I89-I93</f>
        <v>1.7009096378460091E-2</v>
      </c>
      <c r="J94" s="318">
        <f t="shared" si="113"/>
        <v>-3.0358420578644602E-4</v>
      </c>
      <c r="K94" s="318">
        <f t="shared" si="113"/>
        <v>-3.4735941147197025E-3</v>
      </c>
      <c r="L94" s="318">
        <f t="shared" si="113"/>
        <v>1.5648974935265368E-2</v>
      </c>
      <c r="M94" s="318">
        <f t="shared" si="113"/>
        <v>2.6913739590582381E-2</v>
      </c>
      <c r="N94" s="318">
        <f t="shared" si="113"/>
        <v>-5.5264017214202862E-2</v>
      </c>
      <c r="O94" s="318">
        <f t="shared" si="113"/>
        <v>-0.15184563689823807</v>
      </c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1"/>
      <c r="AA94" s="1"/>
    </row>
    <row r="95" spans="3:27" ht="15" customHeight="1" thickBot="1" x14ac:dyDescent="0.25">
      <c r="C95" s="1"/>
      <c r="D95" s="1"/>
      <c r="E95" s="1" t="s">
        <v>164</v>
      </c>
      <c r="F95" s="24" t="s">
        <v>159</v>
      </c>
      <c r="G95" s="98"/>
      <c r="H95" s="308"/>
      <c r="I95" s="204"/>
      <c r="J95" s="204"/>
      <c r="K95" s="204"/>
      <c r="L95" s="204"/>
      <c r="M95" s="204"/>
      <c r="N95" s="309"/>
      <c r="O95" s="310">
        <f t="shared" ref="O95:X95" si="114">O89+$Z$95</f>
        <v>5.3299123294411138E-2</v>
      </c>
      <c r="P95" s="310">
        <f t="shared" si="114"/>
        <v>4.9791024842378406E-2</v>
      </c>
      <c r="Q95" s="310">
        <f t="shared" si="114"/>
        <v>5.1357722757317065E-2</v>
      </c>
      <c r="R95" s="310">
        <f t="shared" si="114"/>
        <v>5.235615770631008E-2</v>
      </c>
      <c r="S95" s="310">
        <f t="shared" si="114"/>
        <v>5.3425498409221728E-2</v>
      </c>
      <c r="T95" s="310">
        <f t="shared" si="114"/>
        <v>5.2612746245362496E-2</v>
      </c>
      <c r="U95" s="310">
        <f t="shared" si="114"/>
        <v>5.511609944506668E-2</v>
      </c>
      <c r="V95" s="310">
        <f t="shared" si="114"/>
        <v>5.4101124109240478E-2</v>
      </c>
      <c r="W95" s="310">
        <f t="shared" si="114"/>
        <v>5.2757437101163512E-2</v>
      </c>
      <c r="X95" s="310">
        <f t="shared" si="114"/>
        <v>5.2689726327007552E-2</v>
      </c>
      <c r="Y95" s="311">
        <f>Y89+$Z$95</f>
        <v>5.3052064012586206E-2</v>
      </c>
      <c r="Z95" s="368">
        <f>AVERAGE(H94:O94)</f>
        <v>-1.7107635754457562E-2</v>
      </c>
      <c r="AA95" s="18" t="s">
        <v>165</v>
      </c>
    </row>
    <row r="96" spans="3:27" ht="15" customHeight="1" x14ac:dyDescent="0.2">
      <c r="C96" s="1"/>
      <c r="D96" s="1"/>
      <c r="E96" s="18" t="s">
        <v>127</v>
      </c>
      <c r="F96" s="24" t="s">
        <v>7</v>
      </c>
      <c r="G96" s="98"/>
      <c r="H96" s="203"/>
      <c r="I96" s="203"/>
      <c r="J96" s="203"/>
      <c r="K96" s="203"/>
      <c r="L96" s="203"/>
      <c r="M96" s="203"/>
      <c r="N96" s="203"/>
      <c r="O96" s="203"/>
      <c r="P96" s="104">
        <f t="shared" ref="P96:Y96" si="115">P95/O95-1</f>
        <v>-6.5819064840051289E-2</v>
      </c>
      <c r="Q96" s="104">
        <f t="shared" si="115"/>
        <v>3.1465468322821044E-2</v>
      </c>
      <c r="R96" s="104">
        <f t="shared" si="115"/>
        <v>1.9440794789733262E-2</v>
      </c>
      <c r="S96" s="104">
        <f t="shared" si="115"/>
        <v>2.0424354073308226E-2</v>
      </c>
      <c r="T96" s="104">
        <f t="shared" si="115"/>
        <v>-1.5212813882124587E-2</v>
      </c>
      <c r="U96" s="104">
        <f t="shared" si="115"/>
        <v>4.7580736197073925E-2</v>
      </c>
      <c r="V96" s="104">
        <f t="shared" si="115"/>
        <v>-1.8415224336363112E-2</v>
      </c>
      <c r="W96" s="104">
        <f t="shared" si="115"/>
        <v>-2.4836582052598533E-2</v>
      </c>
      <c r="X96" s="104">
        <f t="shared" si="115"/>
        <v>-1.283435623040674E-3</v>
      </c>
      <c r="Y96" s="104">
        <f t="shared" si="115"/>
        <v>6.8768185154328698E-3</v>
      </c>
      <c r="Z96" s="109"/>
      <c r="AA96" s="106"/>
    </row>
    <row r="97" spans="3:27" ht="15" customHeight="1" x14ac:dyDescent="0.2">
      <c r="C97" s="1"/>
      <c r="D97" s="1"/>
      <c r="E97" s="18"/>
      <c r="F97" s="24"/>
      <c r="G97" s="98"/>
      <c r="H97" s="203"/>
      <c r="I97" s="203"/>
      <c r="J97" s="203"/>
      <c r="K97" s="203"/>
      <c r="L97" s="203"/>
      <c r="M97" s="203"/>
      <c r="N97" s="203"/>
      <c r="O97" s="203"/>
      <c r="P97" s="1"/>
      <c r="Q97" s="104"/>
      <c r="R97" s="104"/>
      <c r="S97" s="104"/>
      <c r="T97" s="104"/>
      <c r="U97" s="104"/>
      <c r="V97" s="104"/>
      <c r="W97" s="104"/>
      <c r="X97" s="104"/>
      <c r="Y97" s="104"/>
      <c r="Z97" s="109"/>
      <c r="AA97" s="106"/>
    </row>
    <row r="98" spans="3:27" ht="15" customHeight="1" x14ac:dyDescent="0.2">
      <c r="C98" s="87" t="s">
        <v>166</v>
      </c>
      <c r="D98" s="88"/>
      <c r="E98" s="88"/>
      <c r="F98" s="89"/>
      <c r="G98" s="89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106"/>
      <c r="AA98" s="106"/>
    </row>
    <row r="99" spans="3:27" ht="15" customHeight="1" x14ac:dyDescent="0.2">
      <c r="C99" s="1"/>
      <c r="D99" s="1"/>
      <c r="E99" s="1"/>
      <c r="F99" s="24"/>
      <c r="G99" s="98"/>
      <c r="H99" s="203"/>
      <c r="I99" s="203"/>
      <c r="J99" s="203"/>
      <c r="K99" s="203"/>
      <c r="L99" s="203"/>
      <c r="M99" s="203"/>
      <c r="N99" s="203"/>
      <c r="O99" s="203"/>
      <c r="P99" s="1"/>
      <c r="Q99" s="1"/>
      <c r="R99" s="1"/>
      <c r="S99" s="1"/>
      <c r="T99" s="1"/>
      <c r="U99" s="1"/>
      <c r="V99" s="1"/>
      <c r="W99" s="1"/>
      <c r="X99" s="1"/>
      <c r="Y99" s="1"/>
      <c r="Z99" s="106"/>
      <c r="AA99" s="106"/>
    </row>
    <row r="100" spans="3:27" ht="15" customHeight="1" x14ac:dyDescent="0.2">
      <c r="C100" s="1"/>
      <c r="D100" s="1"/>
      <c r="E100" s="2" t="s">
        <v>267</v>
      </c>
      <c r="F100" s="24" t="s">
        <v>263</v>
      </c>
      <c r="G100" s="98"/>
      <c r="H100" s="204">
        <v>0.12</v>
      </c>
      <c r="I100" s="204">
        <v>0.13</v>
      </c>
      <c r="J100" s="204">
        <v>0.13</v>
      </c>
      <c r="K100" s="204">
        <v>0.13</v>
      </c>
      <c r="L100" s="204">
        <v>0.16</v>
      </c>
      <c r="M100" s="204">
        <v>0.15</v>
      </c>
      <c r="N100" s="204">
        <v>0.15</v>
      </c>
      <c r="O100" s="110">
        <v>0.11</v>
      </c>
      <c r="P100" s="320">
        <f ca="1">'&gt;&gt; Fin Stmts'!P25</f>
        <v>-43.67022811874007</v>
      </c>
      <c r="Q100" s="320">
        <f ca="1">'&gt;&gt; Fin Stmts'!Q25</f>
        <v>-43.627661971079974</v>
      </c>
      <c r="R100" s="320">
        <f ca="1">'&gt;&gt; Fin Stmts'!R25</f>
        <v>-43.631977441963791</v>
      </c>
      <c r="S100" s="320">
        <f ca="1">'&gt;&gt; Fin Stmts'!S25</f>
        <v>-43.641857008071774</v>
      </c>
      <c r="T100" s="320">
        <f ca="1">'&gt;&gt; Fin Stmts'!T25</f>
        <v>-43.646443017575585</v>
      </c>
      <c r="U100" s="320">
        <f ca="1">'&gt;&gt; Fin Stmts'!U25</f>
        <v>-43.668540561690662</v>
      </c>
      <c r="V100" s="320">
        <f ca="1">'&gt;&gt; Fin Stmts'!V25</f>
        <v>-43.706934353425133</v>
      </c>
      <c r="W100" s="320">
        <f ca="1">'&gt;&gt; Fin Stmts'!W25</f>
        <v>-43.74569069411919</v>
      </c>
      <c r="X100" s="320">
        <f ca="1">'&gt;&gt; Fin Stmts'!X25</f>
        <v>-43.774996870059859</v>
      </c>
      <c r="Y100" s="320">
        <f ca="1">'&gt;&gt; Fin Stmts'!Y25</f>
        <v>-43.810765950133465</v>
      </c>
      <c r="Z100" s="106"/>
      <c r="AA100" s="106"/>
    </row>
    <row r="101" spans="3:27" ht="15" customHeight="1" x14ac:dyDescent="0.2">
      <c r="C101" s="1"/>
      <c r="D101" s="1"/>
      <c r="E101" s="18" t="s">
        <v>127</v>
      </c>
      <c r="F101" s="24" t="s">
        <v>7</v>
      </c>
      <c r="G101" s="98"/>
      <c r="H101" s="203"/>
      <c r="I101" s="203"/>
      <c r="J101" s="203"/>
      <c r="K101" s="203"/>
      <c r="L101" s="203"/>
      <c r="M101" s="203"/>
      <c r="N101" s="203"/>
      <c r="O101" s="203"/>
      <c r="P101" s="104"/>
      <c r="Q101" s="104">
        <f t="shared" ref="Q101:Y101" ca="1" si="116">Q100/P100-1</f>
        <v>-9.7471777670499193E-4</v>
      </c>
      <c r="R101" s="104">
        <f t="shared" ca="1" si="116"/>
        <v>9.8915932893239855E-5</v>
      </c>
      <c r="S101" s="104">
        <f t="shared" ca="1" si="116"/>
        <v>2.2642948331008661E-4</v>
      </c>
      <c r="T101" s="104">
        <f t="shared" ca="1" si="116"/>
        <v>1.050828222768363E-4</v>
      </c>
      <c r="U101" s="104">
        <f t="shared" ca="1" si="116"/>
        <v>5.0628510795669435E-4</v>
      </c>
      <c r="V101" s="104">
        <f t="shared" ca="1" si="116"/>
        <v>8.7920940889318899E-4</v>
      </c>
      <c r="W101" s="104">
        <f t="shared" ca="1" si="116"/>
        <v>8.8673207735556758E-4</v>
      </c>
      <c r="X101" s="104">
        <f t="shared" ca="1" si="116"/>
        <v>6.6992143627553347E-4</v>
      </c>
      <c r="Y101" s="104">
        <f t="shared" ca="1" si="116"/>
        <v>8.1711211036239462E-4</v>
      </c>
    </row>
    <row r="102" spans="3:27" ht="15" customHeight="1" x14ac:dyDescent="0.2">
      <c r="C102" s="1"/>
      <c r="D102" s="1"/>
      <c r="E102" s="1"/>
      <c r="F102" s="24"/>
      <c r="G102" s="98" t="s">
        <v>7</v>
      </c>
      <c r="H102" s="203"/>
      <c r="I102" s="203"/>
      <c r="J102" s="203"/>
      <c r="K102" s="203"/>
      <c r="L102" s="203"/>
      <c r="M102" s="203"/>
      <c r="N102" s="203"/>
      <c r="O102" s="203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3:27" ht="15" customHeight="1" x14ac:dyDescent="0.2">
      <c r="C103" s="1"/>
      <c r="D103" s="1"/>
      <c r="E103" s="1"/>
      <c r="F103" s="24"/>
      <c r="G103" s="98"/>
      <c r="H103" s="203"/>
      <c r="I103" s="203"/>
      <c r="J103" s="203"/>
      <c r="K103" s="203"/>
      <c r="L103" s="203"/>
      <c r="M103" s="203"/>
      <c r="N103" s="203"/>
      <c r="O103" s="203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3:27" ht="15" customHeight="1" x14ac:dyDescent="0.2">
      <c r="C104" s="1"/>
      <c r="D104" s="1"/>
      <c r="E104" s="1"/>
      <c r="F104" s="24"/>
      <c r="G104" s="98"/>
      <c r="H104" s="203"/>
      <c r="I104" s="203"/>
      <c r="J104" s="203"/>
      <c r="K104" s="203"/>
      <c r="L104" s="203"/>
      <c r="M104" s="203"/>
      <c r="N104" s="203"/>
      <c r="O104" s="203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3:27" ht="15" customHeight="1" x14ac:dyDescent="0.2">
      <c r="C105" s="1"/>
      <c r="D105" s="1"/>
      <c r="E105" s="1"/>
      <c r="F105" s="24"/>
      <c r="G105" s="98"/>
      <c r="H105" s="203"/>
      <c r="I105" s="203"/>
      <c r="J105" s="203"/>
      <c r="K105" s="203"/>
      <c r="L105" s="203"/>
      <c r="M105" s="203"/>
      <c r="N105" s="203"/>
      <c r="O105" s="203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3:27" ht="15" customHeight="1" x14ac:dyDescent="0.2">
      <c r="C106" s="111" t="s">
        <v>327</v>
      </c>
      <c r="D106" s="112"/>
      <c r="E106" s="113"/>
      <c r="F106" s="113"/>
      <c r="G106" s="113"/>
      <c r="H106" s="112"/>
      <c r="I106" s="112"/>
      <c r="J106" s="112"/>
      <c r="K106" s="114"/>
      <c r="L106" s="114"/>
      <c r="M106" s="114"/>
      <c r="N106" s="115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</row>
    <row r="107" spans="3:27" ht="15" customHeight="1" x14ac:dyDescent="0.2">
      <c r="C107" s="1"/>
      <c r="D107" s="2"/>
      <c r="E107" s="2"/>
      <c r="F107" s="24"/>
      <c r="G107" s="24"/>
      <c r="H107" s="116"/>
      <c r="I107" s="116"/>
      <c r="J107" s="116"/>
      <c r="K107" s="116"/>
      <c r="L107" s="116"/>
      <c r="M107" s="116"/>
      <c r="N107" s="116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3:27" ht="15" customHeight="1" x14ac:dyDescent="0.2">
      <c r="C108" s="1"/>
      <c r="D108" s="2"/>
      <c r="E108" s="117" t="s">
        <v>321</v>
      </c>
      <c r="F108" s="24" t="s">
        <v>25</v>
      </c>
      <c r="G108" s="24"/>
      <c r="H108" s="406">
        <v>0</v>
      </c>
      <c r="I108" s="403">
        <v>0</v>
      </c>
      <c r="J108" s="118">
        <v>23</v>
      </c>
      <c r="K108" s="118">
        <v>34</v>
      </c>
      <c r="L108" s="118">
        <v>0</v>
      </c>
      <c r="M108" s="118">
        <v>0</v>
      </c>
      <c r="N108" s="118">
        <v>78</v>
      </c>
      <c r="O108" s="118">
        <v>71</v>
      </c>
      <c r="P108" s="119">
        <v>0</v>
      </c>
      <c r="Q108" s="119">
        <f t="shared" ref="Q108" si="117">P108*(1+Q110)</f>
        <v>0</v>
      </c>
      <c r="R108" s="119">
        <f t="shared" ref="R108" si="118">Q108*(1+R110)</f>
        <v>0</v>
      </c>
      <c r="S108" s="119">
        <f t="shared" ref="S108" si="119">R108*(1+S110)</f>
        <v>0</v>
      </c>
      <c r="T108" s="119">
        <f t="shared" ref="T108" si="120">S108*(1+T110)</f>
        <v>0</v>
      </c>
      <c r="U108" s="119">
        <f t="shared" ref="U108" si="121">T108*(1+U110)</f>
        <v>0</v>
      </c>
      <c r="V108" s="119">
        <f t="shared" ref="V108" si="122">U108*(1+V110)</f>
        <v>0</v>
      </c>
      <c r="W108" s="119">
        <f t="shared" ref="W108" si="123">V108*(1+W110)</f>
        <v>0</v>
      </c>
      <c r="X108" s="119">
        <f t="shared" ref="X108" si="124">W108*(1+X110)</f>
        <v>0</v>
      </c>
      <c r="Y108" s="119">
        <f t="shared" ref="Y108" si="125">X108*(1+Y110)</f>
        <v>0</v>
      </c>
    </row>
    <row r="109" spans="3:27" ht="15" customHeight="1" x14ac:dyDescent="0.2">
      <c r="C109" s="1"/>
      <c r="D109" s="1"/>
      <c r="F109" s="91"/>
      <c r="G109" s="36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</row>
    <row r="110" spans="3:27" ht="15" customHeight="1" x14ac:dyDescent="0.2">
      <c r="C110" s="1"/>
      <c r="D110" s="1"/>
      <c r="E110" s="18" t="s">
        <v>167</v>
      </c>
      <c r="F110" s="24" t="s">
        <v>7</v>
      </c>
      <c r="G110" s="36"/>
      <c r="H110" s="226"/>
      <c r="I110" s="226" t="str">
        <f>IFERROR((I108/H108-1),"NA")</f>
        <v>NA</v>
      </c>
      <c r="J110" s="226" t="str">
        <f t="shared" ref="J110:O110" si="126">IFERROR((J108/I108-1),"NA")</f>
        <v>NA</v>
      </c>
      <c r="K110" s="226">
        <f t="shared" si="126"/>
        <v>0.47826086956521729</v>
      </c>
      <c r="L110" s="226">
        <f t="shared" si="126"/>
        <v>-1</v>
      </c>
      <c r="M110" s="226" t="str">
        <f t="shared" si="126"/>
        <v>NA</v>
      </c>
      <c r="N110" s="226" t="str">
        <f t="shared" si="126"/>
        <v>NA</v>
      </c>
      <c r="O110" s="226">
        <f t="shared" si="126"/>
        <v>-8.9743589743589758E-2</v>
      </c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</row>
    <row r="111" spans="3:27" ht="15" customHeight="1" x14ac:dyDescent="0.2">
      <c r="C111" s="1"/>
      <c r="D111" s="1"/>
    </row>
    <row r="112" spans="3:27" ht="15" customHeight="1" x14ac:dyDescent="0.2">
      <c r="C112" s="1"/>
      <c r="D112" s="1"/>
      <c r="H112" s="221"/>
    </row>
    <row r="113" spans="3:25" ht="15" customHeight="1" x14ac:dyDescent="0.2">
      <c r="C113" s="1"/>
      <c r="D113" s="2"/>
      <c r="E113" s="117" t="s">
        <v>168</v>
      </c>
      <c r="F113" s="24" t="s">
        <v>25</v>
      </c>
      <c r="G113" s="24"/>
      <c r="H113" s="405">
        <v>86.1</v>
      </c>
      <c r="I113" s="121">
        <v>0</v>
      </c>
      <c r="J113" s="121">
        <v>0</v>
      </c>
      <c r="K113" s="121" t="s">
        <v>273</v>
      </c>
      <c r="L113" s="121" t="s">
        <v>273</v>
      </c>
      <c r="M113" s="121" t="s">
        <v>273</v>
      </c>
      <c r="N113" s="121" t="s">
        <v>273</v>
      </c>
      <c r="O113" s="121" t="s">
        <v>273</v>
      </c>
      <c r="P113" s="122">
        <f t="shared" ref="P113:Y113" si="127">P108*P115</f>
        <v>0</v>
      </c>
      <c r="Q113" s="122">
        <f t="shared" si="127"/>
        <v>0</v>
      </c>
      <c r="R113" s="122">
        <f t="shared" si="127"/>
        <v>0</v>
      </c>
      <c r="S113" s="122">
        <f t="shared" si="127"/>
        <v>0</v>
      </c>
      <c r="T113" s="122">
        <f t="shared" si="127"/>
        <v>0</v>
      </c>
      <c r="U113" s="122">
        <f t="shared" si="127"/>
        <v>0</v>
      </c>
      <c r="V113" s="122">
        <f t="shared" si="127"/>
        <v>0</v>
      </c>
      <c r="W113" s="122">
        <f t="shared" si="127"/>
        <v>0</v>
      </c>
      <c r="X113" s="122">
        <f t="shared" si="127"/>
        <v>0</v>
      </c>
      <c r="Y113" s="122">
        <f t="shared" si="127"/>
        <v>0</v>
      </c>
    </row>
    <row r="114" spans="3:25" ht="15" customHeight="1" x14ac:dyDescent="0.2">
      <c r="C114" s="1"/>
      <c r="D114" s="2"/>
      <c r="E114" s="123" t="s">
        <v>169</v>
      </c>
      <c r="F114" s="24" t="s">
        <v>7</v>
      </c>
      <c r="G114" s="24"/>
      <c r="H114" s="124"/>
      <c r="I114" s="287">
        <f>IFERROR((I113/H113-1),"NA")</f>
        <v>-1</v>
      </c>
      <c r="J114" s="287" t="str">
        <f t="shared" ref="J114" si="128">IFERROR((J113/I113-1),"NA")</f>
        <v>NA</v>
      </c>
      <c r="K114" s="287" t="str">
        <f t="shared" ref="K114" si="129">IFERROR((K113/J113-1),"NA")</f>
        <v>NA</v>
      </c>
      <c r="L114" s="287" t="str">
        <f t="shared" ref="L114" si="130">IFERROR((L113/K113-1),"NA")</f>
        <v>NA</v>
      </c>
      <c r="M114" s="287" t="str">
        <f t="shared" ref="M114" si="131">IFERROR((M113/L113-1),"NA")</f>
        <v>NA</v>
      </c>
      <c r="N114" s="287" t="str">
        <f t="shared" ref="N114" si="132">IFERROR((N113/M113-1),"NA")</f>
        <v>NA</v>
      </c>
      <c r="O114" s="287" t="str">
        <f t="shared" ref="O114" si="133">IFERROR((O113/N113-1),"NA")</f>
        <v>NA</v>
      </c>
      <c r="P114" s="287" t="str">
        <f t="shared" ref="P114" si="134">IFERROR((P113/O113-1),"NA")</f>
        <v>NA</v>
      </c>
      <c r="Q114" s="287" t="str">
        <f t="shared" ref="Q114" si="135">IFERROR((Q113/P113-1),"NA")</f>
        <v>NA</v>
      </c>
      <c r="R114" s="287" t="str">
        <f t="shared" ref="R114" si="136">IFERROR((R113/Q113-1),"NA")</f>
        <v>NA</v>
      </c>
      <c r="S114" s="287" t="str">
        <f t="shared" ref="S114" si="137">IFERROR((S113/R113-1),"NA")</f>
        <v>NA</v>
      </c>
      <c r="T114" s="287" t="str">
        <f t="shared" ref="T114" si="138">IFERROR((T113/S113-1),"NA")</f>
        <v>NA</v>
      </c>
      <c r="U114" s="287" t="str">
        <f t="shared" ref="U114" si="139">IFERROR((U113/T113-1),"NA")</f>
        <v>NA</v>
      </c>
      <c r="V114" s="287" t="str">
        <f t="shared" ref="V114" si="140">IFERROR((V113/U113-1),"NA")</f>
        <v>NA</v>
      </c>
      <c r="W114" s="287" t="str">
        <f t="shared" ref="W114" si="141">IFERROR((W113/V113-1),"NA")</f>
        <v>NA</v>
      </c>
      <c r="X114" s="287" t="str">
        <f t="shared" ref="X114" si="142">IFERROR((X113/W113-1),"NA")</f>
        <v>NA</v>
      </c>
      <c r="Y114" s="287" t="str">
        <f t="shared" ref="Y114" si="143">IFERROR((Y113/X113-1),"NA")</f>
        <v>NA</v>
      </c>
    </row>
    <row r="115" spans="3:25" ht="15" customHeight="1" x14ac:dyDescent="0.2">
      <c r="C115" s="1"/>
      <c r="D115" s="2"/>
      <c r="E115" s="123" t="s">
        <v>170</v>
      </c>
      <c r="F115" s="24" t="s">
        <v>7</v>
      </c>
      <c r="G115" s="24"/>
      <c r="H115" s="104" t="str">
        <f>IFERROR(H113/H108,"NA")</f>
        <v>NA</v>
      </c>
      <c r="I115" s="104" t="str">
        <f t="shared" ref="I115:O115" si="144">IFERROR(I113/I108,"NA")</f>
        <v>NA</v>
      </c>
      <c r="J115" s="104">
        <f t="shared" si="144"/>
        <v>0</v>
      </c>
      <c r="K115" s="104" t="str">
        <f t="shared" si="144"/>
        <v>NA</v>
      </c>
      <c r="L115" s="104" t="str">
        <f t="shared" si="144"/>
        <v>NA</v>
      </c>
      <c r="M115" s="104" t="str">
        <f t="shared" si="144"/>
        <v>NA</v>
      </c>
      <c r="N115" s="104" t="str">
        <f t="shared" si="144"/>
        <v>NA</v>
      </c>
      <c r="O115" s="104" t="str">
        <f t="shared" si="144"/>
        <v>NA</v>
      </c>
      <c r="P115" s="288"/>
      <c r="Q115" s="288"/>
      <c r="R115" s="288"/>
      <c r="S115" s="288"/>
      <c r="T115" s="288"/>
      <c r="U115" s="288"/>
      <c r="V115" s="288"/>
      <c r="W115" s="288"/>
      <c r="X115" s="288"/>
      <c r="Y115" s="288"/>
    </row>
    <row r="116" spans="3:25" ht="15" customHeight="1" x14ac:dyDescent="0.2">
      <c r="C116" s="246"/>
      <c r="D116" s="246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</row>
    <row r="117" spans="3:25" ht="15" customHeight="1" x14ac:dyDescent="0.2">
      <c r="C117" s="1"/>
      <c r="D117" s="1"/>
      <c r="E117" s="1"/>
      <c r="F117" s="24"/>
      <c r="G117" s="98"/>
      <c r="H117" s="203"/>
      <c r="I117" s="203"/>
      <c r="J117" s="203"/>
      <c r="K117" s="203"/>
      <c r="L117" s="203"/>
      <c r="M117" s="203"/>
      <c r="N117" s="203"/>
      <c r="O117" s="203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3:25" ht="15" customHeight="1" x14ac:dyDescent="0.2">
      <c r="C118" s="111" t="s">
        <v>278</v>
      </c>
      <c r="D118" s="112"/>
      <c r="E118" s="113"/>
      <c r="F118" s="113"/>
      <c r="G118" s="113"/>
      <c r="H118" s="112"/>
      <c r="I118" s="112"/>
      <c r="J118" s="112"/>
      <c r="K118" s="114"/>
      <c r="L118" s="114"/>
      <c r="M118" s="114"/>
      <c r="N118" s="115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</row>
    <row r="119" spans="3:25" ht="15" customHeight="1" x14ac:dyDescent="0.2">
      <c r="C119" s="1" t="s">
        <v>279</v>
      </c>
      <c r="D119" s="2"/>
      <c r="E119" s="2"/>
      <c r="F119" s="24"/>
      <c r="G119" s="24"/>
      <c r="H119" s="116"/>
      <c r="I119" s="116"/>
      <c r="J119" s="116"/>
      <c r="K119" s="116"/>
      <c r="L119" s="116"/>
      <c r="M119" s="116"/>
      <c r="N119" s="116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3:25" ht="15" customHeight="1" x14ac:dyDescent="0.2">
      <c r="C120" s="1"/>
      <c r="D120" s="2"/>
      <c r="E120" s="117" t="s">
        <v>321</v>
      </c>
      <c r="F120" s="24" t="s">
        <v>25</v>
      </c>
      <c r="G120" s="24"/>
      <c r="H120" s="406">
        <v>93</v>
      </c>
      <c r="I120" s="403">
        <v>105</v>
      </c>
      <c r="J120" s="118">
        <v>0</v>
      </c>
      <c r="K120" s="118" t="s">
        <v>273</v>
      </c>
      <c r="L120" s="118" t="s">
        <v>273</v>
      </c>
      <c r="M120" s="118" t="s">
        <v>273</v>
      </c>
      <c r="N120" s="118" t="s">
        <v>273</v>
      </c>
      <c r="O120" s="118" t="s">
        <v>273</v>
      </c>
      <c r="P120" s="119">
        <v>0</v>
      </c>
      <c r="Q120" s="119">
        <f t="shared" ref="Q120:Y120" si="145">P120*(1+Q122)</f>
        <v>0</v>
      </c>
      <c r="R120" s="119">
        <f t="shared" si="145"/>
        <v>0</v>
      </c>
      <c r="S120" s="119">
        <f t="shared" si="145"/>
        <v>0</v>
      </c>
      <c r="T120" s="119">
        <f t="shared" si="145"/>
        <v>0</v>
      </c>
      <c r="U120" s="119">
        <f t="shared" si="145"/>
        <v>0</v>
      </c>
      <c r="V120" s="119">
        <f t="shared" si="145"/>
        <v>0</v>
      </c>
      <c r="W120" s="119">
        <f t="shared" si="145"/>
        <v>0</v>
      </c>
      <c r="X120" s="119">
        <f t="shared" si="145"/>
        <v>0</v>
      </c>
      <c r="Y120" s="119">
        <f t="shared" si="145"/>
        <v>0</v>
      </c>
    </row>
    <row r="121" spans="3:25" ht="15" customHeight="1" x14ac:dyDescent="0.2">
      <c r="C121" s="1"/>
      <c r="D121" s="1"/>
      <c r="F121" s="91"/>
      <c r="G121" s="36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</row>
    <row r="122" spans="3:25" ht="15" customHeight="1" x14ac:dyDescent="0.2">
      <c r="C122" s="1"/>
      <c r="D122" s="1"/>
      <c r="E122" s="18" t="s">
        <v>167</v>
      </c>
      <c r="F122" s="24" t="s">
        <v>7</v>
      </c>
      <c r="G122" s="36"/>
      <c r="H122" s="226"/>
      <c r="I122" s="226">
        <f>IFERROR((I120/H120-1),"NA")</f>
        <v>0.12903225806451624</v>
      </c>
      <c r="J122" s="226">
        <f t="shared" ref="J122:O122" si="146">IFERROR((J120/I120-1),"NA")</f>
        <v>-1</v>
      </c>
      <c r="K122" s="226" t="str">
        <f t="shared" si="146"/>
        <v>NA</v>
      </c>
      <c r="L122" s="226" t="str">
        <f t="shared" si="146"/>
        <v>NA</v>
      </c>
      <c r="M122" s="226" t="str">
        <f t="shared" si="146"/>
        <v>NA</v>
      </c>
      <c r="N122" s="226" t="str">
        <f t="shared" si="146"/>
        <v>NA</v>
      </c>
      <c r="O122" s="226" t="str">
        <f t="shared" si="146"/>
        <v>NA</v>
      </c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</row>
    <row r="123" spans="3:25" ht="15" customHeight="1" x14ac:dyDescent="0.2">
      <c r="C123" s="1"/>
      <c r="D123" s="1"/>
    </row>
    <row r="124" spans="3:25" ht="15" customHeight="1" x14ac:dyDescent="0.2">
      <c r="C124" s="1"/>
      <c r="D124" s="1"/>
      <c r="H124" s="221"/>
    </row>
    <row r="125" spans="3:25" ht="15" customHeight="1" x14ac:dyDescent="0.2">
      <c r="C125" s="1"/>
      <c r="D125" s="2"/>
      <c r="E125" s="117" t="s">
        <v>168</v>
      </c>
      <c r="F125" s="24" t="s">
        <v>25</v>
      </c>
      <c r="G125" s="24"/>
      <c r="H125" s="405">
        <v>86.1</v>
      </c>
      <c r="I125" s="121">
        <v>0</v>
      </c>
      <c r="J125" s="121">
        <v>0</v>
      </c>
      <c r="K125" s="121" t="s">
        <v>273</v>
      </c>
      <c r="L125" s="121" t="s">
        <v>273</v>
      </c>
      <c r="M125" s="121" t="s">
        <v>273</v>
      </c>
      <c r="N125" s="121" t="s">
        <v>273</v>
      </c>
      <c r="O125" s="121" t="s">
        <v>273</v>
      </c>
      <c r="P125" s="122">
        <f t="shared" ref="P125:Y125" si="147">P120*P127</f>
        <v>0</v>
      </c>
      <c r="Q125" s="122">
        <f t="shared" si="147"/>
        <v>0</v>
      </c>
      <c r="R125" s="122">
        <f t="shared" si="147"/>
        <v>0</v>
      </c>
      <c r="S125" s="122">
        <f t="shared" si="147"/>
        <v>0</v>
      </c>
      <c r="T125" s="122">
        <f t="shared" si="147"/>
        <v>0</v>
      </c>
      <c r="U125" s="122">
        <f t="shared" si="147"/>
        <v>0</v>
      </c>
      <c r="V125" s="122">
        <f t="shared" si="147"/>
        <v>0</v>
      </c>
      <c r="W125" s="122">
        <f t="shared" si="147"/>
        <v>0</v>
      </c>
      <c r="X125" s="122">
        <f t="shared" si="147"/>
        <v>0</v>
      </c>
      <c r="Y125" s="122">
        <f t="shared" si="147"/>
        <v>0</v>
      </c>
    </row>
    <row r="126" spans="3:25" ht="15" customHeight="1" x14ac:dyDescent="0.2">
      <c r="C126" s="1"/>
      <c r="D126" s="2"/>
      <c r="E126" s="123" t="s">
        <v>169</v>
      </c>
      <c r="F126" s="24" t="s">
        <v>7</v>
      </c>
      <c r="G126" s="24"/>
      <c r="H126" s="124"/>
      <c r="I126" s="287">
        <f>IFERROR((I125/H125-1),"NA")</f>
        <v>-1</v>
      </c>
      <c r="J126" s="287" t="str">
        <f t="shared" ref="J126:O126" si="148">IFERROR((J125/I125-1),"NA")</f>
        <v>NA</v>
      </c>
      <c r="K126" s="287" t="str">
        <f t="shared" si="148"/>
        <v>NA</v>
      </c>
      <c r="L126" s="287" t="str">
        <f t="shared" si="148"/>
        <v>NA</v>
      </c>
      <c r="M126" s="287" t="str">
        <f t="shared" si="148"/>
        <v>NA</v>
      </c>
      <c r="N126" s="287" t="str">
        <f t="shared" si="148"/>
        <v>NA</v>
      </c>
      <c r="O126" s="287" t="str">
        <f t="shared" si="148"/>
        <v>NA</v>
      </c>
      <c r="P126" s="287" t="str">
        <f t="shared" ref="P126" si="149">IFERROR((P125/O125-1),"NA")</f>
        <v>NA</v>
      </c>
      <c r="Q126" s="287" t="str">
        <f t="shared" ref="Q126" si="150">IFERROR((Q125/P125-1),"NA")</f>
        <v>NA</v>
      </c>
      <c r="R126" s="287" t="str">
        <f t="shared" ref="R126" si="151">IFERROR((R125/Q125-1),"NA")</f>
        <v>NA</v>
      </c>
      <c r="S126" s="287" t="str">
        <f t="shared" ref="S126" si="152">IFERROR((S125/R125-1),"NA")</f>
        <v>NA</v>
      </c>
      <c r="T126" s="287" t="str">
        <f t="shared" ref="T126" si="153">IFERROR((T125/S125-1),"NA")</f>
        <v>NA</v>
      </c>
      <c r="U126" s="287" t="str">
        <f t="shared" ref="U126" si="154">IFERROR((U125/T125-1),"NA")</f>
        <v>NA</v>
      </c>
      <c r="V126" s="287" t="str">
        <f t="shared" ref="V126" si="155">IFERROR((V125/U125-1),"NA")</f>
        <v>NA</v>
      </c>
      <c r="W126" s="287" t="str">
        <f t="shared" ref="W126" si="156">IFERROR((W125/V125-1),"NA")</f>
        <v>NA</v>
      </c>
      <c r="X126" s="287" t="str">
        <f t="shared" ref="X126" si="157">IFERROR((X125/W125-1),"NA")</f>
        <v>NA</v>
      </c>
      <c r="Y126" s="287" t="str">
        <f t="shared" ref="Y126" si="158">IFERROR((Y125/X125-1),"NA")</f>
        <v>NA</v>
      </c>
    </row>
    <row r="127" spans="3:25" ht="15" customHeight="1" x14ac:dyDescent="0.2">
      <c r="C127" s="1"/>
      <c r="D127" s="2"/>
      <c r="E127" s="123" t="s">
        <v>170</v>
      </c>
      <c r="F127" s="24" t="s">
        <v>7</v>
      </c>
      <c r="G127" s="24"/>
      <c r="H127" s="104">
        <f>IFERROR(H125/H120,"NA")</f>
        <v>0.9258064516129032</v>
      </c>
      <c r="I127" s="104">
        <f t="shared" ref="I127:O127" si="159">IFERROR(I125/I120,"NA")</f>
        <v>0</v>
      </c>
      <c r="J127" s="104" t="str">
        <f t="shared" si="159"/>
        <v>NA</v>
      </c>
      <c r="K127" s="104" t="str">
        <f t="shared" si="159"/>
        <v>NA</v>
      </c>
      <c r="L127" s="104" t="str">
        <f t="shared" si="159"/>
        <v>NA</v>
      </c>
      <c r="M127" s="104" t="str">
        <f t="shared" si="159"/>
        <v>NA</v>
      </c>
      <c r="N127" s="104" t="str">
        <f t="shared" si="159"/>
        <v>NA</v>
      </c>
      <c r="O127" s="104" t="str">
        <f t="shared" si="159"/>
        <v>NA</v>
      </c>
      <c r="P127" s="288"/>
      <c r="Q127" s="288"/>
      <c r="R127" s="288"/>
      <c r="S127" s="288"/>
      <c r="T127" s="288"/>
      <c r="U127" s="288"/>
      <c r="V127" s="288"/>
      <c r="W127" s="288"/>
      <c r="X127" s="288"/>
      <c r="Y127" s="288"/>
    </row>
    <row r="128" spans="3:25" ht="15" customHeight="1" x14ac:dyDescent="0.2"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</row>
    <row r="130" spans="3:25" ht="15" customHeight="1" x14ac:dyDescent="0.2">
      <c r="C130" s="111" t="s">
        <v>271</v>
      </c>
      <c r="D130" s="112"/>
      <c r="E130" s="112"/>
      <c r="F130" s="113"/>
      <c r="G130" s="113"/>
      <c r="H130" s="112"/>
      <c r="I130" s="112"/>
      <c r="J130" s="112"/>
      <c r="K130" s="114"/>
      <c r="L130" s="114"/>
      <c r="M130" s="114"/>
      <c r="N130" s="115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</row>
    <row r="131" spans="3:25" ht="15" customHeight="1" x14ac:dyDescent="0.2">
      <c r="C131" s="1"/>
      <c r="D131" s="2"/>
      <c r="E131" s="2"/>
      <c r="F131" s="24"/>
      <c r="G131" s="24"/>
      <c r="H131" s="116"/>
      <c r="I131" s="116"/>
      <c r="J131" s="116"/>
      <c r="K131" s="116"/>
      <c r="L131" s="116"/>
      <c r="M131" s="116"/>
      <c r="N131" s="116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3:25" ht="15" customHeight="1" x14ac:dyDescent="0.2">
      <c r="C132" s="1"/>
      <c r="D132" s="2"/>
      <c r="E132" s="117" t="s">
        <v>322</v>
      </c>
      <c r="F132" s="24" t="s">
        <v>25</v>
      </c>
      <c r="G132" s="24"/>
      <c r="H132" s="404">
        <v>47</v>
      </c>
      <c r="I132" s="118">
        <v>53</v>
      </c>
      <c r="J132" s="118">
        <v>56</v>
      </c>
      <c r="K132" s="118">
        <v>61</v>
      </c>
      <c r="L132" s="118">
        <v>69</v>
      </c>
      <c r="M132" s="118">
        <v>73</v>
      </c>
      <c r="N132" s="118">
        <v>75</v>
      </c>
      <c r="O132" s="118">
        <v>67</v>
      </c>
      <c r="P132" s="119">
        <f>O132*(1+P134)</f>
        <v>68.674999999999997</v>
      </c>
      <c r="Q132" s="119">
        <f t="shared" ref="Q132:Y132" si="160">P132*(1+Q134)</f>
        <v>70.048500000000004</v>
      </c>
      <c r="R132" s="119">
        <f t="shared" si="160"/>
        <v>71.099227499999998</v>
      </c>
      <c r="S132" s="119">
        <f t="shared" si="160"/>
        <v>72.30791436749999</v>
      </c>
      <c r="T132" s="119">
        <f t="shared" si="160"/>
        <v>73.754072654849992</v>
      </c>
      <c r="U132" s="119">
        <f t="shared" si="160"/>
        <v>74.451985392837585</v>
      </c>
      <c r="V132" s="119">
        <f t="shared" si="160"/>
        <v>74.705059739564774</v>
      </c>
      <c r="W132" s="119">
        <f t="shared" si="160"/>
        <v>74.734896904690686</v>
      </c>
      <c r="X132" s="119">
        <f t="shared" si="160"/>
        <v>75.76494241408804</v>
      </c>
      <c r="Y132" s="119">
        <f t="shared" si="160"/>
        <v>76.702949527481749</v>
      </c>
    </row>
    <row r="133" spans="3:25" ht="15" customHeight="1" x14ac:dyDescent="0.2">
      <c r="C133" s="1"/>
      <c r="D133" s="1"/>
      <c r="F133" s="91"/>
      <c r="G133" s="36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</row>
    <row r="134" spans="3:25" ht="15" customHeight="1" x14ac:dyDescent="0.2">
      <c r="C134" s="1"/>
      <c r="D134" s="1"/>
      <c r="E134" s="18" t="s">
        <v>167</v>
      </c>
      <c r="F134" s="24" t="s">
        <v>7</v>
      </c>
      <c r="G134" s="36"/>
      <c r="H134" s="226"/>
      <c r="I134" s="226">
        <f>IFERROR((I132/H132-1),"NA")</f>
        <v>0.12765957446808507</v>
      </c>
      <c r="J134" s="226">
        <f t="shared" ref="J134:N134" si="161">IFERROR((J132/I132-1),"NA")</f>
        <v>5.6603773584905648E-2</v>
      </c>
      <c r="K134" s="226">
        <f t="shared" si="161"/>
        <v>8.9285714285714191E-2</v>
      </c>
      <c r="L134" s="226">
        <f t="shared" si="161"/>
        <v>0.13114754098360648</v>
      </c>
      <c r="M134" s="226">
        <f t="shared" si="161"/>
        <v>5.7971014492753659E-2</v>
      </c>
      <c r="N134" s="226">
        <f t="shared" si="161"/>
        <v>2.7397260273972712E-2</v>
      </c>
      <c r="O134" s="226">
        <f>IFERROR((O132/N132-1),"NA")</f>
        <v>-0.10666666666666669</v>
      </c>
      <c r="P134" s="120">
        <v>2.5000000000000001E-2</v>
      </c>
      <c r="Q134" s="120">
        <v>0.02</v>
      </c>
      <c r="R134" s="120">
        <v>1.4999999999999999E-2</v>
      </c>
      <c r="S134" s="120">
        <v>1.7000000000000001E-2</v>
      </c>
      <c r="T134" s="120">
        <v>0.02</v>
      </c>
      <c r="U134" s="120">
        <f t="shared" ref="U134:Y134" si="162">AVERAGE(M134:T134)</f>
        <v>9.4627010125074608E-3</v>
      </c>
      <c r="V134" s="120">
        <f t="shared" si="162"/>
        <v>3.3991618274766856E-3</v>
      </c>
      <c r="W134" s="120">
        <f t="shared" si="162"/>
        <v>3.9939952166468231E-4</v>
      </c>
      <c r="X134" s="120">
        <f t="shared" si="162"/>
        <v>1.3782657795206103E-2</v>
      </c>
      <c r="Y134" s="120">
        <f t="shared" si="162"/>
        <v>1.2380490019606866E-2</v>
      </c>
    </row>
    <row r="135" spans="3:25" ht="15" customHeight="1" x14ac:dyDescent="0.2">
      <c r="C135" s="1"/>
      <c r="D135" s="1"/>
    </row>
    <row r="136" spans="3:25" ht="15" customHeight="1" x14ac:dyDescent="0.2">
      <c r="C136" s="1"/>
      <c r="D136" s="1"/>
    </row>
    <row r="137" spans="3:25" ht="15" customHeight="1" x14ac:dyDescent="0.2">
      <c r="C137" s="1"/>
      <c r="D137" s="2"/>
      <c r="E137" s="117" t="s">
        <v>168</v>
      </c>
      <c r="F137" s="24" t="s">
        <v>25</v>
      </c>
      <c r="G137" s="24"/>
      <c r="H137" s="121">
        <v>37.466999999999999</v>
      </c>
      <c r="I137" s="121">
        <v>47.1</v>
      </c>
      <c r="J137" s="121">
        <v>54.93</v>
      </c>
      <c r="K137" s="121">
        <v>57.85</v>
      </c>
      <c r="L137" s="121">
        <v>63.62</v>
      </c>
      <c r="M137" s="121">
        <v>28.6</v>
      </c>
      <c r="N137" s="121">
        <v>33.9</v>
      </c>
      <c r="O137" s="121">
        <v>35.200000000000003</v>
      </c>
      <c r="P137" s="122">
        <f t="shared" ref="P137:Y137" si="163">P132*P139</f>
        <v>45.009014152362923</v>
      </c>
      <c r="Q137" s="122">
        <f t="shared" si="163"/>
        <v>44.910758416691046</v>
      </c>
      <c r="R137" s="122">
        <f t="shared" si="163"/>
        <v>44.050634277091703</v>
      </c>
      <c r="S137" s="122">
        <f t="shared" si="163"/>
        <v>42.827473573452785</v>
      </c>
      <c r="T137" s="122">
        <f t="shared" si="163"/>
        <v>41.725750512145282</v>
      </c>
      <c r="U137" s="122">
        <f t="shared" si="163"/>
        <v>40.179819956131873</v>
      </c>
      <c r="V137" s="122">
        <f t="shared" si="163"/>
        <v>42.312990263892424</v>
      </c>
      <c r="W137" s="122">
        <f t="shared" si="163"/>
        <v>43.712847962106011</v>
      </c>
      <c r="X137" s="122">
        <f t="shared" si="163"/>
        <v>44.952041027733117</v>
      </c>
      <c r="Y137" s="122">
        <f t="shared" si="163"/>
        <v>44.976022278459034</v>
      </c>
    </row>
    <row r="138" spans="3:25" ht="15" customHeight="1" x14ac:dyDescent="0.2">
      <c r="C138" s="1"/>
      <c r="D138" s="2"/>
      <c r="E138" s="123" t="s">
        <v>169</v>
      </c>
      <c r="F138" s="24" t="s">
        <v>7</v>
      </c>
      <c r="G138" s="24"/>
      <c r="H138" s="124"/>
      <c r="I138" s="287">
        <v>0</v>
      </c>
      <c r="J138" s="287">
        <f t="shared" ref="J138" si="164">IFERROR((J137/I137-1),"NA")</f>
        <v>0.16624203821656036</v>
      </c>
      <c r="K138" s="287">
        <f t="shared" ref="K138" si="165">IFERROR((K137/J137-1),"NA")</f>
        <v>5.3158565446932426E-2</v>
      </c>
      <c r="L138" s="287">
        <f t="shared" ref="L138" si="166">IFERROR((L137/K137-1),"NA")</f>
        <v>9.9740708729472605E-2</v>
      </c>
      <c r="M138" s="287">
        <f t="shared" ref="M138" si="167">IFERROR((M137/L137-1),"NA")</f>
        <v>-0.55045583149952848</v>
      </c>
      <c r="N138" s="287">
        <f t="shared" ref="N138" si="168">IFERROR((N137/M137-1),"NA")</f>
        <v>0.1853146853146852</v>
      </c>
      <c r="O138" s="287">
        <f t="shared" ref="O138" si="169">IFERROR((O137/N137-1),"NA")</f>
        <v>3.8348082595870414E-2</v>
      </c>
      <c r="P138" s="287">
        <f t="shared" ref="P138" si="170">IFERROR((P137/O137-1),"NA")</f>
        <v>0.27866517478303754</v>
      </c>
      <c r="Q138" s="287">
        <f t="shared" ref="Q138" si="171">IFERROR((Q137/P137-1),"NA")</f>
        <v>-2.1830235014538291E-3</v>
      </c>
      <c r="R138" s="287">
        <f t="shared" ref="R138" si="172">IFERROR((R137/Q137-1),"NA")</f>
        <v>-1.9151850690628192E-2</v>
      </c>
      <c r="S138" s="287">
        <f t="shared" ref="S138" si="173">IFERROR((S137/R137-1),"NA")</f>
        <v>-2.7767153043583237E-2</v>
      </c>
      <c r="T138" s="287">
        <f t="shared" ref="T138" si="174">IFERROR((T137/S137-1),"NA")</f>
        <v>-2.5724680196648864E-2</v>
      </c>
      <c r="U138" s="287">
        <f t="shared" ref="U138" si="175">IFERROR((U137/T137-1),"NA")</f>
        <v>-3.7049796277802804E-2</v>
      </c>
      <c r="V138" s="287">
        <f t="shared" ref="V138" si="176">IFERROR((V137/U137-1),"NA")</f>
        <v>5.3090589009346933E-2</v>
      </c>
      <c r="W138" s="287">
        <f t="shared" ref="W138" si="177">IFERROR((W137/V137-1),"NA")</f>
        <v>3.308340274424304E-2</v>
      </c>
      <c r="X138" s="287">
        <f t="shared" ref="X138" si="178">IFERROR((X137/W137-1),"NA")</f>
        <v>2.834848616364094E-2</v>
      </c>
      <c r="Y138" s="287">
        <f t="shared" ref="Y138" si="179">IFERROR((Y137/X137-1),"NA")</f>
        <v>5.3348524733554115E-4</v>
      </c>
    </row>
    <row r="139" spans="3:25" ht="15" customHeight="1" x14ac:dyDescent="0.2">
      <c r="C139" s="1"/>
      <c r="D139" s="2"/>
      <c r="E139" s="123" t="s">
        <v>170</v>
      </c>
      <c r="F139" s="24" t="s">
        <v>7</v>
      </c>
      <c r="G139" s="24"/>
      <c r="H139" s="104">
        <f>IFERROR(H137/H132,"NA")</f>
        <v>0.79717021276595745</v>
      </c>
      <c r="I139" s="104">
        <f t="shared" ref="I139:O139" si="180">IFERROR(I137/I132,"NA")</f>
        <v>0.88867924528301889</v>
      </c>
      <c r="J139" s="104">
        <f t="shared" si="180"/>
        <v>0.98089285714285712</v>
      </c>
      <c r="K139" s="104">
        <f t="shared" si="180"/>
        <v>0.94836065573770489</v>
      </c>
      <c r="L139" s="104">
        <f t="shared" si="180"/>
        <v>0.92202898550724632</v>
      </c>
      <c r="M139" s="104">
        <f t="shared" si="180"/>
        <v>0.39178082191780822</v>
      </c>
      <c r="N139" s="104">
        <f t="shared" si="180"/>
        <v>0.45199999999999996</v>
      </c>
      <c r="O139" s="104">
        <f t="shared" si="180"/>
        <v>0.5253731343283583</v>
      </c>
      <c r="P139" s="288">
        <f>HARMEAN(H139:O139)</f>
        <v>0.65539154208027561</v>
      </c>
      <c r="Q139" s="288">
        <f t="shared" ref="Q139:Y139" si="181">HARMEAN(I139:P139)</f>
        <v>0.64113804602084334</v>
      </c>
      <c r="R139" s="288">
        <f t="shared" si="181"/>
        <v>0.61956558215898627</v>
      </c>
      <c r="S139" s="288">
        <f t="shared" si="181"/>
        <v>0.59229302833691344</v>
      </c>
      <c r="T139" s="288">
        <f t="shared" si="181"/>
        <v>0.56574164666690363</v>
      </c>
      <c r="U139" s="288">
        <f t="shared" si="181"/>
        <v>0.53967425776663358</v>
      </c>
      <c r="V139" s="288">
        <f t="shared" si="181"/>
        <v>0.56640059470406812</v>
      </c>
      <c r="W139" s="288">
        <f t="shared" si="181"/>
        <v>0.58490544273919243</v>
      </c>
      <c r="X139" s="288">
        <f t="shared" si="181"/>
        <v>0.59330924825430276</v>
      </c>
      <c r="Y139" s="288">
        <f t="shared" si="181"/>
        <v>0.58636626825340876</v>
      </c>
    </row>
    <row r="140" spans="3:25" ht="15" customHeight="1" x14ac:dyDescent="0.2"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</row>
    <row r="142" spans="3:25" ht="15" customHeight="1" x14ac:dyDescent="0.2">
      <c r="C142" s="111" t="s">
        <v>272</v>
      </c>
      <c r="D142" s="112"/>
      <c r="E142" s="112"/>
      <c r="F142" s="113"/>
      <c r="G142" s="113"/>
      <c r="H142" s="112"/>
      <c r="I142" s="112"/>
      <c r="J142" s="112"/>
      <c r="K142" s="114"/>
      <c r="L142" s="114"/>
      <c r="M142" s="114"/>
      <c r="N142" s="115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</row>
    <row r="143" spans="3:25" ht="15" customHeight="1" x14ac:dyDescent="0.2">
      <c r="C143" s="1"/>
      <c r="D143" s="2"/>
      <c r="E143" s="2"/>
      <c r="F143" s="24"/>
      <c r="G143" s="24"/>
      <c r="H143" s="116"/>
      <c r="I143" s="116"/>
      <c r="J143" s="116"/>
      <c r="K143" s="116"/>
      <c r="L143" s="116"/>
      <c r="M143" s="116"/>
      <c r="N143" s="116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3:25" ht="15" customHeight="1" x14ac:dyDescent="0.2">
      <c r="C144" s="1"/>
      <c r="D144" s="2"/>
      <c r="E144" s="117" t="s">
        <v>323</v>
      </c>
      <c r="F144" s="24" t="s">
        <v>25</v>
      </c>
      <c r="G144" s="24"/>
      <c r="H144" s="118">
        <v>29</v>
      </c>
      <c r="I144" s="118">
        <v>32</v>
      </c>
      <c r="J144" s="118">
        <v>32</v>
      </c>
      <c r="K144" s="118">
        <v>31</v>
      </c>
      <c r="L144" s="118">
        <v>32</v>
      </c>
      <c r="M144" s="118">
        <v>30</v>
      </c>
      <c r="N144" s="118">
        <v>34</v>
      </c>
      <c r="O144" s="118">
        <v>35</v>
      </c>
      <c r="P144" s="336">
        <f>AVERAGE(H144:O144)</f>
        <v>31.875</v>
      </c>
      <c r="Q144" s="119">
        <f>AVERAGE(H144:O144)</f>
        <v>31.875</v>
      </c>
      <c r="R144" s="119">
        <f t="shared" ref="R144:Y144" si="182">Q144*(1+R146)</f>
        <v>32.334859525837238</v>
      </c>
      <c r="S144" s="119">
        <f t="shared" si="182"/>
        <v>32.501426535957464</v>
      </c>
      <c r="T144" s="119">
        <f t="shared" si="182"/>
        <v>32.727463705009733</v>
      </c>
      <c r="U144" s="119">
        <f t="shared" si="182"/>
        <v>33.103988226051371</v>
      </c>
      <c r="V144" s="119">
        <f t="shared" si="182"/>
        <v>33.380139255720543</v>
      </c>
      <c r="W144" s="119">
        <f t="shared" si="182"/>
        <v>33.967380436679072</v>
      </c>
      <c r="X144" s="119">
        <f t="shared" si="182"/>
        <v>34.034248842836092</v>
      </c>
      <c r="Y144" s="119">
        <f t="shared" si="182"/>
        <v>34.050966549841093</v>
      </c>
    </row>
    <row r="145" spans="3:25" ht="15" customHeight="1" x14ac:dyDescent="0.2">
      <c r="C145" s="1"/>
      <c r="D145" s="1"/>
      <c r="F145" s="91"/>
      <c r="G145" s="36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</row>
    <row r="146" spans="3:25" ht="15" customHeight="1" x14ac:dyDescent="0.2">
      <c r="C146" s="1"/>
      <c r="D146" s="1"/>
      <c r="E146" s="18" t="s">
        <v>167</v>
      </c>
      <c r="F146" s="24" t="s">
        <v>7</v>
      </c>
      <c r="G146" s="36"/>
      <c r="H146" s="226"/>
      <c r="I146" s="226">
        <f>IFERROR((I144/H144-1),"NA")</f>
        <v>0.10344827586206895</v>
      </c>
      <c r="J146" s="226">
        <f t="shared" ref="J146:N146" si="183">IFERROR((J144/I144-1),"NA")</f>
        <v>0</v>
      </c>
      <c r="K146" s="226">
        <f t="shared" si="183"/>
        <v>-3.125E-2</v>
      </c>
      <c r="L146" s="226">
        <f t="shared" si="183"/>
        <v>3.2258064516129004E-2</v>
      </c>
      <c r="M146" s="226">
        <f t="shared" si="183"/>
        <v>-6.25E-2</v>
      </c>
      <c r="N146" s="226">
        <f t="shared" si="183"/>
        <v>0.1333333333333333</v>
      </c>
      <c r="O146" s="226">
        <f>IFERROR((O144/N144-1),"NA")</f>
        <v>2.9411764705882248E-2</v>
      </c>
      <c r="P146" s="226">
        <f>IFERROR((P144/O144-1),"NA")</f>
        <v>-8.9285714285714302E-2</v>
      </c>
      <c r="Q146" s="120">
        <f>AVERAGE(H146:O146)</f>
        <v>2.9243062631059073E-2</v>
      </c>
      <c r="R146" s="120">
        <f t="shared" ref="R146:Y146" si="184">AVERAGE(I146:P146)</f>
        <v>1.4426965516462401E-2</v>
      </c>
      <c r="S146" s="120">
        <f t="shared" si="184"/>
        <v>5.1513138625861659E-3</v>
      </c>
      <c r="T146" s="120">
        <f t="shared" si="184"/>
        <v>6.954684552143966E-3</v>
      </c>
      <c r="U146" s="120">
        <f t="shared" si="184"/>
        <v>1.1504848784967237E-2</v>
      </c>
      <c r="V146" s="120">
        <f t="shared" si="184"/>
        <v>8.3419262894691079E-3</v>
      </c>
      <c r="W146" s="120">
        <f t="shared" si="184"/>
        <v>1.7592532387590013E-2</v>
      </c>
      <c r="X146" s="120">
        <f t="shared" si="184"/>
        <v>1.9686065071069874E-3</v>
      </c>
      <c r="Y146" s="120">
        <f t="shared" si="184"/>
        <v>4.9120246732045755E-4</v>
      </c>
    </row>
    <row r="147" spans="3:25" ht="15" customHeight="1" x14ac:dyDescent="0.2">
      <c r="C147" s="1"/>
      <c r="D147" s="1"/>
    </row>
    <row r="148" spans="3:25" ht="15" customHeight="1" x14ac:dyDescent="0.2">
      <c r="C148" s="1"/>
      <c r="D148" s="1"/>
    </row>
    <row r="149" spans="3:25" ht="15" customHeight="1" x14ac:dyDescent="0.2">
      <c r="C149" s="1"/>
      <c r="D149" s="2"/>
      <c r="E149" s="117" t="s">
        <v>168</v>
      </c>
      <c r="F149" s="24" t="s">
        <v>25</v>
      </c>
      <c r="G149" s="24"/>
      <c r="H149" s="407">
        <v>28.416</v>
      </c>
      <c r="I149" s="407">
        <v>29.631</v>
      </c>
      <c r="J149" s="411">
        <v>16.100000000000001</v>
      </c>
      <c r="K149" s="407">
        <v>16.216999999999999</v>
      </c>
      <c r="L149" s="407">
        <v>31.053999999999998</v>
      </c>
      <c r="M149" s="407">
        <v>32.200000000000003</v>
      </c>
      <c r="N149" s="407">
        <v>30.238</v>
      </c>
      <c r="O149" s="411">
        <v>34.234999999999999</v>
      </c>
      <c r="P149" s="408">
        <v>113.74</v>
      </c>
      <c r="Q149" s="122">
        <f t="shared" ref="Q149:Y149" si="185">Q144*Q151</f>
        <v>24.63394526989795</v>
      </c>
      <c r="R149" s="122">
        <f t="shared" si="185"/>
        <v>24.48320149133356</v>
      </c>
      <c r="S149" s="122">
        <f t="shared" si="185"/>
        <v>26.267271030821178</v>
      </c>
      <c r="T149" s="122">
        <f t="shared" si="185"/>
        <v>28.383247674986332</v>
      </c>
      <c r="U149" s="122">
        <f t="shared" si="185"/>
        <v>28.333244756571457</v>
      </c>
      <c r="V149" s="122">
        <f t="shared" si="185"/>
        <v>27.863976305919913</v>
      </c>
      <c r="W149" s="122">
        <f t="shared" si="185"/>
        <v>28.138215328073112</v>
      </c>
      <c r="X149" s="122">
        <f t="shared" si="185"/>
        <v>27.664185541005377</v>
      </c>
      <c r="Y149" s="122">
        <f t="shared" si="185"/>
        <v>27.771752295586598</v>
      </c>
    </row>
    <row r="150" spans="3:25" ht="15" customHeight="1" x14ac:dyDescent="0.2">
      <c r="C150" s="1"/>
      <c r="D150" s="2"/>
      <c r="E150" s="123" t="s">
        <v>169</v>
      </c>
      <c r="F150" s="24" t="s">
        <v>7</v>
      </c>
      <c r="G150" s="24"/>
      <c r="H150" s="414"/>
      <c r="I150" s="415">
        <f>IFERROR((I149/H149-1),"NA")</f>
        <v>4.2757601351351315E-2</v>
      </c>
      <c r="J150" s="415">
        <f t="shared" ref="J150" si="186">IFERROR((J149/I149-1),"NA")</f>
        <v>-0.45665012993149068</v>
      </c>
      <c r="K150" s="415">
        <f t="shared" ref="K150" si="187">IFERROR((K149/J149-1),"NA")</f>
        <v>7.2670807453414366E-3</v>
      </c>
      <c r="L150" s="415">
        <f t="shared" ref="L150" si="188">IFERROR((L149/K149-1),"NA")</f>
        <v>0.91490411296787322</v>
      </c>
      <c r="M150" s="415">
        <f t="shared" ref="M150" si="189">IFERROR((M149/L149-1),"NA")</f>
        <v>3.690345849165988E-2</v>
      </c>
      <c r="N150" s="415">
        <f t="shared" ref="N150" si="190">IFERROR((N149/M149-1),"NA")</f>
        <v>-6.0931677018633668E-2</v>
      </c>
      <c r="O150" s="415">
        <f t="shared" ref="O150" si="191">IFERROR((O149/N149-1),"NA")</f>
        <v>0.13218466829816777</v>
      </c>
      <c r="P150" s="415">
        <f t="shared" ref="P150" si="192">IFERROR((P149/O149-1),"NA")</f>
        <v>2.3223309478603769</v>
      </c>
      <c r="Q150" s="413">
        <f t="shared" ref="Q150" si="193">IFERROR((Q149/P149-1),"NA")</f>
        <v>-0.78341880367594552</v>
      </c>
      <c r="R150" s="287">
        <f t="shared" ref="R150" si="194">IFERROR((R149/Q149-1),"NA")</f>
        <v>-6.1193518501722055E-3</v>
      </c>
      <c r="S150" s="287">
        <f t="shared" ref="S150" si="195">IFERROR((S149/R149-1),"NA")</f>
        <v>7.2869127843396386E-2</v>
      </c>
      <c r="T150" s="287">
        <f t="shared" ref="T150" si="196">IFERROR((T149/S149-1),"NA")</f>
        <v>8.0555632965538582E-2</v>
      </c>
      <c r="U150" s="287">
        <f t="shared" ref="U150" si="197">IFERROR((U149/T149-1),"NA")</f>
        <v>-1.7617053195411181E-3</v>
      </c>
      <c r="V150" s="287">
        <f t="shared" ref="V150" si="198">IFERROR((V149/U149-1),"NA")</f>
        <v>-1.6562467683575277E-2</v>
      </c>
      <c r="W150" s="287">
        <f t="shared" ref="W150" si="199">IFERROR((W149/V149-1),"NA")</f>
        <v>9.8420634277862629E-3</v>
      </c>
      <c r="X150" s="287">
        <f t="shared" ref="X150" si="200">IFERROR((X149/W149-1),"NA")</f>
        <v>-1.684647663474248E-2</v>
      </c>
      <c r="Y150" s="287">
        <f t="shared" ref="Y150" si="201">IFERROR((Y149/X149-1),"NA")</f>
        <v>3.8883036849857167E-3</v>
      </c>
    </row>
    <row r="151" spans="3:25" ht="15" customHeight="1" x14ac:dyDescent="0.2">
      <c r="C151" s="1"/>
      <c r="D151" s="2"/>
      <c r="E151" s="123" t="s">
        <v>170</v>
      </c>
      <c r="F151" s="24" t="s">
        <v>7</v>
      </c>
      <c r="G151" s="24"/>
      <c r="H151" s="410">
        <f>IFERROR(H149/H144,"NA")</f>
        <v>0.97986206896551731</v>
      </c>
      <c r="I151" s="410">
        <f t="shared" ref="I151:O151" si="202">IFERROR(I149/I144,"NA")</f>
        <v>0.92596875000000001</v>
      </c>
      <c r="J151" s="410">
        <f t="shared" si="202"/>
        <v>0.50312500000000004</v>
      </c>
      <c r="K151" s="104">
        <f t="shared" si="202"/>
        <v>0.52312903225806451</v>
      </c>
      <c r="L151" s="410">
        <f t="shared" si="202"/>
        <v>0.97043749999999995</v>
      </c>
      <c r="M151" s="410">
        <f t="shared" si="202"/>
        <v>1.0733333333333335</v>
      </c>
      <c r="N151" s="410">
        <f t="shared" si="202"/>
        <v>0.88935294117647057</v>
      </c>
      <c r="O151" s="412">
        <f t="shared" si="202"/>
        <v>0.97814285714285709</v>
      </c>
      <c r="P151" s="409">
        <f>HARMEAN(H151:O151)</f>
        <v>0.7914090651486797</v>
      </c>
      <c r="Q151" s="288">
        <f t="shared" ref="Q151:Y151" si="203">HARMEAN(I151:P151)</f>
        <v>0.77282965552621019</v>
      </c>
      <c r="R151" s="288">
        <f t="shared" si="203"/>
        <v>0.75717667713293157</v>
      </c>
      <c r="S151" s="288">
        <f t="shared" si="203"/>
        <v>0.8081882498837637</v>
      </c>
      <c r="T151" s="288">
        <f t="shared" si="203"/>
        <v>0.86726084033947271</v>
      </c>
      <c r="U151" s="288">
        <f t="shared" si="203"/>
        <v>0.85588614166659382</v>
      </c>
      <c r="V151" s="288">
        <f t="shared" si="203"/>
        <v>0.83474715585989367</v>
      </c>
      <c r="W151" s="288">
        <f t="shared" si="203"/>
        <v>0.82838932429680567</v>
      </c>
      <c r="X151" s="288">
        <f t="shared" si="203"/>
        <v>0.81283373312434493</v>
      </c>
      <c r="Y151" s="288">
        <f t="shared" si="203"/>
        <v>0.81559365590802013</v>
      </c>
    </row>
    <row r="152" spans="3:25" ht="15" customHeight="1" x14ac:dyDescent="0.2">
      <c r="C152" s="246"/>
      <c r="D152" s="246"/>
      <c r="E152" s="24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</row>
    <row r="154" spans="3:25" ht="15" customHeight="1" x14ac:dyDescent="0.2">
      <c r="C154" s="111" t="s">
        <v>275</v>
      </c>
      <c r="D154" s="112"/>
      <c r="E154" s="112"/>
      <c r="F154" s="113"/>
      <c r="G154" s="113"/>
      <c r="H154" s="112"/>
      <c r="I154" s="112"/>
      <c r="J154" s="112"/>
      <c r="K154" s="114"/>
      <c r="L154" s="114"/>
      <c r="M154" s="114"/>
      <c r="N154" s="115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</row>
    <row r="155" spans="3:25" ht="15" customHeight="1" x14ac:dyDescent="0.2">
      <c r="C155" s="1"/>
      <c r="D155" s="2"/>
      <c r="E155" s="2"/>
      <c r="F155" s="24"/>
      <c r="G155" s="24"/>
      <c r="H155" s="116"/>
      <c r="I155" s="116"/>
      <c r="J155" s="116"/>
      <c r="K155" s="116"/>
      <c r="L155" s="116"/>
      <c r="M155" s="116"/>
      <c r="N155" s="116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3:25" ht="15" customHeight="1" x14ac:dyDescent="0.2">
      <c r="C156" s="1"/>
      <c r="D156" s="2"/>
      <c r="E156" s="117" t="s">
        <v>324</v>
      </c>
      <c r="F156" s="24" t="s">
        <v>25</v>
      </c>
      <c r="G156" s="24"/>
      <c r="H156" s="118">
        <v>0</v>
      </c>
      <c r="I156" s="118">
        <v>0</v>
      </c>
      <c r="J156" s="118">
        <v>0</v>
      </c>
      <c r="K156" s="118">
        <v>0</v>
      </c>
      <c r="L156" s="118">
        <v>0</v>
      </c>
      <c r="M156" s="118">
        <v>0</v>
      </c>
      <c r="N156" s="118">
        <v>0</v>
      </c>
      <c r="O156" s="118">
        <v>0</v>
      </c>
      <c r="P156" s="119">
        <v>0</v>
      </c>
      <c r="Q156" s="119">
        <f t="shared" ref="Q156:Y156" si="204">P156*(1+Q158)</f>
        <v>0</v>
      </c>
      <c r="R156" s="119">
        <f t="shared" si="204"/>
        <v>0</v>
      </c>
      <c r="S156" s="119">
        <f t="shared" si="204"/>
        <v>0</v>
      </c>
      <c r="T156" s="119">
        <f t="shared" si="204"/>
        <v>0</v>
      </c>
      <c r="U156" s="119">
        <f t="shared" si="204"/>
        <v>0</v>
      </c>
      <c r="V156" s="119">
        <f t="shared" si="204"/>
        <v>0</v>
      </c>
      <c r="W156" s="119">
        <f t="shared" si="204"/>
        <v>0</v>
      </c>
      <c r="X156" s="119">
        <f t="shared" si="204"/>
        <v>0</v>
      </c>
      <c r="Y156" s="119">
        <f t="shared" si="204"/>
        <v>0</v>
      </c>
    </row>
    <row r="157" spans="3:25" ht="15" customHeight="1" x14ac:dyDescent="0.2">
      <c r="C157" s="1"/>
      <c r="D157" s="1"/>
      <c r="F157" s="91"/>
      <c r="G157" s="36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</row>
    <row r="158" spans="3:25" ht="15" customHeight="1" x14ac:dyDescent="0.2">
      <c r="C158" s="1"/>
      <c r="D158" s="1"/>
      <c r="E158" s="18" t="s">
        <v>167</v>
      </c>
      <c r="F158" s="24" t="s">
        <v>7</v>
      </c>
      <c r="G158" s="36"/>
      <c r="H158" s="226"/>
      <c r="I158" s="226" t="str">
        <f>IFERROR((I156/H156-1),"NA")</f>
        <v>NA</v>
      </c>
      <c r="J158" s="226" t="str">
        <f t="shared" ref="J158:N158" si="205">IFERROR((J156/I156-1),"NA")</f>
        <v>NA</v>
      </c>
      <c r="K158" s="226" t="str">
        <f t="shared" si="205"/>
        <v>NA</v>
      </c>
      <c r="L158" s="226" t="str">
        <f t="shared" si="205"/>
        <v>NA</v>
      </c>
      <c r="M158" s="226" t="str">
        <f t="shared" si="205"/>
        <v>NA</v>
      </c>
      <c r="N158" s="226" t="str">
        <f t="shared" si="205"/>
        <v>NA</v>
      </c>
      <c r="O158" s="226" t="str">
        <f>IFERROR((O156/N156-1),"NA")</f>
        <v>NA</v>
      </c>
      <c r="P158" s="226" t="str">
        <f>IFERROR((P156/O156-1),"NA")</f>
        <v>NA</v>
      </c>
      <c r="Q158" s="120">
        <v>0</v>
      </c>
      <c r="R158" s="120">
        <v>0</v>
      </c>
      <c r="S158" s="120">
        <v>0</v>
      </c>
      <c r="T158" s="120">
        <v>0</v>
      </c>
      <c r="U158" s="120">
        <v>0</v>
      </c>
      <c r="V158" s="120">
        <v>0</v>
      </c>
      <c r="W158" s="120">
        <v>0</v>
      </c>
      <c r="X158" s="120">
        <v>0</v>
      </c>
      <c r="Y158" s="120">
        <v>0</v>
      </c>
    </row>
    <row r="159" spans="3:25" ht="15" customHeight="1" x14ac:dyDescent="0.2">
      <c r="C159" s="1"/>
      <c r="D159" s="1"/>
    </row>
    <row r="160" spans="3:25" ht="15" customHeight="1" x14ac:dyDescent="0.2">
      <c r="C160" s="1"/>
      <c r="D160" s="1"/>
    </row>
    <row r="161" spans="3:25" ht="15" customHeight="1" x14ac:dyDescent="0.2">
      <c r="C161" s="1"/>
      <c r="D161" s="2"/>
      <c r="E161" s="117" t="s">
        <v>168</v>
      </c>
      <c r="F161" s="24" t="s">
        <v>25</v>
      </c>
      <c r="G161" s="24"/>
      <c r="H161" s="118">
        <v>0</v>
      </c>
      <c r="I161" s="118">
        <v>0</v>
      </c>
      <c r="J161" s="118">
        <v>0</v>
      </c>
      <c r="K161" s="118">
        <v>0</v>
      </c>
      <c r="L161" s="118">
        <v>0</v>
      </c>
      <c r="M161" s="118">
        <v>0</v>
      </c>
      <c r="N161" s="118" t="s">
        <v>273</v>
      </c>
      <c r="O161" s="118" t="s">
        <v>273</v>
      </c>
      <c r="P161" s="122">
        <f t="shared" ref="P161:Y161" si="206">P156*P163</f>
        <v>0</v>
      </c>
      <c r="Q161" s="122">
        <f t="shared" si="206"/>
        <v>0</v>
      </c>
      <c r="R161" s="122">
        <f t="shared" si="206"/>
        <v>0</v>
      </c>
      <c r="S161" s="122">
        <f t="shared" si="206"/>
        <v>0</v>
      </c>
      <c r="T161" s="122">
        <f t="shared" si="206"/>
        <v>0</v>
      </c>
      <c r="U161" s="122">
        <f t="shared" si="206"/>
        <v>0</v>
      </c>
      <c r="V161" s="122">
        <f t="shared" si="206"/>
        <v>0</v>
      </c>
      <c r="W161" s="122">
        <f t="shared" si="206"/>
        <v>0</v>
      </c>
      <c r="X161" s="122">
        <f t="shared" si="206"/>
        <v>0</v>
      </c>
      <c r="Y161" s="122">
        <f t="shared" si="206"/>
        <v>0</v>
      </c>
    </row>
    <row r="162" spans="3:25" ht="15" customHeight="1" x14ac:dyDescent="0.2">
      <c r="C162" s="1"/>
      <c r="D162" s="2"/>
      <c r="E162" s="123" t="s">
        <v>169</v>
      </c>
      <c r="F162" s="24" t="s">
        <v>7</v>
      </c>
      <c r="G162" s="24"/>
      <c r="H162" s="124"/>
      <c r="I162" s="287" t="str">
        <f>IFERROR((I161/H161-1),"NA")</f>
        <v>NA</v>
      </c>
      <c r="J162" s="287" t="str">
        <f t="shared" ref="J162" si="207">IFERROR((J161/I161-1),"NA")</f>
        <v>NA</v>
      </c>
      <c r="K162" s="287" t="str">
        <f t="shared" ref="K162" si="208">IFERROR((K161/J161-1),"NA")</f>
        <v>NA</v>
      </c>
      <c r="L162" s="287" t="str">
        <f t="shared" ref="L162" si="209">IFERROR((L161/K161-1),"NA")</f>
        <v>NA</v>
      </c>
      <c r="M162" s="287" t="str">
        <f t="shared" ref="M162" si="210">IFERROR((M161/L161-1),"NA")</f>
        <v>NA</v>
      </c>
      <c r="N162" s="287" t="str">
        <f t="shared" ref="N162" si="211">IFERROR((N161/M161-1),"NA")</f>
        <v>NA</v>
      </c>
      <c r="O162" s="287" t="str">
        <f t="shared" ref="O162" si="212">IFERROR((O161/N161-1),"NA")</f>
        <v>NA</v>
      </c>
      <c r="P162" s="287" t="str">
        <f t="shared" ref="P162" si="213">IFERROR((P161/O161-1),"NA")</f>
        <v>NA</v>
      </c>
      <c r="Q162" s="287" t="str">
        <f t="shared" ref="Q162" si="214">IFERROR((Q161/P161-1),"NA")</f>
        <v>NA</v>
      </c>
      <c r="R162" s="287" t="str">
        <f t="shared" ref="R162" si="215">IFERROR((R161/Q161-1),"NA")</f>
        <v>NA</v>
      </c>
      <c r="S162" s="287" t="str">
        <f t="shared" ref="S162" si="216">IFERROR((S161/R161-1),"NA")</f>
        <v>NA</v>
      </c>
      <c r="T162" s="287" t="str">
        <f t="shared" ref="T162" si="217">IFERROR((T161/S161-1),"NA")</f>
        <v>NA</v>
      </c>
      <c r="U162" s="287" t="str">
        <f t="shared" ref="U162" si="218">IFERROR((U161/T161-1),"NA")</f>
        <v>NA</v>
      </c>
      <c r="V162" s="287" t="str">
        <f t="shared" ref="V162" si="219">IFERROR((V161/U161-1),"NA")</f>
        <v>NA</v>
      </c>
      <c r="W162" s="287" t="str">
        <f t="shared" ref="W162" si="220">IFERROR((W161/V161-1),"NA")</f>
        <v>NA</v>
      </c>
      <c r="X162" s="287" t="str">
        <f t="shared" ref="X162" si="221">IFERROR((X161/W161-1),"NA")</f>
        <v>NA</v>
      </c>
      <c r="Y162" s="287" t="str">
        <f t="shared" ref="Y162" si="222">IFERROR((Y161/X161-1),"NA")</f>
        <v>NA</v>
      </c>
    </row>
    <row r="163" spans="3:25" ht="15" customHeight="1" x14ac:dyDescent="0.2">
      <c r="C163" s="1"/>
      <c r="D163" s="2"/>
      <c r="E163" s="123" t="s">
        <v>170</v>
      </c>
      <c r="F163" s="24" t="s">
        <v>7</v>
      </c>
      <c r="G163" s="24"/>
      <c r="H163" s="104" t="str">
        <f>IFERROR(H161/H156,"NA")</f>
        <v>NA</v>
      </c>
      <c r="I163" s="104" t="str">
        <f t="shared" ref="I163:O163" si="223">IFERROR(I161/I156,"NA")</f>
        <v>NA</v>
      </c>
      <c r="J163" s="104" t="str">
        <f t="shared" si="223"/>
        <v>NA</v>
      </c>
      <c r="K163" s="104" t="str">
        <f t="shared" si="223"/>
        <v>NA</v>
      </c>
      <c r="L163" s="104" t="str">
        <f t="shared" si="223"/>
        <v>NA</v>
      </c>
      <c r="M163" s="104" t="str">
        <f t="shared" si="223"/>
        <v>NA</v>
      </c>
      <c r="N163" s="104" t="str">
        <f t="shared" si="223"/>
        <v>NA</v>
      </c>
      <c r="O163" s="104" t="str">
        <f t="shared" si="223"/>
        <v>NA</v>
      </c>
      <c r="P163" s="288">
        <v>0</v>
      </c>
      <c r="Q163" s="289">
        <v>0</v>
      </c>
      <c r="R163" s="289">
        <v>0</v>
      </c>
      <c r="S163" s="289">
        <v>0</v>
      </c>
      <c r="T163" s="289">
        <v>0</v>
      </c>
      <c r="U163" s="289">
        <v>0</v>
      </c>
      <c r="V163" s="289">
        <v>0</v>
      </c>
      <c r="W163" s="289">
        <v>0</v>
      </c>
      <c r="X163" s="289">
        <v>0</v>
      </c>
      <c r="Y163" s="290">
        <v>0</v>
      </c>
    </row>
    <row r="164" spans="3:25" ht="15" customHeight="1" x14ac:dyDescent="0.2">
      <c r="C164" s="125"/>
      <c r="D164" s="126"/>
      <c r="E164" s="126"/>
      <c r="F164" s="127"/>
      <c r="G164" s="127"/>
      <c r="H164" s="126"/>
      <c r="I164" s="126"/>
      <c r="J164" s="126"/>
      <c r="K164" s="128"/>
      <c r="L164" s="128"/>
      <c r="M164" s="128"/>
      <c r="N164" s="129"/>
      <c r="O164" s="129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</row>
    <row r="166" spans="3:25" ht="15" customHeight="1" x14ac:dyDescent="0.2">
      <c r="C166" s="111" t="s">
        <v>274</v>
      </c>
      <c r="D166" s="112"/>
      <c r="E166" s="112"/>
      <c r="F166" s="113"/>
      <c r="G166" s="113"/>
      <c r="H166" s="112"/>
      <c r="I166" s="112"/>
      <c r="J166" s="112"/>
      <c r="K166" s="114"/>
      <c r="L166" s="114"/>
      <c r="M166" s="114"/>
      <c r="N166" s="115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</row>
    <row r="168" spans="3:25" ht="15" customHeight="1" x14ac:dyDescent="0.2">
      <c r="E168" s="117" t="s">
        <v>325</v>
      </c>
      <c r="F168" s="24" t="s">
        <v>25</v>
      </c>
      <c r="G168" s="24"/>
      <c r="H168" s="118">
        <v>0</v>
      </c>
      <c r="I168" s="118">
        <v>0</v>
      </c>
      <c r="J168" s="118">
        <v>57</v>
      </c>
      <c r="K168" s="118">
        <v>61</v>
      </c>
      <c r="L168" s="118">
        <v>69</v>
      </c>
      <c r="M168" s="118">
        <v>73</v>
      </c>
      <c r="N168" s="118">
        <v>64</v>
      </c>
      <c r="O168" s="118">
        <v>64</v>
      </c>
      <c r="P168" s="119">
        <f>O168*(1+P170)</f>
        <v>64</v>
      </c>
      <c r="Q168" s="119">
        <f t="shared" ref="Q168:Y168" si="224">P168*(1+Q170)</f>
        <v>64</v>
      </c>
      <c r="R168" s="119">
        <f t="shared" si="224"/>
        <v>64</v>
      </c>
      <c r="S168" s="119">
        <f t="shared" si="224"/>
        <v>64</v>
      </c>
      <c r="T168" s="119">
        <f t="shared" si="224"/>
        <v>64</v>
      </c>
      <c r="U168" s="119">
        <f t="shared" si="224"/>
        <v>64</v>
      </c>
      <c r="V168" s="119">
        <f t="shared" si="224"/>
        <v>64</v>
      </c>
      <c r="W168" s="119">
        <f t="shared" si="224"/>
        <v>64</v>
      </c>
      <c r="X168" s="119">
        <f t="shared" si="224"/>
        <v>64</v>
      </c>
      <c r="Y168" s="119">
        <f t="shared" si="224"/>
        <v>64</v>
      </c>
    </row>
    <row r="169" spans="3:25" ht="15" customHeight="1" x14ac:dyDescent="0.2">
      <c r="F169" s="91"/>
      <c r="G169" s="36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</row>
    <row r="170" spans="3:25" ht="15" customHeight="1" x14ac:dyDescent="0.2">
      <c r="E170" s="18" t="s">
        <v>167</v>
      </c>
      <c r="F170" s="24" t="s">
        <v>7</v>
      </c>
      <c r="G170" s="36"/>
      <c r="H170" s="226"/>
      <c r="I170" s="226" t="str">
        <f>IFERROR((I168/H168-1),"NA")</f>
        <v>NA</v>
      </c>
      <c r="J170" s="226" t="str">
        <f t="shared" ref="J170:N170" si="225">IFERROR((J168/I168-1),"NA")</f>
        <v>NA</v>
      </c>
      <c r="K170" s="226">
        <f t="shared" si="225"/>
        <v>7.0175438596491224E-2</v>
      </c>
      <c r="L170" s="226">
        <f t="shared" si="225"/>
        <v>0.13114754098360648</v>
      </c>
      <c r="M170" s="226">
        <f t="shared" si="225"/>
        <v>5.7971014492753659E-2</v>
      </c>
      <c r="N170" s="226">
        <f t="shared" si="225"/>
        <v>-0.12328767123287676</v>
      </c>
      <c r="O170" s="226">
        <f>IFERROR((O168/N168-1),"NA")</f>
        <v>0</v>
      </c>
      <c r="P170" s="120">
        <v>0</v>
      </c>
      <c r="Q170" s="120">
        <v>0</v>
      </c>
      <c r="R170" s="120">
        <v>0</v>
      </c>
      <c r="S170" s="120">
        <v>0</v>
      </c>
      <c r="T170" s="120">
        <v>0</v>
      </c>
      <c r="U170" s="120">
        <v>0</v>
      </c>
      <c r="V170" s="120">
        <v>0</v>
      </c>
      <c r="W170" s="120">
        <v>0</v>
      </c>
      <c r="X170" s="120">
        <v>0</v>
      </c>
      <c r="Y170" s="120">
        <v>0</v>
      </c>
    </row>
    <row r="173" spans="3:25" ht="15" customHeight="1" x14ac:dyDescent="0.2">
      <c r="E173" s="117" t="s">
        <v>168</v>
      </c>
      <c r="F173" s="24" t="s">
        <v>25</v>
      </c>
      <c r="G173" s="24"/>
      <c r="H173" s="416">
        <v>50.8</v>
      </c>
      <c r="I173" s="416">
        <v>52.2</v>
      </c>
      <c r="J173" s="416">
        <v>50</v>
      </c>
      <c r="K173" s="416">
        <v>58.97</v>
      </c>
      <c r="L173" s="416">
        <v>62.38</v>
      </c>
      <c r="M173" s="416">
        <v>69.2</v>
      </c>
      <c r="N173" s="416">
        <v>55.646000000000001</v>
      </c>
      <c r="O173" s="416">
        <v>64.23</v>
      </c>
      <c r="P173" s="122">
        <v>64.010999999999996</v>
      </c>
      <c r="Q173" s="122">
        <f t="shared" ref="Q173:Y173" si="226">Q168*Q175</f>
        <v>0</v>
      </c>
      <c r="R173" s="122">
        <f t="shared" si="226"/>
        <v>0</v>
      </c>
      <c r="S173" s="122">
        <f t="shared" si="226"/>
        <v>0</v>
      </c>
      <c r="T173" s="122">
        <f t="shared" si="226"/>
        <v>0</v>
      </c>
      <c r="U173" s="122">
        <f t="shared" si="226"/>
        <v>0</v>
      </c>
      <c r="V173" s="122">
        <f t="shared" si="226"/>
        <v>0</v>
      </c>
      <c r="W173" s="122">
        <f t="shared" si="226"/>
        <v>0</v>
      </c>
      <c r="X173" s="122">
        <f t="shared" si="226"/>
        <v>0</v>
      </c>
      <c r="Y173" s="122">
        <f t="shared" si="226"/>
        <v>0</v>
      </c>
    </row>
    <row r="174" spans="3:25" ht="15" customHeight="1" x14ac:dyDescent="0.2">
      <c r="E174" s="123" t="s">
        <v>169</v>
      </c>
      <c r="F174" s="24" t="s">
        <v>7</v>
      </c>
      <c r="G174" s="24"/>
      <c r="H174" s="414"/>
      <c r="I174" s="415">
        <f>IFERROR((I173/H173-1),"NA")</f>
        <v>2.7559055118110409E-2</v>
      </c>
      <c r="J174" s="415">
        <f t="shared" ref="J174" si="227">IFERROR((J173/I173-1),"NA")</f>
        <v>-4.2145593869731823E-2</v>
      </c>
      <c r="K174" s="415">
        <f t="shared" ref="K174" si="228">IFERROR((K173/J173-1),"NA")</f>
        <v>0.1794</v>
      </c>
      <c r="L174" s="415">
        <f t="shared" ref="L174" si="229">IFERROR((L173/K173-1),"NA")</f>
        <v>5.782601322706471E-2</v>
      </c>
      <c r="M174" s="415">
        <f t="shared" ref="M174" si="230">IFERROR((M173/L173-1),"NA")</f>
        <v>0.10932991343379284</v>
      </c>
      <c r="N174" s="415">
        <f t="shared" ref="N174" si="231">IFERROR((N173/M173-1),"NA")</f>
        <v>-0.19586705202312138</v>
      </c>
      <c r="O174" s="415">
        <f t="shared" ref="O174" si="232">IFERROR((O173/N173-1),"NA")</f>
        <v>0.15426086331452393</v>
      </c>
      <c r="P174" s="287">
        <f t="shared" ref="P174" si="233">IFERROR((P173/O173-1),"NA")</f>
        <v>-3.4096216721160033E-3</v>
      </c>
      <c r="Q174" s="287">
        <f t="shared" ref="Q174" si="234">IFERROR((Q173/P173-1),"NA")</f>
        <v>-1</v>
      </c>
      <c r="R174" s="287" t="str">
        <f t="shared" ref="R174" si="235">IFERROR((R173/Q173-1),"NA")</f>
        <v>NA</v>
      </c>
      <c r="S174" s="287" t="str">
        <f t="shared" ref="S174" si="236">IFERROR((S173/R173-1),"NA")</f>
        <v>NA</v>
      </c>
      <c r="T174" s="287" t="str">
        <f t="shared" ref="T174" si="237">IFERROR((T173/S173-1),"NA")</f>
        <v>NA</v>
      </c>
      <c r="U174" s="287" t="str">
        <f t="shared" ref="U174" si="238">IFERROR((U173/T173-1),"NA")</f>
        <v>NA</v>
      </c>
      <c r="V174" s="287" t="str">
        <f t="shared" ref="V174" si="239">IFERROR((V173/U173-1),"NA")</f>
        <v>NA</v>
      </c>
      <c r="W174" s="287" t="str">
        <f t="shared" ref="W174" si="240">IFERROR((W173/V173-1),"NA")</f>
        <v>NA</v>
      </c>
      <c r="X174" s="287" t="str">
        <f t="shared" ref="X174" si="241">IFERROR((X173/W173-1),"NA")</f>
        <v>NA</v>
      </c>
      <c r="Y174" s="287" t="str">
        <f t="shared" ref="Y174" si="242">IFERROR((Y173/X173-1),"NA")</f>
        <v>NA</v>
      </c>
    </row>
    <row r="175" spans="3:25" ht="15" customHeight="1" x14ac:dyDescent="0.2">
      <c r="E175" s="123" t="s">
        <v>170</v>
      </c>
      <c r="F175" s="24" t="s">
        <v>7</v>
      </c>
      <c r="G175" s="24"/>
      <c r="H175" s="104" t="str">
        <f>IFERROR(H173/H168,"NA")</f>
        <v>NA</v>
      </c>
      <c r="I175" s="104" t="str">
        <f t="shared" ref="I175:O175" si="243">IFERROR(I173/I168,"NA")</f>
        <v>NA</v>
      </c>
      <c r="J175" s="104">
        <f t="shared" si="243"/>
        <v>0.8771929824561403</v>
      </c>
      <c r="K175" s="104">
        <f t="shared" si="243"/>
        <v>0.96672131147540985</v>
      </c>
      <c r="L175" s="104">
        <f t="shared" si="243"/>
        <v>0.90405797101449281</v>
      </c>
      <c r="M175" s="104">
        <f t="shared" si="243"/>
        <v>0.94794520547945205</v>
      </c>
      <c r="N175" s="104">
        <f t="shared" si="243"/>
        <v>0.86946875000000001</v>
      </c>
      <c r="O175" s="104">
        <f t="shared" si="243"/>
        <v>1.0035937500000001</v>
      </c>
      <c r="P175" s="288">
        <v>0</v>
      </c>
      <c r="Q175" s="289">
        <v>0</v>
      </c>
      <c r="R175" s="289">
        <v>0</v>
      </c>
      <c r="S175" s="289">
        <v>0</v>
      </c>
      <c r="T175" s="289">
        <v>0</v>
      </c>
      <c r="U175" s="289">
        <v>0</v>
      </c>
      <c r="V175" s="289">
        <v>0</v>
      </c>
      <c r="W175" s="289">
        <v>0</v>
      </c>
      <c r="X175" s="289">
        <v>0</v>
      </c>
      <c r="Y175" s="290">
        <v>0</v>
      </c>
    </row>
    <row r="177" spans="1:27" ht="15" customHeight="1" x14ac:dyDescent="0.2">
      <c r="C177" s="111" t="s">
        <v>276</v>
      </c>
      <c r="D177" s="112"/>
      <c r="E177" s="112"/>
      <c r="F177" s="113"/>
      <c r="G177" s="113"/>
      <c r="H177" s="112"/>
      <c r="I177" s="112"/>
      <c r="J177" s="112"/>
      <c r="K177" s="114"/>
      <c r="L177" s="114"/>
      <c r="M177" s="114"/>
      <c r="N177" s="115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</row>
    <row r="179" spans="1:27" ht="15" customHeight="1" x14ac:dyDescent="0.2">
      <c r="E179" s="117" t="s">
        <v>326</v>
      </c>
      <c r="F179" s="24" t="s">
        <v>25</v>
      </c>
      <c r="G179" s="24"/>
      <c r="H179" s="118">
        <v>0</v>
      </c>
      <c r="I179" s="118">
        <v>0</v>
      </c>
      <c r="J179" s="118">
        <v>21</v>
      </c>
      <c r="K179" s="118">
        <v>24</v>
      </c>
      <c r="L179" s="118">
        <v>25</v>
      </c>
      <c r="M179" s="118">
        <v>33</v>
      </c>
      <c r="N179" s="118">
        <v>42</v>
      </c>
      <c r="O179" s="118">
        <v>49</v>
      </c>
      <c r="P179" s="119">
        <f>O179*(1+P181)</f>
        <v>49</v>
      </c>
      <c r="Q179" s="119">
        <f t="shared" ref="Q179" si="244">P179*(1+Q181)</f>
        <v>49</v>
      </c>
      <c r="R179" s="119">
        <f t="shared" ref="R179" si="245">Q179*(1+R181)</f>
        <v>49</v>
      </c>
      <c r="S179" s="119">
        <f t="shared" ref="S179" si="246">R179*(1+S181)</f>
        <v>49</v>
      </c>
      <c r="T179" s="119">
        <f t="shared" ref="T179" si="247">S179*(1+T181)</f>
        <v>49</v>
      </c>
      <c r="U179" s="119">
        <f t="shared" ref="U179" si="248">T179*(1+U181)</f>
        <v>49</v>
      </c>
      <c r="V179" s="119">
        <f t="shared" ref="V179" si="249">U179*(1+V181)</f>
        <v>49</v>
      </c>
      <c r="W179" s="119">
        <f t="shared" ref="W179" si="250">V179*(1+W181)</f>
        <v>49</v>
      </c>
      <c r="X179" s="119">
        <f t="shared" ref="X179" si="251">W179*(1+X181)</f>
        <v>49</v>
      </c>
      <c r="Y179" s="119">
        <f t="shared" ref="Y179" si="252">X179*(1+Y181)</f>
        <v>49</v>
      </c>
    </row>
    <row r="180" spans="1:27" ht="15" customHeight="1" x14ac:dyDescent="0.2">
      <c r="F180" s="91"/>
      <c r="G180" s="36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 spans="1:27" ht="15" customHeight="1" x14ac:dyDescent="0.2">
      <c r="E181" s="18" t="s">
        <v>167</v>
      </c>
      <c r="F181" s="24" t="s">
        <v>7</v>
      </c>
      <c r="G181" s="36"/>
      <c r="H181" s="226"/>
      <c r="I181" s="226" t="str">
        <f>IFERROR((I179/H179-1),"NA")</f>
        <v>NA</v>
      </c>
      <c r="J181" s="226" t="str">
        <f t="shared" ref="J181" si="253">IFERROR((J179/I179-1),"NA")</f>
        <v>NA</v>
      </c>
      <c r="K181" s="226">
        <f t="shared" ref="K181" si="254">IFERROR((K179/J179-1),"NA")</f>
        <v>0.14285714285714279</v>
      </c>
      <c r="L181" s="226">
        <f t="shared" ref="L181" si="255">IFERROR((L179/K179-1),"NA")</f>
        <v>4.1666666666666741E-2</v>
      </c>
      <c r="M181" s="226">
        <f t="shared" ref="M181" si="256">IFERROR((M179/L179-1),"NA")</f>
        <v>0.32000000000000006</v>
      </c>
      <c r="N181" s="226">
        <f t="shared" ref="N181" si="257">IFERROR((N179/M179-1),"NA")</f>
        <v>0.27272727272727271</v>
      </c>
      <c r="O181" s="226">
        <f>IFERROR((O179/N179-1),"NA")</f>
        <v>0.16666666666666674</v>
      </c>
      <c r="P181" s="120">
        <v>0</v>
      </c>
      <c r="Q181" s="120">
        <v>0</v>
      </c>
      <c r="R181" s="120">
        <v>0</v>
      </c>
      <c r="S181" s="120">
        <v>0</v>
      </c>
      <c r="T181" s="120">
        <v>0</v>
      </c>
      <c r="U181" s="120">
        <v>0</v>
      </c>
      <c r="V181" s="120">
        <v>0</v>
      </c>
      <c r="W181" s="120">
        <v>0</v>
      </c>
      <c r="X181" s="120">
        <v>0</v>
      </c>
      <c r="Y181" s="120">
        <v>0</v>
      </c>
    </row>
    <row r="184" spans="1:27" ht="15" customHeight="1" x14ac:dyDescent="0.2">
      <c r="E184" s="117" t="s">
        <v>168</v>
      </c>
      <c r="F184" s="24" t="s">
        <v>25</v>
      </c>
      <c r="G184" s="24"/>
      <c r="H184" s="416">
        <v>40.9</v>
      </c>
      <c r="I184" s="416">
        <v>29.8</v>
      </c>
      <c r="J184" s="416">
        <v>38.5</v>
      </c>
      <c r="K184" s="416">
        <v>21.9</v>
      </c>
      <c r="L184" s="416">
        <v>24.65</v>
      </c>
      <c r="M184" s="416">
        <v>24.4</v>
      </c>
      <c r="N184" s="416">
        <v>30.312000000000001</v>
      </c>
      <c r="O184" s="416">
        <v>42.76</v>
      </c>
      <c r="P184" s="122">
        <v>49.237000000000002</v>
      </c>
      <c r="Q184" s="122">
        <f t="shared" ref="Q184:Y184" si="258">Q179*Q186</f>
        <v>0</v>
      </c>
      <c r="R184" s="122">
        <f t="shared" si="258"/>
        <v>0</v>
      </c>
      <c r="S184" s="122">
        <f t="shared" si="258"/>
        <v>0</v>
      </c>
      <c r="T184" s="122">
        <f t="shared" si="258"/>
        <v>0</v>
      </c>
      <c r="U184" s="122">
        <f t="shared" si="258"/>
        <v>0</v>
      </c>
      <c r="V184" s="122">
        <f t="shared" si="258"/>
        <v>0</v>
      </c>
      <c r="W184" s="122">
        <f t="shared" si="258"/>
        <v>0</v>
      </c>
      <c r="X184" s="122">
        <f t="shared" si="258"/>
        <v>0</v>
      </c>
      <c r="Y184" s="122">
        <f t="shared" si="258"/>
        <v>0</v>
      </c>
    </row>
    <row r="185" spans="1:27" ht="15" customHeight="1" x14ac:dyDescent="0.2">
      <c r="E185" s="123" t="s">
        <v>169</v>
      </c>
      <c r="F185" s="24" t="s">
        <v>7</v>
      </c>
      <c r="G185" s="24"/>
      <c r="H185" s="414"/>
      <c r="I185" s="415">
        <f>IFERROR((I184/H184-1),"NA")</f>
        <v>-0.27139364303178481</v>
      </c>
      <c r="J185" s="415">
        <f t="shared" ref="J185" si="259">IFERROR((J184/I184-1),"NA")</f>
        <v>0.29194630872483218</v>
      </c>
      <c r="K185" s="415">
        <f t="shared" ref="K185" si="260">IFERROR((K184/J184-1),"NA")</f>
        <v>-0.4311688311688312</v>
      </c>
      <c r="L185" s="415">
        <f t="shared" ref="L185" si="261">IFERROR((L184/K184-1),"NA")</f>
        <v>0.12557077625570767</v>
      </c>
      <c r="M185" s="415">
        <f t="shared" ref="M185" si="262">IFERROR((M184/L184-1),"NA")</f>
        <v>-1.0141987829614618E-2</v>
      </c>
      <c r="N185" s="415">
        <f t="shared" ref="N185" si="263">IFERROR((N184/M184-1),"NA")</f>
        <v>0.24229508196721317</v>
      </c>
      <c r="O185" s="415">
        <f t="shared" ref="O185" si="264">IFERROR((O184/N184-1),"NA")</f>
        <v>0.41066244391660067</v>
      </c>
      <c r="P185" s="287">
        <f t="shared" ref="P185" si="265">IFERROR((P184/O184-1),"NA")</f>
        <v>0.15147333956969145</v>
      </c>
      <c r="Q185" s="287">
        <f t="shared" ref="Q185" si="266">IFERROR((Q184/P184-1),"NA")</f>
        <v>-1</v>
      </c>
      <c r="R185" s="287" t="str">
        <f t="shared" ref="R185" si="267">IFERROR((R184/Q184-1),"NA")</f>
        <v>NA</v>
      </c>
      <c r="S185" s="287" t="str">
        <f t="shared" ref="S185" si="268">IFERROR((S184/R184-1),"NA")</f>
        <v>NA</v>
      </c>
      <c r="T185" s="287" t="str">
        <f t="shared" ref="T185" si="269">IFERROR((T184/S184-1),"NA")</f>
        <v>NA</v>
      </c>
      <c r="U185" s="287" t="str">
        <f t="shared" ref="U185" si="270">IFERROR((U184/T184-1),"NA")</f>
        <v>NA</v>
      </c>
      <c r="V185" s="287" t="str">
        <f t="shared" ref="V185" si="271">IFERROR((V184/U184-1),"NA")</f>
        <v>NA</v>
      </c>
      <c r="W185" s="287" t="str">
        <f t="shared" ref="W185" si="272">IFERROR((W184/V184-1),"NA")</f>
        <v>NA</v>
      </c>
      <c r="X185" s="287" t="str">
        <f t="shared" ref="X185" si="273">IFERROR((X184/W184-1),"NA")</f>
        <v>NA</v>
      </c>
      <c r="Y185" s="287" t="str">
        <f t="shared" ref="Y185" si="274">IFERROR((Y184/X184-1),"NA")</f>
        <v>NA</v>
      </c>
    </row>
    <row r="186" spans="1:27" ht="15" customHeight="1" x14ac:dyDescent="0.2">
      <c r="E186" s="123" t="s">
        <v>170</v>
      </c>
      <c r="F186" s="24" t="s">
        <v>7</v>
      </c>
      <c r="G186" s="24"/>
      <c r="H186" s="104" t="str">
        <f>IFERROR(H184/H179,"NA")</f>
        <v>NA</v>
      </c>
      <c r="I186" s="104" t="str">
        <f t="shared" ref="I186:P186" si="275">IFERROR(I184/I179,"NA")</f>
        <v>NA</v>
      </c>
      <c r="J186" s="104">
        <f t="shared" si="275"/>
        <v>1.8333333333333333</v>
      </c>
      <c r="K186" s="104">
        <f t="shared" si="275"/>
        <v>0.91249999999999998</v>
      </c>
      <c r="L186" s="104">
        <f t="shared" si="275"/>
        <v>0.98599999999999999</v>
      </c>
      <c r="M186" s="104">
        <f t="shared" si="275"/>
        <v>0.73939393939393938</v>
      </c>
      <c r="N186" s="104">
        <f t="shared" si="275"/>
        <v>0.72171428571428575</v>
      </c>
      <c r="O186" s="104">
        <f t="shared" si="275"/>
        <v>0.87265306122448971</v>
      </c>
      <c r="P186" s="366">
        <f t="shared" si="275"/>
        <v>1.0048367346938776</v>
      </c>
      <c r="Q186" s="289">
        <v>0</v>
      </c>
      <c r="R186" s="289">
        <v>0</v>
      </c>
      <c r="S186" s="289">
        <v>0</v>
      </c>
      <c r="T186" s="289">
        <v>0</v>
      </c>
      <c r="U186" s="289">
        <v>0</v>
      </c>
      <c r="V186" s="289">
        <v>0</v>
      </c>
      <c r="W186" s="289">
        <v>0</v>
      </c>
      <c r="X186" s="289">
        <v>0</v>
      </c>
      <c r="Y186" s="290">
        <v>0</v>
      </c>
    </row>
    <row r="187" spans="1:27" ht="15" customHeight="1" x14ac:dyDescent="0.2">
      <c r="E187" t="s">
        <v>277</v>
      </c>
      <c r="N187" s="335">
        <v>4.1599999999999998E-2</v>
      </c>
      <c r="P187" s="367"/>
    </row>
    <row r="188" spans="1:27" ht="15" customHeight="1" x14ac:dyDescent="0.2">
      <c r="A188" s="40"/>
      <c r="B188" s="40" t="s">
        <v>45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</sheetData>
  <mergeCells count="1">
    <mergeCell ref="H2:O2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51" activePane="bottomLeft" state="frozen"/>
      <selection pane="bottomLeft" activeCell="G110" sqref="G110"/>
    </sheetView>
  </sheetViews>
  <sheetFormatPr baseColWidth="10" defaultColWidth="14.5" defaultRowHeight="15" customHeight="1" x14ac:dyDescent="0.2"/>
  <cols>
    <col min="1" max="2" width="2.6640625" customWidth="1"/>
    <col min="3" max="3" width="1.5" customWidth="1"/>
    <col min="4" max="4" width="3.5" customWidth="1"/>
    <col min="5" max="5" width="38.5" customWidth="1"/>
    <col min="6" max="7" width="11.1640625" customWidth="1"/>
    <col min="8" max="8" width="13.33203125" customWidth="1"/>
    <col min="9" max="9" width="11.1640625" customWidth="1"/>
    <col min="10" max="10" width="10.5" customWidth="1"/>
    <col min="11" max="11" width="13" customWidth="1"/>
    <col min="12" max="22" width="10.5" customWidth="1"/>
    <col min="23" max="23" width="13.5" customWidth="1"/>
    <col min="24" max="24" width="13.83203125" customWidth="1"/>
    <col min="25" max="25" width="13.6640625" customWidth="1"/>
    <col min="26" max="37" width="9.1640625" customWidth="1"/>
  </cols>
  <sheetData>
    <row r="2" spans="3:25" x14ac:dyDescent="0.2">
      <c r="C2" s="1" t="s">
        <v>171</v>
      </c>
      <c r="E2" s="2"/>
      <c r="F2" s="2"/>
      <c r="G2" s="2"/>
      <c r="H2" s="431" t="s">
        <v>85</v>
      </c>
      <c r="I2" s="432"/>
      <c r="J2" s="432"/>
      <c r="K2" s="432"/>
      <c r="L2" s="432"/>
      <c r="M2" s="432"/>
      <c r="N2" s="432"/>
      <c r="O2" s="43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">
      <c r="C4" s="3"/>
      <c r="D4" s="4" t="s">
        <v>86</v>
      </c>
      <c r="E4" s="3"/>
      <c r="F4" s="5" t="s">
        <v>87</v>
      </c>
      <c r="G4" s="5"/>
      <c r="H4" s="6">
        <f t="shared" ref="H4:M4" si="0">EOMONTH(I4,-12)</f>
        <v>43100</v>
      </c>
      <c r="I4" s="6">
        <f t="shared" si="0"/>
        <v>43465</v>
      </c>
      <c r="J4" s="6">
        <f t="shared" si="0"/>
        <v>43830</v>
      </c>
      <c r="K4" s="6">
        <f t="shared" si="0"/>
        <v>44196</v>
      </c>
      <c r="L4" s="6">
        <f t="shared" si="0"/>
        <v>44561</v>
      </c>
      <c r="M4" s="6">
        <f t="shared" si="0"/>
        <v>44926</v>
      </c>
      <c r="N4" s="6">
        <f>EOMONTH(O4,-12)</f>
        <v>45291</v>
      </c>
      <c r="O4" s="6">
        <f>EOMONTH('&gt;&gt; Inputs'!$G$17,0)</f>
        <v>45657</v>
      </c>
      <c r="P4" s="6">
        <f>EOMONTH(O4,12)</f>
        <v>46022</v>
      </c>
      <c r="Q4" s="6">
        <f t="shared" ref="Q4:Y4" si="1">EOMONTH(P4,12)</f>
        <v>46387</v>
      </c>
      <c r="R4" s="6">
        <f t="shared" si="1"/>
        <v>46752</v>
      </c>
      <c r="S4" s="6">
        <f t="shared" si="1"/>
        <v>47118</v>
      </c>
      <c r="T4" s="6">
        <f t="shared" si="1"/>
        <v>47483</v>
      </c>
      <c r="U4" s="6">
        <f t="shared" si="1"/>
        <v>47848</v>
      </c>
      <c r="V4" s="6">
        <f t="shared" si="1"/>
        <v>48213</v>
      </c>
      <c r="W4" s="6">
        <f t="shared" si="1"/>
        <v>48579</v>
      </c>
      <c r="X4" s="6">
        <f t="shared" si="1"/>
        <v>48944</v>
      </c>
      <c r="Y4" s="6">
        <f t="shared" si="1"/>
        <v>49309</v>
      </c>
    </row>
    <row r="5" spans="3:25" ht="12.75" customHeight="1" x14ac:dyDescent="0.2">
      <c r="C5" s="7"/>
      <c r="D5" s="7"/>
      <c r="E5" s="7" t="s">
        <v>88</v>
      </c>
      <c r="F5" s="8" t="s">
        <v>89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">
      <c r="C6" s="7"/>
      <c r="D6" s="7"/>
      <c r="E6" s="7" t="s">
        <v>90</v>
      </c>
      <c r="F6" s="10" t="s">
        <v>91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">
      <c r="C7" s="7"/>
      <c r="D7" s="7"/>
      <c r="E7" s="7" t="s">
        <v>92</v>
      </c>
      <c r="F7" s="10" t="s">
        <v>5</v>
      </c>
      <c r="G7" s="10"/>
      <c r="H7" s="12">
        <f>EOMONTH( H8, -12 ) + 1</f>
        <v>42370</v>
      </c>
      <c r="I7" s="58">
        <f t="shared" ref="I7:Y7" si="5">H8 + 1</f>
        <v>42736</v>
      </c>
      <c r="J7" s="58">
        <f t="shared" si="5"/>
        <v>43101</v>
      </c>
      <c r="K7" s="58">
        <f t="shared" si="5"/>
        <v>43466</v>
      </c>
      <c r="L7" s="58">
        <f t="shared" si="5"/>
        <v>43831</v>
      </c>
      <c r="M7" s="58">
        <f t="shared" si="5"/>
        <v>44197</v>
      </c>
      <c r="N7" s="58">
        <f t="shared" si="5"/>
        <v>44562</v>
      </c>
      <c r="O7" s="58">
        <f t="shared" si="5"/>
        <v>44927</v>
      </c>
      <c r="P7" s="58">
        <f t="shared" si="5"/>
        <v>45292</v>
      </c>
      <c r="Q7" s="58">
        <f t="shared" si="5"/>
        <v>45658</v>
      </c>
      <c r="R7" s="58">
        <f t="shared" si="5"/>
        <v>46023</v>
      </c>
      <c r="S7" s="58">
        <f t="shared" si="5"/>
        <v>46388</v>
      </c>
      <c r="T7" s="58">
        <f t="shared" si="5"/>
        <v>46753</v>
      </c>
      <c r="U7" s="58">
        <f t="shared" si="5"/>
        <v>47119</v>
      </c>
      <c r="V7" s="58">
        <f t="shared" si="5"/>
        <v>47484</v>
      </c>
      <c r="W7" s="58">
        <f t="shared" si="5"/>
        <v>47849</v>
      </c>
      <c r="X7" s="58">
        <f t="shared" si="5"/>
        <v>48214</v>
      </c>
      <c r="Y7" s="58">
        <f t="shared" si="5"/>
        <v>48580</v>
      </c>
    </row>
    <row r="8" spans="3:25" ht="12.75" customHeight="1" x14ac:dyDescent="0.2">
      <c r="C8" s="7"/>
      <c r="D8" s="7"/>
      <c r="E8" s="7" t="s">
        <v>93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">
      <c r="C9" s="7"/>
      <c r="D9" s="7"/>
      <c r="E9" s="7" t="s">
        <v>94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Actual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">
      <c r="C10" s="2"/>
      <c r="D10" s="2"/>
      <c r="E10" s="2"/>
      <c r="F10" s="24"/>
      <c r="G10" s="24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3:25" ht="15" customHeight="1" x14ac:dyDescent="0.2">
      <c r="C11" s="253" t="s">
        <v>172</v>
      </c>
      <c r="D11" s="77"/>
      <c r="E11" s="77"/>
      <c r="F11" s="76"/>
      <c r="G11" s="76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</row>
    <row r="13" spans="3:25" ht="15" customHeight="1" x14ac:dyDescent="0.2">
      <c r="C13" s="2"/>
      <c r="D13" s="2"/>
      <c r="E13" s="2" t="s">
        <v>260</v>
      </c>
      <c r="F13" s="24" t="s">
        <v>25</v>
      </c>
      <c r="G13" s="24"/>
      <c r="H13" s="27">
        <f>'&gt;&gt; Segments'!H23</f>
        <v>169</v>
      </c>
      <c r="I13" s="27">
        <f>'&gt;&gt; Segments'!I23</f>
        <v>190</v>
      </c>
      <c r="J13" s="27">
        <f>'&gt;&gt; Segments'!J23</f>
        <v>166</v>
      </c>
      <c r="K13" s="27">
        <f>'&gt;&gt; Segments'!K23</f>
        <v>177</v>
      </c>
      <c r="L13" s="27">
        <f>'&gt;&gt; Segments'!L23</f>
        <v>195</v>
      </c>
      <c r="M13" s="27">
        <f>'&gt;&gt; Segments'!M23</f>
        <v>209</v>
      </c>
      <c r="N13" s="27">
        <f>'&gt;&gt; Segments'!N23</f>
        <v>215</v>
      </c>
      <c r="O13" s="27">
        <f>'&gt;&gt; Segments'!O23</f>
        <v>215</v>
      </c>
      <c r="P13" s="27">
        <f>'&gt;&gt; Segments'!P23</f>
        <v>213.55</v>
      </c>
      <c r="Q13" s="27">
        <f>'&gt;&gt; Segments'!Q23</f>
        <v>214.92349999999999</v>
      </c>
      <c r="R13" s="27">
        <f>'&gt;&gt; Segments'!R23</f>
        <v>216.43408702583724</v>
      </c>
      <c r="S13" s="27">
        <f>'&gt;&gt; Segments'!S23</f>
        <v>217.80934090345744</v>
      </c>
      <c r="T13" s="27">
        <f>'&gt;&gt; Segments'!T23</f>
        <v>219.48153635985972</v>
      </c>
      <c r="U13" s="27">
        <f>'&gt;&gt; Segments'!U23</f>
        <v>220.55597361888897</v>
      </c>
      <c r="V13" s="27">
        <f>'&gt;&gt; Segments'!V23</f>
        <v>221.08519899528531</v>
      </c>
      <c r="W13" s="27">
        <f>'&gt;&gt; Segments'!W23</f>
        <v>221.70227734136975</v>
      </c>
      <c r="X13" s="27">
        <f>'&gt;&gt; Segments'!X23</f>
        <v>222.79919125692413</v>
      </c>
      <c r="Y13" s="27">
        <f>'&gt;&gt; Segments'!Y23</f>
        <v>223.75391607732286</v>
      </c>
    </row>
    <row r="14" spans="3:25" ht="15" customHeight="1" x14ac:dyDescent="0.2">
      <c r="C14" s="2"/>
      <c r="D14" s="2"/>
      <c r="E14" s="2" t="s">
        <v>173</v>
      </c>
      <c r="F14" s="24" t="s">
        <v>25</v>
      </c>
      <c r="G14" s="24"/>
      <c r="H14" s="170">
        <v>77</v>
      </c>
      <c r="I14" s="171">
        <v>84</v>
      </c>
      <c r="J14" s="171">
        <v>89</v>
      </c>
      <c r="K14" s="171">
        <v>111</v>
      </c>
      <c r="L14" s="171">
        <v>105</v>
      </c>
      <c r="M14" s="171">
        <v>101</v>
      </c>
      <c r="N14" s="171">
        <v>133</v>
      </c>
      <c r="O14" s="172">
        <v>144</v>
      </c>
      <c r="P14" s="43">
        <f>(O14/O13)*P13</f>
        <v>143.02883720930234</v>
      </c>
      <c r="Q14" s="43">
        <f t="shared" ref="Q14:Y14" si="7">(P14/P13)*Q13</f>
        <v>143.94876279069766</v>
      </c>
      <c r="R14" s="43">
        <f t="shared" si="7"/>
        <v>144.9605047987003</v>
      </c>
      <c r="S14" s="43">
        <f t="shared" si="7"/>
        <v>145.88160507022266</v>
      </c>
      <c r="T14" s="43">
        <f t="shared" si="7"/>
        <v>147.0015871433479</v>
      </c>
      <c r="U14" s="43">
        <f t="shared" si="7"/>
        <v>147.72121023776751</v>
      </c>
      <c r="V14" s="43">
        <f t="shared" si="7"/>
        <v>148.07566816428414</v>
      </c>
      <c r="W14" s="43">
        <f t="shared" si="7"/>
        <v>148.48896714956859</v>
      </c>
      <c r="X14" s="43">
        <f t="shared" si="7"/>
        <v>149.22364437673059</v>
      </c>
      <c r="Y14" s="43">
        <f t="shared" si="7"/>
        <v>149.86308797736973</v>
      </c>
    </row>
    <row r="15" spans="3:25" ht="15" customHeight="1" x14ac:dyDescent="0.2">
      <c r="C15" s="1"/>
      <c r="D15" s="1"/>
      <c r="E15" s="1" t="s">
        <v>83</v>
      </c>
      <c r="F15" s="24" t="s">
        <v>25</v>
      </c>
      <c r="G15" s="91"/>
      <c r="H15" s="67">
        <f>H13-H14</f>
        <v>92</v>
      </c>
      <c r="I15" s="67">
        <f t="shared" ref="I15:Y15" si="8">I13-I14</f>
        <v>106</v>
      </c>
      <c r="J15" s="67">
        <f t="shared" si="8"/>
        <v>77</v>
      </c>
      <c r="K15" s="67">
        <f t="shared" si="8"/>
        <v>66</v>
      </c>
      <c r="L15" s="67">
        <f t="shared" si="8"/>
        <v>90</v>
      </c>
      <c r="M15" s="67">
        <f t="shared" si="8"/>
        <v>108</v>
      </c>
      <c r="N15" s="67">
        <f t="shared" si="8"/>
        <v>82</v>
      </c>
      <c r="O15" s="67">
        <f t="shared" si="8"/>
        <v>71</v>
      </c>
      <c r="P15" s="67">
        <f t="shared" si="8"/>
        <v>70.521162790697673</v>
      </c>
      <c r="Q15" s="67">
        <f t="shared" si="8"/>
        <v>70.974737209302333</v>
      </c>
      <c r="R15" s="67">
        <f t="shared" si="8"/>
        <v>71.473582227136944</v>
      </c>
      <c r="S15" s="67">
        <f t="shared" si="8"/>
        <v>71.927735833234777</v>
      </c>
      <c r="T15" s="67">
        <f t="shared" si="8"/>
        <v>72.479949216511812</v>
      </c>
      <c r="U15" s="67">
        <f t="shared" si="8"/>
        <v>72.834763381121462</v>
      </c>
      <c r="V15" s="67">
        <f t="shared" si="8"/>
        <v>73.009530831001172</v>
      </c>
      <c r="W15" s="67">
        <f t="shared" si="8"/>
        <v>73.213310191801156</v>
      </c>
      <c r="X15" s="67">
        <f t="shared" si="8"/>
        <v>73.575546880193542</v>
      </c>
      <c r="Y15" s="67">
        <f t="shared" si="8"/>
        <v>73.890828099953126</v>
      </c>
    </row>
    <row r="16" spans="3:25" ht="15" customHeight="1" x14ac:dyDescent="0.2">
      <c r="C16" s="2"/>
      <c r="D16" s="2"/>
      <c r="E16" s="2" t="s">
        <v>151</v>
      </c>
      <c r="F16" s="24" t="s">
        <v>25</v>
      </c>
      <c r="G16" s="24"/>
      <c r="H16" s="27">
        <f>'&gt;&gt; Segments'!H58</f>
        <v>7.0699999999999994</v>
      </c>
      <c r="I16" s="27">
        <f>'&gt;&gt; Segments'!I58</f>
        <v>8.41</v>
      </c>
      <c r="J16" s="27">
        <f>'&gt;&gt; Segments'!J58</f>
        <v>9.120000000000001</v>
      </c>
      <c r="K16" s="27">
        <f>'&gt;&gt; Segments'!K58</f>
        <v>12.8</v>
      </c>
      <c r="L16" s="27">
        <f>'&gt;&gt; Segments'!L58</f>
        <v>17.420000000000002</v>
      </c>
      <c r="M16" s="27">
        <f>'&gt;&gt; Segments'!M58</f>
        <v>13.79</v>
      </c>
      <c r="N16" s="27">
        <f>'&gt;&gt; Segments'!N58</f>
        <v>10</v>
      </c>
      <c r="O16" s="27">
        <f>'&gt;&gt; Segments'!O58</f>
        <v>11</v>
      </c>
      <c r="P16" s="27">
        <f>'&gt;&gt; Segments'!P58</f>
        <v>11.201250000000002</v>
      </c>
      <c r="Q16" s="27">
        <f>'&gt;&gt; Segments'!Q58</f>
        <v>11.100625000000001</v>
      </c>
      <c r="R16" s="27">
        <f>'&gt;&gt; Segments'!R58</f>
        <v>11.655656250000002</v>
      </c>
      <c r="S16" s="27">
        <f>'&gt;&gt; Segments'!S58</f>
        <v>12.238439062500003</v>
      </c>
      <c r="T16" s="27">
        <f>'&gt;&gt; Segments'!T58</f>
        <v>12.850361015625003</v>
      </c>
      <c r="U16" s="27">
        <f>'&gt;&gt; Segments'!U58</f>
        <v>13.492879066406253</v>
      </c>
      <c r="V16" s="27">
        <f>'&gt;&gt; Segments'!V58</f>
        <v>14.167523019726566</v>
      </c>
      <c r="W16" s="27">
        <f>'&gt;&gt; Segments'!W58</f>
        <v>14.875899170712895</v>
      </c>
      <c r="X16" s="27">
        <f>'&gt;&gt; Segments'!X58</f>
        <v>15.61969412924854</v>
      </c>
      <c r="Y16" s="27">
        <f>'&gt;&gt; Segments'!Y58</f>
        <v>16.400678835710966</v>
      </c>
    </row>
    <row r="17" spans="3:25" ht="15" customHeight="1" x14ac:dyDescent="0.2">
      <c r="C17" s="1"/>
      <c r="D17" s="1"/>
      <c r="E17" s="1" t="s">
        <v>100</v>
      </c>
      <c r="F17" s="91" t="s">
        <v>25</v>
      </c>
      <c r="G17" s="91"/>
      <c r="H17" s="94">
        <f>H15-H16</f>
        <v>84.93</v>
      </c>
      <c r="I17" s="94">
        <f t="shared" ref="I17:Y17" si="9">I15-I16</f>
        <v>97.59</v>
      </c>
      <c r="J17" s="94">
        <f t="shared" si="9"/>
        <v>67.88</v>
      </c>
      <c r="K17" s="94">
        <f t="shared" si="9"/>
        <v>53.2</v>
      </c>
      <c r="L17" s="94">
        <f t="shared" si="9"/>
        <v>72.58</v>
      </c>
      <c r="M17" s="94">
        <f t="shared" si="9"/>
        <v>94.210000000000008</v>
      </c>
      <c r="N17" s="94">
        <f t="shared" si="9"/>
        <v>72</v>
      </c>
      <c r="O17" s="94">
        <f t="shared" si="9"/>
        <v>60</v>
      </c>
      <c r="P17" s="94">
        <f t="shared" si="9"/>
        <v>59.319912790697671</v>
      </c>
      <c r="Q17" s="94">
        <f t="shared" si="9"/>
        <v>59.874112209302332</v>
      </c>
      <c r="R17" s="94">
        <f t="shared" si="9"/>
        <v>59.817925977136944</v>
      </c>
      <c r="S17" s="94">
        <f t="shared" si="9"/>
        <v>59.689296770734771</v>
      </c>
      <c r="T17" s="94">
        <f t="shared" si="9"/>
        <v>59.629588200886808</v>
      </c>
      <c r="U17" s="94">
        <f t="shared" si="9"/>
        <v>59.341884314715209</v>
      </c>
      <c r="V17" s="94">
        <f t="shared" si="9"/>
        <v>58.842007811274605</v>
      </c>
      <c r="W17" s="94">
        <f t="shared" si="9"/>
        <v>58.337411021088258</v>
      </c>
      <c r="X17" s="94">
        <f t="shared" si="9"/>
        <v>57.955852750944999</v>
      </c>
      <c r="Y17" s="94">
        <f t="shared" si="9"/>
        <v>57.490149264242163</v>
      </c>
    </row>
    <row r="18" spans="3:25" ht="15" customHeight="1" x14ac:dyDescent="0.2">
      <c r="C18" s="2"/>
      <c r="D18" s="2"/>
      <c r="E18" s="2" t="s">
        <v>174</v>
      </c>
      <c r="F18" s="24" t="s">
        <v>25</v>
      </c>
      <c r="G18" s="24"/>
      <c r="H18" s="170">
        <v>115.17</v>
      </c>
      <c r="I18" s="171">
        <v>125.48</v>
      </c>
      <c r="J18" s="171">
        <v>135.72999999999999</v>
      </c>
      <c r="K18" s="171">
        <v>130.13</v>
      </c>
      <c r="L18" s="171">
        <v>94.42</v>
      </c>
      <c r="M18" s="171">
        <v>91.96</v>
      </c>
      <c r="N18" s="171">
        <v>265.83</v>
      </c>
      <c r="O18" s="172">
        <v>408.55</v>
      </c>
      <c r="P18" s="27">
        <f ca="1">'&gt;&gt; Segments'!P76</f>
        <v>627.89415227777158</v>
      </c>
      <c r="Q18" s="27">
        <f ca="1">'&gt;&gt; Segments'!Q76</f>
        <v>627.89415227777158</v>
      </c>
      <c r="R18" s="27">
        <f ca="1">'&gt;&gt; Segments'!R76</f>
        <v>627.89415227777158</v>
      </c>
      <c r="S18" s="27">
        <f ca="1">'&gt;&gt; Segments'!S76</f>
        <v>627.89415227777158</v>
      </c>
      <c r="T18" s="27">
        <f ca="1">'&gt;&gt; Segments'!T76</f>
        <v>627.89415227777158</v>
      </c>
      <c r="U18" s="27">
        <f ca="1">'&gt;&gt; Segments'!U76</f>
        <v>627.89415227777158</v>
      </c>
      <c r="V18" s="27">
        <f ca="1">'&gt;&gt; Segments'!V76</f>
        <v>627.89415227777158</v>
      </c>
      <c r="W18" s="27">
        <f ca="1">'&gt;&gt; Segments'!W76</f>
        <v>627.89415227777158</v>
      </c>
      <c r="X18" s="27">
        <f ca="1">'&gt;&gt; Segments'!X76</f>
        <v>627.89415227777158</v>
      </c>
      <c r="Y18" s="27">
        <f ca="1">'&gt;&gt; Segments'!Y76</f>
        <v>627.89415227777158</v>
      </c>
    </row>
    <row r="19" spans="3:25" ht="15" customHeight="1" x14ac:dyDescent="0.2">
      <c r="C19" s="2"/>
      <c r="D19" s="2"/>
      <c r="E19" s="2" t="s">
        <v>175</v>
      </c>
      <c r="F19" s="24" t="s">
        <v>25</v>
      </c>
      <c r="G19" s="24"/>
      <c r="H19" s="170">
        <v>2.6</v>
      </c>
      <c r="I19" s="171">
        <v>2.27</v>
      </c>
      <c r="J19" s="171">
        <v>2.11</v>
      </c>
      <c r="K19" s="171">
        <v>0.43</v>
      </c>
      <c r="L19" s="171">
        <v>0.35</v>
      </c>
      <c r="M19" s="171">
        <v>0.28000000000000003</v>
      </c>
      <c r="N19" s="171">
        <v>0.37</v>
      </c>
      <c r="O19" s="172">
        <v>0.47</v>
      </c>
      <c r="P19" s="69">
        <f>O19</f>
        <v>0.47</v>
      </c>
      <c r="Q19" s="69">
        <f t="shared" ref="Q19:Y19" si="10">P19</f>
        <v>0.47</v>
      </c>
      <c r="R19" s="69">
        <f t="shared" si="10"/>
        <v>0.47</v>
      </c>
      <c r="S19" s="69">
        <f t="shared" si="10"/>
        <v>0.47</v>
      </c>
      <c r="T19" s="69">
        <f t="shared" si="10"/>
        <v>0.47</v>
      </c>
      <c r="U19" s="69">
        <f t="shared" si="10"/>
        <v>0.47</v>
      </c>
      <c r="V19" s="69">
        <f t="shared" si="10"/>
        <v>0.47</v>
      </c>
      <c r="W19" s="69">
        <f t="shared" si="10"/>
        <v>0.47</v>
      </c>
      <c r="X19" s="69">
        <f t="shared" si="10"/>
        <v>0.47</v>
      </c>
      <c r="Y19" s="69">
        <f t="shared" si="10"/>
        <v>0.47</v>
      </c>
    </row>
    <row r="20" spans="3:25" ht="15" customHeight="1" x14ac:dyDescent="0.2">
      <c r="C20" s="2"/>
      <c r="D20" s="2"/>
      <c r="E20" s="2" t="s">
        <v>176</v>
      </c>
      <c r="F20" s="24" t="s">
        <v>25</v>
      </c>
      <c r="G20" s="24"/>
      <c r="H20" s="170"/>
      <c r="I20" s="171"/>
      <c r="J20" s="171"/>
      <c r="K20" s="171"/>
      <c r="L20" s="171"/>
      <c r="M20" s="171"/>
      <c r="N20" s="171"/>
      <c r="O20" s="174"/>
      <c r="P20" s="82"/>
      <c r="Q20" s="82"/>
      <c r="R20" s="82"/>
      <c r="S20" s="82"/>
      <c r="T20" s="82"/>
      <c r="U20" s="82"/>
      <c r="V20" s="82"/>
      <c r="W20" s="82"/>
      <c r="X20" s="82"/>
      <c r="Y20" s="82"/>
    </row>
    <row r="21" spans="3:25" ht="15" customHeight="1" x14ac:dyDescent="0.2">
      <c r="C21" s="1"/>
      <c r="D21" s="1"/>
      <c r="E21" s="1" t="s">
        <v>177</v>
      </c>
      <c r="F21" s="91" t="s">
        <v>25</v>
      </c>
      <c r="G21" s="91"/>
      <c r="H21" s="94">
        <f>H17-H18</f>
        <v>-30.239999999999995</v>
      </c>
      <c r="I21" s="94">
        <f t="shared" ref="I21:Y21" si="11">I17-I18</f>
        <v>-27.89</v>
      </c>
      <c r="J21" s="94">
        <f t="shared" si="11"/>
        <v>-67.849999999999994</v>
      </c>
      <c r="K21" s="94">
        <f t="shared" si="11"/>
        <v>-76.929999999999993</v>
      </c>
      <c r="L21" s="94">
        <f t="shared" si="11"/>
        <v>-21.840000000000003</v>
      </c>
      <c r="M21" s="94">
        <f t="shared" si="11"/>
        <v>2.2500000000000142</v>
      </c>
      <c r="N21" s="94">
        <f t="shared" si="11"/>
        <v>-193.82999999999998</v>
      </c>
      <c r="O21" s="94">
        <f t="shared" si="11"/>
        <v>-348.55</v>
      </c>
      <c r="P21" s="94">
        <f t="shared" ca="1" si="11"/>
        <v>-568.5742394870739</v>
      </c>
      <c r="Q21" s="94">
        <f t="shared" ca="1" si="11"/>
        <v>-568.02004006846926</v>
      </c>
      <c r="R21" s="94">
        <f t="shared" ca="1" si="11"/>
        <v>-568.07622630063463</v>
      </c>
      <c r="S21" s="94">
        <f t="shared" ca="1" si="11"/>
        <v>-568.20485550703677</v>
      </c>
      <c r="T21" s="94">
        <f t="shared" ca="1" si="11"/>
        <v>-568.26456407688477</v>
      </c>
      <c r="U21" s="94">
        <f t="shared" ca="1" si="11"/>
        <v>-568.55226796305635</v>
      </c>
      <c r="V21" s="94">
        <f t="shared" ca="1" si="11"/>
        <v>-569.052144466497</v>
      </c>
      <c r="W21" s="94">
        <f t="shared" ca="1" si="11"/>
        <v>-569.55674125668338</v>
      </c>
      <c r="X21" s="94">
        <f t="shared" ca="1" si="11"/>
        <v>-569.93829952682654</v>
      </c>
      <c r="Y21" s="94">
        <f t="shared" ca="1" si="11"/>
        <v>-570.4040030135294</v>
      </c>
    </row>
    <row r="22" spans="3:25" ht="15" customHeight="1" x14ac:dyDescent="0.2">
      <c r="C22" s="2"/>
      <c r="D22" s="2"/>
      <c r="E22" s="2" t="s">
        <v>178</v>
      </c>
      <c r="F22" s="24" t="s">
        <v>25</v>
      </c>
      <c r="G22" s="24"/>
      <c r="H22" s="292">
        <v>-17</v>
      </c>
      <c r="I22" s="293">
        <v>-31.9</v>
      </c>
      <c r="J22" s="293">
        <v>-12.2</v>
      </c>
      <c r="K22" s="293">
        <v>-0.7</v>
      </c>
      <c r="L22" s="295">
        <v>73.099999999999994</v>
      </c>
      <c r="M22" s="293">
        <v>212.4</v>
      </c>
      <c r="N22" s="293">
        <v>-6.5</v>
      </c>
      <c r="O22" s="294">
        <v>-6.5</v>
      </c>
      <c r="P22" s="94">
        <f ca="1">-P21*'&gt;&gt; Inputs'!$G$46</f>
        <v>159.2007870563807</v>
      </c>
      <c r="Q22" s="94">
        <f ca="1">-Q21*'&gt;&gt; Inputs'!$G$46</f>
        <v>159.04561121917141</v>
      </c>
      <c r="R22" s="94">
        <f ca="1">-R21*'&gt;&gt; Inputs'!$G$46</f>
        <v>159.0613433641777</v>
      </c>
      <c r="S22" s="94">
        <f ca="1">-S21*'&gt;&gt; Inputs'!$G$46</f>
        <v>159.09735954197032</v>
      </c>
      <c r="T22" s="94">
        <f ca="1">-T21*'&gt;&gt; Inputs'!$G$46</f>
        <v>159.11407794152774</v>
      </c>
      <c r="U22" s="94">
        <f ca="1">-U21*'&gt;&gt; Inputs'!$G$46</f>
        <v>159.19463502965579</v>
      </c>
      <c r="V22" s="94">
        <f ca="1">-V21*'&gt;&gt; Inputs'!$G$46</f>
        <v>159.33460045061918</v>
      </c>
      <c r="W22" s="94">
        <f ca="1">-W21*'&gt;&gt; Inputs'!$G$46</f>
        <v>159.47588755187135</v>
      </c>
      <c r="X22" s="94">
        <f ca="1">-X21*'&gt;&gt; Inputs'!$G$46</f>
        <v>159.58272386751145</v>
      </c>
      <c r="Y22" s="94">
        <f ca="1">-Y21*'&gt;&gt; Inputs'!$G$46</f>
        <v>159.71312084378826</v>
      </c>
    </row>
    <row r="23" spans="3:25" ht="15" customHeight="1" x14ac:dyDescent="0.2">
      <c r="C23" s="1"/>
      <c r="D23" s="1"/>
      <c r="E23" s="1" t="s">
        <v>179</v>
      </c>
      <c r="F23" s="91" t="s">
        <v>25</v>
      </c>
      <c r="G23" s="91"/>
      <c r="H23" s="296">
        <v>60.81</v>
      </c>
      <c r="I23" s="297">
        <v>67.510000000000005</v>
      </c>
      <c r="J23" s="297">
        <v>73.62</v>
      </c>
      <c r="K23" s="297">
        <v>71.97</v>
      </c>
      <c r="L23" s="295">
        <v>87.03</v>
      </c>
      <c r="M23" s="297">
        <v>95.13</v>
      </c>
      <c r="N23" s="297">
        <v>95.87</v>
      </c>
      <c r="O23" s="298">
        <v>74.55</v>
      </c>
    </row>
    <row r="24" spans="3:25" ht="15" customHeight="1" x14ac:dyDescent="0.2">
      <c r="C24" s="1"/>
      <c r="D24" s="1"/>
      <c r="E24" s="1" t="s">
        <v>180</v>
      </c>
      <c r="F24" s="91" t="s">
        <v>25</v>
      </c>
      <c r="G24" s="36"/>
      <c r="H24" s="94">
        <f>H23-(H21 * (1-'&gt;&gt; Inputs'!$G$46))</f>
        <v>82.582799999999992</v>
      </c>
      <c r="I24" s="94">
        <f>I23-(I21 * (1-'&gt;&gt; Inputs'!$G$46))</f>
        <v>87.590800000000002</v>
      </c>
      <c r="J24" s="94">
        <f>J23-(J21 * (1-'&gt;&gt; Inputs'!$G$46))</f>
        <v>122.47200000000001</v>
      </c>
      <c r="K24" s="94">
        <f>K23-(K21 * (1-'&gt;&gt; Inputs'!$G$46))</f>
        <v>127.3596</v>
      </c>
      <c r="L24" s="94">
        <f>L23-(L21 * (1-'&gt;&gt; Inputs'!$G$46))</f>
        <v>102.7548</v>
      </c>
      <c r="M24" s="94">
        <f>M23-(M21 * (1-'&gt;&gt; Inputs'!$G$46))</f>
        <v>93.509999999999991</v>
      </c>
      <c r="N24" s="94">
        <f>N23-(N21 * (1-'&gt;&gt; Inputs'!$G$46))</f>
        <v>235.42759999999998</v>
      </c>
      <c r="O24" s="94">
        <f>O23-(O21 * (1-'&gt;&gt; Inputs'!$G$46))</f>
        <v>325.50599999999997</v>
      </c>
      <c r="P24" s="94">
        <f t="shared" ref="P24:Y24" ca="1" si="12">SUM(P21:P22)</f>
        <v>-409.37345243069319</v>
      </c>
      <c r="Q24" s="94">
        <f t="shared" ca="1" si="12"/>
        <v>-408.97442884929785</v>
      </c>
      <c r="R24" s="94">
        <f t="shared" ca="1" si="12"/>
        <v>-409.01488293645696</v>
      </c>
      <c r="S24" s="94">
        <f t="shared" ca="1" si="12"/>
        <v>-409.10749596506645</v>
      </c>
      <c r="T24" s="94">
        <f t="shared" ca="1" si="12"/>
        <v>-409.15048613535703</v>
      </c>
      <c r="U24" s="94">
        <f t="shared" ca="1" si="12"/>
        <v>-409.35763293340057</v>
      </c>
      <c r="V24" s="94">
        <f t="shared" ca="1" si="12"/>
        <v>-409.71754401587782</v>
      </c>
      <c r="W24" s="94">
        <f t="shared" ca="1" si="12"/>
        <v>-410.08085370481206</v>
      </c>
      <c r="X24" s="94">
        <f t="shared" ca="1" si="12"/>
        <v>-410.35557565931509</v>
      </c>
      <c r="Y24" s="94">
        <f t="shared" ca="1" si="12"/>
        <v>-410.69088216974114</v>
      </c>
    </row>
    <row r="25" spans="3:25" ht="15" customHeight="1" x14ac:dyDescent="0.2">
      <c r="C25" s="2"/>
      <c r="D25" s="2"/>
      <c r="E25" s="2" t="s">
        <v>181</v>
      </c>
      <c r="F25" s="131" t="s">
        <v>263</v>
      </c>
      <c r="G25" s="24"/>
      <c r="H25" s="49">
        <f>( H24 / '&gt;&gt; Inputs'!$G$47) * 100</f>
        <v>8.8095837511467643</v>
      </c>
      <c r="I25" s="49">
        <f>( I24 / '&gt;&gt; Inputs'!$G$47) * 100</f>
        <v>9.3438160056324815</v>
      </c>
      <c r="J25" s="49">
        <f>( J24 / '&gt;&gt; Inputs'!$G$47) * 100</f>
        <v>13.064794862494935</v>
      </c>
      <c r="K25" s="49">
        <f>( K24 / '&gt;&gt; Inputs'!$G$47) * 100</f>
        <v>13.586183354312903</v>
      </c>
      <c r="L25" s="49">
        <f>( L24 / '&gt;&gt; Inputs'!$G$47) * 100</f>
        <v>10.961447376842823</v>
      </c>
      <c r="M25" s="49">
        <f>( M24 / '&gt;&gt; Inputs'!$G$47) * 100</f>
        <v>9.9752512214375617</v>
      </c>
      <c r="N25" s="49">
        <f>( N24 / '&gt;&gt; Inputs'!$G$47) * 100</f>
        <v>25.114420430543404</v>
      </c>
      <c r="O25" s="49">
        <f>( O24 / '&gt;&gt; Inputs'!$G$47) * 100</f>
        <v>34.723603080796231</v>
      </c>
      <c r="P25" s="49">
        <f ca="1">( P24 / '&gt;&gt; Inputs'!$G$47) * 100</f>
        <v>-43.67022811874007</v>
      </c>
      <c r="Q25" s="49">
        <f ca="1">( Q24 / '&gt;&gt; Inputs'!$G$47) * 100</f>
        <v>-43.627661971079974</v>
      </c>
      <c r="R25" s="49">
        <f ca="1">( R24 / '&gt;&gt; Inputs'!$G$47) * 100</f>
        <v>-43.631977441963791</v>
      </c>
      <c r="S25" s="49">
        <f ca="1">( S24 / '&gt;&gt; Inputs'!$G$47) * 100</f>
        <v>-43.641857008071774</v>
      </c>
      <c r="T25" s="49">
        <f ca="1">( T24 / '&gt;&gt; Inputs'!$G$47) * 100</f>
        <v>-43.646443017575585</v>
      </c>
      <c r="U25" s="49">
        <f ca="1">( U24 / '&gt;&gt; Inputs'!$G$47) * 100</f>
        <v>-43.668540561690662</v>
      </c>
      <c r="V25" s="49">
        <f ca="1">( V24 / '&gt;&gt; Inputs'!$G$47) * 100</f>
        <v>-43.706934353425133</v>
      </c>
      <c r="W25" s="49">
        <f ca="1">( W24 / '&gt;&gt; Inputs'!$G$47) * 100</f>
        <v>-43.74569069411919</v>
      </c>
      <c r="X25" s="49">
        <f ca="1">( X24 / '&gt;&gt; Inputs'!$G$47) * 100</f>
        <v>-43.774996870059859</v>
      </c>
      <c r="Y25" s="49">
        <f ca="1">( Y24 / '&gt;&gt; Inputs'!$G$47) * 100</f>
        <v>-43.810765950133465</v>
      </c>
    </row>
    <row r="26" spans="3:25" ht="15" customHeight="1" x14ac:dyDescent="0.2">
      <c r="C26" s="2"/>
      <c r="D26" s="2"/>
      <c r="E26" s="2" t="s">
        <v>253</v>
      </c>
      <c r="F26" s="24"/>
      <c r="G26" s="24"/>
      <c r="H26" s="2">
        <v>172.48</v>
      </c>
      <c r="I26" s="2">
        <v>191.18</v>
      </c>
      <c r="J26" s="2">
        <v>206.64</v>
      </c>
      <c r="K26" s="60">
        <v>232.68</v>
      </c>
      <c r="L26" s="60">
        <v>245.67</v>
      </c>
      <c r="M26" s="60">
        <v>280.67</v>
      </c>
      <c r="N26" s="99">
        <v>290.14</v>
      </c>
      <c r="O26" s="60">
        <v>292.23</v>
      </c>
      <c r="P26" s="314"/>
      <c r="Q26" s="60"/>
      <c r="R26" s="60"/>
      <c r="S26" s="60"/>
      <c r="T26" s="60"/>
      <c r="U26" s="60"/>
      <c r="V26" s="60"/>
      <c r="W26" s="60"/>
      <c r="X26" s="60"/>
      <c r="Y26" s="60"/>
    </row>
    <row r="27" spans="3:25" ht="15" customHeight="1" x14ac:dyDescent="0.2">
      <c r="C27" s="125" t="s">
        <v>182</v>
      </c>
      <c r="D27" s="126"/>
      <c r="E27" s="126"/>
      <c r="F27" s="127"/>
      <c r="G27" s="127"/>
      <c r="H27" s="126"/>
      <c r="I27" s="126"/>
      <c r="J27" s="126"/>
      <c r="K27" s="128"/>
      <c r="L27" s="128"/>
      <c r="M27" s="128"/>
      <c r="N27" s="129"/>
      <c r="O27" s="77"/>
      <c r="P27" s="128"/>
      <c r="Q27" s="128"/>
      <c r="R27" s="128"/>
      <c r="S27" s="128"/>
      <c r="T27" s="128"/>
      <c r="U27" s="128"/>
      <c r="V27" s="128"/>
      <c r="W27" s="128"/>
      <c r="X27" s="128"/>
      <c r="Y27" s="128"/>
    </row>
    <row r="28" spans="3:25" ht="15" customHeight="1" x14ac:dyDescent="0.2">
      <c r="P28" s="156"/>
      <c r="Q28" s="156"/>
      <c r="R28" s="156"/>
      <c r="S28" s="156"/>
      <c r="T28" s="156"/>
      <c r="U28" s="156"/>
      <c r="V28" s="156"/>
      <c r="W28" s="156"/>
      <c r="X28" s="156"/>
      <c r="Y28" s="156"/>
    </row>
    <row r="29" spans="3:25" ht="15" customHeight="1" x14ac:dyDescent="0.2">
      <c r="E29" s="2" t="s">
        <v>183</v>
      </c>
      <c r="F29" s="24" t="s">
        <v>25</v>
      </c>
      <c r="G29" s="24"/>
      <c r="H29" s="170">
        <v>57.04</v>
      </c>
      <c r="I29" s="171">
        <v>49.59</v>
      </c>
      <c r="J29" s="171">
        <v>74.495999999999995</v>
      </c>
      <c r="K29" s="171">
        <v>147.18</v>
      </c>
      <c r="L29" s="171">
        <v>182.33</v>
      </c>
      <c r="M29" s="171">
        <v>310.76</v>
      </c>
      <c r="N29" s="171">
        <v>311.5</v>
      </c>
      <c r="O29" s="172">
        <v>629.62</v>
      </c>
      <c r="P29" s="69">
        <f>O29*(1+P30)</f>
        <v>808.46591608988149</v>
      </c>
      <c r="Q29" s="69">
        <f t="shared" ref="Q29:Y29" si="13">P29*(1+Q30)</f>
        <v>822.82712975644847</v>
      </c>
      <c r="R29" s="69">
        <f t="shared" si="13"/>
        <v>833.48575831983169</v>
      </c>
      <c r="S29" s="69">
        <f t="shared" si="13"/>
        <v>844.61036826947168</v>
      </c>
      <c r="T29" s="69">
        <f t="shared" si="13"/>
        <v>843.84365077589234</v>
      </c>
      <c r="U29" s="69">
        <f t="shared" si="13"/>
        <v>845.31490866498916</v>
      </c>
      <c r="V29" s="69">
        <f t="shared" si="13"/>
        <v>849.02991183575739</v>
      </c>
      <c r="W29" s="69">
        <f t="shared" si="13"/>
        <v>855.01227144871098</v>
      </c>
      <c r="X29" s="69">
        <f t="shared" si="13"/>
        <v>863.30367413071417</v>
      </c>
      <c r="Y29" s="69">
        <f t="shared" si="13"/>
        <v>873.96435558427379</v>
      </c>
    </row>
    <row r="30" spans="3:25" ht="15" customHeight="1" x14ac:dyDescent="0.2">
      <c r="E30" s="132" t="s">
        <v>127</v>
      </c>
      <c r="F30" s="24" t="s">
        <v>7</v>
      </c>
      <c r="G30" s="24"/>
      <c r="H30" s="69"/>
      <c r="I30" s="175">
        <f>IFERROR((I29/H29-1),"NA")</f>
        <v>-0.13061009817671798</v>
      </c>
      <c r="J30" s="175">
        <f t="shared" ref="J30:O30" si="14">IFERROR((J29/I29-1),"NA")</f>
        <v>0.50223835450695686</v>
      </c>
      <c r="K30" s="175">
        <f t="shared" si="14"/>
        <v>0.97567654639175272</v>
      </c>
      <c r="L30" s="175">
        <f t="shared" si="14"/>
        <v>0.23882320967522763</v>
      </c>
      <c r="M30" s="175">
        <f t="shared" si="14"/>
        <v>0.70438216420775501</v>
      </c>
      <c r="N30" s="175">
        <f t="shared" si="14"/>
        <v>2.3812588492728715E-3</v>
      </c>
      <c r="O30" s="175">
        <f t="shared" si="14"/>
        <v>1.0212520064205459</v>
      </c>
      <c r="P30" s="173">
        <f>F117</f>
        <v>0.28405374049407828</v>
      </c>
      <c r="Q30" s="312">
        <f t="shared" ref="Q30:Y30" si="15">G117</f>
        <v>1.7763536323243484E-2</v>
      </c>
      <c r="R30" s="312">
        <f t="shared" si="15"/>
        <v>1.295366691000837E-2</v>
      </c>
      <c r="S30" s="312">
        <f t="shared" si="15"/>
        <v>1.3347090623438355E-2</v>
      </c>
      <c r="T30" s="312">
        <f t="shared" si="15"/>
        <v>-9.0777655873477102E-4</v>
      </c>
      <c r="U30" s="312">
        <f t="shared" si="15"/>
        <v>1.7435195343876919E-3</v>
      </c>
      <c r="V30" s="312">
        <f t="shared" si="15"/>
        <v>4.394815627510153E-3</v>
      </c>
      <c r="W30" s="312">
        <f t="shared" si="15"/>
        <v>7.0461117206326159E-3</v>
      </c>
      <c r="X30" s="312">
        <f t="shared" si="15"/>
        <v>9.6974078137550771E-3</v>
      </c>
      <c r="Y30" s="313">
        <f t="shared" si="15"/>
        <v>1.2348703906877537E-2</v>
      </c>
    </row>
    <row r="31" spans="3:25" ht="15" customHeight="1" x14ac:dyDescent="0.2">
      <c r="E31" s="2" t="s">
        <v>184</v>
      </c>
      <c r="F31" s="24" t="s">
        <v>25</v>
      </c>
      <c r="G31" s="24"/>
      <c r="H31" s="170">
        <f>6.23+1.01</f>
        <v>7.24</v>
      </c>
      <c r="I31" s="171">
        <f>3.17+1.613</f>
        <v>4.7829999999999995</v>
      </c>
      <c r="J31" s="171">
        <f>11.34+3.277</f>
        <v>14.617000000000001</v>
      </c>
      <c r="K31" s="171">
        <f>4.55+1.952</f>
        <v>6.5019999999999998</v>
      </c>
      <c r="L31" s="171">
        <f>3.47+1.763</f>
        <v>5.2330000000000005</v>
      </c>
      <c r="M31" s="171">
        <f>3.22</f>
        <v>3.22</v>
      </c>
      <c r="N31" s="171">
        <f>1.82+0.43</f>
        <v>2.25</v>
      </c>
      <c r="O31" s="172">
        <f>6.94+0.194</f>
        <v>7.1340000000000003</v>
      </c>
      <c r="P31" s="69">
        <f>O31*(1+P32)</f>
        <v>9.1604393846847536</v>
      </c>
      <c r="Q31" s="69">
        <f t="shared" ref="Q31:Y31" si="16">P31*(1+Q32)</f>
        <v>9.3231611824314715</v>
      </c>
      <c r="R31" s="69">
        <f t="shared" si="16"/>
        <v>9.4439303069370073</v>
      </c>
      <c r="S31" s="69">
        <f t="shared" si="16"/>
        <v>9.5699793005851319</v>
      </c>
      <c r="T31" s="69">
        <f t="shared" si="16"/>
        <v>9.5612918977084842</v>
      </c>
      <c r="U31" s="69">
        <f t="shared" si="16"/>
        <v>9.5779621969061228</v>
      </c>
      <c r="V31" s="69">
        <f t="shared" si="16"/>
        <v>9.6200555748487879</v>
      </c>
      <c r="W31" s="69">
        <f t="shared" si="16"/>
        <v>9.687839561187868</v>
      </c>
      <c r="X31" s="69">
        <f t="shared" si="16"/>
        <v>9.7817864922469369</v>
      </c>
      <c r="Y31" s="69">
        <f t="shared" si="16"/>
        <v>9.9025788773199874</v>
      </c>
    </row>
    <row r="32" spans="3:25" ht="15" customHeight="1" x14ac:dyDescent="0.2">
      <c r="E32" s="132" t="s">
        <v>127</v>
      </c>
      <c r="F32" s="24" t="s">
        <v>7</v>
      </c>
      <c r="G32" s="24"/>
      <c r="H32" s="69"/>
      <c r="I32" s="175">
        <f>IFERROR((I31/H31-1),"NA")</f>
        <v>-0.339364640883978</v>
      </c>
      <c r="J32" s="175">
        <f t="shared" ref="J32:O32" si="17">IFERROR((J31/I31-1),"NA")</f>
        <v>2.0560317792180647</v>
      </c>
      <c r="K32" s="175">
        <f t="shared" si="17"/>
        <v>-0.55517548060477528</v>
      </c>
      <c r="L32" s="175">
        <f t="shared" si="17"/>
        <v>-0.19517071670255293</v>
      </c>
      <c r="M32" s="175">
        <f t="shared" si="17"/>
        <v>-0.38467418306898526</v>
      </c>
      <c r="N32" s="175">
        <f t="shared" si="17"/>
        <v>-0.30124223602484479</v>
      </c>
      <c r="O32" s="175">
        <f t="shared" si="17"/>
        <v>2.170666666666667</v>
      </c>
      <c r="P32" s="173">
        <f>F117</f>
        <v>0.28405374049407828</v>
      </c>
      <c r="Q32" s="312">
        <f t="shared" ref="Q32:Y32" si="18">G117</f>
        <v>1.7763536323243484E-2</v>
      </c>
      <c r="R32" s="312">
        <f t="shared" si="18"/>
        <v>1.295366691000837E-2</v>
      </c>
      <c r="S32" s="312">
        <f t="shared" si="18"/>
        <v>1.3347090623438355E-2</v>
      </c>
      <c r="T32" s="312">
        <f t="shared" si="18"/>
        <v>-9.0777655873477102E-4</v>
      </c>
      <c r="U32" s="312">
        <f t="shared" si="18"/>
        <v>1.7435195343876919E-3</v>
      </c>
      <c r="V32" s="312">
        <f t="shared" si="18"/>
        <v>4.394815627510153E-3</v>
      </c>
      <c r="W32" s="312">
        <f t="shared" si="18"/>
        <v>7.0461117206326159E-3</v>
      </c>
      <c r="X32" s="312">
        <f t="shared" si="18"/>
        <v>9.6974078137550771E-3</v>
      </c>
      <c r="Y32" s="313">
        <f t="shared" si="18"/>
        <v>1.2348703906877537E-2</v>
      </c>
    </row>
    <row r="33" spans="5:25" ht="15" customHeight="1" x14ac:dyDescent="0.2">
      <c r="E33" s="2" t="s">
        <v>185</v>
      </c>
      <c r="F33" s="24" t="s">
        <v>25</v>
      </c>
      <c r="G33" s="24"/>
      <c r="H33" s="170">
        <v>2.2999999999999998</v>
      </c>
      <c r="I33" s="171">
        <v>2.2000000000000002</v>
      </c>
      <c r="J33" s="171">
        <v>3</v>
      </c>
      <c r="K33" s="171">
        <v>3.3</v>
      </c>
      <c r="L33" s="171">
        <v>4.4000000000000004</v>
      </c>
      <c r="M33" s="171">
        <v>2</v>
      </c>
      <c r="N33" s="171">
        <v>5.0999999999999996</v>
      </c>
      <c r="O33" s="172">
        <v>5.5</v>
      </c>
      <c r="P33" s="69">
        <f>O33*(1+P34)</f>
        <v>7.0622955727174297</v>
      </c>
      <c r="Q33" s="69">
        <f t="shared" ref="Q33:Y33" si="19">P33*(1+Q34)</f>
        <v>7.1877469166488783</v>
      </c>
      <c r="R33" s="69">
        <f t="shared" si="19"/>
        <v>7.2808545960405873</v>
      </c>
      <c r="S33" s="69">
        <f t="shared" si="19"/>
        <v>7.3780328221500184</v>
      </c>
      <c r="T33" s="69">
        <f t="shared" si="19"/>
        <v>7.3713352169044954</v>
      </c>
      <c r="U33" s="69">
        <f t="shared" si="19"/>
        <v>7.3841872838496894</v>
      </c>
      <c r="V33" s="69">
        <f t="shared" si="19"/>
        <v>7.4166394255212138</v>
      </c>
      <c r="W33" s="69">
        <f t="shared" si="19"/>
        <v>7.4688978955050853</v>
      </c>
      <c r="X33" s="69">
        <f t="shared" si="19"/>
        <v>7.5413268443170951</v>
      </c>
      <c r="Y33" s="69">
        <f t="shared" si="19"/>
        <v>7.6344524565825536</v>
      </c>
    </row>
    <row r="34" spans="5:25" ht="15" customHeight="1" x14ac:dyDescent="0.2">
      <c r="E34" s="132" t="s">
        <v>127</v>
      </c>
      <c r="F34" s="24" t="s">
        <v>7</v>
      </c>
      <c r="G34" s="24"/>
      <c r="H34" s="69"/>
      <c r="I34" s="175">
        <f>IFERROR((I33/H33-1),"NA")</f>
        <v>-4.3478260869565077E-2</v>
      </c>
      <c r="J34" s="175">
        <f t="shared" ref="J34:O34" si="20">IFERROR((J33/I33-1),"NA")</f>
        <v>0.36363636363636354</v>
      </c>
      <c r="K34" s="175">
        <f t="shared" si="20"/>
        <v>9.9999999999999867E-2</v>
      </c>
      <c r="L34" s="175">
        <f t="shared" si="20"/>
        <v>0.33333333333333348</v>
      </c>
      <c r="M34" s="175">
        <f t="shared" si="20"/>
        <v>-0.54545454545454541</v>
      </c>
      <c r="N34" s="175">
        <f t="shared" si="20"/>
        <v>1.5499999999999998</v>
      </c>
      <c r="O34" s="175">
        <f t="shared" si="20"/>
        <v>7.8431372549019773E-2</v>
      </c>
      <c r="P34" s="173">
        <f>F117</f>
        <v>0.28405374049407828</v>
      </c>
      <c r="Q34" s="312">
        <f t="shared" ref="Q34:X34" si="21">G117</f>
        <v>1.7763536323243484E-2</v>
      </c>
      <c r="R34" s="312">
        <f t="shared" si="21"/>
        <v>1.295366691000837E-2</v>
      </c>
      <c r="S34" s="312">
        <f t="shared" si="21"/>
        <v>1.3347090623438355E-2</v>
      </c>
      <c r="T34" s="312">
        <f t="shared" si="21"/>
        <v>-9.0777655873477102E-4</v>
      </c>
      <c r="U34" s="312">
        <f t="shared" si="21"/>
        <v>1.7435195343876919E-3</v>
      </c>
      <c r="V34" s="312">
        <f t="shared" si="21"/>
        <v>4.394815627510153E-3</v>
      </c>
      <c r="W34" s="312">
        <f t="shared" si="21"/>
        <v>7.0461117206326159E-3</v>
      </c>
      <c r="X34" s="312">
        <f t="shared" si="21"/>
        <v>9.6974078137550771E-3</v>
      </c>
      <c r="Y34" s="313">
        <f>O117</f>
        <v>1.2348703906877537E-2</v>
      </c>
    </row>
    <row r="35" spans="5:25" ht="15" customHeight="1" x14ac:dyDescent="0.2">
      <c r="E35" s="2" t="s">
        <v>186</v>
      </c>
      <c r="F35" s="24" t="s">
        <v>25</v>
      </c>
      <c r="G35" s="24"/>
      <c r="H35" s="170">
        <v>8.67</v>
      </c>
      <c r="I35" s="171">
        <v>7.58</v>
      </c>
      <c r="J35" s="171">
        <v>15.18</v>
      </c>
      <c r="K35" s="171">
        <v>21.98</v>
      </c>
      <c r="L35" s="171">
        <v>18.41</v>
      </c>
      <c r="M35" s="171">
        <v>30.75</v>
      </c>
      <c r="N35" s="171">
        <v>33.04</v>
      </c>
      <c r="O35" s="172">
        <v>29.95</v>
      </c>
      <c r="P35" s="69">
        <f>O35*(1+P36)</f>
        <v>38.457409527797637</v>
      </c>
      <c r="Q35" s="69">
        <f t="shared" ref="Q35:Y35" si="22">P35*(1+Q36)</f>
        <v>39.140549118842522</v>
      </c>
      <c r="R35" s="69">
        <f t="shared" si="22"/>
        <v>39.647562754802827</v>
      </c>
      <c r="S35" s="69">
        <f t="shared" si="22"/>
        <v>40.176742367889638</v>
      </c>
      <c r="T35" s="69">
        <f t="shared" si="22"/>
        <v>40.140270862961742</v>
      </c>
      <c r="U35" s="69">
        <f t="shared" si="22"/>
        <v>40.210256209326936</v>
      </c>
      <c r="V35" s="69">
        <f t="shared" si="22"/>
        <v>40.386972871701872</v>
      </c>
      <c r="W35" s="69">
        <f t="shared" si="22"/>
        <v>40.671543994614041</v>
      </c>
      <c r="X35" s="69">
        <f t="shared" si="22"/>
        <v>41.065952543144896</v>
      </c>
      <c r="Y35" s="69">
        <f t="shared" si="22"/>
        <v>41.573063831754077</v>
      </c>
    </row>
    <row r="36" spans="5:25" ht="15" customHeight="1" x14ac:dyDescent="0.2">
      <c r="E36" s="132" t="s">
        <v>127</v>
      </c>
      <c r="F36" s="24" t="s">
        <v>7</v>
      </c>
      <c r="G36" s="24"/>
      <c r="H36" s="69"/>
      <c r="I36" s="175">
        <f>IFERROR((I35/H35-1),"NA")</f>
        <v>-0.12572087658592845</v>
      </c>
      <c r="J36" s="175">
        <f t="shared" ref="J36:O36" si="23">IFERROR((J35/I35-1),"NA")</f>
        <v>1.0026385224274406</v>
      </c>
      <c r="K36" s="175">
        <f t="shared" si="23"/>
        <v>0.44795783926218724</v>
      </c>
      <c r="L36" s="175">
        <f t="shared" si="23"/>
        <v>-0.16242038216560506</v>
      </c>
      <c r="M36" s="175">
        <f t="shared" si="23"/>
        <v>0.67028788701792497</v>
      </c>
      <c r="N36" s="175">
        <f t="shared" si="23"/>
        <v>7.4471544715447147E-2</v>
      </c>
      <c r="O36" s="175">
        <f t="shared" si="23"/>
        <v>-9.3523002421307511E-2</v>
      </c>
      <c r="P36" s="173">
        <f>F117</f>
        <v>0.28405374049407828</v>
      </c>
      <c r="Q36" s="312">
        <f t="shared" ref="Q36:Y36" si="24">G117</f>
        <v>1.7763536323243484E-2</v>
      </c>
      <c r="R36" s="312">
        <f t="shared" si="24"/>
        <v>1.295366691000837E-2</v>
      </c>
      <c r="S36" s="312">
        <f t="shared" si="24"/>
        <v>1.3347090623438355E-2</v>
      </c>
      <c r="T36" s="312">
        <f t="shared" si="24"/>
        <v>-9.0777655873477102E-4</v>
      </c>
      <c r="U36" s="312">
        <f t="shared" si="24"/>
        <v>1.7435195343876919E-3</v>
      </c>
      <c r="V36" s="312">
        <f t="shared" si="24"/>
        <v>4.394815627510153E-3</v>
      </c>
      <c r="W36" s="312">
        <f t="shared" si="24"/>
        <v>7.0461117206326159E-3</v>
      </c>
      <c r="X36" s="312">
        <f t="shared" si="24"/>
        <v>9.6974078137550771E-3</v>
      </c>
      <c r="Y36" s="313">
        <f t="shared" si="24"/>
        <v>1.2348703906877537E-2</v>
      </c>
    </row>
    <row r="37" spans="5:25" ht="15" customHeight="1" x14ac:dyDescent="0.2">
      <c r="E37" s="1" t="s">
        <v>187</v>
      </c>
      <c r="F37" s="24" t="s">
        <v>25</v>
      </c>
      <c r="G37" s="24"/>
      <c r="H37" s="69">
        <f>H29+H31+H33+H35</f>
        <v>75.25</v>
      </c>
      <c r="I37" s="69">
        <f t="shared" ref="I37:Y37" si="25">I29+I31+I33+I35</f>
        <v>64.153000000000006</v>
      </c>
      <c r="J37" s="69">
        <f t="shared" si="25"/>
        <v>107.29300000000001</v>
      </c>
      <c r="K37" s="69">
        <f t="shared" si="25"/>
        <v>178.96200000000002</v>
      </c>
      <c r="L37" s="69">
        <f t="shared" si="25"/>
        <v>210.37300000000002</v>
      </c>
      <c r="M37" s="69">
        <f t="shared" si="25"/>
        <v>346.73</v>
      </c>
      <c r="N37" s="69">
        <f t="shared" si="25"/>
        <v>351.89000000000004</v>
      </c>
      <c r="O37" s="69">
        <f t="shared" si="25"/>
        <v>672.20400000000006</v>
      </c>
      <c r="P37" s="70">
        <f t="shared" si="25"/>
        <v>863.14606057508126</v>
      </c>
      <c r="Q37" s="70">
        <f t="shared" si="25"/>
        <v>878.4785869743713</v>
      </c>
      <c r="R37" s="70">
        <f t="shared" si="25"/>
        <v>889.85810597761213</v>
      </c>
      <c r="S37" s="70">
        <f t="shared" si="25"/>
        <v>901.73512276009649</v>
      </c>
      <c r="T37" s="70">
        <f t="shared" si="25"/>
        <v>900.91654875346705</v>
      </c>
      <c r="U37" s="70">
        <f t="shared" si="25"/>
        <v>902.48731435507193</v>
      </c>
      <c r="V37" s="70">
        <f t="shared" si="25"/>
        <v>906.45357970782936</v>
      </c>
      <c r="W37" s="70">
        <f t="shared" si="25"/>
        <v>912.84055290001788</v>
      </c>
      <c r="X37" s="70">
        <f t="shared" si="25"/>
        <v>921.69274001042311</v>
      </c>
      <c r="Y37" s="70">
        <f t="shared" si="25"/>
        <v>933.07445074993052</v>
      </c>
    </row>
    <row r="38" spans="5:25" ht="15" customHeight="1" x14ac:dyDescent="0.2">
      <c r="E38" s="1"/>
      <c r="F38" s="24"/>
      <c r="G38" s="24"/>
      <c r="H38" s="69"/>
      <c r="I38" s="69"/>
      <c r="J38" s="69"/>
      <c r="K38" s="69"/>
      <c r="L38" s="69"/>
      <c r="M38" s="69"/>
      <c r="N38" s="69"/>
      <c r="O38" s="69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spans="5:25" ht="15" customHeight="1" x14ac:dyDescent="0.2">
      <c r="E39" s="1"/>
      <c r="F39" s="24"/>
      <c r="G39" s="24"/>
      <c r="H39" s="69"/>
      <c r="I39" s="69"/>
      <c r="J39" s="69"/>
      <c r="K39" s="69"/>
      <c r="L39" s="69"/>
      <c r="M39" s="69"/>
      <c r="N39" s="69"/>
      <c r="O39" s="69"/>
      <c r="P39" s="103"/>
      <c r="Q39" s="103"/>
      <c r="R39" s="103"/>
      <c r="S39" s="103"/>
      <c r="T39" s="103"/>
      <c r="U39" s="103"/>
      <c r="V39" s="103"/>
      <c r="W39" s="103"/>
      <c r="X39" s="103"/>
      <c r="Y39" s="103"/>
    </row>
    <row r="40" spans="5:25" ht="15" customHeight="1" x14ac:dyDescent="0.2">
      <c r="E40" s="2" t="s">
        <v>188</v>
      </c>
      <c r="F40" s="24" t="s">
        <v>25</v>
      </c>
      <c r="G40" s="24"/>
      <c r="H40" s="170">
        <v>26.99</v>
      </c>
      <c r="I40" s="171">
        <v>26.51</v>
      </c>
      <c r="J40" s="171">
        <v>25.73</v>
      </c>
      <c r="K40" s="171">
        <v>46.12</v>
      </c>
      <c r="L40" s="171">
        <v>35.909999999999997</v>
      </c>
      <c r="M40" s="171">
        <v>36.64</v>
      </c>
      <c r="N40" s="171">
        <v>43.53</v>
      </c>
      <c r="O40" s="172">
        <v>55.81</v>
      </c>
      <c r="P40" s="69">
        <f t="shared" ref="P40:Y40" si="26">O40-P81</f>
        <v>26.3155</v>
      </c>
      <c r="Q40" s="69">
        <f t="shared" si="26"/>
        <v>-4.653725000000005</v>
      </c>
      <c r="R40" s="69">
        <f t="shared" si="26"/>
        <v>-37.171411250000006</v>
      </c>
      <c r="S40" s="69">
        <f t="shared" si="26"/>
        <v>-71.314981812500008</v>
      </c>
      <c r="T40" s="69">
        <f t="shared" si="26"/>
        <v>-107.16573090312501</v>
      </c>
      <c r="U40" s="69">
        <f t="shared" si="26"/>
        <v>-144.80901744828125</v>
      </c>
      <c r="V40" s="69">
        <f t="shared" si="26"/>
        <v>-184.33446832069532</v>
      </c>
      <c r="W40" s="69">
        <f t="shared" si="26"/>
        <v>-225.83619173673009</v>
      </c>
      <c r="X40" s="69">
        <f t="shared" si="26"/>
        <v>-269.41300132356662</v>
      </c>
      <c r="Y40" s="69">
        <f t="shared" si="26"/>
        <v>-315.16865138974492</v>
      </c>
    </row>
    <row r="41" spans="5:25" ht="15" customHeight="1" x14ac:dyDescent="0.2">
      <c r="E41" s="132" t="s">
        <v>127</v>
      </c>
      <c r="F41" s="24" t="s">
        <v>7</v>
      </c>
      <c r="G41" s="24"/>
      <c r="H41" s="69"/>
      <c r="I41" s="175">
        <f>IFERROR((I40/H40-1),"NA")</f>
        <v>-1.7784364579473744E-2</v>
      </c>
      <c r="J41" s="175">
        <f t="shared" ref="J41:O41" si="27">IFERROR((J40/I40-1),"NA")</f>
        <v>-2.9422859298377957E-2</v>
      </c>
      <c r="K41" s="175">
        <f t="shared" si="27"/>
        <v>0.79246016323357926</v>
      </c>
      <c r="L41" s="175">
        <f t="shared" si="27"/>
        <v>-0.22137901127493498</v>
      </c>
      <c r="M41" s="175">
        <f t="shared" si="27"/>
        <v>2.0328599275967862E-2</v>
      </c>
      <c r="N41" s="175">
        <f t="shared" si="27"/>
        <v>0.18804585152838427</v>
      </c>
      <c r="O41" s="176">
        <f t="shared" si="27"/>
        <v>0.28210429588789343</v>
      </c>
      <c r="P41" s="176">
        <f>IFERROR((P40/O40-1),"NA")</f>
        <v>-0.52848055903959867</v>
      </c>
      <c r="Q41" s="176">
        <f t="shared" ref="Q41:Y41" si="28">IFERROR((Q40/P40-1),"NA")</f>
        <v>-1.1768434952784483</v>
      </c>
      <c r="R41" s="176">
        <f t="shared" si="28"/>
        <v>6.98745333039661</v>
      </c>
      <c r="S41" s="176">
        <f t="shared" si="28"/>
        <v>0.91854383286295049</v>
      </c>
      <c r="T41" s="176">
        <f t="shared" si="28"/>
        <v>0.50270992405050463</v>
      </c>
      <c r="U41" s="176">
        <f t="shared" si="28"/>
        <v>0.35126235064066114</v>
      </c>
      <c r="V41" s="176">
        <f t="shared" si="28"/>
        <v>0.27294882300082346</v>
      </c>
      <c r="W41" s="176">
        <f t="shared" si="28"/>
        <v>0.22514358705737147</v>
      </c>
      <c r="X41" s="176">
        <f t="shared" si="28"/>
        <v>0.19295760016019248</v>
      </c>
      <c r="Y41" s="176">
        <f t="shared" si="28"/>
        <v>0.16983460278973506</v>
      </c>
    </row>
    <row r="42" spans="5:25" ht="15" customHeight="1" x14ac:dyDescent="0.2">
      <c r="E42" s="2" t="s">
        <v>189</v>
      </c>
      <c r="F42" s="24" t="s">
        <v>25</v>
      </c>
      <c r="G42" s="24"/>
      <c r="H42" s="170">
        <v>71.239999999999995</v>
      </c>
      <c r="I42" s="171">
        <v>74.400000000000006</v>
      </c>
      <c r="J42" s="171">
        <v>71.92</v>
      </c>
      <c r="K42" s="171">
        <v>72.81</v>
      </c>
      <c r="L42" s="171">
        <v>69.17</v>
      </c>
      <c r="M42" s="171">
        <v>218.87</v>
      </c>
      <c r="N42" s="171">
        <v>235.73</v>
      </c>
      <c r="O42" s="172">
        <v>279.91000000000003</v>
      </c>
      <c r="P42" s="69">
        <f t="shared" ref="P42:Y42" si="29">O42-P80</f>
        <v>279.91000000000003</v>
      </c>
      <c r="Q42" s="69">
        <f t="shared" si="29"/>
        <v>279.91000000000003</v>
      </c>
      <c r="R42" s="69">
        <f t="shared" si="29"/>
        <v>279.91000000000003</v>
      </c>
      <c r="S42" s="69">
        <f t="shared" si="29"/>
        <v>279.91000000000003</v>
      </c>
      <c r="T42" s="69">
        <f t="shared" si="29"/>
        <v>279.91000000000003</v>
      </c>
      <c r="U42" s="69">
        <f t="shared" si="29"/>
        <v>279.91000000000003</v>
      </c>
      <c r="V42" s="69">
        <f t="shared" si="29"/>
        <v>279.91000000000003</v>
      </c>
      <c r="W42" s="69">
        <f t="shared" si="29"/>
        <v>279.91000000000003</v>
      </c>
      <c r="X42" s="69">
        <f t="shared" si="29"/>
        <v>279.91000000000003</v>
      </c>
      <c r="Y42" s="69">
        <f t="shared" si="29"/>
        <v>279.91000000000003</v>
      </c>
    </row>
    <row r="43" spans="5:25" ht="15" customHeight="1" x14ac:dyDescent="0.2">
      <c r="E43" s="132" t="s">
        <v>127</v>
      </c>
      <c r="F43" s="24" t="s">
        <v>7</v>
      </c>
      <c r="G43" s="24"/>
      <c r="H43" s="69"/>
      <c r="I43" s="175">
        <f>IFERROR((I42/H42-1),"NA")</f>
        <v>4.4357102751263477E-2</v>
      </c>
      <c r="J43" s="175">
        <f t="shared" ref="J43:O43" si="30">IFERROR((J42/I42-1),"NA")</f>
        <v>-3.3333333333333437E-2</v>
      </c>
      <c r="K43" s="175">
        <f t="shared" si="30"/>
        <v>1.237486095661855E-2</v>
      </c>
      <c r="L43" s="175">
        <f t="shared" si="30"/>
        <v>-4.9993132811427032E-2</v>
      </c>
      <c r="M43" s="175">
        <f t="shared" si="30"/>
        <v>2.1642330490096864</v>
      </c>
      <c r="N43" s="175">
        <f t="shared" si="30"/>
        <v>7.7032028144560671E-2</v>
      </c>
      <c r="O43" s="176">
        <f t="shared" si="30"/>
        <v>0.18741780850973577</v>
      </c>
      <c r="P43" s="176">
        <f>IFERROR((P42/O42-1),"NA")</f>
        <v>0</v>
      </c>
      <c r="Q43" s="176">
        <f t="shared" ref="Q43:Y43" si="31">IFERROR((Q42/P42-1),"NA")</f>
        <v>0</v>
      </c>
      <c r="R43" s="176">
        <f t="shared" si="31"/>
        <v>0</v>
      </c>
      <c r="S43" s="176">
        <f t="shared" si="31"/>
        <v>0</v>
      </c>
      <c r="T43" s="176">
        <f t="shared" si="31"/>
        <v>0</v>
      </c>
      <c r="U43" s="176">
        <f t="shared" si="31"/>
        <v>0</v>
      </c>
      <c r="V43" s="176">
        <f t="shared" si="31"/>
        <v>0</v>
      </c>
      <c r="W43" s="176">
        <f t="shared" si="31"/>
        <v>0</v>
      </c>
      <c r="X43" s="176">
        <f t="shared" si="31"/>
        <v>0</v>
      </c>
      <c r="Y43" s="176">
        <f t="shared" si="31"/>
        <v>0</v>
      </c>
    </row>
    <row r="44" spans="5:25" ht="15" customHeight="1" x14ac:dyDescent="0.2">
      <c r="E44" s="2" t="s">
        <v>190</v>
      </c>
      <c r="F44" s="24" t="s">
        <v>25</v>
      </c>
      <c r="G44" s="24"/>
      <c r="H44" s="170">
        <v>0</v>
      </c>
      <c r="I44" s="171">
        <v>0</v>
      </c>
      <c r="J44" s="171">
        <v>0</v>
      </c>
      <c r="K44" s="171">
        <v>18.36</v>
      </c>
      <c r="L44" s="171">
        <v>15.99</v>
      </c>
      <c r="M44" s="171">
        <v>14.15</v>
      </c>
      <c r="N44" s="171">
        <v>12.32</v>
      </c>
      <c r="O44" s="172">
        <v>15.52</v>
      </c>
      <c r="P44" s="32">
        <f>O44</f>
        <v>15.52</v>
      </c>
      <c r="Q44" s="32">
        <f t="shared" ref="Q44:Y44" si="32">P44</f>
        <v>15.52</v>
      </c>
      <c r="R44" s="32">
        <f t="shared" si="32"/>
        <v>15.52</v>
      </c>
      <c r="S44" s="32">
        <f t="shared" si="32"/>
        <v>15.52</v>
      </c>
      <c r="T44" s="32">
        <f t="shared" si="32"/>
        <v>15.52</v>
      </c>
      <c r="U44" s="32">
        <f t="shared" si="32"/>
        <v>15.52</v>
      </c>
      <c r="V44" s="32">
        <f t="shared" si="32"/>
        <v>15.52</v>
      </c>
      <c r="W44" s="32">
        <f t="shared" si="32"/>
        <v>15.52</v>
      </c>
      <c r="X44" s="32">
        <f t="shared" si="32"/>
        <v>15.52</v>
      </c>
      <c r="Y44" s="32">
        <f t="shared" si="32"/>
        <v>15.52</v>
      </c>
    </row>
    <row r="45" spans="5:25" ht="15" customHeight="1" x14ac:dyDescent="0.2">
      <c r="E45" s="132" t="s">
        <v>127</v>
      </c>
      <c r="F45" s="24" t="s">
        <v>7</v>
      </c>
      <c r="G45" s="24"/>
      <c r="H45" s="69"/>
      <c r="I45" s="175" t="str">
        <f>IFERROR((I44/H44-1),"NA")</f>
        <v>NA</v>
      </c>
      <c r="J45" s="175" t="str">
        <f t="shared" ref="J45:O45" si="33">IFERROR((J44/I44-1),"NA")</f>
        <v>NA</v>
      </c>
      <c r="K45" s="175" t="str">
        <f t="shared" si="33"/>
        <v>NA</v>
      </c>
      <c r="L45" s="175">
        <f t="shared" si="33"/>
        <v>-0.12908496732026142</v>
      </c>
      <c r="M45" s="175">
        <f t="shared" si="33"/>
        <v>-0.11507191994996868</v>
      </c>
      <c r="N45" s="175">
        <f t="shared" si="33"/>
        <v>-0.12932862190812722</v>
      </c>
      <c r="O45" s="176">
        <f t="shared" si="33"/>
        <v>0.2597402597402596</v>
      </c>
      <c r="P45" s="176">
        <f>IFERROR((P44/O44-1),"NA")</f>
        <v>0</v>
      </c>
      <c r="Q45" s="176">
        <f t="shared" ref="Q45:Y45" si="34">IFERROR((Q44/P44-1),"NA")</f>
        <v>0</v>
      </c>
      <c r="R45" s="176">
        <f t="shared" si="34"/>
        <v>0</v>
      </c>
      <c r="S45" s="176">
        <f t="shared" si="34"/>
        <v>0</v>
      </c>
      <c r="T45" s="176">
        <f t="shared" si="34"/>
        <v>0</v>
      </c>
      <c r="U45" s="176">
        <f t="shared" si="34"/>
        <v>0</v>
      </c>
      <c r="V45" s="176">
        <f t="shared" si="34"/>
        <v>0</v>
      </c>
      <c r="W45" s="176">
        <f t="shared" si="34"/>
        <v>0</v>
      </c>
      <c r="X45" s="176">
        <f t="shared" si="34"/>
        <v>0</v>
      </c>
      <c r="Y45" s="176">
        <f t="shared" si="34"/>
        <v>0</v>
      </c>
    </row>
    <row r="46" spans="5:25" ht="15" customHeight="1" x14ac:dyDescent="0.2">
      <c r="E46" s="2" t="s">
        <v>191</v>
      </c>
      <c r="F46" s="24" t="s">
        <v>25</v>
      </c>
      <c r="G46" s="24"/>
      <c r="H46" s="170">
        <v>17.5</v>
      </c>
      <c r="I46" s="171">
        <v>18</v>
      </c>
      <c r="J46" s="171">
        <v>20</v>
      </c>
      <c r="K46" s="171">
        <v>19.399999999999999</v>
      </c>
      <c r="L46" s="171">
        <v>14.2</v>
      </c>
      <c r="M46" s="171">
        <v>3.7</v>
      </c>
      <c r="N46" s="171">
        <v>19.7</v>
      </c>
      <c r="O46" s="172">
        <v>18.100000000000001</v>
      </c>
      <c r="P46" s="32">
        <f>O46</f>
        <v>18.100000000000001</v>
      </c>
      <c r="Q46" s="32">
        <f t="shared" ref="Q46:Y46" si="35">P46</f>
        <v>18.100000000000001</v>
      </c>
      <c r="R46" s="32">
        <f t="shared" si="35"/>
        <v>18.100000000000001</v>
      </c>
      <c r="S46" s="32">
        <f t="shared" si="35"/>
        <v>18.100000000000001</v>
      </c>
      <c r="T46" s="32">
        <f t="shared" si="35"/>
        <v>18.100000000000001</v>
      </c>
      <c r="U46" s="32">
        <f t="shared" si="35"/>
        <v>18.100000000000001</v>
      </c>
      <c r="V46" s="32">
        <f t="shared" si="35"/>
        <v>18.100000000000001</v>
      </c>
      <c r="W46" s="32">
        <f t="shared" si="35"/>
        <v>18.100000000000001</v>
      </c>
      <c r="X46" s="32">
        <f t="shared" si="35"/>
        <v>18.100000000000001</v>
      </c>
      <c r="Y46" s="32">
        <f t="shared" si="35"/>
        <v>18.100000000000001</v>
      </c>
    </row>
    <row r="47" spans="5:25" ht="15" customHeight="1" x14ac:dyDescent="0.2">
      <c r="E47" s="132" t="s">
        <v>127</v>
      </c>
      <c r="F47" s="24" t="s">
        <v>7</v>
      </c>
      <c r="G47" s="24"/>
      <c r="H47" s="69"/>
      <c r="I47" s="175">
        <f>IFERROR((I46/H46-1),"NA")</f>
        <v>2.857142857142847E-2</v>
      </c>
      <c r="J47" s="175">
        <f t="shared" ref="J47:O47" si="36">IFERROR((J46/I46-1),"NA")</f>
        <v>0.11111111111111116</v>
      </c>
      <c r="K47" s="175">
        <f t="shared" si="36"/>
        <v>-3.0000000000000027E-2</v>
      </c>
      <c r="L47" s="175">
        <f t="shared" si="36"/>
        <v>-0.268041237113402</v>
      </c>
      <c r="M47" s="175">
        <f t="shared" si="36"/>
        <v>-0.73943661971830976</v>
      </c>
      <c r="N47" s="175">
        <f t="shared" si="36"/>
        <v>4.3243243243243237</v>
      </c>
      <c r="O47" s="175">
        <f t="shared" si="36"/>
        <v>-8.1218274111675037E-2</v>
      </c>
      <c r="P47" s="175">
        <f>IFERROR((P46/O46-1),"NA")</f>
        <v>0</v>
      </c>
      <c r="Q47" s="175">
        <f t="shared" ref="Q47:Y47" si="37">IFERROR((Q46/P46-1),"NA")</f>
        <v>0</v>
      </c>
      <c r="R47" s="175">
        <f t="shared" si="37"/>
        <v>0</v>
      </c>
      <c r="S47" s="175">
        <f t="shared" si="37"/>
        <v>0</v>
      </c>
      <c r="T47" s="175">
        <f t="shared" si="37"/>
        <v>0</v>
      </c>
      <c r="U47" s="175">
        <f t="shared" si="37"/>
        <v>0</v>
      </c>
      <c r="V47" s="175">
        <f t="shared" si="37"/>
        <v>0</v>
      </c>
      <c r="W47" s="175">
        <f t="shared" si="37"/>
        <v>0</v>
      </c>
      <c r="X47" s="175">
        <f t="shared" si="37"/>
        <v>0</v>
      </c>
      <c r="Y47" s="175">
        <f t="shared" si="37"/>
        <v>0</v>
      </c>
    </row>
    <row r="48" spans="5:25" ht="15" customHeight="1" x14ac:dyDescent="0.2">
      <c r="E48" s="1" t="s">
        <v>192</v>
      </c>
      <c r="F48" s="24" t="s">
        <v>25</v>
      </c>
      <c r="G48" s="24"/>
      <c r="H48" s="69">
        <f>H40+H42+H44+H46</f>
        <v>115.72999999999999</v>
      </c>
      <c r="I48" s="69">
        <f t="shared" ref="I48:Y48" si="38">I40+I42+I44+I46</f>
        <v>118.91000000000001</v>
      </c>
      <c r="J48" s="69">
        <f t="shared" si="38"/>
        <v>117.65</v>
      </c>
      <c r="K48" s="69">
        <f t="shared" si="38"/>
        <v>156.69000000000003</v>
      </c>
      <c r="L48" s="69">
        <f t="shared" si="38"/>
        <v>135.26999999999998</v>
      </c>
      <c r="M48" s="69">
        <f t="shared" si="38"/>
        <v>273.35999999999996</v>
      </c>
      <c r="N48" s="69">
        <f t="shared" si="38"/>
        <v>311.27999999999997</v>
      </c>
      <c r="O48" s="69">
        <f t="shared" si="38"/>
        <v>369.34000000000003</v>
      </c>
      <c r="P48" s="70">
        <f t="shared" si="38"/>
        <v>339.84550000000002</v>
      </c>
      <c r="Q48" s="70">
        <f t="shared" si="38"/>
        <v>308.87627500000002</v>
      </c>
      <c r="R48" s="70">
        <f t="shared" si="38"/>
        <v>276.35858875000002</v>
      </c>
      <c r="S48" s="70">
        <f t="shared" si="38"/>
        <v>242.21501818750002</v>
      </c>
      <c r="T48" s="70">
        <f t="shared" si="38"/>
        <v>206.36426909687503</v>
      </c>
      <c r="U48" s="70">
        <f t="shared" si="38"/>
        <v>168.72098255171878</v>
      </c>
      <c r="V48" s="70">
        <f t="shared" si="38"/>
        <v>129.19553167930471</v>
      </c>
      <c r="W48" s="70">
        <f t="shared" si="38"/>
        <v>87.693808263269943</v>
      </c>
      <c r="X48" s="70">
        <f t="shared" si="38"/>
        <v>44.116998676433411</v>
      </c>
      <c r="Y48" s="70">
        <f t="shared" si="38"/>
        <v>-1.6386513897448971</v>
      </c>
    </row>
    <row r="49" spans="5:25" ht="15" customHeight="1" x14ac:dyDescent="0.2">
      <c r="E49" s="1" t="s">
        <v>193</v>
      </c>
      <c r="F49" s="24" t="s">
        <v>25</v>
      </c>
      <c r="G49" s="24"/>
      <c r="H49" s="69">
        <f>SUM(H48,H37)</f>
        <v>190.98</v>
      </c>
      <c r="I49" s="69">
        <f t="shared" ref="I49:Y49" si="39">SUM(I48,I37)</f>
        <v>183.06300000000002</v>
      </c>
      <c r="J49" s="69">
        <f t="shared" si="39"/>
        <v>224.94300000000001</v>
      </c>
      <c r="K49" s="69">
        <f t="shared" si="39"/>
        <v>335.65200000000004</v>
      </c>
      <c r="L49" s="69">
        <f t="shared" si="39"/>
        <v>345.64300000000003</v>
      </c>
      <c r="M49" s="69">
        <f t="shared" si="39"/>
        <v>620.08999999999992</v>
      </c>
      <c r="N49" s="69">
        <f t="shared" si="39"/>
        <v>663.17000000000007</v>
      </c>
      <c r="O49" s="69">
        <f t="shared" si="39"/>
        <v>1041.5440000000001</v>
      </c>
      <c r="P49" s="70">
        <f t="shared" si="39"/>
        <v>1202.9915605750812</v>
      </c>
      <c r="Q49" s="70">
        <f t="shared" si="39"/>
        <v>1187.3548619743713</v>
      </c>
      <c r="R49" s="70">
        <f t="shared" si="39"/>
        <v>1166.2166947276121</v>
      </c>
      <c r="S49" s="70">
        <f t="shared" si="39"/>
        <v>1143.9501409475965</v>
      </c>
      <c r="T49" s="70">
        <f t="shared" si="39"/>
        <v>1107.2808178503421</v>
      </c>
      <c r="U49" s="70">
        <f t="shared" si="39"/>
        <v>1071.2082969067908</v>
      </c>
      <c r="V49" s="70">
        <f t="shared" si="39"/>
        <v>1035.6491113871341</v>
      </c>
      <c r="W49" s="70">
        <f t="shared" si="39"/>
        <v>1000.5343611632878</v>
      </c>
      <c r="X49" s="70">
        <f t="shared" si="39"/>
        <v>965.80973868685646</v>
      </c>
      <c r="Y49" s="70">
        <f t="shared" si="39"/>
        <v>931.43579936018557</v>
      </c>
    </row>
    <row r="50" spans="5:25" ht="15" customHeight="1" x14ac:dyDescent="0.2">
      <c r="E50" s="2"/>
      <c r="F50" s="24"/>
      <c r="G50" s="24"/>
      <c r="H50" s="49"/>
      <c r="I50" s="49"/>
      <c r="J50" s="49"/>
      <c r="K50" s="82"/>
      <c r="L50" s="82"/>
      <c r="M50" s="82"/>
      <c r="N50" s="82"/>
      <c r="O50" s="82"/>
      <c r="P50" s="270"/>
      <c r="Q50" s="270"/>
      <c r="R50" s="270"/>
      <c r="S50" s="270"/>
      <c r="T50" s="270"/>
      <c r="U50" s="270"/>
      <c r="V50" s="270"/>
      <c r="W50" s="270"/>
      <c r="X50" s="270"/>
      <c r="Y50" s="270"/>
    </row>
    <row r="51" spans="5:25" ht="15" customHeight="1" x14ac:dyDescent="0.2">
      <c r="E51" s="2" t="s">
        <v>194</v>
      </c>
      <c r="F51" s="24" t="s">
        <v>25</v>
      </c>
      <c r="G51" s="24"/>
      <c r="H51" s="170">
        <v>25.478999999999999</v>
      </c>
      <c r="I51" s="171">
        <v>22.61</v>
      </c>
      <c r="J51" s="171">
        <v>23.434999999999999</v>
      </c>
      <c r="K51" s="171">
        <v>36.262</v>
      </c>
      <c r="L51" s="171">
        <v>21.917999999999999</v>
      </c>
      <c r="M51" s="171">
        <v>66.209999999999994</v>
      </c>
      <c r="N51" s="171">
        <v>58.298000000000002</v>
      </c>
      <c r="O51" s="172">
        <v>37.314</v>
      </c>
      <c r="P51" s="69">
        <f>O51*(1+P52)</f>
        <v>37.314</v>
      </c>
      <c r="Q51" s="69">
        <f t="shared" ref="Q51:Y51" si="40">P51*(1+Q52)</f>
        <v>37.314</v>
      </c>
      <c r="R51" s="69">
        <f t="shared" si="40"/>
        <v>37.314</v>
      </c>
      <c r="S51" s="69">
        <f t="shared" si="40"/>
        <v>37.314</v>
      </c>
      <c r="T51" s="69">
        <f t="shared" si="40"/>
        <v>37.314</v>
      </c>
      <c r="U51" s="69">
        <f t="shared" si="40"/>
        <v>37.314</v>
      </c>
      <c r="V51" s="69">
        <f t="shared" si="40"/>
        <v>37.314</v>
      </c>
      <c r="W51" s="69">
        <f t="shared" si="40"/>
        <v>37.314</v>
      </c>
      <c r="X51" s="69">
        <f t="shared" si="40"/>
        <v>37.314</v>
      </c>
      <c r="Y51" s="69">
        <f t="shared" si="40"/>
        <v>37.314</v>
      </c>
    </row>
    <row r="52" spans="5:25" ht="15" customHeight="1" x14ac:dyDescent="0.2">
      <c r="E52" s="132" t="s">
        <v>127</v>
      </c>
      <c r="F52" s="24" t="s">
        <v>7</v>
      </c>
      <c r="G52" s="24"/>
      <c r="H52" s="69"/>
      <c r="I52" s="175">
        <f>IFERROR((I51/H51-1),"NA")</f>
        <v>-0.11260253542132737</v>
      </c>
      <c r="J52" s="175">
        <f t="shared" ref="J52:N52" si="41">IFERROR((J51/I51-1),"NA")</f>
        <v>3.6488279522335132E-2</v>
      </c>
      <c r="K52" s="175">
        <f t="shared" si="41"/>
        <v>0.54734371666311077</v>
      </c>
      <c r="L52" s="175">
        <f t="shared" si="41"/>
        <v>-0.39556560586840217</v>
      </c>
      <c r="M52" s="175">
        <f t="shared" si="41"/>
        <v>2.0208048179578428</v>
      </c>
      <c r="N52" s="175">
        <f t="shared" si="41"/>
        <v>-0.1194985651714241</v>
      </c>
      <c r="O52" s="175">
        <f>IFERROR((O51/N51-1),"NA")</f>
        <v>-0.35994373734948026</v>
      </c>
      <c r="P52" s="173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3">
        <v>0</v>
      </c>
    </row>
    <row r="53" spans="5:25" ht="15" customHeight="1" x14ac:dyDescent="0.2">
      <c r="E53" s="2" t="s">
        <v>195</v>
      </c>
      <c r="F53" s="24" t="s">
        <v>25</v>
      </c>
      <c r="G53" s="24"/>
      <c r="H53" s="170">
        <v>0</v>
      </c>
      <c r="I53" s="171">
        <v>49.588000000000001</v>
      </c>
      <c r="J53" s="171">
        <v>74.495999999999995</v>
      </c>
      <c r="K53" s="171">
        <v>147.179</v>
      </c>
      <c r="L53" s="171">
        <v>182.3</v>
      </c>
      <c r="M53" s="171">
        <v>310.75799999999998</v>
      </c>
      <c r="N53" s="171">
        <v>311.50299999999999</v>
      </c>
      <c r="O53" s="172">
        <v>629.6</v>
      </c>
      <c r="P53" s="69">
        <f>O53*(1+P54)</f>
        <v>629.6</v>
      </c>
      <c r="Q53" s="69">
        <f t="shared" ref="Q53:Y53" si="42">P53*(1+Q54)</f>
        <v>629.6</v>
      </c>
      <c r="R53" s="69">
        <f t="shared" si="42"/>
        <v>629.6</v>
      </c>
      <c r="S53" s="69">
        <f t="shared" si="42"/>
        <v>629.6</v>
      </c>
      <c r="T53" s="69">
        <f t="shared" si="42"/>
        <v>629.6</v>
      </c>
      <c r="U53" s="69">
        <f t="shared" si="42"/>
        <v>629.6</v>
      </c>
      <c r="V53" s="69">
        <f t="shared" si="42"/>
        <v>629.6</v>
      </c>
      <c r="W53" s="69">
        <f t="shared" si="42"/>
        <v>629.6</v>
      </c>
      <c r="X53" s="69">
        <f t="shared" si="42"/>
        <v>629.6</v>
      </c>
      <c r="Y53" s="69">
        <f t="shared" si="42"/>
        <v>629.6</v>
      </c>
    </row>
    <row r="54" spans="5:25" ht="15" customHeight="1" x14ac:dyDescent="0.2">
      <c r="E54" s="132" t="s">
        <v>127</v>
      </c>
      <c r="F54" s="24" t="s">
        <v>7</v>
      </c>
      <c r="G54" s="24"/>
      <c r="H54" s="69"/>
      <c r="I54" s="175" t="str">
        <f>IFERROR((I53/H53-1),"NA")</f>
        <v>NA</v>
      </c>
      <c r="J54" s="175">
        <f t="shared" ref="J54:N54" si="43">IFERROR((J53/I53-1),"NA")</f>
        <v>0.50229894329273206</v>
      </c>
      <c r="K54" s="175">
        <f t="shared" si="43"/>
        <v>0.97566312285223389</v>
      </c>
      <c r="L54" s="175">
        <f t="shared" si="43"/>
        <v>0.23862779336726025</v>
      </c>
      <c r="M54" s="175">
        <f t="shared" si="43"/>
        <v>0.70465167306637388</v>
      </c>
      <c r="N54" s="175">
        <f t="shared" si="43"/>
        <v>2.3973638651297868E-3</v>
      </c>
      <c r="O54" s="175">
        <f>IFERROR((O53/N53-1),"NA")</f>
        <v>1.0211683354574435</v>
      </c>
      <c r="P54" s="173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3">
        <v>0</v>
      </c>
    </row>
    <row r="55" spans="5:25" ht="15" customHeight="1" x14ac:dyDescent="0.2">
      <c r="E55" s="2" t="s">
        <v>196</v>
      </c>
      <c r="F55" s="24" t="s">
        <v>25</v>
      </c>
      <c r="G55" s="24"/>
      <c r="H55" s="170">
        <v>855.76</v>
      </c>
      <c r="I55" s="171">
        <v>914.25</v>
      </c>
      <c r="J55" s="171">
        <v>1057.57</v>
      </c>
      <c r="K55" s="171">
        <v>1288.5899999999999</v>
      </c>
      <c r="L55" s="171">
        <v>1693.3</v>
      </c>
      <c r="M55" s="171">
        <v>2594.4499999999998</v>
      </c>
      <c r="N55" s="171">
        <v>2510.66</v>
      </c>
      <c r="O55" s="172">
        <v>2058.54</v>
      </c>
      <c r="P55" s="69">
        <f>O55*(1+P56)</f>
        <v>2058.54</v>
      </c>
      <c r="Q55" s="69">
        <f t="shared" ref="Q55" si="44">P55*(1+Q56)</f>
        <v>2058.54</v>
      </c>
      <c r="R55" s="69">
        <f t="shared" ref="R55" si="45">Q55*(1+R56)</f>
        <v>2058.54</v>
      </c>
      <c r="S55" s="69">
        <f t="shared" ref="S55" si="46">R55*(1+S56)</f>
        <v>2058.54</v>
      </c>
      <c r="T55" s="69">
        <f t="shared" ref="T55" si="47">S55*(1+T56)</f>
        <v>2058.54</v>
      </c>
      <c r="U55" s="69">
        <f t="shared" ref="U55" si="48">T55*(1+U56)</f>
        <v>2058.54</v>
      </c>
      <c r="V55" s="69">
        <f t="shared" ref="V55" si="49">U55*(1+V56)</f>
        <v>2058.54</v>
      </c>
      <c r="W55" s="69">
        <f t="shared" ref="W55" si="50">V55*(1+W56)</f>
        <v>2058.54</v>
      </c>
      <c r="X55" s="69">
        <f t="shared" ref="X55" si="51">W55*(1+X56)</f>
        <v>2058.54</v>
      </c>
      <c r="Y55" s="69">
        <f t="shared" ref="Y55" si="52">X55*(1+Y56)</f>
        <v>2058.54</v>
      </c>
    </row>
    <row r="56" spans="5:25" ht="15" customHeight="1" x14ac:dyDescent="0.2">
      <c r="E56" s="132" t="s">
        <v>127</v>
      </c>
      <c r="F56" s="24" t="s">
        <v>7</v>
      </c>
      <c r="G56" s="24"/>
      <c r="H56" s="69"/>
      <c r="I56" s="175">
        <f>IFERROR((I55/H55-1),"NA")</f>
        <v>6.8348602411891113E-2</v>
      </c>
      <c r="J56" s="175">
        <f t="shared" ref="J56:N56" si="53">IFERROR((J55/I55-1),"NA")</f>
        <v>0.15676237353021594</v>
      </c>
      <c r="K56" s="175">
        <f t="shared" si="53"/>
        <v>0.21844416918029075</v>
      </c>
      <c r="L56" s="175">
        <f t="shared" si="53"/>
        <v>0.31407197013790267</v>
      </c>
      <c r="M56" s="175">
        <f t="shared" si="53"/>
        <v>0.53218567294631769</v>
      </c>
      <c r="N56" s="175">
        <f t="shared" si="53"/>
        <v>-3.2295862321493951E-2</v>
      </c>
      <c r="O56" s="175">
        <f>IFERROR((O55/N55-1),"NA")</f>
        <v>-0.18008013829032998</v>
      </c>
      <c r="P56" s="173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3">
        <v>0</v>
      </c>
    </row>
    <row r="57" spans="5:25" ht="15" customHeight="1" x14ac:dyDescent="0.2">
      <c r="E57" s="2" t="s">
        <v>197</v>
      </c>
      <c r="F57" s="24" t="s">
        <v>25</v>
      </c>
      <c r="G57" s="24"/>
      <c r="H57" s="170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2">
        <v>0</v>
      </c>
      <c r="P57" s="69">
        <f>O57*(1+P58)</f>
        <v>0</v>
      </c>
      <c r="Q57" s="69">
        <f t="shared" ref="Q57" si="54">P57*(1+Q58)</f>
        <v>0</v>
      </c>
      <c r="R57" s="69">
        <f t="shared" ref="R57" si="55">Q57*(1+R58)</f>
        <v>0</v>
      </c>
      <c r="S57" s="69">
        <f t="shared" ref="S57" si="56">R57*(1+S58)</f>
        <v>0</v>
      </c>
      <c r="T57" s="69">
        <f t="shared" ref="T57" si="57">S57*(1+T58)</f>
        <v>0</v>
      </c>
      <c r="U57" s="69">
        <f t="shared" ref="U57" si="58">T57*(1+U58)</f>
        <v>0</v>
      </c>
      <c r="V57" s="69">
        <f t="shared" ref="V57" si="59">U57*(1+V58)</f>
        <v>0</v>
      </c>
      <c r="W57" s="69">
        <f t="shared" ref="W57" si="60">V57*(1+W58)</f>
        <v>0</v>
      </c>
      <c r="X57" s="69">
        <f t="shared" ref="X57" si="61">W57*(1+X58)</f>
        <v>0</v>
      </c>
      <c r="Y57" s="69">
        <f t="shared" ref="Y57" si="62">X57*(1+Y58)</f>
        <v>0</v>
      </c>
    </row>
    <row r="58" spans="5:25" ht="15" customHeight="1" x14ac:dyDescent="0.2">
      <c r="E58" s="132" t="s">
        <v>127</v>
      </c>
      <c r="F58" s="24" t="s">
        <v>7</v>
      </c>
      <c r="G58" s="24"/>
      <c r="H58" s="69"/>
      <c r="I58" s="175" t="str">
        <f>IFERROR((I57/H57-1),"NA")</f>
        <v>NA</v>
      </c>
      <c r="J58" s="175" t="str">
        <f t="shared" ref="J58:N58" si="63">IFERROR((J57/I57-1),"NA")</f>
        <v>NA</v>
      </c>
      <c r="K58" s="175" t="str">
        <f t="shared" si="63"/>
        <v>NA</v>
      </c>
      <c r="L58" s="175" t="str">
        <f t="shared" si="63"/>
        <v>NA</v>
      </c>
      <c r="M58" s="175" t="str">
        <f t="shared" si="63"/>
        <v>NA</v>
      </c>
      <c r="N58" s="175" t="str">
        <f t="shared" si="63"/>
        <v>NA</v>
      </c>
      <c r="O58" s="175" t="str">
        <f>IFERROR((O57/N57-1),"NA")</f>
        <v>NA</v>
      </c>
      <c r="P58" s="173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3">
        <v>0</v>
      </c>
    </row>
    <row r="59" spans="5:25" ht="15" customHeight="1" x14ac:dyDescent="0.2">
      <c r="E59" s="1" t="s">
        <v>198</v>
      </c>
      <c r="F59" s="24" t="s">
        <v>25</v>
      </c>
      <c r="G59" s="24"/>
      <c r="H59" s="67">
        <f t="shared" ref="H59:O59" si="64">H51+H53+H55+H57</f>
        <v>881.23900000000003</v>
      </c>
      <c r="I59" s="67">
        <f t="shared" si="64"/>
        <v>986.44799999999998</v>
      </c>
      <c r="J59" s="67">
        <f t="shared" si="64"/>
        <v>1155.501</v>
      </c>
      <c r="K59" s="67">
        <f t="shared" si="64"/>
        <v>1472.0309999999999</v>
      </c>
      <c r="L59" s="67">
        <f t="shared" si="64"/>
        <v>1897.518</v>
      </c>
      <c r="M59" s="67">
        <f t="shared" si="64"/>
        <v>2971.4179999999997</v>
      </c>
      <c r="N59" s="67">
        <f t="shared" si="64"/>
        <v>2880.4609999999998</v>
      </c>
      <c r="O59" s="67">
        <f t="shared" si="64"/>
        <v>2725.4539999999997</v>
      </c>
      <c r="P59" s="70">
        <f t="shared" ref="P59:Y59" si="65">P51+P53+P55+P57</f>
        <v>2725.4539999999997</v>
      </c>
      <c r="Q59" s="70">
        <f t="shared" si="65"/>
        <v>2725.4539999999997</v>
      </c>
      <c r="R59" s="70">
        <f t="shared" si="65"/>
        <v>2725.4539999999997</v>
      </c>
      <c r="S59" s="70">
        <f t="shared" si="65"/>
        <v>2725.4539999999997</v>
      </c>
      <c r="T59" s="70">
        <f t="shared" si="65"/>
        <v>2725.4539999999997</v>
      </c>
      <c r="U59" s="70">
        <f t="shared" si="65"/>
        <v>2725.4539999999997</v>
      </c>
      <c r="V59" s="70">
        <f t="shared" si="65"/>
        <v>2725.4539999999997</v>
      </c>
      <c r="W59" s="70">
        <f t="shared" si="65"/>
        <v>2725.4539999999997</v>
      </c>
      <c r="X59" s="70">
        <f t="shared" si="65"/>
        <v>2725.4539999999997</v>
      </c>
      <c r="Y59" s="70">
        <f t="shared" si="65"/>
        <v>2725.4539999999997</v>
      </c>
    </row>
    <row r="60" spans="5:25" ht="15" customHeight="1" x14ac:dyDescent="0.2">
      <c r="E60" s="1"/>
      <c r="F60" s="24"/>
      <c r="G60" s="24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</row>
    <row r="62" spans="5:25" ht="15" customHeight="1" x14ac:dyDescent="0.2">
      <c r="E62" s="2" t="s">
        <v>199</v>
      </c>
      <c r="F62" s="24" t="s">
        <v>25</v>
      </c>
      <c r="G62" s="24"/>
      <c r="H62" s="170">
        <v>2854</v>
      </c>
      <c r="I62" s="171">
        <v>1729</v>
      </c>
      <c r="J62" s="171">
        <v>8999</v>
      </c>
      <c r="K62" s="171">
        <v>1057</v>
      </c>
      <c r="L62" s="171">
        <v>3392</v>
      </c>
      <c r="M62" s="171">
        <v>7703</v>
      </c>
      <c r="N62" s="171">
        <v>-8503</v>
      </c>
      <c r="O62" s="172">
        <v>-20984</v>
      </c>
      <c r="P62" s="69">
        <f>O62*(1+P63)</f>
        <v>-20984</v>
      </c>
      <c r="Q62" s="69">
        <f t="shared" ref="Q62" si="66">P62*(1+Q63)</f>
        <v>-20984</v>
      </c>
      <c r="R62" s="69">
        <f t="shared" ref="R62" si="67">Q62*(1+R63)</f>
        <v>-20984</v>
      </c>
      <c r="S62" s="69">
        <f t="shared" ref="S62" si="68">R62*(1+S63)</f>
        <v>-20984</v>
      </c>
      <c r="T62" s="69">
        <f t="shared" ref="T62" si="69">S62*(1+T63)</f>
        <v>-20984</v>
      </c>
      <c r="U62" s="69">
        <f t="shared" ref="U62" si="70">T62*(1+U63)</f>
        <v>-20984</v>
      </c>
      <c r="V62" s="69">
        <f t="shared" ref="V62" si="71">U62*(1+V63)</f>
        <v>-20984</v>
      </c>
      <c r="W62" s="69">
        <f t="shared" ref="W62" si="72">V62*(1+W63)</f>
        <v>-20984</v>
      </c>
      <c r="X62" s="69">
        <f t="shared" ref="X62" si="73">W62*(1+X63)</f>
        <v>-20984</v>
      </c>
      <c r="Y62" s="69">
        <f t="shared" ref="Y62" si="74">X62*(1+Y63)</f>
        <v>-20984</v>
      </c>
    </row>
    <row r="63" spans="5:25" ht="15" customHeight="1" x14ac:dyDescent="0.2">
      <c r="E63" s="132" t="s">
        <v>127</v>
      </c>
      <c r="F63" s="24" t="s">
        <v>7</v>
      </c>
      <c r="G63" s="24"/>
      <c r="H63" s="69"/>
      <c r="I63" s="175">
        <f>IFERROR((I62/H62-1),"NA")</f>
        <v>-0.3941836019621584</v>
      </c>
      <c r="J63" s="175">
        <f t="shared" ref="J63:N63" si="75">IFERROR((J62/I62-1),"NA")</f>
        <v>4.2047426257952578</v>
      </c>
      <c r="K63" s="175">
        <f t="shared" si="75"/>
        <v>-0.88254250472274698</v>
      </c>
      <c r="L63" s="175">
        <f t="shared" si="75"/>
        <v>2.2090823084200566</v>
      </c>
      <c r="M63" s="175">
        <f t="shared" si="75"/>
        <v>1.2709316037735849</v>
      </c>
      <c r="N63" s="175">
        <f t="shared" si="75"/>
        <v>-2.1038556406594831</v>
      </c>
      <c r="O63" s="175">
        <f>IFERROR((O62/N62-1),"NA")</f>
        <v>1.4678348818064211</v>
      </c>
      <c r="P63" s="173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3">
        <v>0</v>
      </c>
    </row>
    <row r="64" spans="5:25" ht="15" customHeight="1" x14ac:dyDescent="0.2">
      <c r="E64" s="2" t="s">
        <v>200</v>
      </c>
      <c r="F64" s="24" t="s">
        <v>25</v>
      </c>
      <c r="G64" s="24"/>
      <c r="H64" s="170">
        <v>855.76</v>
      </c>
      <c r="I64" s="171">
        <v>914.25</v>
      </c>
      <c r="J64" s="171">
        <v>1057.57</v>
      </c>
      <c r="K64" s="171">
        <v>1267.9000000000001</v>
      </c>
      <c r="L64" s="171">
        <v>1547.2</v>
      </c>
      <c r="M64" s="171">
        <v>2572.64</v>
      </c>
      <c r="N64" s="171">
        <v>2560.98</v>
      </c>
      <c r="O64" s="172">
        <v>2058.54</v>
      </c>
      <c r="P64" s="69">
        <f>O64*(1+P65)</f>
        <v>2383.8850620643011</v>
      </c>
      <c r="Q64" s="69">
        <f t="shared" ref="Q64:Y64" si="76">P64*(1+Q65)</f>
        <v>2796.2880258450014</v>
      </c>
      <c r="R64" s="69">
        <f t="shared" si="76"/>
        <v>3289.1139881576073</v>
      </c>
      <c r="S64" s="69">
        <f t="shared" si="76"/>
        <v>3850.1826789088245</v>
      </c>
      <c r="T64" s="69">
        <f t="shared" si="76"/>
        <v>4443.1732204558766</v>
      </c>
      <c r="U64" s="69">
        <f t="shared" si="76"/>
        <v>3997.2500688731529</v>
      </c>
      <c r="V64" s="69">
        <f t="shared" si="76"/>
        <v>3213.0274960281376</v>
      </c>
      <c r="W64" s="69">
        <f t="shared" si="76"/>
        <v>3151.7486177549163</v>
      </c>
      <c r="X64" s="69">
        <f t="shared" si="76"/>
        <v>3293.4219766494462</v>
      </c>
      <c r="Y64" s="69">
        <f t="shared" si="76"/>
        <v>3549.5638102311973</v>
      </c>
    </row>
    <row r="65" spans="3:26" ht="15" customHeight="1" x14ac:dyDescent="0.2">
      <c r="E65" s="132" t="s">
        <v>127</v>
      </c>
      <c r="F65" s="24" t="s">
        <v>7</v>
      </c>
      <c r="G65" s="24"/>
      <c r="H65" s="69"/>
      <c r="I65" s="175">
        <f>IFERROR((I64/H64-1),"NA")</f>
        <v>6.8348602411891113E-2</v>
      </c>
      <c r="J65" s="175">
        <f t="shared" ref="J65:N65" si="77">IFERROR((J64/I64-1),"NA")</f>
        <v>0.15676237353021594</v>
      </c>
      <c r="K65" s="175">
        <f t="shared" si="77"/>
        <v>0.19888045235776364</v>
      </c>
      <c r="L65" s="175">
        <f t="shared" si="77"/>
        <v>0.22028551147566833</v>
      </c>
      <c r="M65" s="175">
        <f t="shared" si="77"/>
        <v>0.66277145811789029</v>
      </c>
      <c r="N65" s="175">
        <f t="shared" si="77"/>
        <v>-4.5323092232103512E-3</v>
      </c>
      <c r="O65" s="175">
        <f>IFERROR((O64/N64-1),"NA")</f>
        <v>-0.1961905208162501</v>
      </c>
      <c r="P65" s="173">
        <f>AVERAGE(I65:$O$65)</f>
        <v>0.1580465096934241</v>
      </c>
      <c r="Q65" s="312">
        <f>AVERAGE(J65:$O$65)</f>
        <v>0.17299616090701297</v>
      </c>
      <c r="R65" s="312">
        <f>AVERAGE(K65:$O$65)</f>
        <v>0.17624291838237235</v>
      </c>
      <c r="S65" s="312">
        <f>AVERAGE(L65:$O$65)</f>
        <v>0.17058353488852454</v>
      </c>
      <c r="T65" s="312">
        <f>AVERAGE(M65:$O$65)</f>
        <v>0.1540162093594766</v>
      </c>
      <c r="U65" s="312">
        <f>AVERAGE(N65:$O$65)</f>
        <v>-0.10036141501973023</v>
      </c>
      <c r="V65" s="312">
        <f>AVERAGE(O65:$O$65)</f>
        <v>-0.1961905208162501</v>
      </c>
      <c r="W65" s="312">
        <f>AVERAGE($O65:P$65)</f>
        <v>-1.9072005561413002E-2</v>
      </c>
      <c r="X65" s="312">
        <f>AVERAGE($O65:Q$65)</f>
        <v>4.495071659472899E-2</v>
      </c>
      <c r="Y65" s="313">
        <f>AVERAGE($O65:R$65)</f>
        <v>7.7773767041639824E-2</v>
      </c>
    </row>
    <row r="66" spans="3:26" ht="15" customHeight="1" x14ac:dyDescent="0.2">
      <c r="E66" s="2" t="s">
        <v>201</v>
      </c>
      <c r="F66" s="24" t="s">
        <v>25</v>
      </c>
      <c r="G66" s="24"/>
      <c r="H66" s="170">
        <v>5.51</v>
      </c>
      <c r="I66" s="171">
        <v>5.87</v>
      </c>
      <c r="J66" s="171">
        <v>5.6</v>
      </c>
      <c r="K66" s="171">
        <v>8.2200000000000006</v>
      </c>
      <c r="L66" s="171">
        <v>7.62</v>
      </c>
      <c r="M66" s="171">
        <v>9.5500000000000007</v>
      </c>
      <c r="N66" s="171">
        <v>11.22</v>
      </c>
      <c r="O66" s="172">
        <v>12.95</v>
      </c>
      <c r="P66" s="69">
        <f>O66*(1+P67)</f>
        <v>12.95</v>
      </c>
      <c r="Q66" s="69">
        <f t="shared" ref="Q66" si="78">P66*(1+Q67)</f>
        <v>12.95</v>
      </c>
      <c r="R66" s="69">
        <f t="shared" ref="R66" si="79">Q66*(1+R67)</f>
        <v>12.95</v>
      </c>
      <c r="S66" s="69">
        <f t="shared" ref="S66" si="80">R66*(1+S67)</f>
        <v>12.95</v>
      </c>
      <c r="T66" s="69">
        <f t="shared" ref="T66" si="81">S66*(1+T67)</f>
        <v>12.95</v>
      </c>
      <c r="U66" s="69">
        <f t="shared" ref="U66" si="82">T66*(1+U67)</f>
        <v>12.95</v>
      </c>
      <c r="V66" s="69">
        <f t="shared" ref="V66" si="83">U66*(1+V67)</f>
        <v>12.95</v>
      </c>
      <c r="W66" s="69">
        <f t="shared" ref="W66" si="84">V66*(1+W67)</f>
        <v>12.95</v>
      </c>
      <c r="X66" s="69">
        <f t="shared" ref="X66" si="85">W66*(1+X67)</f>
        <v>12.95</v>
      </c>
      <c r="Y66" s="69">
        <f t="shared" ref="Y66" si="86">X66*(1+Y67)</f>
        <v>12.95</v>
      </c>
      <c r="Z66" s="134"/>
    </row>
    <row r="67" spans="3:26" ht="15" customHeight="1" x14ac:dyDescent="0.2">
      <c r="E67" s="132" t="s">
        <v>127</v>
      </c>
      <c r="F67" s="24" t="s">
        <v>7</v>
      </c>
      <c r="G67" s="24"/>
      <c r="H67" s="69"/>
      <c r="I67" s="175">
        <f>IFERROR((I66/H66-1),"NA")</f>
        <v>6.5335753176043676E-2</v>
      </c>
      <c r="J67" s="175">
        <f t="shared" ref="J67:N67" si="87">IFERROR((J66/I66-1),"NA")</f>
        <v>-4.5996592844974482E-2</v>
      </c>
      <c r="K67" s="175">
        <f t="shared" si="87"/>
        <v>0.46785714285714297</v>
      </c>
      <c r="L67" s="175">
        <f t="shared" si="87"/>
        <v>-7.2992700729927029E-2</v>
      </c>
      <c r="M67" s="175">
        <f t="shared" si="87"/>
        <v>0.25328083989501327</v>
      </c>
      <c r="N67" s="175">
        <f t="shared" si="87"/>
        <v>0.17486910994764404</v>
      </c>
      <c r="O67" s="175">
        <f>IFERROR((O66/N66-1),"NA")</f>
        <v>0.15418894830659524</v>
      </c>
      <c r="P67" s="173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3">
        <v>0</v>
      </c>
    </row>
    <row r="68" spans="3:26" ht="15" customHeight="1" x14ac:dyDescent="0.2">
      <c r="E68" s="1" t="s">
        <v>230</v>
      </c>
      <c r="F68" s="24" t="s">
        <v>25</v>
      </c>
      <c r="G68" s="24"/>
      <c r="H68" s="67">
        <f>H62+H64+H66</f>
        <v>3715.2700000000004</v>
      </c>
      <c r="I68" s="67">
        <f t="shared" ref="I68:Y68" si="88">I62+I64+I66</f>
        <v>2649.12</v>
      </c>
      <c r="J68" s="67">
        <f t="shared" si="88"/>
        <v>10062.17</v>
      </c>
      <c r="K68" s="67">
        <f t="shared" si="88"/>
        <v>2333.12</v>
      </c>
      <c r="L68" s="67">
        <f t="shared" si="88"/>
        <v>4946.82</v>
      </c>
      <c r="M68" s="67">
        <f t="shared" si="88"/>
        <v>10285.189999999999</v>
      </c>
      <c r="N68" s="67">
        <f t="shared" si="88"/>
        <v>-5930.8</v>
      </c>
      <c r="O68" s="67">
        <f t="shared" si="88"/>
        <v>-18912.509999999998</v>
      </c>
      <c r="P68" s="67">
        <f t="shared" si="88"/>
        <v>-18587.164937935697</v>
      </c>
      <c r="Q68" s="67">
        <f t="shared" si="88"/>
        <v>-18174.761974154997</v>
      </c>
      <c r="R68" s="67">
        <f t="shared" si="88"/>
        <v>-17681.93601184239</v>
      </c>
      <c r="S68" s="67">
        <f t="shared" si="88"/>
        <v>-17120.867321091177</v>
      </c>
      <c r="T68" s="67">
        <f t="shared" si="88"/>
        <v>-16527.876779544124</v>
      </c>
      <c r="U68" s="67">
        <f t="shared" si="88"/>
        <v>-16973.799931126847</v>
      </c>
      <c r="V68" s="67">
        <f t="shared" si="88"/>
        <v>-17758.022503971861</v>
      </c>
      <c r="W68" s="67">
        <f t="shared" si="88"/>
        <v>-17819.301382245085</v>
      </c>
      <c r="X68" s="67">
        <f t="shared" si="88"/>
        <v>-17677.628023350553</v>
      </c>
      <c r="Y68" s="67">
        <f t="shared" si="88"/>
        <v>-17421.486189768802</v>
      </c>
    </row>
    <row r="69" spans="3:26" ht="15" customHeight="1" x14ac:dyDescent="0.2">
      <c r="E69" s="1" t="s">
        <v>202</v>
      </c>
      <c r="F69" s="24" t="s">
        <v>25</v>
      </c>
      <c r="G69" s="24"/>
      <c r="H69" s="94">
        <f t="shared" ref="H69:Y69" si="89">SUM(H59,H68)</f>
        <v>4596.509</v>
      </c>
      <c r="I69" s="94">
        <f t="shared" si="89"/>
        <v>3635.5679999999998</v>
      </c>
      <c r="J69" s="94">
        <f t="shared" si="89"/>
        <v>11217.671</v>
      </c>
      <c r="K69" s="94">
        <f t="shared" si="89"/>
        <v>3805.1509999999998</v>
      </c>
      <c r="L69" s="94">
        <f t="shared" si="89"/>
        <v>6844.3379999999997</v>
      </c>
      <c r="M69" s="94">
        <f t="shared" si="89"/>
        <v>13256.607999999998</v>
      </c>
      <c r="N69" s="94">
        <f t="shared" si="89"/>
        <v>-3050.3390000000004</v>
      </c>
      <c r="O69" s="94">
        <f t="shared" si="89"/>
        <v>-16187.055999999999</v>
      </c>
      <c r="P69" s="94">
        <f t="shared" si="89"/>
        <v>-15861.710937935697</v>
      </c>
      <c r="Q69" s="94">
        <f t="shared" si="89"/>
        <v>-15449.307974154997</v>
      </c>
      <c r="R69" s="94">
        <f t="shared" si="89"/>
        <v>-14956.48201184239</v>
      </c>
      <c r="S69" s="94">
        <f t="shared" si="89"/>
        <v>-14395.413321091177</v>
      </c>
      <c r="T69" s="94">
        <f t="shared" si="89"/>
        <v>-13802.422779544124</v>
      </c>
      <c r="U69" s="94">
        <f t="shared" si="89"/>
        <v>-14248.345931126847</v>
      </c>
      <c r="V69" s="94">
        <f t="shared" si="89"/>
        <v>-15032.568503971861</v>
      </c>
      <c r="W69" s="94">
        <f t="shared" si="89"/>
        <v>-15093.847382245085</v>
      </c>
      <c r="X69" s="94">
        <f t="shared" si="89"/>
        <v>-14952.174023350553</v>
      </c>
      <c r="Y69" s="94">
        <f t="shared" si="89"/>
        <v>-14696.032189768803</v>
      </c>
    </row>
    <row r="70" spans="3:26" ht="15" customHeight="1" x14ac:dyDescent="0.2">
      <c r="E70" s="2"/>
      <c r="F70" s="24"/>
      <c r="G70" s="24"/>
      <c r="H70" s="49"/>
      <c r="I70" s="49"/>
      <c r="J70" s="4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3:26" ht="15" customHeight="1" x14ac:dyDescent="0.2">
      <c r="E71" s="1" t="s">
        <v>228</v>
      </c>
      <c r="F71" s="24" t="s">
        <v>25</v>
      </c>
      <c r="G71" s="24"/>
      <c r="H71" s="94">
        <f t="shared" ref="H71:O71" si="90">SUM(H49,H69)</f>
        <v>4787.4889999999996</v>
      </c>
      <c r="I71" s="94">
        <f t="shared" si="90"/>
        <v>3818.6309999999999</v>
      </c>
      <c r="J71" s="94">
        <f t="shared" si="90"/>
        <v>11442.614</v>
      </c>
      <c r="K71" s="94">
        <f t="shared" si="90"/>
        <v>4140.8029999999999</v>
      </c>
      <c r="L71" s="94">
        <f t="shared" si="90"/>
        <v>7189.9809999999998</v>
      </c>
      <c r="M71" s="94">
        <f t="shared" si="90"/>
        <v>13876.697999999999</v>
      </c>
      <c r="N71" s="94">
        <f t="shared" si="90"/>
        <v>-2387.1690000000003</v>
      </c>
      <c r="O71" s="94">
        <f t="shared" si="90"/>
        <v>-15145.511999999999</v>
      </c>
      <c r="P71" s="94">
        <f>SUM(P49,P69)</f>
        <v>-14658.719377360616</v>
      </c>
      <c r="Q71" s="94">
        <f t="shared" ref="Q71:Y71" si="91">SUM(Q49,Q69)</f>
        <v>-14261.953112180627</v>
      </c>
      <c r="R71" s="94">
        <f t="shared" si="91"/>
        <v>-13790.265317114778</v>
      </c>
      <c r="S71" s="94">
        <f t="shared" si="91"/>
        <v>-13251.463180143581</v>
      </c>
      <c r="T71" s="94">
        <f t="shared" si="91"/>
        <v>-12695.141961693782</v>
      </c>
      <c r="U71" s="94">
        <f t="shared" si="91"/>
        <v>-13177.137634220056</v>
      </c>
      <c r="V71" s="94">
        <f t="shared" si="91"/>
        <v>-13996.919392584727</v>
      </c>
      <c r="W71" s="94">
        <f t="shared" si="91"/>
        <v>-14093.313021081798</v>
      </c>
      <c r="X71" s="94">
        <f t="shared" si="91"/>
        <v>-13986.364284663698</v>
      </c>
      <c r="Y71" s="94">
        <f t="shared" si="91"/>
        <v>-13764.596390408617</v>
      </c>
    </row>
    <row r="72" spans="3:26" ht="15" customHeight="1" x14ac:dyDescent="0.2">
      <c r="C72" s="2"/>
      <c r="D72" s="2"/>
      <c r="E72" s="135"/>
      <c r="F72" s="24"/>
      <c r="G72" s="24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</row>
    <row r="73" spans="3:26" ht="15" customHeight="1" x14ac:dyDescent="0.2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4622.5600000000004</v>
      </c>
      <c r="I73" s="27">
        <f t="shared" si="92"/>
        <v>3656.6779999999999</v>
      </c>
      <c r="J73" s="27">
        <f t="shared" si="92"/>
        <v>11263.132</v>
      </c>
      <c r="K73" s="27">
        <f t="shared" si="92"/>
        <v>3907.8490000000002</v>
      </c>
      <c r="L73" s="27">
        <f t="shared" si="92"/>
        <v>6997.13</v>
      </c>
      <c r="M73" s="27">
        <f t="shared" si="92"/>
        <v>13491.608</v>
      </c>
      <c r="N73" s="27">
        <f t="shared" si="92"/>
        <v>-2808.357</v>
      </c>
      <c r="O73" s="27">
        <f t="shared" si="92"/>
        <v>-15607.7</v>
      </c>
      <c r="P73" s="27">
        <f t="shared" si="92"/>
        <v>-15103.509021845817</v>
      </c>
      <c r="Q73" s="27">
        <f t="shared" si="92"/>
        <v>-14676.744844398549</v>
      </c>
      <c r="R73" s="27">
        <f t="shared" si="92"/>
        <v>-14173.26025352256</v>
      </c>
      <c r="S73" s="27">
        <f t="shared" si="92"/>
        <v>-13601.066952821704</v>
      </c>
      <c r="T73" s="27">
        <f t="shared" si="92"/>
        <v>-13008.843128768229</v>
      </c>
      <c r="U73" s="27">
        <f t="shared" si="92"/>
        <v>-13453.295022461858</v>
      </c>
      <c r="V73" s="27">
        <f t="shared" si="92"/>
        <v>-14233.802592136104</v>
      </c>
      <c r="W73" s="27">
        <f t="shared" si="92"/>
        <v>-14289.099110796371</v>
      </c>
      <c r="X73" s="27">
        <f t="shared" si="92"/>
        <v>-14139.134349219839</v>
      </c>
      <c r="Y73" s="27">
        <f t="shared" si="92"/>
        <v>-13872.33183418453</v>
      </c>
    </row>
    <row r="74" spans="3:26" ht="15" customHeight="1" x14ac:dyDescent="0.2">
      <c r="C74" s="2"/>
      <c r="D74" s="2"/>
      <c r="E74" s="1" t="s">
        <v>251</v>
      </c>
      <c r="F74" s="24" t="s">
        <v>25</v>
      </c>
      <c r="G74" s="24"/>
      <c r="H74" s="27">
        <f t="shared" ref="H74:Y74" si="93">H31+H33+H51</f>
        <v>35.018999999999998</v>
      </c>
      <c r="I74" s="27">
        <f t="shared" si="93"/>
        <v>29.593</v>
      </c>
      <c r="J74" s="27">
        <f t="shared" si="93"/>
        <v>41.052</v>
      </c>
      <c r="K74" s="27">
        <f t="shared" si="93"/>
        <v>46.064</v>
      </c>
      <c r="L74" s="27">
        <f t="shared" si="93"/>
        <v>31.551000000000002</v>
      </c>
      <c r="M74" s="27">
        <f t="shared" si="93"/>
        <v>71.429999999999993</v>
      </c>
      <c r="N74" s="27">
        <f t="shared" si="93"/>
        <v>65.647999999999996</v>
      </c>
      <c r="O74" s="27">
        <f t="shared" si="93"/>
        <v>49.948</v>
      </c>
      <c r="P74" s="27">
        <f t="shared" si="93"/>
        <v>53.536734957402182</v>
      </c>
      <c r="Q74" s="27">
        <f t="shared" si="93"/>
        <v>53.824908099080346</v>
      </c>
      <c r="R74" s="27">
        <f t="shared" si="93"/>
        <v>54.038784902977596</v>
      </c>
      <c r="S74" s="27">
        <f t="shared" si="93"/>
        <v>54.26201212273515</v>
      </c>
      <c r="T74" s="27">
        <f t="shared" si="93"/>
        <v>54.246627114612977</v>
      </c>
      <c r="U74" s="27">
        <f t="shared" si="93"/>
        <v>54.276149480755812</v>
      </c>
      <c r="V74" s="27">
        <f t="shared" si="93"/>
        <v>54.350695000370003</v>
      </c>
      <c r="W74" s="27">
        <f t="shared" si="93"/>
        <v>54.470737456692952</v>
      </c>
      <c r="X74" s="27">
        <f t="shared" si="93"/>
        <v>54.637113336564028</v>
      </c>
      <c r="Y74" s="27">
        <f t="shared" si="93"/>
        <v>54.85103133390254</v>
      </c>
    </row>
    <row r="75" spans="3:26" ht="15" customHeight="1" x14ac:dyDescent="0.2">
      <c r="C75" s="2"/>
      <c r="D75" s="2"/>
      <c r="E75" s="2" t="s">
        <v>252</v>
      </c>
      <c r="F75" s="24"/>
      <c r="G75" s="24"/>
      <c r="H75" s="27"/>
      <c r="I75" s="27">
        <f t="shared" ref="I75:Y75" si="94">H74-I74</f>
        <v>5.4259999999999984</v>
      </c>
      <c r="J75" s="27">
        <f t="shared" si="94"/>
        <v>-11.459</v>
      </c>
      <c r="K75" s="27">
        <f t="shared" si="94"/>
        <v>-5.0120000000000005</v>
      </c>
      <c r="L75" s="27">
        <f t="shared" si="94"/>
        <v>14.512999999999998</v>
      </c>
      <c r="M75" s="27">
        <f t="shared" si="94"/>
        <v>-39.878999999999991</v>
      </c>
      <c r="N75" s="27">
        <f t="shared" si="94"/>
        <v>5.7819999999999965</v>
      </c>
      <c r="O75" s="27">
        <f t="shared" si="94"/>
        <v>15.699999999999996</v>
      </c>
      <c r="P75" s="27">
        <f>O74-P74</f>
        <v>-3.5887349574021812</v>
      </c>
      <c r="Q75" s="27">
        <f t="shared" si="94"/>
        <v>-0.28817314167816477</v>
      </c>
      <c r="R75" s="27">
        <f t="shared" si="94"/>
        <v>-0.21387680389725006</v>
      </c>
      <c r="S75" s="27">
        <f t="shared" si="94"/>
        <v>-0.223227219757554</v>
      </c>
      <c r="T75" s="27">
        <f t="shared" si="94"/>
        <v>1.538500812217336E-2</v>
      </c>
      <c r="U75" s="27">
        <f t="shared" si="94"/>
        <v>-2.952236614283521E-2</v>
      </c>
      <c r="V75" s="27">
        <f t="shared" si="94"/>
        <v>-7.4545519614190425E-2</v>
      </c>
      <c r="W75" s="27">
        <f t="shared" si="94"/>
        <v>-0.12004245632294896</v>
      </c>
      <c r="X75" s="27">
        <f t="shared" si="94"/>
        <v>-0.16637587987107594</v>
      </c>
      <c r="Y75" s="27">
        <f t="shared" si="94"/>
        <v>-0.21391799733851258</v>
      </c>
    </row>
    <row r="76" spans="3:26" ht="15" customHeight="1" x14ac:dyDescent="0.2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">
      <c r="C77" s="125" t="s">
        <v>211</v>
      </c>
      <c r="D77" s="126"/>
      <c r="E77" s="126"/>
      <c r="F77" s="127"/>
      <c r="G77" s="127"/>
      <c r="H77" s="137"/>
      <c r="I77" s="137"/>
      <c r="J77" s="137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</row>
    <row r="78" spans="3:26" ht="15" customHeight="1" x14ac:dyDescent="0.2">
      <c r="C78" s="2"/>
      <c r="D78" s="2"/>
      <c r="E78" s="2"/>
      <c r="F78" s="24"/>
      <c r="G78" s="24"/>
      <c r="H78" s="49"/>
      <c r="I78" s="49"/>
      <c r="J78" s="4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3:26" ht="15" customHeight="1" x14ac:dyDescent="0.2">
      <c r="E79" s="2" t="s">
        <v>203</v>
      </c>
      <c r="F79" s="24" t="s">
        <v>25</v>
      </c>
      <c r="G79" s="24"/>
      <c r="H79" s="170">
        <v>0</v>
      </c>
      <c r="I79" s="171">
        <v>7472</v>
      </c>
      <c r="J79" s="171">
        <v>-2969</v>
      </c>
      <c r="K79" s="171">
        <v>7419</v>
      </c>
      <c r="L79" s="171">
        <v>6982</v>
      </c>
      <c r="M79" s="171" t="s">
        <v>296</v>
      </c>
      <c r="N79" s="171">
        <v>0</v>
      </c>
      <c r="O79" s="172">
        <v>61179</v>
      </c>
      <c r="P79" s="300"/>
      <c r="Q79" s="301"/>
      <c r="R79" s="301"/>
      <c r="S79" s="301"/>
      <c r="T79" s="301"/>
      <c r="U79" s="301"/>
      <c r="V79" s="301"/>
      <c r="W79" s="301"/>
      <c r="X79" s="301"/>
      <c r="Y79" s="174"/>
    </row>
    <row r="80" spans="3:26" ht="15" customHeight="1" thickBot="1" x14ac:dyDescent="0.25">
      <c r="E80" s="2" t="s">
        <v>204</v>
      </c>
      <c r="F80" s="24" t="s">
        <v>25</v>
      </c>
      <c r="G80" s="24"/>
      <c r="H80" s="170">
        <v>-342</v>
      </c>
      <c r="I80" s="171">
        <v>-2100</v>
      </c>
      <c r="J80" s="171">
        <v>-4182</v>
      </c>
      <c r="K80" s="171">
        <v>-4576</v>
      </c>
      <c r="L80" s="171">
        <v>-3800</v>
      </c>
      <c r="M80" s="171">
        <v>-2972</v>
      </c>
      <c r="N80" s="171">
        <v>-1529</v>
      </c>
      <c r="O80" s="172">
        <v>-1465</v>
      </c>
      <c r="P80" s="170"/>
      <c r="Q80" s="171"/>
      <c r="R80" s="171"/>
      <c r="S80" s="171"/>
      <c r="T80" s="171"/>
      <c r="U80" s="171"/>
      <c r="V80" s="171"/>
      <c r="W80" s="171"/>
      <c r="X80" s="171"/>
      <c r="Y80" s="172"/>
    </row>
    <row r="81" spans="3:27" ht="15" customHeight="1" thickBot="1" x14ac:dyDescent="0.25">
      <c r="E81" s="2" t="s">
        <v>205</v>
      </c>
      <c r="F81" s="24" t="s">
        <v>25</v>
      </c>
      <c r="G81" s="24"/>
      <c r="H81" s="170">
        <v>15.18</v>
      </c>
      <c r="I81" s="171">
        <v>8.84</v>
      </c>
      <c r="J81" s="171">
        <v>4.51</v>
      </c>
      <c r="K81" s="171">
        <v>6.62</v>
      </c>
      <c r="L81" s="171">
        <v>7.56</v>
      </c>
      <c r="M81" s="171">
        <v>9.81</v>
      </c>
      <c r="N81" s="171">
        <v>28.61</v>
      </c>
      <c r="O81" s="172">
        <v>28.09</v>
      </c>
      <c r="P81" s="32">
        <f>O81*(1+$Z$81)</f>
        <v>29.494500000000002</v>
      </c>
      <c r="Q81" s="32">
        <f t="shared" ref="Q81:Y81" si="95">P81*(1+$Z$81)</f>
        <v>30.969225000000005</v>
      </c>
      <c r="R81" s="32">
        <f t="shared" si="95"/>
        <v>32.517686250000004</v>
      </c>
      <c r="S81" s="32">
        <f t="shared" si="95"/>
        <v>34.143570562500003</v>
      </c>
      <c r="T81" s="32">
        <f t="shared" si="95"/>
        <v>35.850749090625001</v>
      </c>
      <c r="U81" s="32">
        <f t="shared" si="95"/>
        <v>37.643286545156251</v>
      </c>
      <c r="V81" s="32">
        <f t="shared" si="95"/>
        <v>39.525450872414062</v>
      </c>
      <c r="W81" s="32">
        <f t="shared" si="95"/>
        <v>41.501723416034764</v>
      </c>
      <c r="X81" s="32">
        <f t="shared" si="95"/>
        <v>43.576809586836504</v>
      </c>
      <c r="Y81" s="32">
        <f t="shared" si="95"/>
        <v>45.755650066178333</v>
      </c>
      <c r="Z81" s="133">
        <v>0.05</v>
      </c>
      <c r="AA81" s="18" t="s">
        <v>161</v>
      </c>
    </row>
    <row r="82" spans="3:27" ht="15" customHeight="1" x14ac:dyDescent="0.2">
      <c r="E82" s="1" t="s">
        <v>258</v>
      </c>
      <c r="F82" s="24" t="s">
        <v>25</v>
      </c>
      <c r="G82" s="24"/>
      <c r="H82" s="69">
        <f>SUM(H79:H81)</f>
        <v>-326.82</v>
      </c>
      <c r="I82" s="69">
        <f t="shared" ref="I82:O82" si="96">SUM(I79:I81)</f>
        <v>5380.84</v>
      </c>
      <c r="J82" s="69">
        <f t="shared" si="96"/>
        <v>-7146.49</v>
      </c>
      <c r="K82" s="69">
        <f t="shared" si="96"/>
        <v>2849.62</v>
      </c>
      <c r="L82" s="69">
        <f t="shared" si="96"/>
        <v>3189.56</v>
      </c>
      <c r="M82" s="69">
        <f t="shared" si="96"/>
        <v>-2962.19</v>
      </c>
      <c r="N82" s="69">
        <f t="shared" si="96"/>
        <v>-1500.39</v>
      </c>
      <c r="O82" s="69">
        <f t="shared" si="96"/>
        <v>59742.09</v>
      </c>
      <c r="P82" s="32">
        <f>AVERAGE(H81:O81)</f>
        <v>13.6525</v>
      </c>
      <c r="Q82" s="32">
        <f t="shared" ref="Q82:Y82" si="97">AVERAGE(I81:P81)</f>
        <v>15.441812499999999</v>
      </c>
      <c r="R82" s="32">
        <f t="shared" si="97"/>
        <v>18.207965625</v>
      </c>
      <c r="S82" s="32">
        <f t="shared" si="97"/>
        <v>21.708926406250001</v>
      </c>
      <c r="T82" s="32">
        <f t="shared" si="97"/>
        <v>25.1493727265625</v>
      </c>
      <c r="U82" s="32">
        <f t="shared" si="97"/>
        <v>28.685716362890631</v>
      </c>
      <c r="V82" s="32">
        <f t="shared" si="97"/>
        <v>32.164877181035159</v>
      </c>
      <c r="W82" s="32">
        <f t="shared" si="97"/>
        <v>33.529308540086916</v>
      </c>
      <c r="X82" s="32">
        <f t="shared" si="97"/>
        <v>35.205773967091261</v>
      </c>
      <c r="Y82" s="32">
        <f t="shared" si="97"/>
        <v>36.966062665445826</v>
      </c>
      <c r="Z82" s="280"/>
      <c r="AA82" s="18"/>
    </row>
    <row r="83" spans="3:27" ht="15" customHeight="1" x14ac:dyDescent="0.2">
      <c r="E83" s="2"/>
      <c r="F83" s="24"/>
      <c r="G83" s="24"/>
      <c r="H83" s="130"/>
      <c r="I83" s="130"/>
      <c r="J83" s="130"/>
      <c r="K83" s="130"/>
      <c r="L83" s="130"/>
      <c r="M83" s="130"/>
      <c r="N83" s="130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AA83" s="83"/>
    </row>
    <row r="84" spans="3:27" ht="15" customHeight="1" x14ac:dyDescent="0.2">
      <c r="E84" s="2" t="s">
        <v>206</v>
      </c>
      <c r="F84" s="24" t="s">
        <v>25</v>
      </c>
      <c r="G84" s="24"/>
      <c r="H84" s="284">
        <f>(H64+H53)-H29</f>
        <v>798.72</v>
      </c>
      <c r="I84" s="284">
        <f t="shared" ref="I84:O84" si="98">(I64+I53)-I29</f>
        <v>914.24799999999993</v>
      </c>
      <c r="J84" s="284">
        <f t="shared" si="98"/>
        <v>1057.57</v>
      </c>
      <c r="K84" s="284">
        <f t="shared" si="98"/>
        <v>1267.8990000000001</v>
      </c>
      <c r="L84" s="284">
        <f t="shared" si="98"/>
        <v>1547.17</v>
      </c>
      <c r="M84" s="284">
        <f t="shared" si="98"/>
        <v>2572.6379999999999</v>
      </c>
      <c r="N84" s="284">
        <f t="shared" si="98"/>
        <v>2560.9830000000002</v>
      </c>
      <c r="O84" s="284">
        <f t="shared" si="98"/>
        <v>2058.52</v>
      </c>
      <c r="P84" s="139"/>
      <c r="Q84" s="139"/>
      <c r="R84" s="27"/>
      <c r="S84" s="139"/>
      <c r="T84" s="139"/>
      <c r="U84" s="139"/>
      <c r="V84" s="139"/>
      <c r="W84" s="139"/>
      <c r="X84" s="139"/>
      <c r="Y84" s="139"/>
    </row>
    <row r="85" spans="3:27" ht="15" customHeight="1" x14ac:dyDescent="0.2">
      <c r="E85" s="2" t="s">
        <v>207</v>
      </c>
      <c r="F85" s="24" t="s">
        <v>25</v>
      </c>
      <c r="G85" s="24"/>
      <c r="H85" s="281">
        <v>31.39</v>
      </c>
      <c r="I85" s="282">
        <v>35.15</v>
      </c>
      <c r="J85" s="282">
        <v>36.270000000000003</v>
      </c>
      <c r="K85" s="282">
        <v>46.1</v>
      </c>
      <c r="L85" s="282">
        <v>30.34</v>
      </c>
      <c r="M85" s="282">
        <v>58.05</v>
      </c>
      <c r="N85" s="282">
        <v>64.3</v>
      </c>
      <c r="O85" s="283">
        <v>57.71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spans="3:27" ht="15" customHeight="1" x14ac:dyDescent="0.2">
      <c r="E86" s="2"/>
      <c r="F86" s="24"/>
      <c r="G86" s="24"/>
      <c r="H86" s="49"/>
      <c r="I86" s="49"/>
      <c r="J86" s="4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3:27" ht="15" customHeight="1" x14ac:dyDescent="0.2">
      <c r="C87" s="125" t="s">
        <v>255</v>
      </c>
      <c r="D87" s="126"/>
      <c r="E87" s="126"/>
      <c r="F87" s="127"/>
      <c r="G87" s="127"/>
      <c r="H87" s="137"/>
      <c r="I87" s="137"/>
      <c r="J87" s="137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</row>
    <row r="89" spans="3:27" ht="15" customHeight="1" x14ac:dyDescent="0.2">
      <c r="E89" s="144" t="s">
        <v>214</v>
      </c>
      <c r="F89" s="84"/>
      <c r="G89" s="84"/>
      <c r="H89" s="364"/>
      <c r="I89" s="84"/>
      <c r="J89" s="84"/>
      <c r="K89" s="84"/>
      <c r="L89" s="84"/>
      <c r="M89" s="84"/>
      <c r="N89" s="84"/>
      <c r="O89" s="84"/>
      <c r="P89" s="84"/>
      <c r="Q89" s="84"/>
      <c r="R89" s="84"/>
    </row>
    <row r="90" spans="3:27" ht="15" customHeight="1" x14ac:dyDescent="0.2">
      <c r="E90" s="330"/>
      <c r="F90" s="329"/>
      <c r="G90" s="329"/>
      <c r="H90" s="329">
        <f t="shared" ref="H90:N90" si="99">EOMONTH(I90,-12)</f>
        <v>42978</v>
      </c>
      <c r="I90" s="329">
        <f t="shared" si="99"/>
        <v>43343</v>
      </c>
      <c r="J90" s="329">
        <f t="shared" si="99"/>
        <v>43708</v>
      </c>
      <c r="K90" s="329">
        <f t="shared" si="99"/>
        <v>44074</v>
      </c>
      <c r="L90" s="329">
        <f t="shared" si="99"/>
        <v>44439</v>
      </c>
      <c r="M90" s="329">
        <f t="shared" si="99"/>
        <v>44804</v>
      </c>
      <c r="N90" s="329">
        <f t="shared" si="99"/>
        <v>45169</v>
      </c>
      <c r="O90" s="332">
        <v>45526</v>
      </c>
      <c r="P90" s="158" t="s">
        <v>213</v>
      </c>
      <c r="Q90" s="84"/>
      <c r="R90" s="84"/>
    </row>
    <row r="91" spans="3:27" ht="15" customHeight="1" x14ac:dyDescent="0.2">
      <c r="E91" s="145" t="s">
        <v>215</v>
      </c>
      <c r="H91" s="142">
        <f>1-(H85/H23)</f>
        <v>0.48380200624897218</v>
      </c>
      <c r="I91" s="142">
        <f t="shared" ref="I91:O91" si="100">1-(I85/I23)</f>
        <v>0.47933639460820621</v>
      </c>
      <c r="J91" s="142">
        <f t="shared" si="100"/>
        <v>0.50733496332518335</v>
      </c>
      <c r="K91" s="142">
        <f t="shared" si="100"/>
        <v>0.35945532860914264</v>
      </c>
      <c r="L91" s="142">
        <f t="shared" si="100"/>
        <v>0.65138458002987476</v>
      </c>
      <c r="M91" s="142">
        <f t="shared" si="100"/>
        <v>0.38978240302743616</v>
      </c>
      <c r="N91" s="142">
        <f t="shared" si="100"/>
        <v>0.32930009387712533</v>
      </c>
      <c r="O91" s="142">
        <f t="shared" si="100"/>
        <v>0.22588866532528495</v>
      </c>
      <c r="P91" s="146">
        <f>AVERAGE(H91:O91)</f>
        <v>0.42828555438140314</v>
      </c>
      <c r="Q91" s="84"/>
      <c r="R91" s="84"/>
    </row>
    <row r="92" spans="3:27" ht="15" customHeight="1" x14ac:dyDescent="0.2">
      <c r="E92" s="145" t="s">
        <v>216</v>
      </c>
      <c r="H92" s="142">
        <f>H17/H26</f>
        <v>0.49240491651205942</v>
      </c>
      <c r="I92" s="142">
        <f t="shared" ref="I92:O92" si="101">I17/I26</f>
        <v>0.51046134532900933</v>
      </c>
      <c r="J92" s="142">
        <f t="shared" si="101"/>
        <v>0.32849399922570655</v>
      </c>
      <c r="K92" s="142">
        <f t="shared" si="101"/>
        <v>0.2286401925391095</v>
      </c>
      <c r="L92" s="142">
        <f t="shared" si="101"/>
        <v>0.29543696829079663</v>
      </c>
      <c r="M92" s="142">
        <f t="shared" si="101"/>
        <v>0.33566109666155985</v>
      </c>
      <c r="N92" s="142">
        <f t="shared" si="101"/>
        <v>0.24815606259047357</v>
      </c>
      <c r="O92" s="142">
        <f t="shared" si="101"/>
        <v>0.2053177291859152</v>
      </c>
      <c r="P92" s="146">
        <f>AVERAGE(H92:O92)</f>
        <v>0.33057153879182877</v>
      </c>
      <c r="Q92" s="84"/>
      <c r="R92" s="84"/>
    </row>
    <row r="93" spans="3:27" ht="15" customHeight="1" x14ac:dyDescent="0.2">
      <c r="E93" s="145" t="s">
        <v>217</v>
      </c>
      <c r="H93" s="142">
        <f>H26/H49</f>
        <v>0.90313121792857887</v>
      </c>
      <c r="I93" s="142">
        <f t="shared" ref="I93:O93" si="102">I26/I49</f>
        <v>1.0443399266919038</v>
      </c>
      <c r="J93" s="142">
        <f t="shared" si="102"/>
        <v>0.91863272028913978</v>
      </c>
      <c r="K93" s="142">
        <f t="shared" si="102"/>
        <v>0.69321797576060917</v>
      </c>
      <c r="L93" s="142">
        <f t="shared" si="102"/>
        <v>0.71076226048263658</v>
      </c>
      <c r="M93" s="142">
        <f t="shared" si="102"/>
        <v>0.45262784434517578</v>
      </c>
      <c r="N93" s="142">
        <f t="shared" si="102"/>
        <v>0.43750471221557058</v>
      </c>
      <c r="O93" s="142">
        <f t="shared" si="102"/>
        <v>0.28057384037544258</v>
      </c>
      <c r="P93" s="146">
        <f>AVERAGE(H93:O93)</f>
        <v>0.68009881226113211</v>
      </c>
      <c r="Q93" s="84"/>
      <c r="R93" s="84"/>
    </row>
    <row r="94" spans="3:27" ht="15" customHeight="1" x14ac:dyDescent="0.2">
      <c r="E94" s="145" t="s">
        <v>218</v>
      </c>
      <c r="H94" s="142">
        <f t="shared" ref="H94:O94" si="103">H49/H71</f>
        <v>3.9891475468664263E-2</v>
      </c>
      <c r="I94" s="142">
        <f t="shared" si="103"/>
        <v>4.7939431696856813E-2</v>
      </c>
      <c r="J94" s="142">
        <f t="shared" si="103"/>
        <v>1.9658357784331448E-2</v>
      </c>
      <c r="K94" s="142">
        <f t="shared" si="103"/>
        <v>8.1059639881443296E-2</v>
      </c>
      <c r="L94" s="142">
        <f t="shared" si="103"/>
        <v>4.8072866951943273E-2</v>
      </c>
      <c r="M94" s="142">
        <f t="shared" si="103"/>
        <v>4.4685702607349387E-2</v>
      </c>
      <c r="N94" s="142">
        <f t="shared" si="103"/>
        <v>-0.27780605394925956</v>
      </c>
      <c r="O94" s="142">
        <f t="shared" si="103"/>
        <v>-6.8769150887734942E-2</v>
      </c>
      <c r="P94" s="146">
        <f>AVERAGE(H94:O94)</f>
        <v>-8.1584663058007559E-3</v>
      </c>
      <c r="Q94" s="84"/>
      <c r="R94" s="84"/>
    </row>
    <row r="95" spans="3:27" ht="15" customHeight="1" x14ac:dyDescent="0.2">
      <c r="E95" s="84"/>
      <c r="K95" s="148"/>
      <c r="L95" s="84"/>
      <c r="M95" s="84"/>
      <c r="N95" s="84"/>
      <c r="O95" s="84"/>
      <c r="P95" s="84"/>
      <c r="Q95" s="84"/>
      <c r="R95" s="84"/>
    </row>
    <row r="96" spans="3:27" ht="15" customHeight="1" x14ac:dyDescent="0.2">
      <c r="E96" s="84" t="s">
        <v>219</v>
      </c>
      <c r="F96" s="149"/>
      <c r="G96" s="149"/>
      <c r="H96" s="166">
        <f>H91*H92*H93*H94</f>
        <v>8.5826420469530505E-3</v>
      </c>
      <c r="I96" s="166">
        <f t="shared" ref="I96:O96" si="104">I91*I92*I93*I94</f>
        <v>1.2250054731607963E-2</v>
      </c>
      <c r="J96" s="166">
        <f t="shared" si="104"/>
        <v>3.0096180217661318E-3</v>
      </c>
      <c r="K96" s="166">
        <f t="shared" si="104"/>
        <v>4.6181920468098556E-3</v>
      </c>
      <c r="L96" s="166">
        <f t="shared" si="104"/>
        <v>6.5754683939454519E-3</v>
      </c>
      <c r="M96" s="166">
        <f t="shared" si="104"/>
        <v>2.6462635555817944E-3</v>
      </c>
      <c r="N96" s="166">
        <f t="shared" si="104"/>
        <v>-9.9321023183331462E-3</v>
      </c>
      <c r="O96" s="166">
        <f t="shared" si="104"/>
        <v>-8.948736707954871E-4</v>
      </c>
      <c r="P96" s="166">
        <f>AVERAGE(H96:O96)</f>
        <v>3.3569078509419511E-3</v>
      </c>
      <c r="Q96" s="84"/>
      <c r="R96" s="84"/>
    </row>
    <row r="97" spans="5:18" ht="15" customHeight="1" x14ac:dyDescent="0.2">
      <c r="E97" s="84"/>
      <c r="F97" s="84"/>
      <c r="G97" s="84"/>
      <c r="H97" s="151"/>
      <c r="I97" s="84"/>
      <c r="J97" s="84"/>
      <c r="K97" s="151"/>
      <c r="L97" s="84"/>
      <c r="M97" s="84"/>
      <c r="N97" s="84"/>
      <c r="O97" s="84"/>
      <c r="P97" s="84"/>
      <c r="Q97" s="84"/>
      <c r="R97" s="84"/>
    </row>
    <row r="98" spans="5:18" ht="15" customHeight="1" x14ac:dyDescent="0.2">
      <c r="E98" s="144" t="s">
        <v>220</v>
      </c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</row>
    <row r="99" spans="5:18" ht="15" customHeight="1" x14ac:dyDescent="0.2">
      <c r="E99" s="330"/>
      <c r="F99" s="330"/>
      <c r="G99" s="330"/>
      <c r="H99" s="329">
        <f t="shared" ref="H99:N99" si="105">EOMONTH(I99,-12)</f>
        <v>42978</v>
      </c>
      <c r="I99" s="329">
        <f t="shared" si="105"/>
        <v>43343</v>
      </c>
      <c r="J99" s="329">
        <f t="shared" si="105"/>
        <v>43708</v>
      </c>
      <c r="K99" s="329">
        <f t="shared" si="105"/>
        <v>44074</v>
      </c>
      <c r="L99" s="329">
        <f t="shared" si="105"/>
        <v>44439</v>
      </c>
      <c r="M99" s="329">
        <f t="shared" si="105"/>
        <v>44804</v>
      </c>
      <c r="N99" s="329">
        <f t="shared" si="105"/>
        <v>45169</v>
      </c>
      <c r="O99" s="332">
        <v>45526</v>
      </c>
      <c r="P99" s="158" t="s">
        <v>213</v>
      </c>
      <c r="Q99" s="84"/>
      <c r="R99" s="84"/>
    </row>
    <row r="100" spans="5:18" ht="15" customHeight="1" x14ac:dyDescent="0.2">
      <c r="E100" s="145" t="s">
        <v>179</v>
      </c>
      <c r="H100" s="73">
        <f>H23</f>
        <v>60.81</v>
      </c>
      <c r="I100" s="73">
        <f t="shared" ref="I100:O100" si="106">I23</f>
        <v>67.510000000000005</v>
      </c>
      <c r="J100" s="73">
        <f t="shared" si="106"/>
        <v>73.62</v>
      </c>
      <c r="K100" s="73">
        <f t="shared" si="106"/>
        <v>71.97</v>
      </c>
      <c r="L100" s="73">
        <f t="shared" si="106"/>
        <v>87.03</v>
      </c>
      <c r="M100" s="73">
        <f t="shared" si="106"/>
        <v>95.13</v>
      </c>
      <c r="N100" s="73">
        <f t="shared" si="106"/>
        <v>95.87</v>
      </c>
      <c r="O100" s="73">
        <f t="shared" si="106"/>
        <v>74.55</v>
      </c>
      <c r="P100" s="73">
        <f>AVERAGE(H100:O100)</f>
        <v>78.311249999999987</v>
      </c>
      <c r="Q100" s="84"/>
      <c r="R100" s="84"/>
    </row>
    <row r="101" spans="5:18" ht="15" customHeight="1" x14ac:dyDescent="0.2">
      <c r="E101" s="145" t="s">
        <v>221</v>
      </c>
      <c r="H101" s="73">
        <f>H71</f>
        <v>4787.4889999999996</v>
      </c>
      <c r="I101" s="73">
        <f t="shared" ref="I101:O101" si="107">I71</f>
        <v>3818.6309999999999</v>
      </c>
      <c r="J101" s="73">
        <f t="shared" si="107"/>
        <v>11442.614</v>
      </c>
      <c r="K101" s="73">
        <f t="shared" si="107"/>
        <v>4140.8029999999999</v>
      </c>
      <c r="L101" s="73">
        <f t="shared" si="107"/>
        <v>7189.9809999999998</v>
      </c>
      <c r="M101" s="73">
        <f t="shared" si="107"/>
        <v>13876.697999999999</v>
      </c>
      <c r="N101" s="73">
        <f t="shared" si="107"/>
        <v>-2387.1690000000003</v>
      </c>
      <c r="O101" s="73">
        <f t="shared" si="107"/>
        <v>-15145.511999999999</v>
      </c>
      <c r="P101" s="73">
        <f>AVERAGE(H101:O101)</f>
        <v>3465.4418749999991</v>
      </c>
      <c r="Q101" s="84"/>
      <c r="R101" s="84"/>
    </row>
    <row r="102" spans="5:18" ht="15" customHeight="1" x14ac:dyDescent="0.2">
      <c r="E102" s="145" t="s">
        <v>210</v>
      </c>
      <c r="H102" s="143">
        <f>'&gt;&gt; Segments'!H91</f>
        <v>0.45304231064438982</v>
      </c>
      <c r="I102" s="143">
        <f>'&gt;&gt; Segments'!I91</f>
        <v>0.46521445322946547</v>
      </c>
      <c r="J102" s="143">
        <f>'&gt;&gt; Segments'!J91</f>
        <v>0.46853129105749469</v>
      </c>
      <c r="K102" s="143">
        <f>'&gt;&gt; Segments'!K91</f>
        <v>0.5925780882657945</v>
      </c>
      <c r="L102" s="143">
        <f>'&gt;&gt; Segments'!L91</f>
        <v>0.31058472751366573</v>
      </c>
      <c r="M102" s="143">
        <f>'&gt;&gt; Segments'!M91</f>
        <v>0.53562358590755876</v>
      </c>
      <c r="N102" s="143">
        <f>'&gt;&gt; Segments'!N91</f>
        <v>0.54638837285542563</v>
      </c>
      <c r="O102" s="143">
        <f>'&gt;&gt; Segments'!O91</f>
        <v>0.64006144589880631</v>
      </c>
      <c r="P102" s="146">
        <f>AVERAGE(H102:O102)</f>
        <v>0.50150303442157507</v>
      </c>
      <c r="Q102" s="84"/>
      <c r="R102" s="84"/>
    </row>
    <row r="103" spans="5:18" ht="15" customHeight="1" x14ac:dyDescent="0.2">
      <c r="E103" s="84"/>
      <c r="K103" s="147"/>
      <c r="L103" s="147"/>
      <c r="M103" s="147"/>
      <c r="N103" s="147"/>
      <c r="O103" s="147"/>
      <c r="P103" s="168"/>
      <c r="Q103" s="84"/>
      <c r="R103" s="84"/>
    </row>
    <row r="104" spans="5:18" ht="15" customHeight="1" x14ac:dyDescent="0.2">
      <c r="E104" s="84" t="s">
        <v>222</v>
      </c>
      <c r="K104" s="149"/>
      <c r="L104" s="149"/>
      <c r="M104" s="149"/>
      <c r="N104" s="149"/>
      <c r="O104" s="167"/>
      <c r="P104" s="371">
        <f>(P100/P101)*(1-P102)</f>
        <v>1.1264918559816687E-2</v>
      </c>
      <c r="Q104" s="84"/>
      <c r="R104" s="84"/>
    </row>
    <row r="105" spans="5:18" ht="15" customHeight="1" x14ac:dyDescent="0.2">
      <c r="E105" s="84"/>
      <c r="F105" s="152"/>
      <c r="G105" s="152"/>
      <c r="H105" s="152"/>
      <c r="I105" s="152"/>
      <c r="J105" s="152"/>
      <c r="K105" s="150"/>
      <c r="L105" s="84"/>
      <c r="M105" s="84"/>
      <c r="N105" s="84"/>
      <c r="O105" s="84"/>
      <c r="P105" s="84"/>
      <c r="Q105" s="84"/>
      <c r="R105" s="84"/>
    </row>
    <row r="106" spans="5:18" ht="15" customHeight="1" x14ac:dyDescent="0.2">
      <c r="E106" s="144" t="s">
        <v>232</v>
      </c>
      <c r="F106" s="152"/>
      <c r="R106" s="84"/>
    </row>
    <row r="107" spans="5:18" ht="15" customHeight="1" x14ac:dyDescent="0.2">
      <c r="E107" s="330"/>
      <c r="F107" s="329">
        <f>EOMONTH(N4,12)</f>
        <v>45657</v>
      </c>
      <c r="G107" s="331">
        <f>EOMONTH(O4,12)</f>
        <v>46022</v>
      </c>
      <c r="H107" s="158">
        <f t="shared" ref="H107:P107" si="108">EOMONTH(G107,12)</f>
        <v>46387</v>
      </c>
      <c r="I107" s="158">
        <f t="shared" si="108"/>
        <v>46752</v>
      </c>
      <c r="J107" s="158">
        <f t="shared" si="108"/>
        <v>47118</v>
      </c>
      <c r="K107" s="158">
        <f t="shared" si="108"/>
        <v>47483</v>
      </c>
      <c r="L107" s="158">
        <f t="shared" si="108"/>
        <v>47848</v>
      </c>
      <c r="M107" s="158">
        <f t="shared" si="108"/>
        <v>48213</v>
      </c>
      <c r="N107" s="158">
        <f t="shared" si="108"/>
        <v>48579</v>
      </c>
      <c r="O107" s="158">
        <f t="shared" si="108"/>
        <v>48944</v>
      </c>
      <c r="P107" s="158">
        <f t="shared" si="108"/>
        <v>49309</v>
      </c>
      <c r="R107" s="84"/>
    </row>
    <row r="108" spans="5:18" ht="15" customHeight="1" x14ac:dyDescent="0.2">
      <c r="E108" s="145" t="s">
        <v>224</v>
      </c>
      <c r="F108" s="153">
        <f>'&gt;&gt; Segments'!O89</f>
        <v>7.04067590488687E-2</v>
      </c>
      <c r="G108" s="153">
        <f>'&gt;&gt; Segments'!P95</f>
        <v>4.9791024842378406E-2</v>
      </c>
      <c r="H108" s="153">
        <f>'&gt;&gt; Segments'!Q95</f>
        <v>5.1357722757317065E-2</v>
      </c>
      <c r="I108" s="153">
        <f>'&gt;&gt; Segments'!R95</f>
        <v>5.235615770631008E-2</v>
      </c>
      <c r="J108" s="153">
        <f>'&gt;&gt; Segments'!S95</f>
        <v>5.3425498409221728E-2</v>
      </c>
      <c r="K108" s="153">
        <f>'&gt;&gt; Segments'!T95</f>
        <v>5.2612746245362496E-2</v>
      </c>
      <c r="L108" s="153">
        <f>'&gt;&gt; Segments'!U95</f>
        <v>5.511609944506668E-2</v>
      </c>
      <c r="M108" s="153">
        <f>'&gt;&gt; Segments'!V95</f>
        <v>5.4101124109240478E-2</v>
      </c>
      <c r="N108" s="153">
        <f>'&gt;&gt; Segments'!W95</f>
        <v>5.2757437101163512E-2</v>
      </c>
      <c r="O108" s="153">
        <f>'&gt;&gt; Segments'!X95</f>
        <v>5.2689726327007552E-2</v>
      </c>
      <c r="P108" s="153">
        <f>'&gt;&gt; Segments'!Y95</f>
        <v>5.3052064012586206E-2</v>
      </c>
      <c r="R108" s="84"/>
    </row>
    <row r="109" spans="5:18" ht="15" customHeight="1" x14ac:dyDescent="0.2">
      <c r="E109" s="84"/>
      <c r="F109" s="147"/>
      <c r="G109" s="148"/>
      <c r="H109" s="148"/>
      <c r="I109" s="148"/>
      <c r="J109" s="84"/>
      <c r="K109" s="84"/>
      <c r="L109" s="84"/>
      <c r="M109" s="84"/>
      <c r="N109" s="84"/>
      <c r="O109" s="84"/>
      <c r="P109" s="84"/>
      <c r="R109" s="84"/>
    </row>
    <row r="110" spans="5:18" ht="15" customHeight="1" x14ac:dyDescent="0.2">
      <c r="E110" s="84" t="s">
        <v>233</v>
      </c>
      <c r="F110" s="149"/>
      <c r="G110" s="149">
        <f>G108/F108-1%</f>
        <v>0.6971909787499081</v>
      </c>
      <c r="H110" s="149">
        <f t="shared" ref="H110:P110" si="109">H108/G108-1</f>
        <v>3.1465468322821044E-2</v>
      </c>
      <c r="I110" s="149">
        <f t="shared" si="109"/>
        <v>1.9440794789733262E-2</v>
      </c>
      <c r="J110" s="149">
        <f t="shared" si="109"/>
        <v>2.0424354073308226E-2</v>
      </c>
      <c r="K110" s="149">
        <f t="shared" si="109"/>
        <v>-1.5212813882124587E-2</v>
      </c>
      <c r="L110" s="149">
        <f t="shared" si="109"/>
        <v>4.7580736197073925E-2</v>
      </c>
      <c r="M110" s="149">
        <f t="shared" si="109"/>
        <v>-1.8415224336363112E-2</v>
      </c>
      <c r="N110" s="149">
        <f t="shared" si="109"/>
        <v>-2.4836582052598533E-2</v>
      </c>
      <c r="O110" s="149">
        <f t="shared" si="109"/>
        <v>-1.283435623040674E-3</v>
      </c>
      <c r="P110" s="149">
        <f t="shared" si="109"/>
        <v>6.8768185154328698E-3</v>
      </c>
      <c r="R110" s="84"/>
    </row>
    <row r="111" spans="5:18" ht="15" customHeight="1" x14ac:dyDescent="0.2">
      <c r="E111" s="84"/>
      <c r="F111" s="84"/>
    </row>
    <row r="112" spans="5:18" ht="15" customHeight="1" x14ac:dyDescent="0.2">
      <c r="E112" s="169" t="s">
        <v>234</v>
      </c>
      <c r="F112" s="429" t="s">
        <v>223</v>
      </c>
      <c r="G112" s="429"/>
      <c r="H112" s="429"/>
      <c r="I112" s="429"/>
      <c r="J112" s="433"/>
      <c r="K112" s="434" t="s">
        <v>225</v>
      </c>
      <c r="L112" s="434"/>
      <c r="M112" s="434"/>
      <c r="N112" s="434"/>
      <c r="O112" s="435"/>
      <c r="P112" s="160" t="s">
        <v>82</v>
      </c>
      <c r="Q112" s="249" t="s">
        <v>226</v>
      </c>
    </row>
    <row r="113" spans="1:27" ht="15" customHeight="1" x14ac:dyDescent="0.2">
      <c r="E113" s="157"/>
      <c r="F113" s="159">
        <f>EOMONTH('&gt;&gt; Inputs'!$G$17,12)</f>
        <v>46022</v>
      </c>
      <c r="G113" s="162">
        <f t="shared" ref="G113:P113" si="110">EOMONTH(F113,12)</f>
        <v>46387</v>
      </c>
      <c r="H113" s="162">
        <f t="shared" si="110"/>
        <v>46752</v>
      </c>
      <c r="I113" s="162">
        <f t="shared" si="110"/>
        <v>47118</v>
      </c>
      <c r="J113" s="163">
        <f t="shared" si="110"/>
        <v>47483</v>
      </c>
      <c r="K113" s="164">
        <f t="shared" si="110"/>
        <v>47848</v>
      </c>
      <c r="L113" s="164">
        <f t="shared" si="110"/>
        <v>48213</v>
      </c>
      <c r="M113" s="164">
        <f t="shared" si="110"/>
        <v>48579</v>
      </c>
      <c r="N113" s="164">
        <f t="shared" si="110"/>
        <v>48944</v>
      </c>
      <c r="O113" s="165">
        <f t="shared" si="110"/>
        <v>49309</v>
      </c>
      <c r="P113" s="248">
        <f t="shared" si="110"/>
        <v>49674</v>
      </c>
      <c r="Q113" s="247"/>
    </row>
    <row r="114" spans="1:27" ht="15" customHeight="1" x14ac:dyDescent="0.2">
      <c r="E114" s="84" t="s">
        <v>227</v>
      </c>
      <c r="F114" s="161">
        <f t="shared" ref="F114:J114" si="111">$P$96</f>
        <v>3.3569078509419511E-3</v>
      </c>
      <c r="G114" s="134">
        <f t="shared" si="111"/>
        <v>3.3569078509419511E-3</v>
      </c>
      <c r="H114" s="134">
        <f t="shared" si="111"/>
        <v>3.3569078509419511E-3</v>
      </c>
      <c r="I114" s="134">
        <f t="shared" si="111"/>
        <v>3.3569078509419511E-3</v>
      </c>
      <c r="J114" s="134">
        <f t="shared" si="111"/>
        <v>3.3569078509419511E-3</v>
      </c>
      <c r="K114" s="134">
        <f>J114-(($J$114-$P$114)/6)</f>
        <v>5.2974232091182929E-3</v>
      </c>
      <c r="L114" s="134">
        <f t="shared" ref="L114:O114" si="112">K114-(($J$114-$P$114)/6)</f>
        <v>7.2379385672946342E-3</v>
      </c>
      <c r="M114" s="134">
        <f t="shared" si="112"/>
        <v>9.1784539254709755E-3</v>
      </c>
      <c r="N114" s="134">
        <f t="shared" si="112"/>
        <v>1.1118969283647317E-2</v>
      </c>
      <c r="O114" s="134">
        <f t="shared" si="112"/>
        <v>1.3059484641823658E-2</v>
      </c>
      <c r="P114" s="254">
        <f>'&gt;&gt; Dash'!F$43</f>
        <v>1.4999999999999999E-2</v>
      </c>
      <c r="Q114" s="250">
        <v>0.2</v>
      </c>
    </row>
    <row r="115" spans="1:27" ht="15" customHeight="1" x14ac:dyDescent="0.2">
      <c r="E115" s="84" t="s">
        <v>222</v>
      </c>
      <c r="F115" s="372">
        <f t="shared" ref="F115:J115" si="113">$P$104</f>
        <v>1.1264918559816687E-2</v>
      </c>
      <c r="G115" s="134">
        <f t="shared" si="113"/>
        <v>1.1264918559816687E-2</v>
      </c>
      <c r="H115" s="134">
        <f t="shared" si="113"/>
        <v>1.1264918559816687E-2</v>
      </c>
      <c r="I115" s="134">
        <f t="shared" si="113"/>
        <v>1.1264918559816687E-2</v>
      </c>
      <c r="J115" s="134">
        <f t="shared" si="113"/>
        <v>1.1264918559816687E-2</v>
      </c>
      <c r="K115" s="134">
        <f>J115-(($J$115-$P$115)/6)</f>
        <v>1.1887432133180572E-2</v>
      </c>
      <c r="L115" s="134">
        <f t="shared" ref="L115:O115" si="114">K115-(($J$115-$P$115)/6)</f>
        <v>1.2509945706544458E-2</v>
      </c>
      <c r="M115" s="134">
        <f t="shared" si="114"/>
        <v>1.3132459279908344E-2</v>
      </c>
      <c r="N115" s="134">
        <f t="shared" si="114"/>
        <v>1.375497285327223E-2</v>
      </c>
      <c r="O115" s="134">
        <f t="shared" si="114"/>
        <v>1.4377486426636115E-2</v>
      </c>
      <c r="P115" s="255">
        <f>'&gt;&gt; Dash'!F$43</f>
        <v>1.4999999999999999E-2</v>
      </c>
      <c r="Q115" s="251">
        <v>0.4</v>
      </c>
    </row>
    <row r="116" spans="1:27" ht="15" customHeight="1" x14ac:dyDescent="0.2">
      <c r="E116" s="84" t="s">
        <v>266</v>
      </c>
      <c r="F116" s="154">
        <f t="shared" ref="F116:J116" si="115">G110</f>
        <v>0.6971909787499081</v>
      </c>
      <c r="G116" s="154">
        <f t="shared" si="115"/>
        <v>3.1465468322821044E-2</v>
      </c>
      <c r="H116" s="154">
        <f t="shared" si="115"/>
        <v>1.9440794789733262E-2</v>
      </c>
      <c r="I116" s="154">
        <f t="shared" si="115"/>
        <v>2.0424354073308226E-2</v>
      </c>
      <c r="J116" s="154">
        <f t="shared" si="115"/>
        <v>-1.5212813882124587E-2</v>
      </c>
      <c r="K116" s="134">
        <f>J116-(($J$116-$P$116)/6)</f>
        <v>-1.017734490177049E-2</v>
      </c>
      <c r="L116" s="134">
        <f t="shared" ref="L116:O116" si="116">K116-(($J$116-$P$116)/6)</f>
        <v>-5.1418759214163917E-3</v>
      </c>
      <c r="M116" s="134">
        <f t="shared" si="116"/>
        <v>-1.0640694106229392E-4</v>
      </c>
      <c r="N116" s="134">
        <f t="shared" si="116"/>
        <v>4.9290620392918039E-3</v>
      </c>
      <c r="O116" s="134">
        <f t="shared" si="116"/>
        <v>9.9645310196459017E-3</v>
      </c>
      <c r="P116" s="256">
        <f>'&gt;&gt; Dash'!F$43</f>
        <v>1.4999999999999999E-2</v>
      </c>
      <c r="Q116" s="252">
        <v>0.4</v>
      </c>
    </row>
    <row r="117" spans="1:27" ht="15" customHeight="1" x14ac:dyDescent="0.2">
      <c r="E117" s="227" t="s">
        <v>229</v>
      </c>
      <c r="F117" s="228">
        <f t="shared" ref="F117:P117" si="117">SUMPRODUCT(F114:F116,$Q$114:$Q$116)</f>
        <v>0.28405374049407828</v>
      </c>
      <c r="G117" s="228">
        <f t="shared" si="117"/>
        <v>1.7763536323243484E-2</v>
      </c>
      <c r="H117" s="228">
        <f t="shared" si="117"/>
        <v>1.295366691000837E-2</v>
      </c>
      <c r="I117" s="228">
        <f t="shared" si="117"/>
        <v>1.3347090623438355E-2</v>
      </c>
      <c r="J117" s="228">
        <f t="shared" si="117"/>
        <v>-9.0777655873477102E-4</v>
      </c>
      <c r="K117" s="228">
        <f t="shared" si="117"/>
        <v>1.7435195343876919E-3</v>
      </c>
      <c r="L117" s="228">
        <f t="shared" si="117"/>
        <v>4.394815627510153E-3</v>
      </c>
      <c r="M117" s="228">
        <f t="shared" si="117"/>
        <v>7.0461117206326159E-3</v>
      </c>
      <c r="N117" s="228">
        <f t="shared" si="117"/>
        <v>9.6974078137550771E-3</v>
      </c>
      <c r="O117" s="228">
        <f t="shared" si="117"/>
        <v>1.2348703906877537E-2</v>
      </c>
      <c r="P117" s="229">
        <f t="shared" si="117"/>
        <v>1.5000000000000001E-2</v>
      </c>
      <c r="Q117" s="83"/>
    </row>
    <row r="118" spans="1:27" ht="15" customHeight="1" x14ac:dyDescent="0.2">
      <c r="S118" s="155"/>
    </row>
    <row r="121" spans="1:27" ht="15" customHeight="1" x14ac:dyDescent="0.2">
      <c r="A121" s="40"/>
      <c r="B121" s="40" t="s">
        <v>45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304" spans="2:2" ht="11.25" customHeight="1" x14ac:dyDescent="0.2">
      <c r="B304" s="141" t="s">
        <v>212</v>
      </c>
    </row>
    <row r="522" spans="12:12" ht="15.75" customHeight="1" x14ac:dyDescent="0.2">
      <c r="L522" s="140" t="s">
        <v>208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  <ignoredErrors>
    <ignoredError sqref="I31:L31 M31:N31 P32 P42 P44" formula="1"/>
    <ignoredError sqref="P15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2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&gt;&gt; Model</vt:lpstr>
      <vt:lpstr>&gt;&gt; Inputs</vt:lpstr>
      <vt:lpstr>&gt;&gt; Dash</vt:lpstr>
      <vt:lpstr>&gt;&gt; DCF</vt:lpstr>
      <vt:lpstr>Valuation Multiples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Tomasz Osuchowski</cp:lastModifiedBy>
  <dcterms:created xsi:type="dcterms:W3CDTF">2024-11-11T04:01:01Z</dcterms:created>
  <dcterms:modified xsi:type="dcterms:W3CDTF">2025-01-09T11:25:50Z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