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ameron\Downloads\"/>
    </mc:Choice>
  </mc:AlternateContent>
  <xr:revisionPtr revIDLastSave="0" documentId="8_{E0401AB3-0CE2-47D6-A754-B5B078E755EE}" xr6:coauthVersionLast="47" xr6:coauthVersionMax="47" xr10:uidLastSave="{00000000-0000-0000-0000-000000000000}"/>
  <bookViews>
    <workbookView xWindow="-120" yWindow="-120" windowWidth="29040" windowHeight="15720" activeTab="1" xr2:uid="{10589A93-A7F0-4E7C-A50F-E9EDA97DEF02}"/>
  </bookViews>
  <sheets>
    <sheet name="&gt;&gt; Model" sheetId="1" r:id="rId1"/>
    <sheet name="&gt;&gt; Inputs" sheetId="2" r:id="rId2"/>
    <sheet name="&gt;&gt; Dash" sheetId="3" r:id="rId3"/>
    <sheet name="&gt;&gt; DCF" sheetId="4" r:id="rId4"/>
    <sheet name="&gt;&gt; DDM" sheetId="5" r:id="rId5"/>
    <sheet name="&gt;&gt; Summary" sheetId="7" r:id="rId6"/>
    <sheet name="&gt;&gt; Segments" sheetId="8" r:id="rId7"/>
    <sheet name="&gt;&gt; Fin Stmts" sheetId="9" r:id="rId8"/>
  </sheets>
  <definedNames>
    <definedName name="DiY">'&gt;&gt; Inputs'!$G$54</definedName>
    <definedName name="FY25_Growth">#REF!</definedName>
    <definedName name="Hist_Year">#REF!</definedName>
    <definedName name="kt">'&gt;&gt; Inputs'!$G$53</definedName>
    <definedName name="Millions">'&gt;&gt; Inputs'!$G$52</definedName>
    <definedName name="MiY">'&gt;&gt; Inputs'!$G$51</definedName>
    <definedName name="solver_adj" localSheetId="2" hidden="1">'&gt;&gt; Dash'!#REF!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'&gt;&gt; Dash'!#REF!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3" l="1"/>
  <c r="P96" i="9" l="1"/>
  <c r="H96" i="9"/>
  <c r="I96" i="9"/>
  <c r="J96" i="9"/>
  <c r="K96" i="9"/>
  <c r="L96" i="9"/>
  <c r="M96" i="9"/>
  <c r="N96" i="9"/>
  <c r="O96" i="9"/>
  <c r="I100" i="9"/>
  <c r="J100" i="9"/>
  <c r="K100" i="9"/>
  <c r="L100" i="9"/>
  <c r="M100" i="9"/>
  <c r="N100" i="9"/>
  <c r="O100" i="9"/>
  <c r="H100" i="9"/>
  <c r="G108" i="9"/>
  <c r="F108" i="9"/>
  <c r="H25" i="5"/>
  <c r="O101" i="9"/>
  <c r="J25" i="8"/>
  <c r="K25" i="8"/>
  <c r="L25" i="8"/>
  <c r="M25" i="8"/>
  <c r="N25" i="8"/>
  <c r="O25" i="8"/>
  <c r="P25" i="8"/>
  <c r="I25" i="8"/>
  <c r="P43" i="8"/>
  <c r="O43" i="8"/>
  <c r="N43" i="8"/>
  <c r="M43" i="8"/>
  <c r="L43" i="8"/>
  <c r="K43" i="8"/>
  <c r="J43" i="8"/>
  <c r="I43" i="8"/>
  <c r="P56" i="8"/>
  <c r="O56" i="8"/>
  <c r="N56" i="8"/>
  <c r="M56" i="8"/>
  <c r="L56" i="8"/>
  <c r="K56" i="8"/>
  <c r="J56" i="8"/>
  <c r="I56" i="8"/>
  <c r="P61" i="8"/>
  <c r="O61" i="8"/>
  <c r="N61" i="8"/>
  <c r="M61" i="8"/>
  <c r="L61" i="8"/>
  <c r="K61" i="8"/>
  <c r="J61" i="8"/>
  <c r="I61" i="8"/>
  <c r="J74" i="8"/>
  <c r="K74" i="8"/>
  <c r="L74" i="8"/>
  <c r="M74" i="8"/>
  <c r="N74" i="8"/>
  <c r="O74" i="8"/>
  <c r="I74" i="8"/>
  <c r="Q108" i="8"/>
  <c r="Q120" i="8"/>
  <c r="R120" i="8"/>
  <c r="S120" i="8"/>
  <c r="T120" i="8" s="1"/>
  <c r="P120" i="8"/>
  <c r="P108" i="8"/>
  <c r="O24" i="9"/>
  <c r="H24" i="9"/>
  <c r="H73" i="8"/>
  <c r="I73" i="8"/>
  <c r="J73" i="8"/>
  <c r="K73" i="8"/>
  <c r="L73" i="8"/>
  <c r="M73" i="8"/>
  <c r="N73" i="8"/>
  <c r="O73" i="8"/>
  <c r="P73" i="8" s="1"/>
  <c r="Q73" i="8" s="1"/>
  <c r="R73" i="8" s="1"/>
  <c r="S73" i="8" s="1"/>
  <c r="T73" i="8" s="1"/>
  <c r="U73" i="8" s="1"/>
  <c r="V73" i="8" s="1"/>
  <c r="W73" i="8" s="1"/>
  <c r="X73" i="8" s="1"/>
  <c r="Y73" i="8" s="1"/>
  <c r="P82" i="9"/>
  <c r="O108" i="8"/>
  <c r="N108" i="8"/>
  <c r="M108" i="8"/>
  <c r="L108" i="8"/>
  <c r="O120" i="8"/>
  <c r="N120" i="8"/>
  <c r="M120" i="8"/>
  <c r="L120" i="8"/>
  <c r="K120" i="8"/>
  <c r="J120" i="8"/>
  <c r="I120" i="8"/>
  <c r="H120" i="8"/>
  <c r="O156" i="8"/>
  <c r="N156" i="8"/>
  <c r="M156" i="8"/>
  <c r="L156" i="8"/>
  <c r="K156" i="8"/>
  <c r="J156" i="8"/>
  <c r="I156" i="8"/>
  <c r="H156" i="8"/>
  <c r="O132" i="8"/>
  <c r="N132" i="8"/>
  <c r="M132" i="8"/>
  <c r="L132" i="8"/>
  <c r="K132" i="8"/>
  <c r="J132" i="8"/>
  <c r="I132" i="8"/>
  <c r="H132" i="8"/>
  <c r="I144" i="8"/>
  <c r="J144" i="8"/>
  <c r="K144" i="8"/>
  <c r="L144" i="8"/>
  <c r="M144" i="8"/>
  <c r="N144" i="8"/>
  <c r="O144" i="8"/>
  <c r="H144" i="8"/>
  <c r="J86" i="8"/>
  <c r="K86" i="8"/>
  <c r="L86" i="8"/>
  <c r="M86" i="8"/>
  <c r="N86" i="8"/>
  <c r="O86" i="8"/>
  <c r="I86" i="8"/>
  <c r="E104" i="4"/>
  <c r="E103" i="4"/>
  <c r="E84" i="4"/>
  <c r="E83" i="4"/>
  <c r="I59" i="9"/>
  <c r="J59" i="9"/>
  <c r="K59" i="9"/>
  <c r="L59" i="9"/>
  <c r="M59" i="9"/>
  <c r="N59" i="9"/>
  <c r="O59" i="9"/>
  <c r="R108" i="8" l="1"/>
  <c r="U120" i="8"/>
  <c r="O103" i="8"/>
  <c r="N103" i="8"/>
  <c r="M103" i="8"/>
  <c r="O115" i="8"/>
  <c r="N115" i="8"/>
  <c r="M115" i="8"/>
  <c r="L115" i="8"/>
  <c r="K115" i="8"/>
  <c r="J115" i="8"/>
  <c r="I115" i="8"/>
  <c r="O127" i="8"/>
  <c r="N127" i="8"/>
  <c r="M127" i="8"/>
  <c r="L127" i="8"/>
  <c r="K127" i="8"/>
  <c r="J127" i="8"/>
  <c r="I127" i="8"/>
  <c r="O139" i="8"/>
  <c r="N139" i="8"/>
  <c r="M139" i="8"/>
  <c r="L139" i="8"/>
  <c r="K139" i="8"/>
  <c r="J139" i="8"/>
  <c r="I139" i="8"/>
  <c r="O151" i="8"/>
  <c r="J151" i="8"/>
  <c r="K151" i="8"/>
  <c r="L151" i="8"/>
  <c r="M151" i="8"/>
  <c r="N151" i="8"/>
  <c r="I151" i="8"/>
  <c r="O155" i="8"/>
  <c r="N155" i="8"/>
  <c r="M155" i="8"/>
  <c r="L155" i="8"/>
  <c r="K155" i="8"/>
  <c r="J155" i="8"/>
  <c r="I155" i="8"/>
  <c r="O143" i="8"/>
  <c r="N143" i="8"/>
  <c r="M143" i="8"/>
  <c r="L143" i="8"/>
  <c r="K143" i="8"/>
  <c r="J143" i="8"/>
  <c r="I143" i="8"/>
  <c r="O131" i="8"/>
  <c r="N131" i="8"/>
  <c r="M131" i="8"/>
  <c r="L131" i="8"/>
  <c r="K131" i="8"/>
  <c r="J131" i="8"/>
  <c r="I131" i="8"/>
  <c r="O119" i="8"/>
  <c r="N119" i="8"/>
  <c r="M119" i="8"/>
  <c r="L119" i="8"/>
  <c r="K119" i="8"/>
  <c r="J119" i="8"/>
  <c r="J107" i="8"/>
  <c r="K107" i="8"/>
  <c r="L107" i="8"/>
  <c r="M107" i="8"/>
  <c r="N107" i="8"/>
  <c r="O107" i="8"/>
  <c r="I107" i="8"/>
  <c r="H101" i="8"/>
  <c r="H108" i="8" s="1"/>
  <c r="I101" i="8"/>
  <c r="I108" i="8" s="1"/>
  <c r="J101" i="8"/>
  <c r="J108" i="8" s="1"/>
  <c r="K101" i="8"/>
  <c r="K108" i="8" s="1"/>
  <c r="I84" i="9"/>
  <c r="J84" i="9"/>
  <c r="K84" i="9"/>
  <c r="L84" i="9"/>
  <c r="M84" i="9"/>
  <c r="N84" i="9"/>
  <c r="O84" i="9"/>
  <c r="H84" i="9"/>
  <c r="I82" i="9"/>
  <c r="J82" i="9"/>
  <c r="K82" i="9"/>
  <c r="L82" i="9"/>
  <c r="M82" i="9"/>
  <c r="N82" i="9"/>
  <c r="O82" i="9"/>
  <c r="H82" i="9"/>
  <c r="P19" i="9"/>
  <c r="F46" i="3"/>
  <c r="S108" i="8" l="1"/>
  <c r="T108" i="8"/>
  <c r="U108" i="8"/>
  <c r="V108" i="8"/>
  <c r="W108" i="8"/>
  <c r="V120" i="8"/>
  <c r="W120" i="8"/>
  <c r="X120" i="8" s="1"/>
  <c r="I103" i="8"/>
  <c r="J103" i="8"/>
  <c r="K103" i="8"/>
  <c r="L103" i="8"/>
  <c r="P115" i="8"/>
  <c r="Q115" i="8" s="1"/>
  <c r="R115" i="8" s="1"/>
  <c r="X108" i="8" l="1"/>
  <c r="Y108" i="8" s="1"/>
  <c r="Y120" i="8"/>
  <c r="S115" i="8"/>
  <c r="T115" i="8" s="1"/>
  <c r="U115" i="8" l="1"/>
  <c r="V115" i="8" l="1"/>
  <c r="W115" i="8" s="1"/>
  <c r="X115" i="8" l="1"/>
  <c r="Y115" i="8" s="1"/>
  <c r="P5" i="8" l="1"/>
  <c r="Q5" i="8" s="1"/>
  <c r="R5" i="8" s="1"/>
  <c r="S5" i="8" s="1"/>
  <c r="T5" i="8" s="1"/>
  <c r="U5" i="8" s="1"/>
  <c r="V5" i="8" s="1"/>
  <c r="W5" i="8" s="1"/>
  <c r="X5" i="8" s="1"/>
  <c r="M5" i="8"/>
  <c r="L5" i="8" s="1"/>
  <c r="K5" i="8" s="1"/>
  <c r="J5" i="8" s="1"/>
  <c r="I5" i="8" s="1"/>
  <c r="H5" i="8" s="1"/>
  <c r="H78" i="4"/>
  <c r="H9" i="7"/>
  <c r="G4" i="5"/>
  <c r="G11" i="5"/>
  <c r="G12" i="5"/>
  <c r="H5" i="5"/>
  <c r="I5" i="5" s="1"/>
  <c r="I11" i="5" s="1"/>
  <c r="H42" i="5"/>
  <c r="X13" i="8" l="1"/>
  <c r="Y5" i="8"/>
  <c r="Y13" i="8" s="1"/>
  <c r="H4" i="5"/>
  <c r="I4" i="5" s="1"/>
  <c r="J4" i="5" s="1"/>
  <c r="K4" i="5" s="1"/>
  <c r="L4" i="5" s="1"/>
  <c r="M4" i="5" s="1"/>
  <c r="N4" i="5" s="1"/>
  <c r="O4" i="5" s="1"/>
  <c r="P4" i="5" s="1"/>
  <c r="Q4" i="5" s="1"/>
  <c r="H12" i="5"/>
  <c r="I12" i="5"/>
  <c r="H11" i="5"/>
  <c r="J5" i="5"/>
  <c r="J12" i="5" l="1"/>
  <c r="J11" i="5"/>
  <c r="K5" i="5"/>
  <c r="K11" i="5" l="1"/>
  <c r="K12" i="5"/>
  <c r="L5" i="5"/>
  <c r="L11" i="5" l="1"/>
  <c r="L12" i="5"/>
  <c r="M5" i="5"/>
  <c r="M11" i="5" l="1"/>
  <c r="M12" i="5"/>
  <c r="N5" i="5"/>
  <c r="N12" i="5" l="1"/>
  <c r="N11" i="5"/>
  <c r="O5" i="5"/>
  <c r="O12" i="5" l="1"/>
  <c r="O11" i="5"/>
  <c r="P5" i="5"/>
  <c r="P12" i="5" l="1"/>
  <c r="P11" i="5"/>
  <c r="Q5" i="5"/>
  <c r="Q12" i="5" l="1"/>
  <c r="Q11" i="5"/>
  <c r="H18" i="3" l="1"/>
  <c r="P66" i="9"/>
  <c r="Q66" i="9" s="1"/>
  <c r="R66" i="9" s="1"/>
  <c r="S66" i="9" s="1"/>
  <c r="T66" i="9" s="1"/>
  <c r="U66" i="9" s="1"/>
  <c r="V66" i="9" s="1"/>
  <c r="W66" i="9" s="1"/>
  <c r="X66" i="9" s="1"/>
  <c r="Y66" i="9" s="1"/>
  <c r="P62" i="9"/>
  <c r="Q62" i="9" s="1"/>
  <c r="R62" i="9" s="1"/>
  <c r="S62" i="9" s="1"/>
  <c r="T62" i="9" s="1"/>
  <c r="U62" i="9" s="1"/>
  <c r="V62" i="9" s="1"/>
  <c r="W62" i="9" s="1"/>
  <c r="X62" i="9" s="1"/>
  <c r="Y62" i="9" s="1"/>
  <c r="P55" i="9"/>
  <c r="Q55" i="9" s="1"/>
  <c r="R55" i="9" s="1"/>
  <c r="S55" i="9" s="1"/>
  <c r="T55" i="9" s="1"/>
  <c r="U55" i="9" s="1"/>
  <c r="V55" i="9" s="1"/>
  <c r="W55" i="9" s="1"/>
  <c r="X55" i="9" s="1"/>
  <c r="Y55" i="9" s="1"/>
  <c r="P53" i="9"/>
  <c r="Q53" i="9" s="1"/>
  <c r="R53" i="9" s="1"/>
  <c r="S53" i="9" s="1"/>
  <c r="T53" i="9" s="1"/>
  <c r="U53" i="9" s="1"/>
  <c r="V53" i="9" s="1"/>
  <c r="W53" i="9" s="1"/>
  <c r="X53" i="9" s="1"/>
  <c r="Y53" i="9" s="1"/>
  <c r="I48" i="9"/>
  <c r="J48" i="9"/>
  <c r="K48" i="9"/>
  <c r="L48" i="9"/>
  <c r="M48" i="9"/>
  <c r="N48" i="9"/>
  <c r="H48" i="9"/>
  <c r="P51" i="9"/>
  <c r="Q51" i="9" s="1"/>
  <c r="G32" i="2"/>
  <c r="G33" i="2"/>
  <c r="G34" i="2"/>
  <c r="P81" i="9"/>
  <c r="Q81" i="9" l="1"/>
  <c r="Q82" i="9"/>
  <c r="R82" i="9"/>
  <c r="G35" i="2"/>
  <c r="R51" i="9"/>
  <c r="R81" i="9" l="1"/>
  <c r="S51" i="9"/>
  <c r="S81" i="9" l="1"/>
  <c r="S82" i="9"/>
  <c r="T82" i="9"/>
  <c r="T51" i="9"/>
  <c r="T81" i="9" l="1"/>
  <c r="U51" i="9"/>
  <c r="U81" i="9" l="1"/>
  <c r="U82" i="9"/>
  <c r="V82" i="9"/>
  <c r="V51" i="9"/>
  <c r="V81" i="9" l="1"/>
  <c r="W51" i="9"/>
  <c r="W81" i="9" l="1"/>
  <c r="W82" i="9"/>
  <c r="X82" i="9"/>
  <c r="X51" i="9"/>
  <c r="X81" i="9" l="1"/>
  <c r="Y81" i="9" s="1"/>
  <c r="Y82" i="9"/>
  <c r="Y51" i="9"/>
  <c r="I41" i="9" l="1"/>
  <c r="J41" i="9"/>
  <c r="K41" i="9"/>
  <c r="L41" i="9"/>
  <c r="M41" i="9"/>
  <c r="N41" i="9"/>
  <c r="I43" i="9"/>
  <c r="J43" i="9"/>
  <c r="K43" i="9"/>
  <c r="L43" i="9"/>
  <c r="M43" i="9"/>
  <c r="N43" i="9"/>
  <c r="O43" i="9"/>
  <c r="P44" i="9"/>
  <c r="Q44" i="9" s="1"/>
  <c r="R44" i="9" s="1"/>
  <c r="I45" i="9"/>
  <c r="J45" i="9"/>
  <c r="K45" i="9"/>
  <c r="L45" i="9"/>
  <c r="M45" i="9"/>
  <c r="N45" i="9"/>
  <c r="O45" i="9"/>
  <c r="I47" i="9"/>
  <c r="J47" i="9"/>
  <c r="K47" i="9"/>
  <c r="L47" i="9"/>
  <c r="M47" i="9"/>
  <c r="N47" i="9"/>
  <c r="I37" i="9"/>
  <c r="I49" i="9" s="1"/>
  <c r="J37" i="9"/>
  <c r="J49" i="9" s="1"/>
  <c r="K37" i="9"/>
  <c r="K49" i="9" s="1"/>
  <c r="L37" i="9"/>
  <c r="L49" i="9" s="1"/>
  <c r="M37" i="9"/>
  <c r="M49" i="9" s="1"/>
  <c r="N37" i="9"/>
  <c r="N49" i="9" s="1"/>
  <c r="H37" i="9"/>
  <c r="H49" i="9" s="1"/>
  <c r="I32" i="9"/>
  <c r="J32" i="9"/>
  <c r="K32" i="9"/>
  <c r="L32" i="9"/>
  <c r="M32" i="9"/>
  <c r="N32" i="9"/>
  <c r="O32" i="9"/>
  <c r="I34" i="9"/>
  <c r="J34" i="9"/>
  <c r="K34" i="9"/>
  <c r="L34" i="9"/>
  <c r="M34" i="9"/>
  <c r="N34" i="9"/>
  <c r="O34" i="9"/>
  <c r="I36" i="9"/>
  <c r="J36" i="9"/>
  <c r="K36" i="9"/>
  <c r="L36" i="9"/>
  <c r="M36" i="9"/>
  <c r="N36" i="9"/>
  <c r="F113" i="9"/>
  <c r="G113" i="9" s="1"/>
  <c r="H113" i="9" s="1"/>
  <c r="I113" i="9" s="1"/>
  <c r="J113" i="9" s="1"/>
  <c r="K113" i="9" s="1"/>
  <c r="L113" i="9" s="1"/>
  <c r="M113" i="9" s="1"/>
  <c r="N113" i="9" s="1"/>
  <c r="O113" i="9" s="1"/>
  <c r="P113" i="9" s="1"/>
  <c r="P115" i="9"/>
  <c r="P116" i="9"/>
  <c r="P114" i="9"/>
  <c r="N99" i="9"/>
  <c r="M99" i="9" s="1"/>
  <c r="L99" i="9" s="1"/>
  <c r="K99" i="9" s="1"/>
  <c r="J99" i="9" s="1"/>
  <c r="I99" i="9" s="1"/>
  <c r="H99" i="9" s="1"/>
  <c r="N90" i="9"/>
  <c r="M90" i="9" s="1"/>
  <c r="L90" i="9" s="1"/>
  <c r="K90" i="9" s="1"/>
  <c r="J90" i="9" s="1"/>
  <c r="I90" i="9" s="1"/>
  <c r="H90" i="9" s="1"/>
  <c r="P45" i="9" l="1"/>
  <c r="R45" i="9"/>
  <c r="S44" i="9"/>
  <c r="Q45" i="9"/>
  <c r="P117" i="9"/>
  <c r="S45" i="9" l="1"/>
  <c r="T44" i="9"/>
  <c r="T45" i="9" l="1"/>
  <c r="U44" i="9"/>
  <c r="V44" i="9" l="1"/>
  <c r="U45" i="9"/>
  <c r="W44" i="9" l="1"/>
  <c r="V45" i="9"/>
  <c r="X44" i="9" l="1"/>
  <c r="W45" i="9"/>
  <c r="Y44" i="9" l="1"/>
  <c r="Y45" i="9" s="1"/>
  <c r="X45" i="9"/>
  <c r="G18" i="5" l="1"/>
  <c r="T27" i="4"/>
  <c r="U27" i="4"/>
  <c r="V27" i="4"/>
  <c r="W27" i="4"/>
  <c r="X27" i="4"/>
  <c r="Y27" i="4"/>
  <c r="O74" i="9"/>
  <c r="N74" i="9"/>
  <c r="M74" i="9"/>
  <c r="L74" i="9"/>
  <c r="K74" i="9"/>
  <c r="J74" i="9"/>
  <c r="I74" i="9"/>
  <c r="H74" i="9"/>
  <c r="O73" i="9"/>
  <c r="N73" i="9"/>
  <c r="M73" i="9"/>
  <c r="L73" i="9"/>
  <c r="K73" i="9"/>
  <c r="J73" i="9"/>
  <c r="I73" i="9"/>
  <c r="H73" i="9"/>
  <c r="O68" i="9"/>
  <c r="O69" i="9" s="1"/>
  <c r="N68" i="9"/>
  <c r="M68" i="9"/>
  <c r="L68" i="9"/>
  <c r="K68" i="9"/>
  <c r="J68" i="9"/>
  <c r="I68" i="9"/>
  <c r="H68" i="9"/>
  <c r="O67" i="9"/>
  <c r="N67" i="9"/>
  <c r="M67" i="9"/>
  <c r="L67" i="9"/>
  <c r="K67" i="9"/>
  <c r="J67" i="9"/>
  <c r="I67" i="9"/>
  <c r="O65" i="9"/>
  <c r="N65" i="9"/>
  <c r="U65" i="9" s="1"/>
  <c r="M65" i="9"/>
  <c r="T65" i="9" s="1"/>
  <c r="L65" i="9"/>
  <c r="S65" i="9" s="1"/>
  <c r="K65" i="9"/>
  <c r="J65" i="9"/>
  <c r="Q65" i="9" s="1"/>
  <c r="I65" i="9"/>
  <c r="O63" i="9"/>
  <c r="N63" i="9"/>
  <c r="M63" i="9"/>
  <c r="L63" i="9"/>
  <c r="K63" i="9"/>
  <c r="J63" i="9"/>
  <c r="I63" i="9"/>
  <c r="H59" i="9"/>
  <c r="N58" i="9"/>
  <c r="M58" i="9"/>
  <c r="L58" i="9"/>
  <c r="K58" i="9"/>
  <c r="J58" i="9"/>
  <c r="I58" i="9"/>
  <c r="O56" i="9"/>
  <c r="N56" i="9"/>
  <c r="M56" i="9"/>
  <c r="L56" i="9"/>
  <c r="K56" i="9"/>
  <c r="J56" i="9"/>
  <c r="I56" i="9"/>
  <c r="O54" i="9"/>
  <c r="N54" i="9"/>
  <c r="M54" i="9"/>
  <c r="L54" i="9"/>
  <c r="K54" i="9"/>
  <c r="J54" i="9"/>
  <c r="I54" i="9"/>
  <c r="O52" i="9"/>
  <c r="N52" i="9"/>
  <c r="M52" i="9"/>
  <c r="L52" i="9"/>
  <c r="K52" i="9"/>
  <c r="J52" i="9"/>
  <c r="I52" i="9"/>
  <c r="O30" i="9"/>
  <c r="N30" i="9"/>
  <c r="M30" i="9"/>
  <c r="L30" i="9"/>
  <c r="K30" i="9"/>
  <c r="J30" i="9"/>
  <c r="I30" i="9"/>
  <c r="Q19" i="9"/>
  <c r="R19" i="9" s="1"/>
  <c r="S19" i="9" s="1"/>
  <c r="T19" i="9" s="1"/>
  <c r="U19" i="9" s="1"/>
  <c r="V19" i="9" s="1"/>
  <c r="W19" i="9" s="1"/>
  <c r="X19" i="9" s="1"/>
  <c r="Y19" i="9" s="1"/>
  <c r="I17" i="4"/>
  <c r="H8" i="9"/>
  <c r="I7" i="9" s="1"/>
  <c r="I8" i="9" s="1"/>
  <c r="J7" i="9" s="1"/>
  <c r="J8" i="9" s="1"/>
  <c r="K7" i="9" s="1"/>
  <c r="K8" i="9" s="1"/>
  <c r="L6" i="9"/>
  <c r="M6" i="9" s="1"/>
  <c r="N6" i="9" s="1"/>
  <c r="O6" i="9" s="1"/>
  <c r="P6" i="9" s="1"/>
  <c r="Q6" i="9" s="1"/>
  <c r="R6" i="9" s="1"/>
  <c r="S6" i="9" s="1"/>
  <c r="T6" i="9" s="1"/>
  <c r="U6" i="9" s="1"/>
  <c r="V6" i="9" s="1"/>
  <c r="W6" i="9" s="1"/>
  <c r="X6" i="9" s="1"/>
  <c r="Y6" i="9" s="1"/>
  <c r="O5" i="9"/>
  <c r="L5" i="9"/>
  <c r="O4" i="9"/>
  <c r="G107" i="9" s="1"/>
  <c r="P149" i="8"/>
  <c r="P21" i="8" s="1"/>
  <c r="P137" i="8"/>
  <c r="Q137" i="8" s="1"/>
  <c r="Q20" i="8" s="1"/>
  <c r="P125" i="8"/>
  <c r="P113" i="8"/>
  <c r="P18" i="8" s="1"/>
  <c r="P18" i="9"/>
  <c r="O41" i="8"/>
  <c r="N41" i="8"/>
  <c r="M41" i="8"/>
  <c r="L41" i="8"/>
  <c r="K41" i="8"/>
  <c r="J41" i="8"/>
  <c r="I41" i="8"/>
  <c r="H41" i="8"/>
  <c r="O40" i="8"/>
  <c r="N40" i="8"/>
  <c r="M40" i="8"/>
  <c r="L40" i="8"/>
  <c r="K40" i="8"/>
  <c r="J40" i="8"/>
  <c r="I40" i="8"/>
  <c r="H40" i="8"/>
  <c r="O39" i="8"/>
  <c r="N39" i="8"/>
  <c r="M39" i="8"/>
  <c r="L39" i="8"/>
  <c r="K39" i="8"/>
  <c r="J39" i="8"/>
  <c r="I39" i="8"/>
  <c r="H39" i="8"/>
  <c r="O38" i="8"/>
  <c r="N38" i="8"/>
  <c r="M38" i="8"/>
  <c r="L38" i="8"/>
  <c r="K38" i="8"/>
  <c r="J38" i="8"/>
  <c r="I38" i="8"/>
  <c r="H38" i="8"/>
  <c r="O37" i="8"/>
  <c r="N37" i="8"/>
  <c r="M37" i="8"/>
  <c r="L37" i="8"/>
  <c r="K37" i="8"/>
  <c r="J37" i="8"/>
  <c r="I37" i="8"/>
  <c r="H37" i="8"/>
  <c r="O21" i="8"/>
  <c r="N21" i="8"/>
  <c r="M21" i="8"/>
  <c r="L21" i="8"/>
  <c r="K21" i="8"/>
  <c r="K32" i="8" s="1"/>
  <c r="J21" i="8"/>
  <c r="I21" i="8"/>
  <c r="H21" i="8"/>
  <c r="O20" i="8"/>
  <c r="N20" i="8"/>
  <c r="M20" i="8"/>
  <c r="L20" i="8"/>
  <c r="K20" i="8"/>
  <c r="J20" i="8"/>
  <c r="I20" i="8"/>
  <c r="H20" i="8"/>
  <c r="O19" i="8"/>
  <c r="N19" i="8"/>
  <c r="M19" i="8"/>
  <c r="L19" i="8"/>
  <c r="K19" i="8"/>
  <c r="J19" i="8"/>
  <c r="J30" i="8" s="1"/>
  <c r="I19" i="8"/>
  <c r="H19" i="8"/>
  <c r="O18" i="8"/>
  <c r="N18" i="8"/>
  <c r="M18" i="8"/>
  <c r="L18" i="8"/>
  <c r="K18" i="8"/>
  <c r="K29" i="8" s="1"/>
  <c r="J18" i="8"/>
  <c r="I18" i="8"/>
  <c r="H18" i="8"/>
  <c r="O17" i="8"/>
  <c r="N17" i="8"/>
  <c r="N28" i="8" s="1"/>
  <c r="M17" i="8"/>
  <c r="L17" i="8"/>
  <c r="K17" i="8"/>
  <c r="J17" i="8"/>
  <c r="I17" i="8"/>
  <c r="H17" i="8"/>
  <c r="N13" i="8"/>
  <c r="M13" i="8"/>
  <c r="N12" i="8"/>
  <c r="M12" i="8"/>
  <c r="H8" i="8"/>
  <c r="I7" i="8" s="1"/>
  <c r="I8" i="8" s="1"/>
  <c r="L6" i="8"/>
  <c r="M6" i="8" s="1"/>
  <c r="N6" i="8" s="1"/>
  <c r="O6" i="8" s="1"/>
  <c r="P6" i="8" s="1"/>
  <c r="Q6" i="8" s="1"/>
  <c r="R6" i="8" s="1"/>
  <c r="S6" i="8" s="1"/>
  <c r="T6" i="8" s="1"/>
  <c r="U6" i="8" s="1"/>
  <c r="V6" i="8" s="1"/>
  <c r="W6" i="8" s="1"/>
  <c r="X6" i="8" s="1"/>
  <c r="Y6" i="8" s="1"/>
  <c r="O13" i="8"/>
  <c r="O4" i="8"/>
  <c r="P4" i="8" s="1"/>
  <c r="G12" i="7"/>
  <c r="H44" i="5"/>
  <c r="H24" i="5"/>
  <c r="I24" i="5" s="1"/>
  <c r="J24" i="5" s="1"/>
  <c r="K24" i="5" s="1"/>
  <c r="L24" i="5" s="1"/>
  <c r="M24" i="5" s="1"/>
  <c r="N24" i="5" s="1"/>
  <c r="O24" i="5" s="1"/>
  <c r="P24" i="5" s="1"/>
  <c r="Q24" i="5" s="1"/>
  <c r="G17" i="5"/>
  <c r="H98" i="4"/>
  <c r="H95" i="4"/>
  <c r="H75" i="4"/>
  <c r="O45" i="4"/>
  <c r="N45" i="4"/>
  <c r="M45" i="4"/>
  <c r="L45" i="4"/>
  <c r="K45" i="4"/>
  <c r="J45" i="4"/>
  <c r="I45" i="4"/>
  <c r="H45" i="4"/>
  <c r="O44" i="4"/>
  <c r="N44" i="4"/>
  <c r="M44" i="4"/>
  <c r="L44" i="4"/>
  <c r="K44" i="4"/>
  <c r="J44" i="4"/>
  <c r="I44" i="4"/>
  <c r="H44" i="4"/>
  <c r="O43" i="4"/>
  <c r="N43" i="4"/>
  <c r="M43" i="4"/>
  <c r="L43" i="4"/>
  <c r="K43" i="4"/>
  <c r="J43" i="4"/>
  <c r="I43" i="4"/>
  <c r="H43" i="4"/>
  <c r="P28" i="4"/>
  <c r="O28" i="4"/>
  <c r="N28" i="4"/>
  <c r="M28" i="4"/>
  <c r="L28" i="4"/>
  <c r="K28" i="4"/>
  <c r="J28" i="4"/>
  <c r="I28" i="4"/>
  <c r="S27" i="4"/>
  <c r="R27" i="4"/>
  <c r="Q27" i="4"/>
  <c r="O27" i="4"/>
  <c r="N27" i="4"/>
  <c r="M27" i="4"/>
  <c r="L27" i="4"/>
  <c r="K27" i="4"/>
  <c r="O17" i="4"/>
  <c r="O12" i="4"/>
  <c r="N12" i="4"/>
  <c r="O11" i="4"/>
  <c r="N11" i="4"/>
  <c r="H8" i="4"/>
  <c r="I7" i="4" s="1"/>
  <c r="L6" i="4"/>
  <c r="L7" i="2" s="1"/>
  <c r="P5" i="4"/>
  <c r="P11" i="4" s="1"/>
  <c r="M5" i="4"/>
  <c r="M11" i="4" s="1"/>
  <c r="O4" i="4"/>
  <c r="N4" i="4" s="1"/>
  <c r="K41" i="3"/>
  <c r="H81" i="4" s="1"/>
  <c r="K43" i="3"/>
  <c r="H16" i="3"/>
  <c r="AI143" i="2"/>
  <c r="AI144" i="2" s="1"/>
  <c r="AG143" i="2" s="1"/>
  <c r="AG144" i="2" s="1"/>
  <c r="AG147" i="2" s="1"/>
  <c r="AG142" i="2"/>
  <c r="AF142" i="2"/>
  <c r="G53" i="2"/>
  <c r="G42" i="2"/>
  <c r="G39" i="2"/>
  <c r="G26" i="2"/>
  <c r="G25" i="2"/>
  <c r="G16" i="2"/>
  <c r="H101" i="4" s="1"/>
  <c r="F10" i="2"/>
  <c r="E10" i="2"/>
  <c r="F9" i="2"/>
  <c r="E9" i="2"/>
  <c r="F8" i="2"/>
  <c r="E8" i="2"/>
  <c r="K7" i="2"/>
  <c r="J7" i="2"/>
  <c r="I7" i="2"/>
  <c r="H7" i="2"/>
  <c r="F7" i="2"/>
  <c r="E7" i="2"/>
  <c r="O6" i="2"/>
  <c r="N6" i="2"/>
  <c r="N45" i="2" s="1"/>
  <c r="F6" i="2"/>
  <c r="E6" i="2"/>
  <c r="O5" i="2"/>
  <c r="P5" i="2" s="1"/>
  <c r="Q5" i="2" s="1"/>
  <c r="R5" i="2" s="1"/>
  <c r="S5" i="2" s="1"/>
  <c r="T5" i="2" s="1"/>
  <c r="U5" i="2" s="1"/>
  <c r="V5" i="2" s="1"/>
  <c r="W5" i="2" s="1"/>
  <c r="X5" i="2" s="1"/>
  <c r="Y5" i="2" s="1"/>
  <c r="F5" i="2"/>
  <c r="P32" i="8" l="1"/>
  <c r="M48" i="8"/>
  <c r="N48" i="8"/>
  <c r="K48" i="8"/>
  <c r="O30" i="8"/>
  <c r="O46" i="8"/>
  <c r="O49" i="8"/>
  <c r="H47" i="8"/>
  <c r="H50" i="8"/>
  <c r="I47" i="8"/>
  <c r="I50" i="8"/>
  <c r="J47" i="8"/>
  <c r="J50" i="8"/>
  <c r="L48" i="8"/>
  <c r="L30" i="8"/>
  <c r="N31" i="8"/>
  <c r="N29" i="8"/>
  <c r="I28" i="8"/>
  <c r="M32" i="8"/>
  <c r="J28" i="8"/>
  <c r="K28" i="8"/>
  <c r="K31" i="8"/>
  <c r="O32" i="8"/>
  <c r="K47" i="8"/>
  <c r="O48" i="8"/>
  <c r="K50" i="8"/>
  <c r="L28" i="8"/>
  <c r="L31" i="8"/>
  <c r="H46" i="8"/>
  <c r="L47" i="8"/>
  <c r="H49" i="8"/>
  <c r="L50" i="8"/>
  <c r="N32" i="8"/>
  <c r="O29" i="8"/>
  <c r="M28" i="8"/>
  <c r="I30" i="8"/>
  <c r="M31" i="8"/>
  <c r="I46" i="8"/>
  <c r="M47" i="8"/>
  <c r="I49" i="8"/>
  <c r="M50" i="8"/>
  <c r="L29" i="8"/>
  <c r="J46" i="8"/>
  <c r="N47" i="8"/>
  <c r="J49" i="8"/>
  <c r="N50" i="8"/>
  <c r="O28" i="8"/>
  <c r="K30" i="8"/>
  <c r="O31" i="8"/>
  <c r="K46" i="8"/>
  <c r="O47" i="8"/>
  <c r="K49" i="8"/>
  <c r="O50" i="8"/>
  <c r="L32" i="8"/>
  <c r="M29" i="8"/>
  <c r="L46" i="8"/>
  <c r="H48" i="8"/>
  <c r="L49" i="8"/>
  <c r="I29" i="8"/>
  <c r="M30" i="8"/>
  <c r="I32" i="8"/>
  <c r="M46" i="8"/>
  <c r="I48" i="8"/>
  <c r="M49" i="8"/>
  <c r="P29" i="8"/>
  <c r="I31" i="8"/>
  <c r="J31" i="8"/>
  <c r="J29" i="8"/>
  <c r="N30" i="8"/>
  <c r="J32" i="8"/>
  <c r="N46" i="8"/>
  <c r="J48" i="8"/>
  <c r="N49" i="8"/>
  <c r="P65" i="9"/>
  <c r="X65" i="9" s="1"/>
  <c r="R65" i="9"/>
  <c r="Y65" i="9" s="1"/>
  <c r="V65" i="9"/>
  <c r="W65" i="9"/>
  <c r="M6" i="2"/>
  <c r="M45" i="2" s="1"/>
  <c r="P20" i="8"/>
  <c r="P31" i="8" s="1"/>
  <c r="P13" i="8"/>
  <c r="Q125" i="8"/>
  <c r="Q19" i="8" s="1"/>
  <c r="P19" i="8"/>
  <c r="P30" i="8" s="1"/>
  <c r="Q142" i="8"/>
  <c r="Q18" i="9"/>
  <c r="O12" i="8"/>
  <c r="M42" i="8"/>
  <c r="M68" i="8" s="1"/>
  <c r="H19" i="3"/>
  <c r="G20" i="2"/>
  <c r="P6" i="2"/>
  <c r="H7" i="8"/>
  <c r="N4" i="8"/>
  <c r="M4" i="8" s="1"/>
  <c r="L4" i="8" s="1"/>
  <c r="K4" i="8" s="1"/>
  <c r="O58" i="9"/>
  <c r="P57" i="9"/>
  <c r="G15" i="2"/>
  <c r="H8" i="3" a="1"/>
  <c r="H8" i="3" s="1"/>
  <c r="P4" i="4"/>
  <c r="I8" i="4"/>
  <c r="I9" i="2" s="1"/>
  <c r="I8" i="2"/>
  <c r="H9" i="2"/>
  <c r="P12" i="4"/>
  <c r="M6" i="4"/>
  <c r="N6" i="4" s="1"/>
  <c r="O6" i="4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Q5" i="4"/>
  <c r="R5" i="4" s="1"/>
  <c r="P27" i="4"/>
  <c r="H107" i="9"/>
  <c r="N17" i="4"/>
  <c r="J27" i="4"/>
  <c r="N69" i="9"/>
  <c r="N71" i="9" s="1"/>
  <c r="N101" i="9" s="1"/>
  <c r="M17" i="4"/>
  <c r="M75" i="9"/>
  <c r="M26" i="4" s="1"/>
  <c r="O75" i="9"/>
  <c r="O26" i="4" s="1"/>
  <c r="J69" i="9"/>
  <c r="J71" i="9" s="1"/>
  <c r="J101" i="9" s="1"/>
  <c r="M69" i="9"/>
  <c r="M71" i="9" s="1"/>
  <c r="M101" i="9" s="1"/>
  <c r="M46" i="4"/>
  <c r="M51" i="4" s="1"/>
  <c r="I75" i="9"/>
  <c r="I26" i="4" s="1"/>
  <c r="I27" i="4"/>
  <c r="H7" i="9"/>
  <c r="O46" i="4"/>
  <c r="O51" i="4" s="1"/>
  <c r="L69" i="9"/>
  <c r="L71" i="9" s="1"/>
  <c r="L101" i="9" s="1"/>
  <c r="K75" i="9"/>
  <c r="K26" i="4" s="1"/>
  <c r="K5" i="9"/>
  <c r="N46" i="4"/>
  <c r="N51" i="4" s="1"/>
  <c r="J17" i="4"/>
  <c r="J46" i="4"/>
  <c r="J51" i="4" s="1"/>
  <c r="K17" i="4"/>
  <c r="I46" i="4"/>
  <c r="I51" i="4" s="1"/>
  <c r="H69" i="9"/>
  <c r="H71" i="9" s="1"/>
  <c r="H101" i="9" s="1"/>
  <c r="N75" i="9"/>
  <c r="N26" i="4" s="1"/>
  <c r="P64" i="9"/>
  <c r="H46" i="4"/>
  <c r="H47" i="4" s="1"/>
  <c r="L46" i="4"/>
  <c r="L51" i="4" s="1"/>
  <c r="L75" i="9"/>
  <c r="L26" i="4" s="1"/>
  <c r="P5" i="9"/>
  <c r="K46" i="4"/>
  <c r="K51" i="4" s="1"/>
  <c r="L17" i="4"/>
  <c r="H72" i="4"/>
  <c r="I69" i="9"/>
  <c r="I71" i="9" s="1"/>
  <c r="I101" i="9" s="1"/>
  <c r="K69" i="9"/>
  <c r="K71" i="9" s="1"/>
  <c r="K101" i="9" s="1"/>
  <c r="J75" i="9"/>
  <c r="J26" i="4" s="1"/>
  <c r="J7" i="8"/>
  <c r="J8" i="8" s="1"/>
  <c r="M4" i="4"/>
  <c r="N5" i="2"/>
  <c r="L12" i="8"/>
  <c r="L13" i="8"/>
  <c r="N42" i="8"/>
  <c r="N68" i="8" s="1"/>
  <c r="N69" i="8" s="1"/>
  <c r="P12" i="8"/>
  <c r="M12" i="4"/>
  <c r="Q4" i="8"/>
  <c r="I22" i="8"/>
  <c r="J22" i="8"/>
  <c r="L5" i="4"/>
  <c r="H7" i="4"/>
  <c r="H8" i="2" s="1"/>
  <c r="N22" i="8"/>
  <c r="H22" i="8"/>
  <c r="H13" i="9" s="1"/>
  <c r="H93" i="9" s="1"/>
  <c r="H42" i="8"/>
  <c r="H68" i="8" s="1"/>
  <c r="I42" i="8"/>
  <c r="I68" i="8" s="1"/>
  <c r="K22" i="8"/>
  <c r="L22" i="8"/>
  <c r="K42" i="8"/>
  <c r="K68" i="8" s="1"/>
  <c r="K69" i="8" s="1"/>
  <c r="J42" i="8"/>
  <c r="J68" i="8" s="1"/>
  <c r="J69" i="8" s="1"/>
  <c r="M22" i="8"/>
  <c r="L42" i="8"/>
  <c r="L68" i="8" s="1"/>
  <c r="O42" i="8"/>
  <c r="O68" i="8" s="1"/>
  <c r="O22" i="8"/>
  <c r="L7" i="9"/>
  <c r="L8" i="9" s="1"/>
  <c r="Q113" i="8"/>
  <c r="P4" i="9"/>
  <c r="N4" i="9"/>
  <c r="F107" i="9" s="1"/>
  <c r="R137" i="8"/>
  <c r="P142" i="8"/>
  <c r="P143" i="8" s="1"/>
  <c r="Q149" i="8"/>
  <c r="M69" i="8" l="1"/>
  <c r="I69" i="8"/>
  <c r="O69" i="8"/>
  <c r="L69" i="8"/>
  <c r="N33" i="8"/>
  <c r="M60" i="8"/>
  <c r="M51" i="8"/>
  <c r="N60" i="8"/>
  <c r="N64" i="8" s="1"/>
  <c r="N51" i="8"/>
  <c r="H60" i="8"/>
  <c r="H64" i="8" s="1"/>
  <c r="H51" i="8"/>
  <c r="Q30" i="8"/>
  <c r="K60" i="8"/>
  <c r="K51" i="8"/>
  <c r="I51" i="8"/>
  <c r="O13" i="9"/>
  <c r="O33" i="8"/>
  <c r="O60" i="8"/>
  <c r="O51" i="8"/>
  <c r="L60" i="8"/>
  <c r="L51" i="8"/>
  <c r="J13" i="9"/>
  <c r="J93" i="9" s="1"/>
  <c r="J33" i="8"/>
  <c r="M13" i="9"/>
  <c r="M93" i="9" s="1"/>
  <c r="M33" i="8"/>
  <c r="I13" i="9"/>
  <c r="I33" i="8"/>
  <c r="L13" i="9"/>
  <c r="L93" i="9" s="1"/>
  <c r="L33" i="8"/>
  <c r="K13" i="9"/>
  <c r="K93" i="9" s="1"/>
  <c r="K33" i="8"/>
  <c r="Q143" i="8"/>
  <c r="J51" i="8"/>
  <c r="Q31" i="8"/>
  <c r="P51" i="4"/>
  <c r="Q51" i="4" s="1"/>
  <c r="R51" i="4" s="1"/>
  <c r="S51" i="4" s="1"/>
  <c r="T51" i="4" s="1"/>
  <c r="U51" i="4" s="1"/>
  <c r="V51" i="4" s="1"/>
  <c r="W51" i="4" s="1"/>
  <c r="X51" i="4" s="1"/>
  <c r="Y51" i="4" s="1"/>
  <c r="J60" i="8"/>
  <c r="J64" i="8" s="1"/>
  <c r="I60" i="8"/>
  <c r="R125" i="8"/>
  <c r="S125" i="8" s="1"/>
  <c r="M7" i="2"/>
  <c r="M24" i="8"/>
  <c r="L16" i="9"/>
  <c r="L20" i="4"/>
  <c r="L25" i="4" s="1"/>
  <c r="J16" i="9"/>
  <c r="J20" i="4"/>
  <c r="J25" i="4" s="1"/>
  <c r="O16" i="9"/>
  <c r="O20" i="4"/>
  <c r="O25" i="4" s="1"/>
  <c r="N16" i="9"/>
  <c r="N20" i="4"/>
  <c r="N25" i="4" s="1"/>
  <c r="K16" i="9"/>
  <c r="K20" i="4"/>
  <c r="K25" i="4" s="1"/>
  <c r="N13" i="9"/>
  <c r="N93" i="9" s="1"/>
  <c r="M16" i="9"/>
  <c r="M20" i="4"/>
  <c r="M25" i="4" s="1"/>
  <c r="H16" i="9"/>
  <c r="R18" i="9"/>
  <c r="P118" i="8"/>
  <c r="I16" i="9"/>
  <c r="I20" i="4"/>
  <c r="I25" i="4" s="1"/>
  <c r="H9" i="4"/>
  <c r="H10" i="2" s="1"/>
  <c r="N7" i="2"/>
  <c r="H9" i="8"/>
  <c r="I9" i="8"/>
  <c r="I9" i="9"/>
  <c r="K9" i="9"/>
  <c r="H9" i="9"/>
  <c r="J9" i="9"/>
  <c r="Q4" i="4"/>
  <c r="R4" i="4" s="1"/>
  <c r="S4" i="4" s="1"/>
  <c r="T4" i="4" s="1"/>
  <c r="Q57" i="9"/>
  <c r="P59" i="9"/>
  <c r="Q11" i="4"/>
  <c r="I9" i="4"/>
  <c r="I10" i="2" s="1"/>
  <c r="J7" i="4"/>
  <c r="J8" i="4" s="1"/>
  <c r="Q12" i="4"/>
  <c r="Q6" i="2"/>
  <c r="N94" i="9"/>
  <c r="J94" i="9"/>
  <c r="M94" i="9"/>
  <c r="K94" i="9"/>
  <c r="I107" i="9"/>
  <c r="L94" i="9"/>
  <c r="I94" i="9"/>
  <c r="I93" i="9"/>
  <c r="H94" i="9"/>
  <c r="M47" i="4"/>
  <c r="N47" i="4"/>
  <c r="O47" i="4"/>
  <c r="I47" i="4"/>
  <c r="J5" i="9"/>
  <c r="L47" i="4"/>
  <c r="J47" i="4"/>
  <c r="K47" i="4"/>
  <c r="Q64" i="9"/>
  <c r="Q5" i="9"/>
  <c r="Q40" i="8"/>
  <c r="Q49" i="8" s="1"/>
  <c r="P154" i="8"/>
  <c r="P155" i="8" s="1"/>
  <c r="J24" i="8"/>
  <c r="M5" i="2"/>
  <c r="K24" i="8"/>
  <c r="R4" i="8"/>
  <c r="Q13" i="8"/>
  <c r="Q12" i="8"/>
  <c r="O7" i="2"/>
  <c r="P6" i="4"/>
  <c r="R113" i="8"/>
  <c r="Q18" i="8"/>
  <c r="Q29" i="8" s="1"/>
  <c r="L11" i="4"/>
  <c r="L6" i="2"/>
  <c r="L45" i="2" s="1"/>
  <c r="K5" i="4"/>
  <c r="L12" i="4"/>
  <c r="J4" i="8"/>
  <c r="K12" i="8"/>
  <c r="K13" i="8"/>
  <c r="R149" i="8"/>
  <c r="Q154" i="8"/>
  <c r="Q21" i="8"/>
  <c r="Q32" i="8" s="1"/>
  <c r="P130" i="8"/>
  <c r="P131" i="8" s="1"/>
  <c r="N24" i="8"/>
  <c r="L4" i="4"/>
  <c r="M64" i="8"/>
  <c r="H15" i="9"/>
  <c r="H17" i="9" s="1"/>
  <c r="M7" i="9"/>
  <c r="M8" i="9" s="1"/>
  <c r="L9" i="9"/>
  <c r="I24" i="8"/>
  <c r="O24" i="8"/>
  <c r="M4" i="9"/>
  <c r="K7" i="8"/>
  <c r="K8" i="8" s="1"/>
  <c r="J9" i="8"/>
  <c r="P40" i="8"/>
  <c r="P49" i="8" s="1"/>
  <c r="S137" i="8"/>
  <c r="R20" i="8"/>
  <c r="R31" i="8" s="1"/>
  <c r="P43" i="4"/>
  <c r="Q4" i="9"/>
  <c r="L24" i="8"/>
  <c r="R12" i="4"/>
  <c r="R11" i="4"/>
  <c r="S5" i="4"/>
  <c r="R6" i="2"/>
  <c r="Q155" i="8" l="1"/>
  <c r="O64" i="8"/>
  <c r="P38" i="8"/>
  <c r="P47" i="8" s="1"/>
  <c r="P119" i="8"/>
  <c r="R19" i="8"/>
  <c r="R30" i="8" s="1"/>
  <c r="R130" i="8"/>
  <c r="H21" i="9"/>
  <c r="Q118" i="8"/>
  <c r="Q119" i="8" s="1"/>
  <c r="R142" i="8"/>
  <c r="R143" i="8" s="1"/>
  <c r="P16" i="9"/>
  <c r="P20" i="4"/>
  <c r="P25" i="4" s="1"/>
  <c r="S18" i="9"/>
  <c r="J8" i="2"/>
  <c r="R57" i="9"/>
  <c r="Q59" i="9"/>
  <c r="J107" i="9"/>
  <c r="I5" i="9"/>
  <c r="R5" i="9"/>
  <c r="S12" i="4"/>
  <c r="S11" i="4"/>
  <c r="S6" i="2"/>
  <c r="T5" i="4"/>
  <c r="I4" i="8"/>
  <c r="L4" i="9"/>
  <c r="Q41" i="8"/>
  <c r="Q50" i="8" s="1"/>
  <c r="O15" i="9"/>
  <c r="O17" i="9" s="1"/>
  <c r="O16" i="4"/>
  <c r="O18" i="4" s="1"/>
  <c r="O21" i="4" s="1"/>
  <c r="N7" i="9"/>
  <c r="N8" i="9" s="1"/>
  <c r="M9" i="9"/>
  <c r="R154" i="8"/>
  <c r="R155" i="8" s="1"/>
  <c r="R21" i="8"/>
  <c r="R32" i="8" s="1"/>
  <c r="S149" i="8"/>
  <c r="K15" i="9"/>
  <c r="K16" i="4"/>
  <c r="K18" i="4" s="1"/>
  <c r="K21" i="4" s="1"/>
  <c r="I64" i="8"/>
  <c r="J12" i="8"/>
  <c r="J13" i="8"/>
  <c r="K11" i="4"/>
  <c r="J5" i="4"/>
  <c r="K6" i="2"/>
  <c r="K45" i="2" s="1"/>
  <c r="K12" i="4"/>
  <c r="P7" i="2"/>
  <c r="Q6" i="4"/>
  <c r="M15" i="9"/>
  <c r="M16" i="4"/>
  <c r="M18" i="4" s="1"/>
  <c r="M21" i="4" s="1"/>
  <c r="P41" i="8"/>
  <c r="P50" i="8" s="1"/>
  <c r="R4" i="9"/>
  <c r="R13" i="8"/>
  <c r="R12" i="8"/>
  <c r="N15" i="9"/>
  <c r="N16" i="4"/>
  <c r="N18" i="4" s="1"/>
  <c r="N21" i="4" s="1"/>
  <c r="L64" i="8"/>
  <c r="L15" i="9"/>
  <c r="L16" i="4"/>
  <c r="L18" i="4" s="1"/>
  <c r="L21" i="4" s="1"/>
  <c r="K9" i="8"/>
  <c r="L7" i="8"/>
  <c r="L8" i="8" s="1"/>
  <c r="R118" i="8"/>
  <c r="S113" i="8"/>
  <c r="R18" i="8"/>
  <c r="R29" i="8" s="1"/>
  <c r="J9" i="2"/>
  <c r="K7" i="4"/>
  <c r="J9" i="4"/>
  <c r="J10" i="2" s="1"/>
  <c r="Q130" i="8"/>
  <c r="Q131" i="8" s="1"/>
  <c r="S142" i="8"/>
  <c r="T137" i="8"/>
  <c r="S20" i="8"/>
  <c r="S31" i="8" s="1"/>
  <c r="K4" i="4"/>
  <c r="S4" i="8"/>
  <c r="K64" i="8"/>
  <c r="Q43" i="4"/>
  <c r="J15" i="9"/>
  <c r="J16" i="4"/>
  <c r="J18" i="4" s="1"/>
  <c r="J21" i="4" s="1"/>
  <c r="U4" i="4"/>
  <c r="P39" i="8"/>
  <c r="P48" i="8" s="1"/>
  <c r="I15" i="9"/>
  <c r="I16" i="4"/>
  <c r="I18" i="4" s="1"/>
  <c r="I21" i="4" s="1"/>
  <c r="L5" i="2"/>
  <c r="T125" i="8"/>
  <c r="S19" i="8"/>
  <c r="S143" i="8" l="1"/>
  <c r="H78" i="8"/>
  <c r="S30" i="8"/>
  <c r="R119" i="8"/>
  <c r="K22" i="4"/>
  <c r="K23" i="4" s="1"/>
  <c r="L22" i="4"/>
  <c r="L23" i="4" s="1"/>
  <c r="M22" i="4"/>
  <c r="M23" i="4" s="1"/>
  <c r="J22" i="4"/>
  <c r="J23" i="4" s="1"/>
  <c r="I22" i="4"/>
  <c r="I23" i="4" s="1"/>
  <c r="N22" i="4"/>
  <c r="N23" i="4" s="1"/>
  <c r="O22" i="4"/>
  <c r="O23" i="4" s="1"/>
  <c r="H91" i="9"/>
  <c r="R39" i="8"/>
  <c r="R48" i="8" s="1"/>
  <c r="R131" i="8"/>
  <c r="N17" i="9"/>
  <c r="N21" i="9" s="1"/>
  <c r="M17" i="9"/>
  <c r="M21" i="9" s="1"/>
  <c r="L17" i="9"/>
  <c r="L21" i="9" s="1"/>
  <c r="K17" i="9"/>
  <c r="K21" i="9" s="1"/>
  <c r="J17" i="9"/>
  <c r="J21" i="9" s="1"/>
  <c r="I17" i="9"/>
  <c r="I21" i="9" s="1"/>
  <c r="Q38" i="8"/>
  <c r="Q47" i="8" s="1"/>
  <c r="R40" i="8"/>
  <c r="R49" i="8" s="1"/>
  <c r="T18" i="9"/>
  <c r="S130" i="8"/>
  <c r="S131" i="8" s="1"/>
  <c r="S57" i="9"/>
  <c r="R59" i="9"/>
  <c r="K107" i="9"/>
  <c r="H5" i="9"/>
  <c r="R64" i="9"/>
  <c r="S5" i="9"/>
  <c r="T130" i="8"/>
  <c r="U125" i="8"/>
  <c r="T19" i="8"/>
  <c r="T30" i="8" s="1"/>
  <c r="T142" i="8"/>
  <c r="T143" i="8" s="1"/>
  <c r="U137" i="8"/>
  <c r="T20" i="8"/>
  <c r="T31" i="8" s="1"/>
  <c r="T113" i="8"/>
  <c r="S118" i="8"/>
  <c r="S119" i="8" s="1"/>
  <c r="S18" i="8"/>
  <c r="S29" i="8" s="1"/>
  <c r="N9" i="9"/>
  <c r="O7" i="9"/>
  <c r="O8" i="9" s="1"/>
  <c r="Q7" i="2"/>
  <c r="R6" i="4"/>
  <c r="I12" i="8"/>
  <c r="I13" i="8"/>
  <c r="S40" i="8"/>
  <c r="S49" i="8" s="1"/>
  <c r="R38" i="8"/>
  <c r="R47" i="8" s="1"/>
  <c r="S13" i="8"/>
  <c r="S12" i="8"/>
  <c r="S154" i="8"/>
  <c r="S155" i="8" s="1"/>
  <c r="T149" i="8"/>
  <c r="S21" i="8"/>
  <c r="S32" i="8" s="1"/>
  <c r="T12" i="4"/>
  <c r="T11" i="4"/>
  <c r="U5" i="4"/>
  <c r="T6" i="2"/>
  <c r="K5" i="2"/>
  <c r="Q39" i="8"/>
  <c r="Q48" i="8" s="1"/>
  <c r="R41" i="8"/>
  <c r="R50" i="8" s="1"/>
  <c r="J4" i="4"/>
  <c r="V4" i="4"/>
  <c r="T4" i="8"/>
  <c r="L9" i="8"/>
  <c r="M7" i="8"/>
  <c r="M8" i="8" s="1"/>
  <c r="K8" i="2"/>
  <c r="K8" i="4"/>
  <c r="S4" i="9"/>
  <c r="J11" i="4"/>
  <c r="I5" i="4"/>
  <c r="J6" i="2"/>
  <c r="J45" i="2" s="1"/>
  <c r="J12" i="4"/>
  <c r="K4" i="9"/>
  <c r="H4" i="8"/>
  <c r="I24" i="9" l="1"/>
  <c r="J24" i="9"/>
  <c r="K24" i="9"/>
  <c r="L24" i="9"/>
  <c r="M24" i="9"/>
  <c r="N24" i="9"/>
  <c r="H81" i="8"/>
  <c r="H102" i="9"/>
  <c r="T131" i="8"/>
  <c r="I30" i="4"/>
  <c r="L30" i="4"/>
  <c r="N30" i="4"/>
  <c r="M30" i="4"/>
  <c r="J30" i="4"/>
  <c r="K30" i="4"/>
  <c r="O30" i="4"/>
  <c r="H92" i="9"/>
  <c r="H25" i="9"/>
  <c r="J25" i="9"/>
  <c r="J92" i="9"/>
  <c r="I25" i="9"/>
  <c r="I92" i="9"/>
  <c r="S39" i="8"/>
  <c r="S48" i="8" s="1"/>
  <c r="U18" i="9"/>
  <c r="T57" i="9"/>
  <c r="S59" i="9"/>
  <c r="L107" i="9"/>
  <c r="R43" i="4"/>
  <c r="S64" i="9"/>
  <c r="T5" i="9"/>
  <c r="T13" i="8"/>
  <c r="T12" i="8"/>
  <c r="V137" i="8"/>
  <c r="U142" i="8"/>
  <c r="U143" i="8" s="1"/>
  <c r="U20" i="8"/>
  <c r="U31" i="8" s="1"/>
  <c r="U11" i="4"/>
  <c r="V5" i="4"/>
  <c r="U6" i="2"/>
  <c r="U12" i="4"/>
  <c r="T40" i="8"/>
  <c r="T49" i="8" s="1"/>
  <c r="O21" i="9"/>
  <c r="U4" i="8"/>
  <c r="T4" i="9"/>
  <c r="T154" i="8"/>
  <c r="T155" i="8" s="1"/>
  <c r="U149" i="8"/>
  <c r="T21" i="8"/>
  <c r="T32" i="8" s="1"/>
  <c r="P7" i="9"/>
  <c r="P8" i="9" s="1"/>
  <c r="O9" i="9"/>
  <c r="J4" i="9"/>
  <c r="M9" i="8"/>
  <c r="N7" i="8"/>
  <c r="N8" i="8" s="1"/>
  <c r="W4" i="4"/>
  <c r="I11" i="4"/>
  <c r="H5" i="4"/>
  <c r="I6" i="2"/>
  <c r="I45" i="2" s="1"/>
  <c r="I12" i="4"/>
  <c r="J5" i="2"/>
  <c r="K9" i="2"/>
  <c r="L7" i="4"/>
  <c r="K9" i="4"/>
  <c r="K10" i="2" s="1"/>
  <c r="S41" i="8"/>
  <c r="S50" i="8" s="1"/>
  <c r="H12" i="8"/>
  <c r="H13" i="8"/>
  <c r="U130" i="8"/>
  <c r="U131" i="8" s="1"/>
  <c r="V125" i="8"/>
  <c r="U19" i="8"/>
  <c r="U30" i="8" s="1"/>
  <c r="T39" i="8"/>
  <c r="T48" i="8" s="1"/>
  <c r="I4" i="4"/>
  <c r="R7" i="2"/>
  <c r="S6" i="4"/>
  <c r="S38" i="8"/>
  <c r="S47" i="8" s="1"/>
  <c r="U113" i="8"/>
  <c r="T118" i="8"/>
  <c r="T119" i="8" s="1"/>
  <c r="T18" i="8"/>
  <c r="T29" i="8" s="1"/>
  <c r="L92" i="9" l="1"/>
  <c r="H89" i="8"/>
  <c r="H90" i="8" s="1"/>
  <c r="L25" i="9"/>
  <c r="M25" i="9"/>
  <c r="M91" i="9"/>
  <c r="M78" i="8"/>
  <c r="L91" i="9"/>
  <c r="L78" i="8"/>
  <c r="N91" i="9"/>
  <c r="N78" i="8"/>
  <c r="P100" i="9"/>
  <c r="N92" i="9"/>
  <c r="M92" i="9"/>
  <c r="K91" i="9"/>
  <c r="K78" i="8"/>
  <c r="N25" i="9"/>
  <c r="J91" i="9"/>
  <c r="J78" i="8"/>
  <c r="K92" i="9"/>
  <c r="K25" i="9"/>
  <c r="I91" i="9"/>
  <c r="I78" i="8"/>
  <c r="V18" i="9"/>
  <c r="U57" i="9"/>
  <c r="T59" i="9"/>
  <c r="M107" i="9"/>
  <c r="N107" i="9" s="1"/>
  <c r="O107" i="9" s="1"/>
  <c r="P107" i="9" s="1"/>
  <c r="S43" i="4"/>
  <c r="T64" i="9"/>
  <c r="T43" i="4" s="1"/>
  <c r="U5" i="9"/>
  <c r="I5" i="2"/>
  <c r="U13" i="8"/>
  <c r="U12" i="8"/>
  <c r="V4" i="8"/>
  <c r="V11" i="4"/>
  <c r="W5" i="4"/>
  <c r="V6" i="2"/>
  <c r="V12" i="4"/>
  <c r="W125" i="8"/>
  <c r="V130" i="8"/>
  <c r="V131" i="8" s="1"/>
  <c r="V19" i="8"/>
  <c r="V30" i="8" s="1"/>
  <c r="U39" i="8"/>
  <c r="U48" i="8" s="1"/>
  <c r="U154" i="8"/>
  <c r="U155" i="8" s="1"/>
  <c r="V149" i="8"/>
  <c r="U21" i="8"/>
  <c r="U32" i="8" s="1"/>
  <c r="U40" i="8"/>
  <c r="U49" i="8" s="1"/>
  <c r="H4" i="4"/>
  <c r="H12" i="4"/>
  <c r="H11" i="4"/>
  <c r="H6" i="2"/>
  <c r="H45" i="2" s="1"/>
  <c r="T41" i="8"/>
  <c r="T50" i="8" s="1"/>
  <c r="T38" i="8"/>
  <c r="T47" i="8" s="1"/>
  <c r="L8" i="2"/>
  <c r="L8" i="4"/>
  <c r="I4" i="9"/>
  <c r="V142" i="8"/>
  <c r="V143" i="8" s="1"/>
  <c r="W137" i="8"/>
  <c r="V20" i="8"/>
  <c r="V31" i="8" s="1"/>
  <c r="U118" i="8"/>
  <c r="U119" i="8" s="1"/>
  <c r="V113" i="8"/>
  <c r="U18" i="8"/>
  <c r="U29" i="8" s="1"/>
  <c r="S7" i="2"/>
  <c r="T6" i="4"/>
  <c r="X4" i="4"/>
  <c r="Q7" i="9"/>
  <c r="Q8" i="9" s="1"/>
  <c r="P9" i="9"/>
  <c r="U4" i="9"/>
  <c r="O7" i="8"/>
  <c r="O8" i="8" s="1"/>
  <c r="N9" i="8"/>
  <c r="I102" i="9" l="1"/>
  <c r="I81" i="8"/>
  <c r="M102" i="9"/>
  <c r="M81" i="8"/>
  <c r="M89" i="8"/>
  <c r="M90" i="8" s="1"/>
  <c r="J102" i="9"/>
  <c r="J81" i="8"/>
  <c r="O91" i="9"/>
  <c r="P91" i="9" s="1"/>
  <c r="O78" i="8"/>
  <c r="N81" i="8"/>
  <c r="N102" i="9"/>
  <c r="L102" i="9"/>
  <c r="L81" i="8"/>
  <c r="L89" i="8"/>
  <c r="L90" i="8" s="1"/>
  <c r="K102" i="9"/>
  <c r="K81" i="8"/>
  <c r="W18" i="9"/>
  <c r="V57" i="9"/>
  <c r="U59" i="9"/>
  <c r="O25" i="9"/>
  <c r="O92" i="9"/>
  <c r="P92" i="9" s="1"/>
  <c r="U64" i="9"/>
  <c r="U43" i="4" s="1"/>
  <c r="V5" i="9"/>
  <c r="Y4" i="4"/>
  <c r="W4" i="8"/>
  <c r="P7" i="8"/>
  <c r="P8" i="8" s="1"/>
  <c r="O9" i="8"/>
  <c r="H4" i="9"/>
  <c r="H5" i="2"/>
  <c r="L9" i="2"/>
  <c r="M7" i="4"/>
  <c r="L9" i="4"/>
  <c r="L10" i="2" s="1"/>
  <c r="W149" i="8"/>
  <c r="V154" i="8"/>
  <c r="V155" i="8" s="1"/>
  <c r="V21" i="8"/>
  <c r="V32" i="8" s="1"/>
  <c r="V40" i="8"/>
  <c r="V49" i="8" s="1"/>
  <c r="V118" i="8"/>
  <c r="V119" i="8" s="1"/>
  <c r="W113" i="8"/>
  <c r="V18" i="8"/>
  <c r="V29" i="8" s="1"/>
  <c r="U41" i="8"/>
  <c r="U50" i="8" s="1"/>
  <c r="V39" i="8"/>
  <c r="V48" i="8" s="1"/>
  <c r="R7" i="9"/>
  <c r="R8" i="9" s="1"/>
  <c r="Q9" i="9"/>
  <c r="U38" i="8"/>
  <c r="U47" i="8" s="1"/>
  <c r="W130" i="8"/>
  <c r="W131" i="8" s="1"/>
  <c r="X125" i="8"/>
  <c r="W19" i="8"/>
  <c r="W30" i="8" s="1"/>
  <c r="T7" i="2"/>
  <c r="U6" i="4"/>
  <c r="V12" i="8"/>
  <c r="V13" i="8"/>
  <c r="V4" i="9"/>
  <c r="W142" i="8"/>
  <c r="W143" i="8" s="1"/>
  <c r="X137" i="8"/>
  <c r="W20" i="8"/>
  <c r="W31" i="8" s="1"/>
  <c r="W11" i="4"/>
  <c r="X5" i="4"/>
  <c r="W6" i="2"/>
  <c r="W12" i="4"/>
  <c r="I89" i="8" l="1"/>
  <c r="I90" i="8" s="1"/>
  <c r="K89" i="8"/>
  <c r="K90" i="8" s="1"/>
  <c r="J89" i="8"/>
  <c r="J90" i="8" s="1"/>
  <c r="O81" i="8"/>
  <c r="O102" i="9"/>
  <c r="P102" i="9" s="1"/>
  <c r="N89" i="8"/>
  <c r="N90" i="8" s="1"/>
  <c r="X18" i="9"/>
  <c r="W57" i="9"/>
  <c r="V59" i="9"/>
  <c r="V64" i="9"/>
  <c r="W5" i="9"/>
  <c r="X142" i="8"/>
  <c r="X143" i="8" s="1"/>
  <c r="Y137" i="8"/>
  <c r="X20" i="8"/>
  <c r="X31" i="8" s="1"/>
  <c r="Y125" i="8"/>
  <c r="X130" i="8"/>
  <c r="X131" i="8" s="1"/>
  <c r="X19" i="8"/>
  <c r="X30" i="8" s="1"/>
  <c r="V41" i="8"/>
  <c r="V50" i="8" s="1"/>
  <c r="Q7" i="8"/>
  <c r="Q8" i="8" s="1"/>
  <c r="P9" i="8"/>
  <c r="W40" i="8"/>
  <c r="W49" i="8" s="1"/>
  <c r="W39" i="8"/>
  <c r="W48" i="8" s="1"/>
  <c r="X113" i="8"/>
  <c r="W118" i="8"/>
  <c r="W119" i="8" s="1"/>
  <c r="W18" i="8"/>
  <c r="W29" i="8" s="1"/>
  <c r="W154" i="8"/>
  <c r="W155" i="8" s="1"/>
  <c r="X149" i="8"/>
  <c r="W21" i="8"/>
  <c r="W32" i="8" s="1"/>
  <c r="X6" i="2"/>
  <c r="X11" i="4"/>
  <c r="Y5" i="4"/>
  <c r="X12" i="4"/>
  <c r="V38" i="8"/>
  <c r="V47" i="8" s="1"/>
  <c r="V6" i="4"/>
  <c r="U7" i="2"/>
  <c r="X4" i="8"/>
  <c r="M8" i="4"/>
  <c r="M8" i="2"/>
  <c r="W4" i="9"/>
  <c r="W12" i="8"/>
  <c r="W13" i="8"/>
  <c r="S7" i="9"/>
  <c r="S8" i="9" s="1"/>
  <c r="R9" i="9"/>
  <c r="O89" i="8" l="1"/>
  <c r="O90" i="8" s="1"/>
  <c r="Z91" i="8" s="1"/>
  <c r="O91" i="8" s="1"/>
  <c r="Y18" i="9"/>
  <c r="X57" i="9"/>
  <c r="W59" i="9"/>
  <c r="V43" i="4"/>
  <c r="W64" i="9"/>
  <c r="X64" i="9" s="1"/>
  <c r="X5" i="9"/>
  <c r="X118" i="8"/>
  <c r="X119" i="8" s="1"/>
  <c r="Y113" i="8"/>
  <c r="X18" i="8"/>
  <c r="X29" i="8" s="1"/>
  <c r="W41" i="8"/>
  <c r="W50" i="8" s="1"/>
  <c r="W38" i="8"/>
  <c r="W47" i="8" s="1"/>
  <c r="T7" i="9"/>
  <c r="T8" i="9" s="1"/>
  <c r="S9" i="9"/>
  <c r="Q9" i="8"/>
  <c r="R7" i="8"/>
  <c r="R8" i="8" s="1"/>
  <c r="Y11" i="4"/>
  <c r="Y6" i="2"/>
  <c r="Y12" i="4"/>
  <c r="X39" i="8"/>
  <c r="X48" i="8" s="1"/>
  <c r="X4" i="9"/>
  <c r="Y130" i="8"/>
  <c r="Y131" i="8" s="1"/>
  <c r="Y19" i="8"/>
  <c r="Y30" i="8" s="1"/>
  <c r="M9" i="2"/>
  <c r="N7" i="4"/>
  <c r="M9" i="4"/>
  <c r="M10" i="2" s="1"/>
  <c r="X12" i="8"/>
  <c r="Y12" i="8"/>
  <c r="Y142" i="8"/>
  <c r="Y143" i="8" s="1"/>
  <c r="Y20" i="8"/>
  <c r="Y31" i="8" s="1"/>
  <c r="Y4" i="8"/>
  <c r="W6" i="4"/>
  <c r="V7" i="2"/>
  <c r="X154" i="8"/>
  <c r="X155" i="8" s="1"/>
  <c r="Y149" i="8"/>
  <c r="X21" i="8"/>
  <c r="X32" i="8" s="1"/>
  <c r="X40" i="8"/>
  <c r="X49" i="8" s="1"/>
  <c r="Y57" i="9" l="1"/>
  <c r="Y59" i="9" s="1"/>
  <c r="X59" i="9"/>
  <c r="W43" i="4"/>
  <c r="Y5" i="9"/>
  <c r="Y39" i="8"/>
  <c r="Y48" i="8" s="1"/>
  <c r="Y118" i="8"/>
  <c r="Y119" i="8" s="1"/>
  <c r="Y18" i="8"/>
  <c r="Y29" i="8" s="1"/>
  <c r="Y154" i="8"/>
  <c r="Y155" i="8" s="1"/>
  <c r="Y21" i="8"/>
  <c r="Y32" i="8" s="1"/>
  <c r="U7" i="9"/>
  <c r="U8" i="9" s="1"/>
  <c r="T9" i="9"/>
  <c r="X38" i="8"/>
  <c r="X47" i="8" s="1"/>
  <c r="X41" i="8"/>
  <c r="X50" i="8" s="1"/>
  <c r="N8" i="4"/>
  <c r="N8" i="2"/>
  <c r="Y40" i="8"/>
  <c r="Y49" i="8" s="1"/>
  <c r="X6" i="4"/>
  <c r="W7" i="2"/>
  <c r="Y64" i="9"/>
  <c r="X43" i="4"/>
  <c r="R9" i="8"/>
  <c r="S7" i="8"/>
  <c r="S8" i="8" s="1"/>
  <c r="Y4" i="9"/>
  <c r="N9" i="2" l="1"/>
  <c r="O7" i="4"/>
  <c r="G7" i="5" s="1"/>
  <c r="G8" i="5" s="1"/>
  <c r="N9" i="4"/>
  <c r="N10" i="2" s="1"/>
  <c r="Y38" i="8"/>
  <c r="Y47" i="8" s="1"/>
  <c r="Y43" i="4"/>
  <c r="S9" i="8"/>
  <c r="T7" i="8"/>
  <c r="T8" i="8" s="1"/>
  <c r="U9" i="9"/>
  <c r="V7" i="9"/>
  <c r="V8" i="9" s="1"/>
  <c r="Y6" i="4"/>
  <c r="Y7" i="2" s="1"/>
  <c r="X7" i="2"/>
  <c r="Y41" i="8"/>
  <c r="Y50" i="8" s="1"/>
  <c r="H7" i="5" l="1"/>
  <c r="H8" i="5" s="1"/>
  <c r="G9" i="5"/>
  <c r="V9" i="9"/>
  <c r="W7" i="9"/>
  <c r="W8" i="9" s="1"/>
  <c r="O8" i="2"/>
  <c r="O8" i="4"/>
  <c r="O9" i="4" s="1"/>
  <c r="T9" i="8"/>
  <c r="U7" i="8"/>
  <c r="U8" i="8" s="1"/>
  <c r="I7" i="5" l="1"/>
  <c r="I8" i="5" s="1"/>
  <c r="H33" i="5"/>
  <c r="H34" i="5" s="1"/>
  <c r="H9" i="5"/>
  <c r="U9" i="8"/>
  <c r="V7" i="8"/>
  <c r="V8" i="8" s="1"/>
  <c r="O9" i="2"/>
  <c r="P7" i="4"/>
  <c r="O10" i="2"/>
  <c r="X7" i="9"/>
  <c r="X8" i="9" s="1"/>
  <c r="W9" i="9"/>
  <c r="J7" i="5" l="1"/>
  <c r="J8" i="5" s="1"/>
  <c r="I33" i="5"/>
  <c r="I34" i="5" s="1"/>
  <c r="I9" i="5"/>
  <c r="Y7" i="9"/>
  <c r="Y8" i="9" s="1"/>
  <c r="Y9" i="9" s="1"/>
  <c r="X9" i="9"/>
  <c r="P8" i="2"/>
  <c r="P8" i="4"/>
  <c r="P60" i="4" s="1"/>
  <c r="P61" i="4" s="1"/>
  <c r="W7" i="8"/>
  <c r="W8" i="8" s="1"/>
  <c r="V9" i="8"/>
  <c r="K7" i="5" l="1"/>
  <c r="K8" i="5" s="1"/>
  <c r="J33" i="5"/>
  <c r="J34" i="5" s="1"/>
  <c r="J9" i="5"/>
  <c r="P9" i="2"/>
  <c r="P45" i="2" s="1"/>
  <c r="H29" i="5" s="1"/>
  <c r="Q7" i="4"/>
  <c r="P9" i="4"/>
  <c r="P10" i="2" s="1"/>
  <c r="P37" i="4"/>
  <c r="W9" i="8"/>
  <c r="X7" i="8"/>
  <c r="X8" i="8" s="1"/>
  <c r="L7" i="5" l="1"/>
  <c r="L8" i="5" s="1"/>
  <c r="K33" i="5"/>
  <c r="K34" i="5" s="1"/>
  <c r="K9" i="5"/>
  <c r="P33" i="4"/>
  <c r="P56" i="4"/>
  <c r="P38" i="4"/>
  <c r="Q8" i="2"/>
  <c r="Q8" i="4"/>
  <c r="Q60" i="4" s="1"/>
  <c r="Q61" i="4" s="1"/>
  <c r="X9" i="8"/>
  <c r="Y7" i="8"/>
  <c r="Y8" i="8" s="1"/>
  <c r="Y9" i="8" s="1"/>
  <c r="M7" i="5" l="1"/>
  <c r="M8" i="5" s="1"/>
  <c r="L33" i="5"/>
  <c r="L34" i="5" s="1"/>
  <c r="L9" i="5"/>
  <c r="P58" i="4"/>
  <c r="R7" i="4"/>
  <c r="Q9" i="4"/>
  <c r="Q10" i="2" s="1"/>
  <c r="Q9" i="2"/>
  <c r="Q45" i="2" s="1"/>
  <c r="I29" i="5" s="1"/>
  <c r="Q37" i="4"/>
  <c r="N7" i="5" l="1"/>
  <c r="N8" i="5" s="1"/>
  <c r="M33" i="5"/>
  <c r="M34" i="5" s="1"/>
  <c r="M9" i="5"/>
  <c r="Q33" i="4"/>
  <c r="Q56" i="4"/>
  <c r="Q38" i="4"/>
  <c r="R8" i="2"/>
  <c r="R8" i="4"/>
  <c r="R60" i="4" s="1"/>
  <c r="R61" i="4" s="1"/>
  <c r="O7" i="5" l="1"/>
  <c r="O8" i="5" s="1"/>
  <c r="N33" i="5"/>
  <c r="N34" i="5" s="1"/>
  <c r="N9" i="5"/>
  <c r="Q58" i="4"/>
  <c r="S7" i="4"/>
  <c r="R9" i="4"/>
  <c r="R10" i="2" s="1"/>
  <c r="R9" i="2"/>
  <c r="R45" i="2" s="1"/>
  <c r="R37" i="4"/>
  <c r="P7" i="5" l="1"/>
  <c r="P8" i="5" s="1"/>
  <c r="O33" i="5"/>
  <c r="O34" i="5" s="1"/>
  <c r="O9" i="5"/>
  <c r="J29" i="5"/>
  <c r="R33" i="4"/>
  <c r="R56" i="4"/>
  <c r="R38" i="4"/>
  <c r="S8" i="2"/>
  <c r="S8" i="4"/>
  <c r="S60" i="4" s="1"/>
  <c r="S61" i="4" s="1"/>
  <c r="Q7" i="5" l="1"/>
  <c r="Q8" i="5" s="1"/>
  <c r="P33" i="5"/>
  <c r="P34" i="5" s="1"/>
  <c r="P9" i="5"/>
  <c r="R58" i="4"/>
  <c r="T7" i="4"/>
  <c r="S9" i="4"/>
  <c r="S10" i="2" s="1"/>
  <c r="S9" i="2"/>
  <c r="S45" i="2" s="1"/>
  <c r="S37" i="4"/>
  <c r="Q33" i="5" l="1"/>
  <c r="Q34" i="5" s="1"/>
  <c r="Q9" i="5"/>
  <c r="K29" i="5"/>
  <c r="S33" i="4"/>
  <c r="S56" i="4"/>
  <c r="S38" i="4"/>
  <c r="T8" i="2"/>
  <c r="T8" i="4"/>
  <c r="T60" i="4" s="1"/>
  <c r="T61" i="4" s="1"/>
  <c r="S58" i="4" l="1"/>
  <c r="T9" i="4"/>
  <c r="T10" i="2" s="1"/>
  <c r="T9" i="2"/>
  <c r="T45" i="2" s="1"/>
  <c r="U7" i="4"/>
  <c r="T37" i="4"/>
  <c r="L29" i="5" l="1"/>
  <c r="T33" i="4"/>
  <c r="T56" i="4"/>
  <c r="T38" i="4"/>
  <c r="U8" i="2"/>
  <c r="U8" i="4"/>
  <c r="U60" i="4" s="1"/>
  <c r="U61" i="4" s="1"/>
  <c r="T58" i="4" l="1"/>
  <c r="U9" i="2"/>
  <c r="U45" i="2" s="1"/>
  <c r="V7" i="4"/>
  <c r="U9" i="4"/>
  <c r="U10" i="2" s="1"/>
  <c r="U37" i="4"/>
  <c r="M29" i="5" l="1"/>
  <c r="U33" i="4"/>
  <c r="U56" i="4"/>
  <c r="U38" i="4"/>
  <c r="V8" i="2"/>
  <c r="V8" i="4"/>
  <c r="V60" i="4" s="1"/>
  <c r="V61" i="4" s="1"/>
  <c r="U58" i="4" l="1"/>
  <c r="V9" i="2"/>
  <c r="V45" i="2" s="1"/>
  <c r="W7" i="4"/>
  <c r="V9" i="4"/>
  <c r="V10" i="2" s="1"/>
  <c r="V37" i="4"/>
  <c r="N29" i="5" l="1"/>
  <c r="V33" i="4"/>
  <c r="V56" i="4"/>
  <c r="V38" i="4"/>
  <c r="W8" i="2"/>
  <c r="W8" i="4"/>
  <c r="W60" i="4" s="1"/>
  <c r="W61" i="4" s="1"/>
  <c r="V58" i="4" l="1"/>
  <c r="W9" i="2"/>
  <c r="W45" i="2" s="1"/>
  <c r="X7" i="4"/>
  <c r="W9" i="4"/>
  <c r="W10" i="2" s="1"/>
  <c r="W37" i="4"/>
  <c r="O29" i="5" l="1"/>
  <c r="W33" i="4"/>
  <c r="W56" i="4"/>
  <c r="W38" i="4"/>
  <c r="X8" i="2"/>
  <c r="X8" i="4"/>
  <c r="X60" i="4" s="1"/>
  <c r="X61" i="4" s="1"/>
  <c r="W58" i="4" l="1"/>
  <c r="X9" i="2"/>
  <c r="X45" i="2" s="1"/>
  <c r="Y7" i="4"/>
  <c r="X9" i="4"/>
  <c r="X10" i="2" s="1"/>
  <c r="X37" i="4"/>
  <c r="P29" i="5" l="1"/>
  <c r="X33" i="4"/>
  <c r="X56" i="4"/>
  <c r="X38" i="4"/>
  <c r="Y8" i="4"/>
  <c r="Y60" i="4" s="1"/>
  <c r="Y61" i="4" s="1"/>
  <c r="Y8" i="2"/>
  <c r="X58" i="4" l="1"/>
  <c r="Y9" i="2"/>
  <c r="Y45" i="2" s="1"/>
  <c r="Y9" i="4"/>
  <c r="Y10" i="2" s="1"/>
  <c r="Y37" i="4"/>
  <c r="Q29" i="5" l="1"/>
  <c r="Y33" i="4"/>
  <c r="Y56" i="4"/>
  <c r="Y38" i="4"/>
  <c r="O36" i="9"/>
  <c r="O37" i="9"/>
  <c r="O47" i="9"/>
  <c r="P46" i="9"/>
  <c r="P47" i="9" s="1"/>
  <c r="Q46" i="9" l="1"/>
  <c r="R46" i="9" s="1"/>
  <c r="Q47" i="9"/>
  <c r="S46" i="9"/>
  <c r="R47" i="9"/>
  <c r="T46" i="9" l="1"/>
  <c r="S47" i="9"/>
  <c r="U46" i="9" l="1"/>
  <c r="T47" i="9"/>
  <c r="U47" i="9" l="1"/>
  <c r="V46" i="9"/>
  <c r="W46" i="9" l="1"/>
  <c r="V47" i="9"/>
  <c r="W47" i="9" l="1"/>
  <c r="X46" i="9"/>
  <c r="X47" i="9" l="1"/>
  <c r="Y46" i="9"/>
  <c r="Y47" i="9" l="1"/>
  <c r="O48" i="9"/>
  <c r="O49" i="9" s="1"/>
  <c r="O71" i="9" s="1"/>
  <c r="O41" i="9"/>
  <c r="P40" i="9"/>
  <c r="P41" i="9" l="1"/>
  <c r="Q40" i="9"/>
  <c r="O93" i="9"/>
  <c r="P93" i="9" s="1"/>
  <c r="O94" i="9"/>
  <c r="P94" i="9" s="1"/>
  <c r="Q41" i="9" l="1"/>
  <c r="R40" i="9"/>
  <c r="H114" i="9" l="1"/>
  <c r="I114" i="9"/>
  <c r="F114" i="9"/>
  <c r="G114" i="9"/>
  <c r="J114" i="9"/>
  <c r="S40" i="9"/>
  <c r="R41" i="9"/>
  <c r="K114" i="9" l="1"/>
  <c r="S41" i="9"/>
  <c r="T40" i="9"/>
  <c r="L114" i="9" l="1"/>
  <c r="T41" i="9"/>
  <c r="U40" i="9"/>
  <c r="M114" i="9" l="1"/>
  <c r="V40" i="9"/>
  <c r="U41" i="9"/>
  <c r="N114" i="9" l="1"/>
  <c r="W40" i="9"/>
  <c r="V41" i="9"/>
  <c r="O114" i="9" l="1"/>
  <c r="X40" i="9"/>
  <c r="W41" i="9"/>
  <c r="Y40" i="9" l="1"/>
  <c r="X41" i="9"/>
  <c r="Y41" i="9" l="1"/>
  <c r="P44" i="4" l="1"/>
  <c r="P68" i="9"/>
  <c r="P69" i="9" s="1"/>
  <c r="Q44" i="4"/>
  <c r="Q68" i="9" l="1"/>
  <c r="Q69" i="9" s="1"/>
  <c r="R44" i="4" l="1"/>
  <c r="R68" i="9"/>
  <c r="R69" i="9" s="1"/>
  <c r="S44" i="4" l="1"/>
  <c r="S68" i="9"/>
  <c r="S69" i="9" s="1"/>
  <c r="T44" i="4" l="1"/>
  <c r="T68" i="9"/>
  <c r="T69" i="9" s="1"/>
  <c r="U68" i="9" l="1"/>
  <c r="U69" i="9" s="1"/>
  <c r="U44" i="4"/>
  <c r="V44" i="4" l="1"/>
  <c r="V68" i="9"/>
  <c r="V69" i="9" s="1"/>
  <c r="W68" i="9" l="1"/>
  <c r="W69" i="9" s="1"/>
  <c r="W44" i="4"/>
  <c r="X44" i="4" l="1"/>
  <c r="X68" i="9"/>
  <c r="X69" i="9" s="1"/>
  <c r="Y44" i="4" l="1"/>
  <c r="Y68" i="9"/>
  <c r="Y69" i="9" s="1"/>
  <c r="P101" i="8" l="1"/>
  <c r="P17" i="8" s="1"/>
  <c r="P28" i="8" s="1"/>
  <c r="Q101" i="8" l="1"/>
  <c r="Q17" i="8" s="1"/>
  <c r="Q28" i="8" s="1"/>
  <c r="P106" i="8"/>
  <c r="P107" i="8" s="1"/>
  <c r="P22" i="8"/>
  <c r="P33" i="8" s="1"/>
  <c r="R101" i="8"/>
  <c r="Q106" i="8"/>
  <c r="Q22" i="8" l="1"/>
  <c r="Q33" i="8" s="1"/>
  <c r="P37" i="8"/>
  <c r="P46" i="8" s="1"/>
  <c r="Q107" i="8"/>
  <c r="Q37" i="8"/>
  <c r="Q46" i="8" s="1"/>
  <c r="R17" i="8"/>
  <c r="R28" i="8" s="1"/>
  <c r="R106" i="8"/>
  <c r="S101" i="8"/>
  <c r="P42" i="8"/>
  <c r="P68" i="8" s="1"/>
  <c r="P69" i="8" s="1"/>
  <c r="P13" i="9"/>
  <c r="Q13" i="9"/>
  <c r="Q16" i="4" s="1"/>
  <c r="P51" i="8" l="1"/>
  <c r="P16" i="4"/>
  <c r="R107" i="8"/>
  <c r="R37" i="8"/>
  <c r="R46" i="8" s="1"/>
  <c r="P60" i="8"/>
  <c r="P24" i="8"/>
  <c r="P15" i="9"/>
  <c r="P17" i="9" s="1"/>
  <c r="S17" i="8"/>
  <c r="S28" i="8" s="1"/>
  <c r="S106" i="8"/>
  <c r="T101" i="8"/>
  <c r="R22" i="8"/>
  <c r="R33" i="8" s="1"/>
  <c r="Q42" i="8"/>
  <c r="Q43" i="8" s="1"/>
  <c r="Q51" i="8" l="1"/>
  <c r="R42" i="8"/>
  <c r="R43" i="8" s="1"/>
  <c r="Q24" i="8"/>
  <c r="Q25" i="8" s="1"/>
  <c r="Q15" i="9"/>
  <c r="P21" i="9"/>
  <c r="P14" i="9"/>
  <c r="P17" i="4" s="1"/>
  <c r="P18" i="4" s="1"/>
  <c r="P64" i="8"/>
  <c r="R13" i="9"/>
  <c r="R16" i="4" s="1"/>
  <c r="Q28" i="4"/>
  <c r="P42" i="9"/>
  <c r="T106" i="8"/>
  <c r="T17" i="8"/>
  <c r="T28" i="8" s="1"/>
  <c r="U101" i="8"/>
  <c r="S107" i="8"/>
  <c r="S37" i="8"/>
  <c r="S46" i="8" s="1"/>
  <c r="S22" i="8"/>
  <c r="S33" i="8" s="1"/>
  <c r="P22" i="9" l="1"/>
  <c r="P24" i="9" s="1"/>
  <c r="R51" i="8"/>
  <c r="P21" i="4"/>
  <c r="H83" i="4"/>
  <c r="H88" i="4" s="1"/>
  <c r="H23" i="3" s="1" a="1"/>
  <c r="H23" i="3" s="1"/>
  <c r="H103" i="4"/>
  <c r="H108" i="4" s="1"/>
  <c r="S13" i="9"/>
  <c r="S16" i="4" s="1"/>
  <c r="S42" i="8"/>
  <c r="S43" i="8" s="1"/>
  <c r="U17" i="8"/>
  <c r="U28" i="8" s="1"/>
  <c r="U106" i="8"/>
  <c r="V101" i="8"/>
  <c r="R15" i="9"/>
  <c r="R24" i="8"/>
  <c r="R25" i="8" s="1"/>
  <c r="T37" i="8"/>
  <c r="T46" i="8" s="1"/>
  <c r="T107" i="8"/>
  <c r="T22" i="8"/>
  <c r="T33" i="8" s="1"/>
  <c r="P48" i="9"/>
  <c r="P43" i="9"/>
  <c r="Q42" i="9"/>
  <c r="R28" i="4"/>
  <c r="Q14" i="9"/>
  <c r="Q17" i="4" s="1"/>
  <c r="Q18" i="4" s="1"/>
  <c r="P78" i="8" l="1"/>
  <c r="P81" i="8" s="1"/>
  <c r="S51" i="8"/>
  <c r="H104" i="4"/>
  <c r="H109" i="4" s="1"/>
  <c r="H84" i="4"/>
  <c r="H89" i="4" s="1"/>
  <c r="H24" i="3" s="1" a="1"/>
  <c r="H24" i="3" s="1"/>
  <c r="P22" i="4"/>
  <c r="P23" i="4" s="1"/>
  <c r="P25" i="9"/>
  <c r="V17" i="8"/>
  <c r="V28" i="8" s="1"/>
  <c r="W101" i="8"/>
  <c r="V106" i="8"/>
  <c r="U37" i="8"/>
  <c r="U46" i="8" s="1"/>
  <c r="U107" i="8"/>
  <c r="U22" i="8"/>
  <c r="U33" i="8" s="1"/>
  <c r="S24" i="8"/>
  <c r="S25" i="8" s="1"/>
  <c r="S15" i="9"/>
  <c r="T42" i="8"/>
  <c r="T43" i="8" s="1"/>
  <c r="R14" i="9"/>
  <c r="R17" i="4" s="1"/>
  <c r="R18" i="4" s="1"/>
  <c r="Q43" i="9"/>
  <c r="Q48" i="9"/>
  <c r="R42" i="9"/>
  <c r="T13" i="9"/>
  <c r="T16" i="4" s="1"/>
  <c r="S28" i="4"/>
  <c r="P85" i="8" l="1"/>
  <c r="P96" i="8"/>
  <c r="T51" i="8"/>
  <c r="S14" i="9"/>
  <c r="S17" i="4" s="1"/>
  <c r="S18" i="4" s="1"/>
  <c r="U13" i="9"/>
  <c r="U16" i="4" s="1"/>
  <c r="U42" i="8"/>
  <c r="U43" i="8" s="1"/>
  <c r="V107" i="8"/>
  <c r="V37" i="8"/>
  <c r="V46" i="8" s="1"/>
  <c r="T24" i="8"/>
  <c r="T25" i="8" s="1"/>
  <c r="T15" i="9"/>
  <c r="W17" i="8"/>
  <c r="W28" i="8" s="1"/>
  <c r="W106" i="8"/>
  <c r="X101" i="8"/>
  <c r="V22" i="8"/>
  <c r="V33" i="8" s="1"/>
  <c r="T28" i="4"/>
  <c r="R48" i="9"/>
  <c r="S42" i="9"/>
  <c r="R43" i="9"/>
  <c r="P91" i="8" l="1"/>
  <c r="G110" i="9"/>
  <c r="F116" i="9" s="1"/>
  <c r="P86" i="8"/>
  <c r="U51" i="8"/>
  <c r="Y101" i="8"/>
  <c r="X17" i="8"/>
  <c r="X28" i="8" s="1"/>
  <c r="X106" i="8"/>
  <c r="W37" i="8"/>
  <c r="W46" i="8" s="1"/>
  <c r="W107" i="8"/>
  <c r="V42" i="8"/>
  <c r="V43" i="8" s="1"/>
  <c r="T14" i="9"/>
  <c r="T17" i="4" s="1"/>
  <c r="T18" i="4" s="1"/>
  <c r="U28" i="4"/>
  <c r="U24" i="8"/>
  <c r="U25" i="8" s="1"/>
  <c r="U15" i="9"/>
  <c r="W22" i="8"/>
  <c r="W33" i="8" s="1"/>
  <c r="V13" i="9"/>
  <c r="V16" i="4" s="1"/>
  <c r="S48" i="9"/>
  <c r="S43" i="9"/>
  <c r="T42" i="9"/>
  <c r="P92" i="8" l="1"/>
  <c r="H30" i="5"/>
  <c r="H36" i="5" s="1"/>
  <c r="V51" i="8"/>
  <c r="V28" i="4"/>
  <c r="V15" i="9"/>
  <c r="V24" i="8"/>
  <c r="V25" i="8" s="1"/>
  <c r="U14" i="9"/>
  <c r="U17" i="4" s="1"/>
  <c r="U18" i="4" s="1"/>
  <c r="W42" i="8"/>
  <c r="W43" i="8" s="1"/>
  <c r="X107" i="8"/>
  <c r="X37" i="8"/>
  <c r="X46" i="8" s="1"/>
  <c r="X22" i="8"/>
  <c r="X33" i="8" s="1"/>
  <c r="T43" i="9"/>
  <c r="U42" i="9"/>
  <c r="T48" i="9"/>
  <c r="W13" i="9"/>
  <c r="W16" i="4" s="1"/>
  <c r="Y106" i="8"/>
  <c r="Y17" i="8"/>
  <c r="Y28" i="8" s="1"/>
  <c r="W51" i="8" l="1"/>
  <c r="X42" i="8"/>
  <c r="X43" i="8" s="1"/>
  <c r="Y22" i="8"/>
  <c r="Y33" i="8" s="1"/>
  <c r="V14" i="9"/>
  <c r="V17" i="4" s="1"/>
  <c r="V18" i="4" s="1"/>
  <c r="U43" i="9"/>
  <c r="V42" i="9"/>
  <c r="U48" i="9"/>
  <c r="W15" i="9"/>
  <c r="W24" i="8"/>
  <c r="W25" i="8" s="1"/>
  <c r="Y107" i="8"/>
  <c r="Y37" i="8"/>
  <c r="Y46" i="8" s="1"/>
  <c r="X13" i="9"/>
  <c r="X16" i="4" s="1"/>
  <c r="W28" i="4"/>
  <c r="X51" i="8" l="1"/>
  <c r="Y13" i="9"/>
  <c r="Y16" i="4" s="1"/>
  <c r="W14" i="9"/>
  <c r="W17" i="4" s="1"/>
  <c r="W18" i="4" s="1"/>
  <c r="V48" i="9"/>
  <c r="V43" i="9"/>
  <c r="W42" i="9"/>
  <c r="X24" i="8"/>
  <c r="X25" i="8" s="1"/>
  <c r="X15" i="9"/>
  <c r="Y42" i="8"/>
  <c r="Y43" i="8" s="1"/>
  <c r="X28" i="4"/>
  <c r="Y51" i="8" l="1"/>
  <c r="G38" i="2" a="1"/>
  <c r="G38" i="2" s="1"/>
  <c r="Y15" i="9"/>
  <c r="Y24" i="8"/>
  <c r="Y25" i="8" s="1"/>
  <c r="X14" i="9"/>
  <c r="X17" i="4" s="1"/>
  <c r="X18" i="4" s="1"/>
  <c r="W43" i="9"/>
  <c r="W48" i="9"/>
  <c r="X42" i="9"/>
  <c r="Y28" i="4"/>
  <c r="Y14" i="9" l="1"/>
  <c r="Y17" i="4" s="1"/>
  <c r="Y18" i="4" s="1"/>
  <c r="X43" i="9"/>
  <c r="Y42" i="9"/>
  <c r="X48" i="9"/>
  <c r="K44" i="3"/>
  <c r="Y43" i="9" l="1"/>
  <c r="Y48" i="9"/>
  <c r="Q20" i="4" l="1"/>
  <c r="Q25" i="4" s="1"/>
  <c r="Q21" i="4"/>
  <c r="Q16" i="9"/>
  <c r="Q17" i="9" s="1"/>
  <c r="Q21" i="9" s="1"/>
  <c r="Q55" i="8"/>
  <c r="Q68" i="8" s="1"/>
  <c r="Q69" i="8" s="1"/>
  <c r="R55" i="8"/>
  <c r="R20" i="4" s="1"/>
  <c r="R21" i="4" s="1"/>
  <c r="S55" i="8"/>
  <c r="S60" i="8" s="1"/>
  <c r="S64" i="8" l="1"/>
  <c r="Q22" i="9"/>
  <c r="Q24" i="9" s="1"/>
  <c r="R68" i="8"/>
  <c r="R69" i="8" s="1"/>
  <c r="S68" i="8"/>
  <c r="R60" i="8"/>
  <c r="R25" i="4"/>
  <c r="Q60" i="8"/>
  <c r="R16" i="9"/>
  <c r="R17" i="9" s="1"/>
  <c r="R21" i="9" s="1"/>
  <c r="Q22" i="4"/>
  <c r="Q23" i="4" s="1"/>
  <c r="S16" i="9"/>
  <c r="S17" i="9" s="1"/>
  <c r="S21" i="9" s="1"/>
  <c r="T55" i="8"/>
  <c r="S20" i="4"/>
  <c r="R22" i="4"/>
  <c r="R23" i="4"/>
  <c r="Q78" i="8" l="1"/>
  <c r="Q25" i="9"/>
  <c r="Q96" i="8" s="1"/>
  <c r="S21" i="4"/>
  <c r="S25" i="4"/>
  <c r="S69" i="8"/>
  <c r="R64" i="8"/>
  <c r="R61" i="8"/>
  <c r="S22" i="9"/>
  <c r="S24" i="9" s="1"/>
  <c r="Q64" i="8"/>
  <c r="Q61" i="8"/>
  <c r="S61" i="8"/>
  <c r="T20" i="4"/>
  <c r="T60" i="8"/>
  <c r="T68" i="8"/>
  <c r="T69" i="8" s="1"/>
  <c r="U55" i="8"/>
  <c r="T16" i="9"/>
  <c r="T17" i="9" s="1"/>
  <c r="T21" i="9" s="1"/>
  <c r="R22" i="9"/>
  <c r="R24" i="9" s="1"/>
  <c r="T64" i="8" l="1"/>
  <c r="T61" i="8"/>
  <c r="T25" i="4"/>
  <c r="T21" i="4"/>
  <c r="R25" i="9"/>
  <c r="R96" i="8" s="1"/>
  <c r="R78" i="8"/>
  <c r="S22" i="4"/>
  <c r="S23" i="4" s="1"/>
  <c r="T22" i="9"/>
  <c r="T24" i="9" s="1"/>
  <c r="S25" i="9"/>
  <c r="S96" i="8" s="1"/>
  <c r="S78" i="8"/>
  <c r="Q97" i="8"/>
  <c r="U60" i="8"/>
  <c r="U68" i="8"/>
  <c r="U69" i="8" s="1"/>
  <c r="U20" i="4"/>
  <c r="V55" i="8"/>
  <c r="U16" i="9"/>
  <c r="U17" i="9" s="1"/>
  <c r="U21" i="9" s="1"/>
  <c r="Q85" i="8"/>
  <c r="Q81" i="8"/>
  <c r="T25" i="9" l="1"/>
  <c r="T96" i="8" s="1"/>
  <c r="T78" i="8"/>
  <c r="R85" i="8"/>
  <c r="R81" i="8"/>
  <c r="U22" i="9"/>
  <c r="U24" i="9" s="1"/>
  <c r="R97" i="8"/>
  <c r="S97" i="8"/>
  <c r="T22" i="4"/>
  <c r="T23" i="4" s="1"/>
  <c r="Q86" i="8"/>
  <c r="Q91" i="8"/>
  <c r="V20" i="4"/>
  <c r="V60" i="8"/>
  <c r="V16" i="9"/>
  <c r="V17" i="9" s="1"/>
  <c r="V21" i="9" s="1"/>
  <c r="V68" i="8"/>
  <c r="V69" i="8" s="1"/>
  <c r="W55" i="8"/>
  <c r="S81" i="8"/>
  <c r="S85" i="8"/>
  <c r="U21" i="4"/>
  <c r="U25" i="4"/>
  <c r="U61" i="8"/>
  <c r="U64" i="8"/>
  <c r="I25" i="5" l="1"/>
  <c r="H108" i="9"/>
  <c r="H110" i="9" s="1"/>
  <c r="G116" i="9" s="1"/>
  <c r="U78" i="8"/>
  <c r="U25" i="9"/>
  <c r="U96" i="8" s="1"/>
  <c r="V22" i="9"/>
  <c r="V24" i="9" s="1"/>
  <c r="R91" i="8"/>
  <c r="R86" i="8"/>
  <c r="S91" i="8"/>
  <c r="S86" i="8"/>
  <c r="W16" i="9"/>
  <c r="W17" i="9" s="1"/>
  <c r="W21" i="9" s="1"/>
  <c r="W68" i="8"/>
  <c r="W69" i="8" s="1"/>
  <c r="W60" i="8"/>
  <c r="X55" i="8"/>
  <c r="W20" i="4"/>
  <c r="V25" i="4"/>
  <c r="V21" i="4"/>
  <c r="T85" i="8"/>
  <c r="T81" i="8"/>
  <c r="V64" i="8"/>
  <c r="V61" i="8"/>
  <c r="U22" i="4"/>
  <c r="U23" i="4" s="1"/>
  <c r="Q92" i="8"/>
  <c r="T97" i="8"/>
  <c r="J25" i="5" l="1"/>
  <c r="I108" i="9"/>
  <c r="I110" i="9" s="1"/>
  <c r="H116" i="9" s="1"/>
  <c r="K25" i="5"/>
  <c r="J108" i="9"/>
  <c r="J110" i="9" s="1"/>
  <c r="I116" i="9" s="1"/>
  <c r="V78" i="8"/>
  <c r="V25" i="9"/>
  <c r="V96" i="8" s="1"/>
  <c r="W22" i="9"/>
  <c r="W24" i="9" s="1"/>
  <c r="T86" i="8"/>
  <c r="T91" i="8"/>
  <c r="V22" i="4"/>
  <c r="V23" i="4" s="1"/>
  <c r="S92" i="8"/>
  <c r="W25" i="4"/>
  <c r="W21" i="4"/>
  <c r="X60" i="8"/>
  <c r="X16" i="9"/>
  <c r="X17" i="9" s="1"/>
  <c r="X21" i="9" s="1"/>
  <c r="Y55" i="8"/>
  <c r="X20" i="4"/>
  <c r="X68" i="8"/>
  <c r="X69" i="8" s="1"/>
  <c r="R92" i="8"/>
  <c r="U97" i="8"/>
  <c r="I27" i="5"/>
  <c r="I30" i="5"/>
  <c r="I36" i="5" s="1"/>
  <c r="U81" i="8"/>
  <c r="U85" i="8"/>
  <c r="W64" i="8"/>
  <c r="W61" i="8"/>
  <c r="K108" i="9" l="1"/>
  <c r="K110" i="9" s="1"/>
  <c r="J116" i="9" s="1"/>
  <c r="L25" i="5"/>
  <c r="W78" i="8"/>
  <c r="W25" i="9"/>
  <c r="W96" i="8" s="1"/>
  <c r="J27" i="5"/>
  <c r="J30" i="5"/>
  <c r="J36" i="5" s="1"/>
  <c r="K116" i="9"/>
  <c r="X21" i="4"/>
  <c r="X25" i="4"/>
  <c r="Y20" i="4"/>
  <c r="Y16" i="9"/>
  <c r="Y17" i="9" s="1"/>
  <c r="Y21" i="9" s="1"/>
  <c r="Y60" i="8"/>
  <c r="Y68" i="8"/>
  <c r="Y69" i="8" s="1"/>
  <c r="W22" i="4"/>
  <c r="W23" i="4"/>
  <c r="K27" i="5"/>
  <c r="K30" i="5"/>
  <c r="K36" i="5" s="1"/>
  <c r="X22" i="9"/>
  <c r="X24" i="9" s="1"/>
  <c r="X64" i="8"/>
  <c r="X61" i="8"/>
  <c r="U86" i="8"/>
  <c r="U91" i="8"/>
  <c r="V97" i="8"/>
  <c r="T92" i="8"/>
  <c r="V85" i="8"/>
  <c r="V81" i="8"/>
  <c r="M25" i="5" l="1"/>
  <c r="L108" i="9"/>
  <c r="L110" i="9" s="1"/>
  <c r="X25" i="9"/>
  <c r="X96" i="8" s="1"/>
  <c r="X78" i="8"/>
  <c r="Y61" i="8"/>
  <c r="Y64" i="8"/>
  <c r="U92" i="8"/>
  <c r="Y22" i="9"/>
  <c r="Y24" i="9" s="1"/>
  <c r="Y21" i="4"/>
  <c r="Y25" i="4"/>
  <c r="V91" i="8"/>
  <c r="V86" i="8"/>
  <c r="L27" i="5"/>
  <c r="L30" i="5"/>
  <c r="L36" i="5" s="1"/>
  <c r="X22" i="4"/>
  <c r="X23" i="4" s="1"/>
  <c r="W97" i="8"/>
  <c r="L116" i="9"/>
  <c r="W81" i="8"/>
  <c r="W85" i="8"/>
  <c r="M108" i="9" l="1"/>
  <c r="M110" i="9" s="1"/>
  <c r="N25" i="5"/>
  <c r="V92" i="8"/>
  <c r="M30" i="5"/>
  <c r="M36" i="5" s="1"/>
  <c r="M27" i="5"/>
  <c r="Y22" i="4"/>
  <c r="Y23" i="4" s="1"/>
  <c r="M116" i="9"/>
  <c r="W86" i="8"/>
  <c r="W91" i="8"/>
  <c r="Y25" i="9"/>
  <c r="Y96" i="8" s="1"/>
  <c r="Y78" i="8"/>
  <c r="X81" i="8"/>
  <c r="X85" i="8"/>
  <c r="X97" i="8"/>
  <c r="N108" i="9" l="1"/>
  <c r="N110" i="9" s="1"/>
  <c r="O25" i="5"/>
  <c r="Y85" i="8"/>
  <c r="Y81" i="8"/>
  <c r="Y97" i="8"/>
  <c r="N30" i="5"/>
  <c r="N36" i="5" s="1"/>
  <c r="N27" i="5"/>
  <c r="X91" i="8"/>
  <c r="X86" i="8"/>
  <c r="W92" i="8"/>
  <c r="N116" i="9"/>
  <c r="O108" i="9" l="1"/>
  <c r="O110" i="9" s="1"/>
  <c r="P25" i="5"/>
  <c r="O116" i="9"/>
  <c r="X92" i="8"/>
  <c r="Y86" i="8"/>
  <c r="Y91" i="8"/>
  <c r="O30" i="5"/>
  <c r="O36" i="5" s="1"/>
  <c r="O27" i="5"/>
  <c r="Q25" i="5" l="1"/>
  <c r="P108" i="9"/>
  <c r="P110" i="9" s="1"/>
  <c r="P27" i="5"/>
  <c r="P30" i="5"/>
  <c r="P36" i="5" s="1"/>
  <c r="Y92" i="8"/>
  <c r="Q30" i="5" l="1"/>
  <c r="Q36" i="5" s="1"/>
  <c r="Q27" i="5"/>
  <c r="Q26" i="5"/>
  <c r="Q31" i="5" s="1"/>
  <c r="Q37" i="5" s="1"/>
  <c r="H43" i="5" l="1"/>
  <c r="G8" i="7" s="1"/>
  <c r="P101" i="9"/>
  <c r="P104" i="9" s="1"/>
  <c r="H45" i="5" l="1"/>
  <c r="H13" i="3"/>
  <c r="H14" i="3" s="1"/>
  <c r="G115" i="9"/>
  <c r="G117" i="9" s="1"/>
  <c r="H115" i="9"/>
  <c r="H117" i="9" s="1"/>
  <c r="J115" i="9"/>
  <c r="F115" i="9"/>
  <c r="F117" i="9" s="1"/>
  <c r="I115" i="9"/>
  <c r="I117" i="9" s="1"/>
  <c r="P36" i="9" l="1"/>
  <c r="P35" i="9" s="1"/>
  <c r="P34" i="9"/>
  <c r="P33" i="9" s="1"/>
  <c r="P30" i="9"/>
  <c r="P29" i="9" s="1"/>
  <c r="P32" i="9"/>
  <c r="P31" i="9" s="1"/>
  <c r="J117" i="9"/>
  <c r="K115" i="9"/>
  <c r="R30" i="9"/>
  <c r="R32" i="9"/>
  <c r="R36" i="9"/>
  <c r="R34" i="9"/>
  <c r="S34" i="9"/>
  <c r="S36" i="9"/>
  <c r="S32" i="9"/>
  <c r="S30" i="9"/>
  <c r="Q36" i="9"/>
  <c r="Q30" i="9"/>
  <c r="Q34" i="9"/>
  <c r="Q32" i="9"/>
  <c r="P45" i="4" l="1"/>
  <c r="P46" i="4" s="1"/>
  <c r="P73" i="9"/>
  <c r="Q29" i="9"/>
  <c r="P37" i="9"/>
  <c r="P49" i="9" s="1"/>
  <c r="P71" i="9" s="1"/>
  <c r="K117" i="9"/>
  <c r="L115" i="9"/>
  <c r="Q31" i="9"/>
  <c r="P74" i="9"/>
  <c r="Q33" i="9"/>
  <c r="R33" i="9" s="1"/>
  <c r="S33" i="9" s="1"/>
  <c r="T32" i="9"/>
  <c r="T36" i="9"/>
  <c r="T34" i="9"/>
  <c r="T30" i="9"/>
  <c r="Q35" i="9"/>
  <c r="R35" i="9" s="1"/>
  <c r="S35" i="9" s="1"/>
  <c r="T35" i="9" s="1"/>
  <c r="P75" i="9" l="1"/>
  <c r="P26" i="4" s="1"/>
  <c r="P30" i="4" s="1"/>
  <c r="Q74" i="9"/>
  <c r="R31" i="9"/>
  <c r="L117" i="9"/>
  <c r="M115" i="9"/>
  <c r="U32" i="9"/>
  <c r="U30" i="9"/>
  <c r="U34" i="9"/>
  <c r="U36" i="9"/>
  <c r="U35" i="9" s="1"/>
  <c r="Q37" i="9"/>
  <c r="Q49" i="9" s="1"/>
  <c r="Q71" i="9" s="1"/>
  <c r="Q45" i="4"/>
  <c r="Q46" i="4" s="1"/>
  <c r="Q73" i="9"/>
  <c r="R29" i="9"/>
  <c r="T33" i="9"/>
  <c r="P47" i="4"/>
  <c r="P52" i="4" s="1"/>
  <c r="P50" i="4"/>
  <c r="U33" i="9" l="1"/>
  <c r="V30" i="9"/>
  <c r="V34" i="9"/>
  <c r="V33" i="9" s="1"/>
  <c r="V36" i="9"/>
  <c r="V35" i="9" s="1"/>
  <c r="V32" i="9"/>
  <c r="R45" i="4"/>
  <c r="R46" i="4" s="1"/>
  <c r="R47" i="4" s="1"/>
  <c r="R52" i="4" s="1"/>
  <c r="R73" i="9"/>
  <c r="R37" i="9"/>
  <c r="R49" i="9" s="1"/>
  <c r="R71" i="9" s="1"/>
  <c r="S29" i="9"/>
  <c r="S31" i="9"/>
  <c r="R74" i="9"/>
  <c r="R75" i="9" s="1"/>
  <c r="R26" i="4" s="1"/>
  <c r="R30" i="4" s="1"/>
  <c r="N115" i="9"/>
  <c r="M117" i="9"/>
  <c r="Q50" i="4"/>
  <c r="Q47" i="4"/>
  <c r="Q52" i="4" s="1"/>
  <c r="Q75" i="9"/>
  <c r="Q26" i="4" s="1"/>
  <c r="Q30" i="4" s="1"/>
  <c r="P34" i="4"/>
  <c r="P40" i="4" s="1"/>
  <c r="P49" i="4"/>
  <c r="P53" i="4" s="1"/>
  <c r="P57" i="4" s="1"/>
  <c r="P63" i="4" s="1"/>
  <c r="R49" i="4" l="1"/>
  <c r="R34" i="4"/>
  <c r="R40" i="4" s="1"/>
  <c r="R50" i="4"/>
  <c r="N117" i="9"/>
  <c r="O115" i="9"/>
  <c r="O117" i="9" s="1"/>
  <c r="Q49" i="4"/>
  <c r="Q53" i="4" s="1"/>
  <c r="Q57" i="4" s="1"/>
  <c r="Q63" i="4" s="1"/>
  <c r="Q34" i="4"/>
  <c r="Q40" i="4" s="1"/>
  <c r="S74" i="9"/>
  <c r="T31" i="9"/>
  <c r="W34" i="9"/>
  <c r="W33" i="9" s="1"/>
  <c r="W36" i="9"/>
  <c r="W35" i="9" s="1"/>
  <c r="W30" i="9"/>
  <c r="W32" i="9"/>
  <c r="S37" i="9"/>
  <c r="S49" i="9" s="1"/>
  <c r="S71" i="9" s="1"/>
  <c r="T29" i="9"/>
  <c r="S45" i="4"/>
  <c r="S46" i="4" s="1"/>
  <c r="S73" i="9"/>
  <c r="Y36" i="9" l="1"/>
  <c r="Y32" i="9"/>
  <c r="Y34" i="9"/>
  <c r="Y30" i="9"/>
  <c r="X34" i="9"/>
  <c r="X33" i="9" s="1"/>
  <c r="X32" i="9"/>
  <c r="X30" i="9"/>
  <c r="X36" i="9"/>
  <c r="X35" i="9" s="1"/>
  <c r="Y35" i="9" s="1"/>
  <c r="S50" i="4"/>
  <c r="S47" i="4"/>
  <c r="S52" i="4" s="1"/>
  <c r="T45" i="4"/>
  <c r="T46" i="4" s="1"/>
  <c r="T73" i="9"/>
  <c r="U29" i="9"/>
  <c r="T37" i="9"/>
  <c r="T49" i="9" s="1"/>
  <c r="T71" i="9" s="1"/>
  <c r="T74" i="9"/>
  <c r="T75" i="9" s="1"/>
  <c r="T26" i="4" s="1"/>
  <c r="T30" i="4" s="1"/>
  <c r="U31" i="9"/>
  <c r="S75" i="9"/>
  <c r="S26" i="4" s="1"/>
  <c r="S30" i="4" s="1"/>
  <c r="R53" i="4"/>
  <c r="R57" i="4" s="1"/>
  <c r="R63" i="4" s="1"/>
  <c r="Y33" i="9" l="1"/>
  <c r="T50" i="4"/>
  <c r="T47" i="4"/>
  <c r="T52" i="4" s="1"/>
  <c r="S49" i="4"/>
  <c r="S53" i="4" s="1"/>
  <c r="S57" i="4" s="1"/>
  <c r="S63" i="4" s="1"/>
  <c r="S34" i="4"/>
  <c r="S40" i="4" s="1"/>
  <c r="V31" i="9"/>
  <c r="U74" i="9"/>
  <c r="T34" i="4"/>
  <c r="T40" i="4" s="1"/>
  <c r="T49" i="4"/>
  <c r="U73" i="9"/>
  <c r="U45" i="4"/>
  <c r="U46" i="4" s="1"/>
  <c r="V29" i="9"/>
  <c r="U37" i="9"/>
  <c r="U49" i="9" s="1"/>
  <c r="U71" i="9" s="1"/>
  <c r="V74" i="9" l="1"/>
  <c r="W31" i="9"/>
  <c r="W29" i="9"/>
  <c r="V73" i="9"/>
  <c r="V45" i="4"/>
  <c r="V46" i="4" s="1"/>
  <c r="V37" i="9"/>
  <c r="V49" i="9" s="1"/>
  <c r="V71" i="9" s="1"/>
  <c r="U50" i="4"/>
  <c r="U75" i="9"/>
  <c r="U26" i="4" s="1"/>
  <c r="U30" i="4" s="1"/>
  <c r="T53" i="4"/>
  <c r="T57" i="4" s="1"/>
  <c r="T63" i="4" s="1"/>
  <c r="U47" i="4"/>
  <c r="U52" i="4" s="1"/>
  <c r="V50" i="4" l="1"/>
  <c r="U49" i="4"/>
  <c r="U53" i="4" s="1"/>
  <c r="U57" i="4" s="1"/>
  <c r="U63" i="4" s="1"/>
  <c r="U34" i="4"/>
  <c r="U40" i="4" s="1"/>
  <c r="W73" i="9"/>
  <c r="W45" i="4"/>
  <c r="W46" i="4" s="1"/>
  <c r="W37" i="9"/>
  <c r="W49" i="9" s="1"/>
  <c r="W71" i="9" s="1"/>
  <c r="X29" i="9"/>
  <c r="X31" i="9"/>
  <c r="W74" i="9"/>
  <c r="V47" i="4"/>
  <c r="V52" i="4" s="1"/>
  <c r="V75" i="9"/>
  <c r="V26" i="4" s="1"/>
  <c r="V30" i="4" s="1"/>
  <c r="X37" i="9" l="1"/>
  <c r="X49" i="9" s="1"/>
  <c r="X71" i="9" s="1"/>
  <c r="X45" i="4"/>
  <c r="X46" i="4" s="1"/>
  <c r="X47" i="4" s="1"/>
  <c r="X52" i="4" s="1"/>
  <c r="Y29" i="9"/>
  <c r="X73" i="9"/>
  <c r="V49" i="4"/>
  <c r="V53" i="4" s="1"/>
  <c r="V57" i="4" s="1"/>
  <c r="V63" i="4" s="1"/>
  <c r="V34" i="4"/>
  <c r="V40" i="4" s="1"/>
  <c r="Y31" i="9"/>
  <c r="Y74" i="9" s="1"/>
  <c r="X74" i="9"/>
  <c r="W50" i="4"/>
  <c r="W75" i="9"/>
  <c r="W26" i="4" s="1"/>
  <c r="W30" i="4" s="1"/>
  <c r="W47" i="4"/>
  <c r="W52" i="4" s="1"/>
  <c r="Y75" i="9" l="1"/>
  <c r="Y26" i="4" s="1"/>
  <c r="Y30" i="4" s="1"/>
  <c r="Y49" i="4" s="1"/>
  <c r="X75" i="9"/>
  <c r="X26" i="4" s="1"/>
  <c r="X30" i="4" s="1"/>
  <c r="W34" i="4"/>
  <c r="W40" i="4" s="1"/>
  <c r="W49" i="4"/>
  <c r="W53" i="4" s="1"/>
  <c r="W57" i="4" s="1"/>
  <c r="W63" i="4" s="1"/>
  <c r="Y45" i="4"/>
  <c r="Y46" i="4" s="1"/>
  <c r="Y50" i="4" s="1"/>
  <c r="Y73" i="9"/>
  <c r="Y37" i="9"/>
  <c r="Y49" i="9" s="1"/>
  <c r="Y71" i="9" s="1"/>
  <c r="X50" i="4"/>
  <c r="Y34" i="4" l="1"/>
  <c r="Y40" i="4" s="1"/>
  <c r="Y31" i="4"/>
  <c r="Y35" i="4" s="1"/>
  <c r="Y41" i="4" s="1"/>
  <c r="Y47" i="4"/>
  <c r="Y52" i="4" s="1"/>
  <c r="Y53" i="4" s="1"/>
  <c r="X49" i="4"/>
  <c r="X53" i="4" s="1"/>
  <c r="X57" i="4" s="1"/>
  <c r="X63" i="4" s="1"/>
  <c r="X34" i="4"/>
  <c r="X40" i="4" s="1"/>
  <c r="H70" i="4" l="1"/>
  <c r="H73" i="4" s="1"/>
  <c r="H87" i="4" s="1"/>
  <c r="H22" i="3" s="1" a="1"/>
  <c r="H22" i="3" s="1"/>
  <c r="Y57" i="4"/>
  <c r="Y63" i="4" s="1"/>
  <c r="Y54" i="4"/>
  <c r="Y58" i="4" s="1"/>
  <c r="Y64" i="4" s="1"/>
  <c r="H93" i="4" l="1"/>
  <c r="H86" i="4"/>
  <c r="H21" i="3" s="1" a="1"/>
  <c r="H21" i="3" s="1"/>
  <c r="H76" i="4"/>
  <c r="H9" i="3" s="1"/>
  <c r="H10" i="3" s="1"/>
  <c r="H106" i="4"/>
  <c r="H107" i="4"/>
  <c r="H96" i="4"/>
  <c r="H79" i="4" l="1"/>
  <c r="G6" i="7"/>
  <c r="G7" i="7"/>
  <c r="G11" i="7" s="1"/>
  <c r="H28" i="3" s="1"/>
  <c r="H11" i="3"/>
  <c r="H12" i="3" s="1"/>
  <c r="H99" i="4"/>
  <c r="G13" i="7" l="1"/>
  <c r="K7" i="7"/>
  <c r="G15" i="7" l="1"/>
  <c r="H27" i="3"/>
  <c r="H29" i="3" s="1"/>
  <c r="K8" i="7"/>
  <c r="K6" i="7"/>
</calcChain>
</file>

<file path=xl/sharedStrings.xml><?xml version="1.0" encoding="utf-8"?>
<sst xmlns="http://schemas.openxmlformats.org/spreadsheetml/2006/main" count="720" uniqueCount="280">
  <si>
    <t>Generic DCF - High Level</t>
  </si>
  <si>
    <t>DCF Inputs Sheet</t>
  </si>
  <si>
    <t>Constants</t>
  </si>
  <si>
    <t>Forecast Inputs</t>
  </si>
  <si>
    <t>Subject Company</t>
  </si>
  <si>
    <t>Abc</t>
  </si>
  <si>
    <t>Terminal WACC</t>
  </si>
  <si>
    <t>%</t>
  </si>
  <si>
    <t>Cost of Equity</t>
  </si>
  <si>
    <t>Last Financial Year of Data (dd.mm.yyyy)</t>
  </si>
  <si>
    <t>#</t>
  </si>
  <si>
    <t>First Historic Financial Year End</t>
  </si>
  <si>
    <t>abc</t>
  </si>
  <si>
    <t>Last Balance Date</t>
  </si>
  <si>
    <t>Valuation Date</t>
  </si>
  <si>
    <t>Last Price</t>
  </si>
  <si>
    <t>$ / share</t>
  </si>
  <si>
    <t>DCF Timing Settings</t>
  </si>
  <si>
    <t>Next Balance Date</t>
  </si>
  <si>
    <t>Current Date</t>
  </si>
  <si>
    <t>Net Debt</t>
  </si>
  <si>
    <t>Control</t>
  </si>
  <si>
    <t>Include Net Debt Adjustment for Leases?</t>
  </si>
  <si>
    <t>Yes</t>
  </si>
  <si>
    <t>Short &amp; Long Term Debt</t>
  </si>
  <si>
    <t>$m</t>
  </si>
  <si>
    <t>Lease Liabilities</t>
  </si>
  <si>
    <t>Cash &amp; Equivalents</t>
  </si>
  <si>
    <t>Net Cash (Debt)</t>
  </si>
  <si>
    <t>Terminal Value Inputs</t>
  </si>
  <si>
    <t>Terminal Revenue</t>
  </si>
  <si>
    <t>Terminal EBITDA Margin</t>
  </si>
  <si>
    <t>Terminal Growth Rate</t>
  </si>
  <si>
    <t>Terminal Year Control</t>
  </si>
  <si>
    <t>Year</t>
  </si>
  <si>
    <t>Exit Year &gt;&gt;&gt;</t>
  </si>
  <si>
    <t>Apportionment</t>
  </si>
  <si>
    <t>Tax Rate (%)</t>
  </si>
  <si>
    <t>Shares Out (Millions)</t>
  </si>
  <si>
    <t xml:space="preserve">Millions </t>
  </si>
  <si>
    <t>Named Ranges</t>
  </si>
  <si>
    <t>Months in Year</t>
  </si>
  <si>
    <t>Millions</t>
  </si>
  <si>
    <t>kt</t>
  </si>
  <si>
    <t>Days in year</t>
  </si>
  <si>
    <t>END OF SHEET</t>
  </si>
  <si>
    <t>FY20</t>
  </si>
  <si>
    <t>FY21</t>
  </si>
  <si>
    <t>NAV</t>
  </si>
  <si>
    <t>Underlying NPAT</t>
  </si>
  <si>
    <t>Shares</t>
  </si>
  <si>
    <t>NTA P/S</t>
  </si>
  <si>
    <t>AFFO</t>
  </si>
  <si>
    <t>Guided AFFO p/s</t>
  </si>
  <si>
    <t>AFFO Yield</t>
  </si>
  <si>
    <t>Valuation Dashboard</t>
  </si>
  <si>
    <t>DCF Valuation</t>
  </si>
  <si>
    <t>Value of Continuing Operations (EV)</t>
  </si>
  <si>
    <t>(+)</t>
  </si>
  <si>
    <t>Value of Other Assets (adjustments)</t>
  </si>
  <si>
    <t>(-)</t>
  </si>
  <si>
    <t>Current Net Cash (Debt)</t>
  </si>
  <si>
    <t>=</t>
  </si>
  <si>
    <t>Equity Value</t>
  </si>
  <si>
    <t>Shares Outstanding</t>
  </si>
  <si>
    <t>millions</t>
  </si>
  <si>
    <t>$ / Share</t>
  </si>
  <si>
    <t>Current Price</t>
  </si>
  <si>
    <t>Upside / (Downside) to Spot</t>
  </si>
  <si>
    <t>Weighted Average Cost of Capital</t>
  </si>
  <si>
    <t>Implied Current EV / EBITDA (cross check)</t>
  </si>
  <si>
    <t>x</t>
  </si>
  <si>
    <t>Implied EV / EBIT (cross check)</t>
  </si>
  <si>
    <t>Trading EV / EBITDA (FY1)</t>
  </si>
  <si>
    <t>Trading EV / EBIT (FY1)</t>
  </si>
  <si>
    <t>Investment Returns</t>
  </si>
  <si>
    <t>Implied Price Return</t>
  </si>
  <si>
    <t>Implied Total Return</t>
  </si>
  <si>
    <t>Scenario &amp; Sensitivity Analysis</t>
  </si>
  <si>
    <t>WACC Inputs</t>
  </si>
  <si>
    <t>Change in WACC</t>
  </si>
  <si>
    <t>Tax Rate</t>
  </si>
  <si>
    <t>Change in EV / EBITDA</t>
  </si>
  <si>
    <t>Rf Rate</t>
  </si>
  <si>
    <t>Equity Risk Premium</t>
  </si>
  <si>
    <t>Target D/D+E</t>
  </si>
  <si>
    <t>Cost of Debt (Before tax)</t>
  </si>
  <si>
    <t>Terminal</t>
  </si>
  <si>
    <t>EBITDA</t>
  </si>
  <si>
    <t>Margin</t>
  </si>
  <si>
    <t>Historic Data</t>
  </si>
  <si>
    <t>Discounted Cashflow</t>
  </si>
  <si>
    <t>Year &gt;&gt;&gt;</t>
  </si>
  <si>
    <t>Period</t>
  </si>
  <si>
    <t>Units</t>
  </si>
  <si>
    <t>Mid Year Factor</t>
  </si>
  <si>
    <t>TVM Factor</t>
  </si>
  <si>
    <t>Financial Year Start</t>
  </si>
  <si>
    <t>Financial Year End</t>
  </si>
  <si>
    <t>Actual / Forecast</t>
  </si>
  <si>
    <t>Operating Flags</t>
  </si>
  <si>
    <t>Terminal Year Flag</t>
  </si>
  <si>
    <t>Valuation Cashflows</t>
  </si>
  <si>
    <t>Core Operating Revenue</t>
  </si>
  <si>
    <t>Operating Expenses</t>
  </si>
  <si>
    <t>EBIT</t>
  </si>
  <si>
    <t>Adjusted Taxes</t>
  </si>
  <si>
    <t>Net Operating Profit After Tax</t>
  </si>
  <si>
    <t>Change in WC</t>
  </si>
  <si>
    <t>Core Capital Expenditure (Tangibles)</t>
  </si>
  <si>
    <t>Core Capital Expenditure (Intangibles)</t>
  </si>
  <si>
    <t>Other Growth Investments</t>
  </si>
  <si>
    <t>Unlevered Free Cashflow (FCFF)</t>
  </si>
  <si>
    <t>Apportioned Discrete Cashflow</t>
  </si>
  <si>
    <t>Apportioned Terminal Value</t>
  </si>
  <si>
    <t>Time Period to Cashflow</t>
  </si>
  <si>
    <t>Discount Factor</t>
  </si>
  <si>
    <t>PV of FCFF</t>
  </si>
  <si>
    <t>FCFF Terminal Value</t>
  </si>
  <si>
    <t>Increases in Net Debt</t>
  </si>
  <si>
    <t>FCFF</t>
  </si>
  <si>
    <t>New Debt Issues</t>
  </si>
  <si>
    <t>FCFE</t>
  </si>
  <si>
    <t>PV of FCFE</t>
  </si>
  <si>
    <t>FCFE Terminal Value</t>
  </si>
  <si>
    <t>Free Cash Flow to Firm (FCFF)</t>
  </si>
  <si>
    <t>Enterprise Value Bridge to Equity Value:</t>
  </si>
  <si>
    <t>DCF Value per Share - FCFF</t>
  </si>
  <si>
    <t>Free Cash Flow to Equity (FCFE)</t>
  </si>
  <si>
    <t xml:space="preserve">Dividends per Share (DPS) </t>
  </si>
  <si>
    <t>DPS Growth (g)</t>
  </si>
  <si>
    <t>DDM Value per Share (spot)</t>
  </si>
  <si>
    <t>YoY</t>
  </si>
  <si>
    <t>Summary Dashboard</t>
  </si>
  <si>
    <t>Methodology</t>
  </si>
  <si>
    <t>Intrisic Value</t>
  </si>
  <si>
    <t xml:space="preserve">Weight </t>
  </si>
  <si>
    <t>Scenario Simulator</t>
  </si>
  <si>
    <t>Variables</t>
  </si>
  <si>
    <t>DDM</t>
  </si>
  <si>
    <t>Upside</t>
  </si>
  <si>
    <t>Base</t>
  </si>
  <si>
    <t>Downside</t>
  </si>
  <si>
    <t>Market Price</t>
  </si>
  <si>
    <t xml:space="preserve">Recommendation </t>
  </si>
  <si>
    <t>Valuation</t>
  </si>
  <si>
    <t>Revenues</t>
  </si>
  <si>
    <t>Segment 1</t>
  </si>
  <si>
    <t>Segment 2</t>
  </si>
  <si>
    <t>Segment 3</t>
  </si>
  <si>
    <t>Segment 4</t>
  </si>
  <si>
    <t>Segment 5</t>
  </si>
  <si>
    <t>Variable &amp; Fixed Expense</t>
  </si>
  <si>
    <t xml:space="preserve">Total </t>
  </si>
  <si>
    <t>Total EBITDA</t>
  </si>
  <si>
    <t>Total EBIT</t>
  </si>
  <si>
    <t>D&amp;A</t>
  </si>
  <si>
    <t>Total D&amp;A</t>
  </si>
  <si>
    <t>Tax</t>
  </si>
  <si>
    <t>Total Tax</t>
  </si>
  <si>
    <t>Interest Expense</t>
  </si>
  <si>
    <t>Total Interest Expense</t>
  </si>
  <si>
    <t>Underlying Earnings</t>
  </si>
  <si>
    <t>DPS</t>
  </si>
  <si>
    <t>$c</t>
  </si>
  <si>
    <t>Payout Ratio</t>
  </si>
  <si>
    <t>Adjustment Factor</t>
  </si>
  <si>
    <t>DPS Theoretically</t>
  </si>
  <si>
    <t>Difference</t>
  </si>
  <si>
    <t>Adjusted DPS (cents)</t>
  </si>
  <si>
    <t>DPS Theory Adjustment Factor</t>
  </si>
  <si>
    <t>EPS</t>
  </si>
  <si>
    <t>Total Segment 1 Revenues</t>
  </si>
  <si>
    <t>YoY Growth Rate</t>
  </si>
  <si>
    <t>EBITDA (norm ex IB)</t>
  </si>
  <si>
    <t xml:space="preserve">YoY </t>
  </si>
  <si>
    <t>margin</t>
  </si>
  <si>
    <t>Financial Statements</t>
  </si>
  <si>
    <t>Summary P&amp;L</t>
  </si>
  <si>
    <t>Opex</t>
  </si>
  <si>
    <t xml:space="preserve">Net interest expense </t>
  </si>
  <si>
    <t>Lease interest expense</t>
  </si>
  <si>
    <t>Extraordinary items</t>
  </si>
  <si>
    <t>PBT</t>
  </si>
  <si>
    <t>Taxation</t>
  </si>
  <si>
    <t>NPAT (Reported)</t>
  </si>
  <si>
    <t>NPAT (Underlying)</t>
  </si>
  <si>
    <t xml:space="preserve">EPS </t>
  </si>
  <si>
    <t>Summary Balance Sheet</t>
  </si>
  <si>
    <t xml:space="preserve">Cash and cash equivalents </t>
  </si>
  <si>
    <t xml:space="preserve">Trade and other receivables </t>
  </si>
  <si>
    <t xml:space="preserve">Inventory </t>
  </si>
  <si>
    <t xml:space="preserve">Other current assets </t>
  </si>
  <si>
    <t>Total current assets</t>
  </si>
  <si>
    <t>Property, plant and equipment</t>
  </si>
  <si>
    <t>Intangible assets</t>
  </si>
  <si>
    <t>Right of use assets</t>
  </si>
  <si>
    <t>Other non-current assets</t>
  </si>
  <si>
    <t>Total non-current assets</t>
  </si>
  <si>
    <t>TOTAL ASSETS</t>
  </si>
  <si>
    <t>Trade and other payables</t>
  </si>
  <si>
    <t>Short term debt</t>
  </si>
  <si>
    <t>Lease liabilities</t>
  </si>
  <si>
    <t>Other current liabilities</t>
  </si>
  <si>
    <t>Total current liabilities</t>
  </si>
  <si>
    <t>Non-current lease liabilities</t>
  </si>
  <si>
    <t>Borrowings</t>
  </si>
  <si>
    <t>Other non-current liabilities</t>
  </si>
  <si>
    <t>TOTAL LIABILITIES</t>
  </si>
  <si>
    <t>Acquisition / sale of business</t>
  </si>
  <si>
    <t>Payment for intangibles</t>
  </si>
  <si>
    <t>Capex</t>
  </si>
  <si>
    <t>Net borrowing</t>
  </si>
  <si>
    <t>Dividends paid to shareholders</t>
  </si>
  <si>
    <t xml:space="preserve"> </t>
  </si>
  <si>
    <t>Depreciation</t>
  </si>
  <si>
    <t>Payout Ratio %</t>
  </si>
  <si>
    <t>Cash Flow Statement Items</t>
  </si>
  <si>
    <t>End of Sheet</t>
  </si>
  <si>
    <t>Average</t>
  </si>
  <si>
    <t>Option-1: PRAT Model</t>
  </si>
  <si>
    <t>Retention Rate (Y)</t>
  </si>
  <si>
    <t>Profit Margin %</t>
  </si>
  <si>
    <t>Asset Turnover</t>
  </si>
  <si>
    <t>Financial Leverage</t>
  </si>
  <si>
    <t>PRAT Growth Estimation</t>
  </si>
  <si>
    <t>Option-2: Sustainable Growth Model</t>
  </si>
  <si>
    <t>Shareholder's Equity</t>
  </si>
  <si>
    <t>Sustainable Growth</t>
  </si>
  <si>
    <t>Interim Growth Stage</t>
  </si>
  <si>
    <t>DPS (From Forecasting)</t>
  </si>
  <si>
    <t>Transition Stage</t>
  </si>
  <si>
    <t>Weight</t>
  </si>
  <si>
    <t>PRAT</t>
  </si>
  <si>
    <t>TOTAL EQUITY</t>
  </si>
  <si>
    <t>Growth</t>
  </si>
  <si>
    <t>Total non-current liabilities</t>
  </si>
  <si>
    <t>DCF Value per Share - FCFE</t>
  </si>
  <si>
    <t>Option-3: Dividend Growth Forecast</t>
  </si>
  <si>
    <t xml:space="preserve">Dividend Growth Forecast </t>
  </si>
  <si>
    <t>Final Growth Estimation</t>
  </si>
  <si>
    <t>Absolute Valuation</t>
  </si>
  <si>
    <t>DDM Value per Share</t>
  </si>
  <si>
    <t>Growth Phase</t>
  </si>
  <si>
    <t>PV of FCFF Terminal Value</t>
  </si>
  <si>
    <t>PV of FCFE Terminal Value</t>
  </si>
  <si>
    <t>DDM Valuation</t>
  </si>
  <si>
    <t>Apportioned Discrete DPS</t>
  </si>
  <si>
    <t>DDM Terminal Value</t>
  </si>
  <si>
    <t>PV of DPS</t>
  </si>
  <si>
    <t>PV of DPS Terminal Value</t>
  </si>
  <si>
    <t>Dividend Discount Model (DDM)</t>
  </si>
  <si>
    <t xml:space="preserve">Forecasted Dividends per Share </t>
  </si>
  <si>
    <t>DDM Inputs</t>
  </si>
  <si>
    <t>DCF (FCFE)</t>
  </si>
  <si>
    <t>DCF (FCFF)</t>
  </si>
  <si>
    <t>Final Intrinsic Value</t>
  </si>
  <si>
    <t>Working Capital</t>
  </si>
  <si>
    <t>Change in Working Capital</t>
  </si>
  <si>
    <t>Total Revenue</t>
  </si>
  <si>
    <t>Growth Rates</t>
  </si>
  <si>
    <t>Growth Models</t>
  </si>
  <si>
    <t>WACC</t>
  </si>
  <si>
    <t>CHI</t>
  </si>
  <si>
    <t>Beta</t>
  </si>
  <si>
    <t>Load up bond, then QY</t>
  </si>
  <si>
    <t>Cash From Investing Activities</t>
  </si>
  <si>
    <t>Infrastructure</t>
  </si>
  <si>
    <t>Oil Refining</t>
  </si>
  <si>
    <t>Depreciation &amp; Amortisation Expense</t>
  </si>
  <si>
    <t xml:space="preserve">Core Operating Revenue </t>
  </si>
  <si>
    <t>Premium / (Discount)</t>
  </si>
  <si>
    <t>Principal Debt Repayments</t>
  </si>
  <si>
    <t>$</t>
  </si>
  <si>
    <t>EBIT (Underlying)</t>
  </si>
  <si>
    <t>EBITDA (Underlying)</t>
  </si>
  <si>
    <t>Dividend Growth Forecast</t>
  </si>
  <si>
    <t xml:space="preserve">Earnings per Share </t>
  </si>
  <si>
    <t xml:space="preserve">DPS </t>
  </si>
  <si>
    <t>Cost of Capital &amp;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</si>
</sst>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_);\(0.0%\);&quot;-&quot;_);@_)"/>
    <numFmt numFmtId="165" formatCode="0.0\x;\(0.0\x\);&quot;–&quot;"/>
    <numFmt numFmtId="166" formatCode="#,##0.0_);\(#,##0.0\);&quot;-&quot;_);@_)"/>
    <numFmt numFmtId="167" formatCode="&quot;FY&quot;yy"/>
    <numFmt numFmtId="168" formatCode="0.0"/>
    <numFmt numFmtId="169" formatCode="d\ mmm\ yy_);d\ mmm\ yy_);&quot;-&quot;_);@_)"/>
    <numFmt numFmtId="170" formatCode="0.0%"/>
    <numFmt numFmtId="171" formatCode="#,##0.00_);\(#,##0.00\);&quot;-&quot;_);@_)"/>
    <numFmt numFmtId="172" formatCode="#,##0.000_);\(#,##0.000\);&quot;-&quot;_);@_)"/>
    <numFmt numFmtId="173" formatCode="_-* #,##0.00_-;\-* #,##0.00_-;_-* &quot;-&quot;??_-;_-@"/>
    <numFmt numFmtId="174" formatCode="#,##0_);\(#,##0\);&quot;-&quot;_);@_)"/>
    <numFmt numFmtId="175" formatCode="0.00%_);\(0.00%\);&quot;-&quot;_);@_)"/>
    <numFmt numFmtId="176" formatCode="0.00\x;\(0.00\x\);&quot;–&quot;"/>
    <numFmt numFmtId="177" formatCode="#,##0.000"/>
    <numFmt numFmtId="178" formatCode="_-&quot;$&quot;* #,##0.00_-;\-&quot;$&quot;* #,##0.00_-;_-&quot;$&quot;* &quot;-&quot;??_-;_-@"/>
    <numFmt numFmtId="179" formatCode="0.000"/>
    <numFmt numFmtId="180" formatCode="0.0%;\(0.0%\)"/>
    <numFmt numFmtId="181" formatCode="_-* #,##0.0_-;\-* #,##0.0_-;_-* &quot;-&quot;??_-;_-@"/>
    <numFmt numFmtId="182" formatCode="0.00%;\(0.00%\)"/>
    <numFmt numFmtId="183" formatCode="_(* #,##0.0_);_(* \(#,##0.0\);_(* &quot;-&quot;?_);_(@_)"/>
    <numFmt numFmtId="184" formatCode="#,##0.0"/>
    <numFmt numFmtId="185" formatCode="[$-1409]d\ mmmm\ yyyy;@"/>
    <numFmt numFmtId="186" formatCode="0.00000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i/>
      <sz val="10"/>
      <color theme="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  <font>
      <b/>
      <i/>
      <sz val="10"/>
      <color rgb="FF000000"/>
      <name val="Arial"/>
      <family val="2"/>
    </font>
    <font>
      <i/>
      <sz val="10"/>
      <color rgb="FF0000FF"/>
      <name val="Arial"/>
      <family val="2"/>
    </font>
    <font>
      <sz val="10"/>
      <color theme="0"/>
      <name val="Arial"/>
      <family val="2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i/>
      <sz val="10"/>
      <name val="Arial"/>
      <family val="2"/>
    </font>
    <font>
      <b/>
      <i/>
      <sz val="10"/>
      <color theme="1"/>
      <name val="Arial"/>
      <family val="2"/>
    </font>
    <font>
      <b/>
      <i/>
      <sz val="10"/>
      <color rgb="FF0000FF"/>
      <name val="Arial"/>
      <family val="2"/>
    </font>
    <font>
      <b/>
      <sz val="11"/>
      <color theme="1"/>
      <name val="Calibri"/>
      <family val="2"/>
    </font>
    <font>
      <sz val="10"/>
      <color rgb="FFFF0000"/>
      <name val="Arial"/>
      <family val="2"/>
    </font>
    <font>
      <sz val="11"/>
      <color theme="1"/>
      <name val="Calibri"/>
      <family val="2"/>
    </font>
    <font>
      <sz val="10"/>
      <color rgb="FF2E75B5"/>
      <name val="Arial"/>
      <family val="2"/>
    </font>
    <font>
      <b/>
      <sz val="10"/>
      <color rgb="FF2E75B5"/>
      <name val="Arial"/>
      <family val="2"/>
    </font>
    <font>
      <i/>
      <sz val="10"/>
      <color rgb="FFFF0000"/>
      <name val="Arial"/>
      <family val="2"/>
    </font>
    <font>
      <b/>
      <sz val="11"/>
      <color theme="0"/>
      <name val="Arial"/>
      <family val="2"/>
    </font>
    <font>
      <sz val="11"/>
      <color rgb="FF0000FF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rgb="FFE7E6E6"/>
        <bgColor rgb="FFE7E6E6"/>
      </patternFill>
    </fill>
    <fill>
      <patternFill patternType="solid">
        <fgColor rgb="FFFFFF99"/>
        <bgColor rgb="FFFFF1CC"/>
      </patternFill>
    </fill>
    <fill>
      <patternFill patternType="solid">
        <fgColor rgb="FFFFFF99"/>
        <bgColor rgb="FFD9D9D9"/>
      </patternFill>
    </fill>
    <fill>
      <patternFill patternType="solid">
        <fgColor rgb="FFFFFF99"/>
        <bgColor rgb="FFFEF2CB"/>
      </patternFill>
    </fill>
    <fill>
      <patternFill patternType="solid">
        <fgColor rgb="FF7F7F7F"/>
        <bgColor rgb="FF7F7F7F"/>
      </patternFill>
    </fill>
    <fill>
      <patternFill patternType="solid">
        <fgColor rgb="FFD0CECE"/>
        <bgColor rgb="FFD0CECE"/>
      </patternFill>
    </fill>
    <fill>
      <patternFill patternType="solid">
        <fgColor rgb="FFDEEAF6"/>
        <bgColor rgb="FFDEEAF6"/>
      </patternFill>
    </fill>
    <fill>
      <patternFill patternType="solid">
        <fgColor rgb="FF44546A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66"/>
      </patternFill>
    </fill>
    <fill>
      <patternFill patternType="solid">
        <fgColor rgb="FF9CC2E5"/>
        <bgColor rgb="FF9CC2E5"/>
      </patternFill>
    </fill>
    <fill>
      <patternFill patternType="solid">
        <fgColor rgb="FF788DA8"/>
        <bgColor indexed="64"/>
      </patternFill>
    </fill>
    <fill>
      <patternFill patternType="solid">
        <fgColor rgb="FF2E3948"/>
        <bgColor rgb="FF44546A"/>
      </patternFill>
    </fill>
    <fill>
      <patternFill patternType="solid">
        <fgColor rgb="FF788DA8"/>
        <bgColor rgb="FF44546A"/>
      </patternFill>
    </fill>
    <fill>
      <patternFill patternType="solid">
        <fgColor rgb="FF2E394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7E6E6"/>
        <bgColor rgb="FFFFF1CC"/>
      </patternFill>
    </fill>
    <fill>
      <patternFill patternType="solid">
        <fgColor rgb="FFE7E6E6"/>
        <bgColor rgb="FFD9D9D9"/>
      </patternFill>
    </fill>
    <fill>
      <patternFill patternType="solid">
        <fgColor rgb="FFE7E6E6"/>
        <bgColor indexed="64"/>
      </patternFill>
    </fill>
    <fill>
      <patternFill patternType="solid">
        <fgColor rgb="FFE7E6E6"/>
        <bgColor rgb="FFD8D8D8"/>
      </patternFill>
    </fill>
    <fill>
      <patternFill patternType="solid">
        <fgColor theme="5"/>
        <bgColor indexed="64"/>
      </patternFill>
    </fill>
    <fill>
      <patternFill patternType="solid">
        <fgColor theme="3" tint="0.749992370372631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theme="2" tint="-0.24997711111789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6A6A6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theme="2" tint="-0.499984740745262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rgb="FFA5A5A5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2" tint="-0.249977111117893"/>
      </right>
      <top style="thin">
        <color indexed="64"/>
      </top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rgb="FF788DA8"/>
      </right>
      <top style="thin">
        <color theme="0"/>
      </top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 style="thin">
        <color rgb="FF788DA8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rgb="FFE7E6E6"/>
      </left>
      <right/>
      <top style="thin">
        <color rgb="FF000000"/>
      </top>
      <bottom style="thin">
        <color rgb="FFE7E6E6"/>
      </bottom>
      <diagonal/>
    </border>
    <border>
      <left style="thin">
        <color rgb="FFE7E6E6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rgb="FFE7E6E6"/>
      </left>
      <right/>
      <top style="thin">
        <color rgb="FFE7E6E6"/>
      </top>
      <bottom/>
      <diagonal/>
    </border>
    <border>
      <left/>
      <right/>
      <top style="thin">
        <color rgb="FFE7E6E6"/>
      </top>
      <bottom/>
      <diagonal/>
    </border>
    <border>
      <left/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/>
      <top style="thin">
        <color rgb="FFE7E6E6"/>
      </top>
      <bottom style="thin">
        <color theme="0" tint="-0.14999847407452621"/>
      </bottom>
      <diagonal/>
    </border>
    <border>
      <left/>
      <right/>
      <top style="thin">
        <color rgb="FFE7E6E6"/>
      </top>
      <bottom style="thin">
        <color theme="0" tint="-0.14999847407452621"/>
      </bottom>
      <diagonal/>
    </border>
    <border>
      <left/>
      <right style="thin">
        <color rgb="FFE7E6E6"/>
      </right>
      <top style="thin">
        <color rgb="FFE7E6E6"/>
      </top>
      <bottom style="thin">
        <color theme="0" tint="-0.14999847407452621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/>
      <top/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0" fontId="1" fillId="0" borderId="0"/>
  </cellStyleXfs>
  <cellXfs count="362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166" fontId="6" fillId="2" borderId="0" xfId="0" applyNumberFormat="1" applyFont="1" applyFill="1" applyAlignment="1">
      <alignment horizontal="center" vertical="center"/>
    </xf>
    <xf numFmtId="167" fontId="5" fillId="2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166" fontId="7" fillId="3" borderId="0" xfId="0" applyNumberFormat="1" applyFont="1" applyFill="1" applyAlignment="1">
      <alignment horizontal="center" vertical="center"/>
    </xf>
    <xf numFmtId="168" fontId="4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166" fontId="4" fillId="3" borderId="0" xfId="0" applyNumberFormat="1" applyFont="1" applyFill="1" applyAlignment="1">
      <alignment horizontal="right" vertical="center"/>
    </xf>
    <xf numFmtId="169" fontId="9" fillId="3" borderId="0" xfId="0" applyNumberFormat="1" applyFont="1" applyFill="1"/>
    <xf numFmtId="166" fontId="9" fillId="3" borderId="0" xfId="0" applyNumberFormat="1" applyFont="1" applyFill="1" applyAlignment="1">
      <alignment horizontal="right" vertical="center"/>
    </xf>
    <xf numFmtId="166" fontId="9" fillId="3" borderId="1" xfId="0" applyNumberFormat="1" applyFont="1" applyFill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166" fontId="7" fillId="0" borderId="0" xfId="0" applyNumberFormat="1" applyFont="1" applyAlignment="1">
      <alignment horizontal="center" vertical="center"/>
    </xf>
    <xf numFmtId="166" fontId="10" fillId="4" borderId="3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70" fontId="4" fillId="0" borderId="0" xfId="0" applyNumberFormat="1" applyFont="1" applyAlignment="1">
      <alignment horizontal="left" vertical="center"/>
    </xf>
    <xf numFmtId="164" fontId="9" fillId="0" borderId="0" xfId="0" applyNumberFormat="1" applyFont="1" applyAlignment="1">
      <alignment vertical="center"/>
    </xf>
    <xf numFmtId="172" fontId="9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center" vertical="center"/>
    </xf>
    <xf numFmtId="165" fontId="9" fillId="6" borderId="3" xfId="0" applyNumberFormat="1" applyFont="1" applyFill="1" applyBorder="1" applyAlignment="1">
      <alignment horizontal="right" vertical="center"/>
    </xf>
    <xf numFmtId="166" fontId="4" fillId="0" borderId="2" xfId="0" applyNumberFormat="1" applyFont="1" applyBorder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vertical="center"/>
    </xf>
    <xf numFmtId="166" fontId="9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5" fontId="4" fillId="0" borderId="0" xfId="0" applyNumberFormat="1" applyFont="1" applyAlignment="1">
      <alignment horizontal="right" vertical="center"/>
    </xf>
    <xf numFmtId="165" fontId="9" fillId="0" borderId="8" xfId="0" applyNumberFormat="1" applyFont="1" applyBorder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6" fontId="10" fillId="0" borderId="0" xfId="0" applyNumberFormat="1" applyFont="1" applyAlignment="1">
      <alignment horizontal="right" vertical="center"/>
    </xf>
    <xf numFmtId="166" fontId="7" fillId="0" borderId="2" xfId="0" applyNumberFormat="1" applyFont="1" applyBorder="1" applyAlignment="1">
      <alignment horizontal="center" vertical="center"/>
    </xf>
    <xf numFmtId="170" fontId="11" fillId="4" borderId="3" xfId="0" applyNumberFormat="1" applyFont="1" applyFill="1" applyBorder="1" applyAlignment="1">
      <alignment horizontal="right" vertical="center"/>
    </xf>
    <xf numFmtId="10" fontId="9" fillId="0" borderId="0" xfId="0" applyNumberFormat="1" applyFont="1" applyAlignment="1">
      <alignment horizontal="right" vertical="center"/>
    </xf>
    <xf numFmtId="166" fontId="7" fillId="0" borderId="10" xfId="0" applyNumberFormat="1" applyFont="1" applyBorder="1" applyAlignment="1">
      <alignment horizontal="center" vertical="center"/>
    </xf>
    <xf numFmtId="43" fontId="4" fillId="0" borderId="0" xfId="0" applyNumberFormat="1" applyFont="1" applyAlignment="1">
      <alignment vertical="center"/>
    </xf>
    <xf numFmtId="174" fontId="9" fillId="0" borderId="0" xfId="0" applyNumberFormat="1" applyFont="1" applyAlignment="1">
      <alignment horizontal="right" vertical="center"/>
    </xf>
    <xf numFmtId="0" fontId="5" fillId="7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172" fontId="4" fillId="0" borderId="0" xfId="0" applyNumberFormat="1" applyFont="1" applyAlignment="1">
      <alignment horizontal="right" vertical="center"/>
    </xf>
    <xf numFmtId="0" fontId="5" fillId="3" borderId="0" xfId="0" applyFont="1" applyFill="1" applyAlignment="1">
      <alignment vertical="center"/>
    </xf>
    <xf numFmtId="0" fontId="5" fillId="0" borderId="2" xfId="0" applyFont="1" applyBorder="1" applyAlignment="1">
      <alignment vertical="center"/>
    </xf>
    <xf numFmtId="166" fontId="4" fillId="0" borderId="0" xfId="0" applyNumberFormat="1" applyFont="1" applyAlignment="1">
      <alignment vertical="center"/>
    </xf>
    <xf numFmtId="166" fontId="13" fillId="0" borderId="0" xfId="0" applyNumberFormat="1" applyFont="1" applyAlignment="1">
      <alignment horizontal="center" vertical="center"/>
    </xf>
    <xf numFmtId="171" fontId="3" fillId="0" borderId="0" xfId="0" applyNumberFormat="1" applyFont="1" applyAlignment="1">
      <alignment horizontal="right" vertical="center"/>
    </xf>
    <xf numFmtId="171" fontId="4" fillId="0" borderId="0" xfId="0" applyNumberFormat="1" applyFont="1" applyAlignment="1">
      <alignment horizontal="right" vertical="center"/>
    </xf>
    <xf numFmtId="171" fontId="10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75" fontId="10" fillId="4" borderId="5" xfId="0" applyNumberFormat="1" applyFont="1" applyFill="1" applyBorder="1" applyAlignment="1">
      <alignment vertical="center"/>
    </xf>
    <xf numFmtId="166" fontId="9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5" fontId="9" fillId="0" borderId="0" xfId="0" applyNumberFormat="1" applyFont="1" applyAlignment="1">
      <alignment vertical="center"/>
    </xf>
    <xf numFmtId="165" fontId="10" fillId="0" borderId="0" xfId="0" applyNumberFormat="1" applyFont="1" applyAlignment="1">
      <alignment vertical="center"/>
    </xf>
    <xf numFmtId="176" fontId="14" fillId="0" borderId="0" xfId="0" applyNumberFormat="1" applyFont="1" applyAlignment="1">
      <alignment horizontal="right" vertical="center"/>
    </xf>
    <xf numFmtId="175" fontId="10" fillId="0" borderId="0" xfId="0" applyNumberFormat="1" applyFont="1" applyAlignment="1">
      <alignment horizontal="right" vertical="center"/>
    </xf>
    <xf numFmtId="169" fontId="4" fillId="3" borderId="0" xfId="0" applyNumberFormat="1" applyFont="1" applyFill="1" applyAlignment="1">
      <alignment vertical="center"/>
    </xf>
    <xf numFmtId="171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166" fontId="7" fillId="0" borderId="0" xfId="0" applyNumberFormat="1" applyFont="1" applyAlignment="1">
      <alignment horizontal="right" vertical="center"/>
    </xf>
    <xf numFmtId="0" fontId="3" fillId="0" borderId="2" xfId="0" applyFont="1" applyBorder="1" applyAlignment="1">
      <alignment vertical="center"/>
    </xf>
    <xf numFmtId="166" fontId="3" fillId="0" borderId="2" xfId="0" applyNumberFormat="1" applyFont="1" applyBorder="1" applyAlignment="1">
      <alignment horizontal="right" vertical="center"/>
    </xf>
    <xf numFmtId="166" fontId="18" fillId="0" borderId="2" xfId="0" applyNumberFormat="1" applyFont="1" applyBorder="1" applyAlignment="1">
      <alignment horizontal="right" vertical="center"/>
    </xf>
    <xf numFmtId="166" fontId="11" fillId="0" borderId="0" xfId="0" applyNumberFormat="1" applyFont="1" applyAlignment="1">
      <alignment horizontal="right" vertical="center"/>
    </xf>
    <xf numFmtId="166" fontId="18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 indent="1"/>
    </xf>
    <xf numFmtId="166" fontId="12" fillId="0" borderId="0" xfId="0" applyNumberFormat="1" applyFont="1" applyAlignment="1">
      <alignment horizontal="right" vertical="center"/>
    </xf>
    <xf numFmtId="166" fontId="19" fillId="0" borderId="0" xfId="0" applyNumberFormat="1" applyFont="1" applyAlignment="1">
      <alignment horizontal="right" vertical="center"/>
    </xf>
    <xf numFmtId="166" fontId="12" fillId="0" borderId="0" xfId="0" applyNumberFormat="1" applyFont="1"/>
    <xf numFmtId="177" fontId="12" fillId="0" borderId="0" xfId="0" applyNumberFormat="1" applyFont="1"/>
    <xf numFmtId="166" fontId="0" fillId="0" borderId="0" xfId="0" applyNumberFormat="1"/>
    <xf numFmtId="0" fontId="3" fillId="0" borderId="0" xfId="0" applyFont="1" applyAlignment="1">
      <alignment horizontal="left" vertical="center"/>
    </xf>
    <xf numFmtId="178" fontId="4" fillId="0" borderId="0" xfId="0" applyNumberFormat="1" applyFont="1" applyAlignment="1">
      <alignment vertical="center"/>
    </xf>
    <xf numFmtId="166" fontId="9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9" fontId="4" fillId="0" borderId="0" xfId="0" applyNumberFormat="1" applyFont="1" applyAlignment="1">
      <alignment horizontal="left"/>
    </xf>
    <xf numFmtId="179" fontId="3" fillId="0" borderId="0" xfId="0" applyNumberFormat="1" applyFont="1"/>
    <xf numFmtId="49" fontId="8" fillId="0" borderId="0" xfId="0" applyNumberFormat="1" applyFont="1" applyAlignment="1">
      <alignment horizontal="left" indent="1"/>
    </xf>
    <xf numFmtId="180" fontId="21" fillId="0" borderId="0" xfId="0" applyNumberFormat="1" applyFont="1"/>
    <xf numFmtId="171" fontId="12" fillId="0" borderId="0" xfId="0" applyNumberFormat="1" applyFont="1" applyAlignment="1">
      <alignment horizontal="right" vertical="center"/>
    </xf>
    <xf numFmtId="9" fontId="0" fillId="0" borderId="0" xfId="0" applyNumberFormat="1"/>
    <xf numFmtId="0" fontId="4" fillId="0" borderId="0" xfId="0" applyFont="1"/>
    <xf numFmtId="9" fontId="4" fillId="0" borderId="0" xfId="0" applyNumberFormat="1" applyFont="1" applyAlignment="1">
      <alignment horizontal="center"/>
    </xf>
    <xf numFmtId="0" fontId="15" fillId="0" borderId="2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166" fontId="9" fillId="0" borderId="18" xfId="0" applyNumberFormat="1" applyFont="1" applyBorder="1" applyAlignment="1">
      <alignment horizontal="center" vertical="center"/>
    </xf>
    <xf numFmtId="171" fontId="4" fillId="0" borderId="18" xfId="0" applyNumberFormat="1" applyFont="1" applyBorder="1" applyAlignment="1">
      <alignment horizontal="right" vertical="center"/>
    </xf>
    <xf numFmtId="166" fontId="18" fillId="0" borderId="0" xfId="0" applyNumberFormat="1" applyFont="1" applyAlignment="1">
      <alignment horizontal="center" vertical="center"/>
    </xf>
    <xf numFmtId="168" fontId="3" fillId="0" borderId="12" xfId="0" applyNumberFormat="1" applyFont="1" applyBorder="1"/>
    <xf numFmtId="168" fontId="3" fillId="0" borderId="0" xfId="0" applyNumberFormat="1" applyFont="1"/>
    <xf numFmtId="166" fontId="3" fillId="0" borderId="0" xfId="0" applyNumberFormat="1" applyFont="1" applyAlignment="1">
      <alignment horizontal="right" vertical="center"/>
    </xf>
    <xf numFmtId="0" fontId="2" fillId="0" borderId="0" xfId="0" applyFont="1"/>
    <xf numFmtId="9" fontId="3" fillId="0" borderId="0" xfId="2" applyFont="1" applyAlignment="1">
      <alignment horizontal="right" vertical="center"/>
    </xf>
    <xf numFmtId="0" fontId="22" fillId="0" borderId="0" xfId="0" applyFont="1" applyAlignment="1">
      <alignment vertical="center"/>
    </xf>
    <xf numFmtId="10" fontId="18" fillId="0" borderId="0" xfId="0" applyNumberFormat="1" applyFont="1" applyAlignment="1">
      <alignment horizontal="right" vertical="center"/>
    </xf>
    <xf numFmtId="2" fontId="9" fillId="0" borderId="0" xfId="0" applyNumberFormat="1" applyFont="1" applyAlignment="1">
      <alignment vertical="center"/>
    </xf>
    <xf numFmtId="9" fontId="4" fillId="0" borderId="0" xfId="2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166" fontId="19" fillId="0" borderId="0" xfId="0" applyNumberFormat="1" applyFont="1" applyAlignment="1">
      <alignment horizontal="center" vertical="center"/>
    </xf>
    <xf numFmtId="170" fontId="19" fillId="0" borderId="0" xfId="2" applyNumberFormat="1" applyFont="1" applyAlignment="1">
      <alignment horizontal="right" vertical="center"/>
    </xf>
    <xf numFmtId="164" fontId="7" fillId="0" borderId="0" xfId="0" applyNumberFormat="1" applyFont="1" applyAlignment="1">
      <alignment horizontal="right" vertical="center"/>
    </xf>
    <xf numFmtId="164" fontId="24" fillId="0" borderId="0" xfId="0" applyNumberFormat="1" applyFont="1"/>
    <xf numFmtId="0" fontId="24" fillId="0" borderId="0" xfId="0" applyFont="1"/>
    <xf numFmtId="2" fontId="4" fillId="0" borderId="0" xfId="0" applyNumberFormat="1" applyFont="1" applyAlignment="1">
      <alignment vertical="center"/>
    </xf>
    <xf numFmtId="164" fontId="26" fillId="0" borderId="0" xfId="0" applyNumberFormat="1" applyFont="1"/>
    <xf numFmtId="164" fontId="0" fillId="0" borderId="0" xfId="0" applyNumberFormat="1"/>
    <xf numFmtId="170" fontId="25" fillId="0" borderId="20" xfId="0" applyNumberFormat="1" applyFont="1" applyBorder="1" applyAlignment="1">
      <alignment horizontal="center" vertical="center"/>
    </xf>
    <xf numFmtId="9" fontId="24" fillId="0" borderId="0" xfId="2" applyFont="1"/>
    <xf numFmtId="2" fontId="4" fillId="0" borderId="17" xfId="0" applyNumberFormat="1" applyFont="1" applyBorder="1" applyAlignment="1">
      <alignment vertical="center"/>
    </xf>
    <xf numFmtId="0" fontId="3" fillId="13" borderId="9" xfId="0" applyFont="1" applyFill="1" applyBorder="1" applyAlignment="1">
      <alignment vertical="center"/>
    </xf>
    <xf numFmtId="0" fontId="4" fillId="13" borderId="9" xfId="0" applyFont="1" applyFill="1" applyBorder="1" applyAlignment="1">
      <alignment vertical="center"/>
    </xf>
    <xf numFmtId="166" fontId="9" fillId="13" borderId="9" xfId="0" applyNumberFormat="1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vertical="center"/>
    </xf>
    <xf numFmtId="170" fontId="9" fillId="13" borderId="9" xfId="0" applyNumberFormat="1" applyFont="1" applyFill="1" applyBorder="1" applyAlignment="1">
      <alignment vertical="center"/>
    </xf>
    <xf numFmtId="174" fontId="27" fillId="0" borderId="0" xfId="0" applyNumberFormat="1" applyFont="1" applyAlignment="1">
      <alignment vertical="center"/>
    </xf>
    <xf numFmtId="0" fontId="3" fillId="0" borderId="0" xfId="0" applyFont="1" applyAlignment="1">
      <alignment horizontal="left"/>
    </xf>
    <xf numFmtId="166" fontId="11" fillId="11" borderId="12" xfId="0" applyNumberFormat="1" applyFont="1" applyFill="1" applyBorder="1" applyAlignment="1">
      <alignment horizontal="right" vertical="center"/>
    </xf>
    <xf numFmtId="166" fontId="18" fillId="0" borderId="12" xfId="0" applyNumberFormat="1" applyFont="1" applyBorder="1" applyAlignment="1">
      <alignment horizontal="right" vertical="center"/>
    </xf>
    <xf numFmtId="164" fontId="23" fillId="5" borderId="3" xfId="0" applyNumberFormat="1" applyFont="1" applyFill="1" applyBorder="1" applyAlignment="1">
      <alignment horizontal="right" vertical="center"/>
    </xf>
    <xf numFmtId="181" fontId="10" fillId="11" borderId="12" xfId="0" applyNumberFormat="1" applyFont="1" applyFill="1" applyBorder="1" applyAlignment="1">
      <alignment vertical="center"/>
    </xf>
    <xf numFmtId="181" fontId="28" fillId="0" borderId="12" xfId="0" applyNumberFormat="1" applyFont="1" applyBorder="1" applyAlignment="1">
      <alignment vertical="center"/>
    </xf>
    <xf numFmtId="0" fontId="8" fillId="0" borderId="0" xfId="0" applyFont="1" applyAlignment="1">
      <alignment horizontal="left"/>
    </xf>
    <xf numFmtId="181" fontId="28" fillId="0" borderId="0" xfId="0" applyNumberFormat="1" applyFont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166" fontId="9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170" fontId="9" fillId="0" borderId="9" xfId="0" applyNumberFormat="1" applyFont="1" applyBorder="1" applyAlignment="1">
      <alignment vertical="center"/>
    </xf>
    <xf numFmtId="166" fontId="27" fillId="0" borderId="0" xfId="0" applyNumberFormat="1" applyFont="1" applyAlignment="1">
      <alignment horizontal="right" vertical="center"/>
    </xf>
    <xf numFmtId="10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10" fontId="25" fillId="0" borderId="20" xfId="0" applyNumberFormat="1" applyFont="1" applyBorder="1" applyAlignment="1">
      <alignment horizontal="center" vertical="center"/>
    </xf>
    <xf numFmtId="10" fontId="0" fillId="0" borderId="0" xfId="0" applyNumberFormat="1"/>
    <xf numFmtId="0" fontId="29" fillId="0" borderId="0" xfId="0" applyFont="1" applyAlignment="1">
      <alignment vertical="center"/>
    </xf>
    <xf numFmtId="166" fontId="29" fillId="0" borderId="0" xfId="0" applyNumberFormat="1" applyFont="1" applyAlignment="1">
      <alignment horizontal="right" vertical="center"/>
    </xf>
    <xf numFmtId="171" fontId="4" fillId="0" borderId="9" xfId="0" applyNumberFormat="1" applyFont="1" applyBorder="1" applyAlignment="1">
      <alignment horizontal="right" vertical="center"/>
    </xf>
    <xf numFmtId="171" fontId="9" fillId="0" borderId="9" xfId="0" applyNumberFormat="1" applyFont="1" applyBorder="1" applyAlignment="1">
      <alignment horizontal="right" vertical="center"/>
    </xf>
    <xf numFmtId="166" fontId="25" fillId="0" borderId="0" xfId="0" applyNumberFormat="1" applyFont="1" applyAlignment="1">
      <alignment horizontal="right" vertical="center"/>
    </xf>
    <xf numFmtId="0" fontId="1" fillId="0" borderId="0" xfId="0" applyFont="1"/>
    <xf numFmtId="0" fontId="30" fillId="0" borderId="0" xfId="0" applyFont="1" applyAlignment="1">
      <alignment vertical="center"/>
    </xf>
    <xf numFmtId="170" fontId="0" fillId="0" borderId="0" xfId="2" applyNumberFormat="1" applyFont="1"/>
    <xf numFmtId="10" fontId="0" fillId="0" borderId="0" xfId="2" applyNumberFormat="1" applyFont="1"/>
    <xf numFmtId="0" fontId="3" fillId="0" borderId="0" xfId="0" applyFont="1"/>
    <xf numFmtId="0" fontId="4" fillId="0" borderId="0" xfId="0" applyFont="1" applyAlignment="1">
      <alignment horizontal="left" indent="1"/>
    </xf>
    <xf numFmtId="170" fontId="4" fillId="0" borderId="0" xfId="2" applyNumberFormat="1" applyFont="1"/>
    <xf numFmtId="2" fontId="4" fillId="0" borderId="0" xfId="2" applyNumberFormat="1" applyFont="1"/>
    <xf numFmtId="0" fontId="8" fillId="0" borderId="0" xfId="0" applyFont="1"/>
    <xf numFmtId="10" fontId="4" fillId="0" borderId="0" xfId="2" applyNumberFormat="1" applyFont="1"/>
    <xf numFmtId="10" fontId="3" fillId="0" borderId="0" xfId="2" applyNumberFormat="1" applyFont="1" applyFill="1"/>
    <xf numFmtId="10" fontId="4" fillId="0" borderId="0" xfId="0" applyNumberFormat="1" applyFont="1"/>
    <xf numFmtId="10" fontId="4" fillId="0" borderId="0" xfId="2" applyNumberFormat="1" applyFont="1" applyFill="1"/>
    <xf numFmtId="179" fontId="4" fillId="0" borderId="0" xfId="2" applyNumberFormat="1" applyFont="1"/>
    <xf numFmtId="10" fontId="12" fillId="0" borderId="0" xfId="0" applyNumberFormat="1" applyFont="1"/>
    <xf numFmtId="183" fontId="11" fillId="0" borderId="0" xfId="0" applyNumberFormat="1" applyFont="1"/>
    <xf numFmtId="0" fontId="0" fillId="0" borderId="2" xfId="0" applyBorder="1"/>
    <xf numFmtId="0" fontId="4" fillId="14" borderId="1" xfId="0" applyFont="1" applyFill="1" applyBorder="1"/>
    <xf numFmtId="167" fontId="5" fillId="14" borderId="1" xfId="0" applyNumberFormat="1" applyFont="1" applyFill="1" applyBorder="1" applyAlignment="1">
      <alignment horizontal="center"/>
    </xf>
    <xf numFmtId="167" fontId="5" fillId="16" borderId="29" xfId="0" applyNumberFormat="1" applyFont="1" applyFill="1" applyBorder="1" applyAlignment="1">
      <alignment horizontal="center" vertical="center"/>
    </xf>
    <xf numFmtId="0" fontId="5" fillId="17" borderId="15" xfId="0" applyFont="1" applyFill="1" applyBorder="1" applyAlignment="1">
      <alignment horizontal="center"/>
    </xf>
    <xf numFmtId="10" fontId="0" fillId="0" borderId="16" xfId="0" applyNumberFormat="1" applyBorder="1"/>
    <xf numFmtId="167" fontId="5" fillId="16" borderId="31" xfId="0" applyNumberFormat="1" applyFont="1" applyFill="1" applyBorder="1" applyAlignment="1">
      <alignment horizontal="center" vertical="center"/>
    </xf>
    <xf numFmtId="167" fontId="5" fillId="16" borderId="32" xfId="0" applyNumberFormat="1" applyFont="1" applyFill="1" applyBorder="1" applyAlignment="1">
      <alignment horizontal="center" vertical="center"/>
    </xf>
    <xf numFmtId="167" fontId="5" fillId="2" borderId="31" xfId="0" applyNumberFormat="1" applyFont="1" applyFill="1" applyBorder="1" applyAlignment="1">
      <alignment horizontal="center" vertical="center"/>
    </xf>
    <xf numFmtId="167" fontId="5" fillId="2" borderId="32" xfId="0" applyNumberFormat="1" applyFont="1" applyFill="1" applyBorder="1" applyAlignment="1">
      <alignment horizontal="center" vertical="center"/>
    </xf>
    <xf numFmtId="10" fontId="3" fillId="18" borderId="28" xfId="2" applyNumberFormat="1" applyFont="1" applyFill="1" applyBorder="1"/>
    <xf numFmtId="10" fontId="4" fillId="0" borderId="0" xfId="2" applyNumberFormat="1" applyFont="1" applyBorder="1"/>
    <xf numFmtId="2" fontId="4" fillId="0" borderId="0" xfId="2" applyNumberFormat="1" applyFont="1" applyBorder="1"/>
    <xf numFmtId="0" fontId="5" fillId="14" borderId="30" xfId="0" applyFont="1" applyFill="1" applyBorder="1"/>
    <xf numFmtId="166" fontId="10" fillId="11" borderId="35" xfId="0" applyNumberFormat="1" applyFont="1" applyFill="1" applyBorder="1" applyAlignment="1">
      <alignment horizontal="right" vertical="center"/>
    </xf>
    <xf numFmtId="166" fontId="10" fillId="11" borderId="36" xfId="0" applyNumberFormat="1" applyFont="1" applyFill="1" applyBorder="1" applyAlignment="1">
      <alignment horizontal="right" vertical="center"/>
    </xf>
    <xf numFmtId="166" fontId="10" fillId="11" borderId="37" xfId="0" applyNumberFormat="1" applyFont="1" applyFill="1" applyBorder="1" applyAlignment="1">
      <alignment horizontal="right" vertical="center"/>
    </xf>
    <xf numFmtId="170" fontId="10" fillId="11" borderId="35" xfId="2" applyNumberFormat="1" applyFont="1" applyFill="1" applyBorder="1" applyAlignment="1">
      <alignment horizontal="right" vertical="center"/>
    </xf>
    <xf numFmtId="171" fontId="10" fillId="11" borderId="37" xfId="0" applyNumberFormat="1" applyFont="1" applyFill="1" applyBorder="1" applyAlignment="1">
      <alignment horizontal="right" vertical="center"/>
    </xf>
    <xf numFmtId="182" fontId="12" fillId="0" borderId="0" xfId="2" applyNumberFormat="1" applyFont="1" applyAlignment="1">
      <alignment horizontal="right" vertical="center"/>
    </xf>
    <xf numFmtId="182" fontId="12" fillId="0" borderId="0" xfId="2" applyNumberFormat="1" applyFont="1" applyFill="1" applyBorder="1" applyAlignment="1">
      <alignment horizontal="right" vertical="center"/>
    </xf>
    <xf numFmtId="175" fontId="10" fillId="4" borderId="3" xfId="0" applyNumberFormat="1" applyFont="1" applyFill="1" applyBorder="1" applyAlignment="1">
      <alignment vertical="center"/>
    </xf>
    <xf numFmtId="2" fontId="10" fillId="4" borderId="3" xfId="0" applyNumberFormat="1" applyFont="1" applyFill="1" applyBorder="1" applyAlignment="1">
      <alignment vertical="center"/>
    </xf>
    <xf numFmtId="171" fontId="10" fillId="5" borderId="4" xfId="0" applyNumberFormat="1" applyFont="1" applyFill="1" applyBorder="1" applyAlignment="1">
      <alignment horizontal="right" vertical="center"/>
    </xf>
    <xf numFmtId="166" fontId="10" fillId="4" borderId="6" xfId="0" applyNumberFormat="1" applyFont="1" applyFill="1" applyBorder="1" applyAlignment="1">
      <alignment horizontal="right" vertical="center"/>
    </xf>
    <xf numFmtId="164" fontId="10" fillId="4" borderId="3" xfId="0" applyNumberFormat="1" applyFont="1" applyFill="1" applyBorder="1" applyAlignment="1">
      <alignment horizontal="right" vertical="center"/>
    </xf>
    <xf numFmtId="173" fontId="10" fillId="5" borderId="6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center" indent="1"/>
    </xf>
    <xf numFmtId="166" fontId="10" fillId="0" borderId="1" xfId="0" applyNumberFormat="1" applyFont="1" applyBorder="1" applyAlignment="1">
      <alignment horizontal="right" vertical="center"/>
    </xf>
    <xf numFmtId="166" fontId="19" fillId="0" borderId="1" xfId="0" applyNumberFormat="1" applyFont="1" applyBorder="1" applyAlignment="1">
      <alignment horizontal="right" vertical="center"/>
    </xf>
    <xf numFmtId="0" fontId="3" fillId="0" borderId="16" xfId="0" applyFont="1" applyBorder="1" applyAlignment="1">
      <alignment vertical="center"/>
    </xf>
    <xf numFmtId="166" fontId="9" fillId="0" borderId="16" xfId="0" applyNumberFormat="1" applyFont="1" applyBorder="1" applyAlignment="1">
      <alignment horizontal="center" vertical="center"/>
    </xf>
    <xf numFmtId="166" fontId="4" fillId="0" borderId="16" xfId="0" applyNumberFormat="1" applyFont="1" applyBorder="1" applyAlignment="1">
      <alignment horizontal="right" vertical="center"/>
    </xf>
    <xf numFmtId="166" fontId="9" fillId="0" borderId="16" xfId="0" applyNumberFormat="1" applyFont="1" applyBorder="1" applyAlignment="1">
      <alignment horizontal="right" vertical="center"/>
    </xf>
    <xf numFmtId="166" fontId="18" fillId="0" borderId="16" xfId="0" applyNumberFormat="1" applyFont="1" applyBorder="1" applyAlignment="1">
      <alignment horizontal="right" vertical="center"/>
    </xf>
    <xf numFmtId="166" fontId="12" fillId="0" borderId="1" xfId="0" applyNumberFormat="1" applyFont="1" applyBorder="1" applyAlignment="1">
      <alignment horizontal="right" vertical="center"/>
    </xf>
    <xf numFmtId="0" fontId="4" fillId="0" borderId="16" xfId="0" applyFont="1" applyBorder="1" applyAlignment="1">
      <alignment vertical="center"/>
    </xf>
    <xf numFmtId="166" fontId="10" fillId="0" borderId="16" xfId="0" applyNumberFormat="1" applyFont="1" applyBorder="1" applyAlignment="1">
      <alignment horizontal="right" vertical="center"/>
    </xf>
    <xf numFmtId="166" fontId="19" fillId="0" borderId="16" xfId="0" applyNumberFormat="1" applyFont="1" applyBorder="1" applyAlignment="1">
      <alignment horizontal="right" vertical="center"/>
    </xf>
    <xf numFmtId="49" fontId="4" fillId="14" borderId="1" xfId="0" applyNumberFormat="1" applyFont="1" applyFill="1" applyBorder="1" applyAlignment="1">
      <alignment horizontal="left"/>
    </xf>
    <xf numFmtId="49" fontId="3" fillId="14" borderId="30" xfId="0" applyNumberFormat="1" applyFont="1" applyFill="1" applyBorder="1" applyAlignment="1">
      <alignment horizontal="left"/>
    </xf>
    <xf numFmtId="49" fontId="4" fillId="14" borderId="26" xfId="0" applyNumberFormat="1" applyFont="1" applyFill="1" applyBorder="1" applyAlignment="1">
      <alignment horizontal="left"/>
    </xf>
    <xf numFmtId="0" fontId="5" fillId="0" borderId="15" xfId="0" applyFont="1" applyBorder="1" applyAlignment="1">
      <alignment horizontal="center"/>
    </xf>
    <xf numFmtId="167" fontId="5" fillId="0" borderId="38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indent="1"/>
    </xf>
    <xf numFmtId="179" fontId="0" fillId="0" borderId="0" xfId="0" applyNumberFormat="1"/>
    <xf numFmtId="166" fontId="4" fillId="0" borderId="1" xfId="0" applyNumberFormat="1" applyFont="1" applyBorder="1" applyAlignment="1">
      <alignment horizontal="right" vertical="center"/>
    </xf>
    <xf numFmtId="166" fontId="18" fillId="0" borderId="1" xfId="0" applyNumberFormat="1" applyFont="1" applyBorder="1" applyAlignment="1">
      <alignment horizontal="right" vertical="center"/>
    </xf>
    <xf numFmtId="173" fontId="4" fillId="0" borderId="0" xfId="0" applyNumberFormat="1" applyFont="1"/>
    <xf numFmtId="173" fontId="4" fillId="0" borderId="17" xfId="0" applyNumberFormat="1" applyFont="1" applyBorder="1"/>
    <xf numFmtId="166" fontId="12" fillId="0" borderId="16" xfId="0" applyNumberFormat="1" applyFont="1" applyBorder="1" applyAlignment="1">
      <alignment horizontal="right" vertical="center"/>
    </xf>
    <xf numFmtId="184" fontId="19" fillId="0" borderId="16" xfId="0" applyNumberFormat="1" applyFont="1" applyBorder="1"/>
    <xf numFmtId="184" fontId="12" fillId="0" borderId="1" xfId="0" applyNumberFormat="1" applyFont="1" applyBorder="1"/>
    <xf numFmtId="184" fontId="19" fillId="0" borderId="1" xfId="0" applyNumberFormat="1" applyFont="1" applyBorder="1"/>
    <xf numFmtId="171" fontId="4" fillId="0" borderId="1" xfId="0" applyNumberFormat="1" applyFont="1" applyBorder="1" applyAlignment="1">
      <alignment horizontal="right" vertical="center"/>
    </xf>
    <xf numFmtId="49" fontId="3" fillId="14" borderId="0" xfId="0" applyNumberFormat="1" applyFont="1" applyFill="1" applyAlignment="1">
      <alignment horizontal="left"/>
    </xf>
    <xf numFmtId="170" fontId="9" fillId="0" borderId="0" xfId="2" applyNumberFormat="1" applyFont="1" applyAlignment="1">
      <alignment horizontal="right" vertical="center"/>
    </xf>
    <xf numFmtId="49" fontId="8" fillId="0" borderId="0" xfId="0" applyNumberFormat="1" applyFont="1" applyAlignment="1">
      <alignment horizontal="center" vertical="center"/>
    </xf>
    <xf numFmtId="49" fontId="3" fillId="0" borderId="41" xfId="0" applyNumberFormat="1" applyFont="1" applyBorder="1" applyAlignment="1">
      <alignment horizontal="left"/>
    </xf>
    <xf numFmtId="49" fontId="4" fillId="0" borderId="41" xfId="0" applyNumberFormat="1" applyFont="1" applyBorder="1" applyAlignment="1">
      <alignment horizontal="center" vertical="center"/>
    </xf>
    <xf numFmtId="180" fontId="21" fillId="0" borderId="41" xfId="0" applyNumberFormat="1" applyFont="1" applyBorder="1"/>
    <xf numFmtId="179" fontId="19" fillId="0" borderId="41" xfId="0" applyNumberFormat="1" applyFont="1" applyBorder="1"/>
    <xf numFmtId="49" fontId="4" fillId="0" borderId="40" xfId="0" applyNumberFormat="1" applyFont="1" applyBorder="1" applyAlignment="1">
      <alignment horizontal="left" indent="2"/>
    </xf>
    <xf numFmtId="49" fontId="4" fillId="0" borderId="40" xfId="0" applyNumberFormat="1" applyFont="1" applyBorder="1" applyAlignment="1">
      <alignment horizontal="center" vertical="center"/>
    </xf>
    <xf numFmtId="180" fontId="21" fillId="0" borderId="40" xfId="0" applyNumberFormat="1" applyFont="1" applyBorder="1"/>
    <xf numFmtId="179" fontId="19" fillId="0" borderId="40" xfId="0" applyNumberFormat="1" applyFont="1" applyBorder="1"/>
    <xf numFmtId="0" fontId="0" fillId="0" borderId="40" xfId="0" applyBorder="1"/>
    <xf numFmtId="167" fontId="5" fillId="0" borderId="43" xfId="0" applyNumberFormat="1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44" fontId="4" fillId="0" borderId="0" xfId="1" applyFont="1" applyFill="1"/>
    <xf numFmtId="175" fontId="12" fillId="19" borderId="14" xfId="0" applyNumberFormat="1" applyFont="1" applyFill="1" applyBorder="1" applyAlignment="1">
      <alignment vertical="center"/>
    </xf>
    <xf numFmtId="164" fontId="7" fillId="20" borderId="3" xfId="0" applyNumberFormat="1" applyFont="1" applyFill="1" applyBorder="1" applyAlignment="1">
      <alignment horizontal="right" vertical="center"/>
    </xf>
    <xf numFmtId="0" fontId="19" fillId="21" borderId="21" xfId="0" applyFont="1" applyFill="1" applyBorder="1"/>
    <xf numFmtId="10" fontId="19" fillId="21" borderId="22" xfId="2" applyNumberFormat="1" applyFont="1" applyFill="1" applyBorder="1"/>
    <xf numFmtId="10" fontId="19" fillId="21" borderId="23" xfId="2" applyNumberFormat="1" applyFont="1" applyFill="1" applyBorder="1"/>
    <xf numFmtId="0" fontId="4" fillId="21" borderId="0" xfId="0" applyFont="1" applyFill="1"/>
    <xf numFmtId="166" fontId="7" fillId="21" borderId="0" xfId="0" applyNumberFormat="1" applyFont="1" applyFill="1" applyAlignment="1">
      <alignment horizontal="center" vertical="center"/>
    </xf>
    <xf numFmtId="0" fontId="5" fillId="16" borderId="0" xfId="0" applyFont="1" applyFill="1" applyAlignment="1">
      <alignment vertical="center"/>
    </xf>
    <xf numFmtId="0" fontId="5" fillId="16" borderId="0" xfId="0" applyFont="1" applyFill="1" applyAlignment="1">
      <alignment horizontal="center" vertical="center"/>
    </xf>
    <xf numFmtId="0" fontId="3" fillId="21" borderId="0" xfId="0" applyFont="1" applyFill="1"/>
    <xf numFmtId="166" fontId="13" fillId="21" borderId="0" xfId="0" applyNumberFormat="1" applyFont="1" applyFill="1" applyAlignment="1">
      <alignment horizontal="center" vertical="center"/>
    </xf>
    <xf numFmtId="2" fontId="3" fillId="21" borderId="0" xfId="1" applyNumberFormat="1" applyFont="1" applyFill="1" applyAlignment="1">
      <alignment horizontal="center" vertical="center"/>
    </xf>
    <xf numFmtId="2" fontId="4" fillId="21" borderId="0" xfId="1" applyNumberFormat="1" applyFont="1" applyFill="1" applyAlignment="1">
      <alignment horizontal="center" vertical="center"/>
    </xf>
    <xf numFmtId="2" fontId="4" fillId="0" borderId="0" xfId="1" applyNumberFormat="1" applyFont="1" applyFill="1" applyAlignment="1">
      <alignment horizontal="center" vertical="center"/>
    </xf>
    <xf numFmtId="9" fontId="4" fillId="21" borderId="0" xfId="0" applyNumberFormat="1" applyFont="1" applyFill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12" fillId="21" borderId="0" xfId="0" applyFont="1" applyFill="1"/>
    <xf numFmtId="164" fontId="12" fillId="21" borderId="0" xfId="2" applyNumberFormat="1" applyFont="1" applyFill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64" fontId="10" fillId="21" borderId="0" xfId="0" applyNumberFormat="1" applyFont="1" applyFill="1" applyAlignment="1">
      <alignment horizontal="center" vertical="center"/>
    </xf>
    <xf numFmtId="0" fontId="12" fillId="21" borderId="0" xfId="0" applyFont="1" applyFill="1" applyAlignment="1">
      <alignment horizontal="center" vertical="center"/>
    </xf>
    <xf numFmtId="0" fontId="0" fillId="0" borderId="1" xfId="0" applyBorder="1"/>
    <xf numFmtId="167" fontId="5" fillId="17" borderId="46" xfId="0" applyNumberFormat="1" applyFont="1" applyFill="1" applyBorder="1" applyAlignment="1">
      <alignment horizontal="center"/>
    </xf>
    <xf numFmtId="167" fontId="5" fillId="15" borderId="45" xfId="0" applyNumberFormat="1" applyFont="1" applyFill="1" applyBorder="1" applyAlignment="1">
      <alignment horizontal="center" vertical="center"/>
    </xf>
    <xf numFmtId="0" fontId="5" fillId="17" borderId="47" xfId="0" applyFont="1" applyFill="1" applyBorder="1" applyAlignment="1">
      <alignment horizontal="center"/>
    </xf>
    <xf numFmtId="9" fontId="11" fillId="11" borderId="33" xfId="2" applyFont="1" applyFill="1" applyBorder="1" applyAlignment="1">
      <alignment horizontal="right"/>
    </xf>
    <xf numFmtId="9" fontId="11" fillId="11" borderId="28" xfId="2" applyFont="1" applyFill="1" applyBorder="1" applyAlignment="1">
      <alignment horizontal="right"/>
    </xf>
    <xf numFmtId="9" fontId="11" fillId="11" borderId="27" xfId="2" applyFont="1" applyFill="1" applyBorder="1" applyAlignment="1">
      <alignment horizontal="right"/>
    </xf>
    <xf numFmtId="0" fontId="3" fillId="0" borderId="1" xfId="0" applyFont="1" applyBorder="1" applyAlignment="1">
      <alignment vertical="center"/>
    </xf>
    <xf numFmtId="170" fontId="12" fillId="0" borderId="33" xfId="2" applyNumberFormat="1" applyFont="1" applyFill="1" applyBorder="1"/>
    <xf numFmtId="170" fontId="12" fillId="0" borderId="34" xfId="2" applyNumberFormat="1" applyFont="1" applyFill="1" applyBorder="1"/>
    <xf numFmtId="170" fontId="12" fillId="0" borderId="27" xfId="2" applyNumberFormat="1" applyFont="1" applyFill="1" applyBorder="1"/>
    <xf numFmtId="185" fontId="10" fillId="5" borderId="3" xfId="0" applyNumberFormat="1" applyFont="1" applyFill="1" applyBorder="1" applyAlignment="1">
      <alignment horizontal="right" vertical="center"/>
    </xf>
    <xf numFmtId="17" fontId="9" fillId="22" borderId="5" xfId="0" applyNumberFormat="1" applyFont="1" applyFill="1" applyBorder="1" applyAlignment="1">
      <alignment horizontal="right" vertical="center"/>
    </xf>
    <xf numFmtId="170" fontId="9" fillId="20" borderId="3" xfId="0" applyNumberFormat="1" applyFont="1" applyFill="1" applyBorder="1" applyAlignment="1">
      <alignment horizontal="right" vertical="center"/>
    </xf>
    <xf numFmtId="166" fontId="12" fillId="20" borderId="5" xfId="0" applyNumberFormat="1" applyFont="1" applyFill="1" applyBorder="1" applyAlignment="1">
      <alignment horizontal="right" vertical="center"/>
    </xf>
    <xf numFmtId="166" fontId="10" fillId="20" borderId="5" xfId="0" applyNumberFormat="1" applyFont="1" applyFill="1" applyBorder="1" applyAlignment="1">
      <alignment horizontal="right" vertical="center"/>
    </xf>
    <xf numFmtId="166" fontId="9" fillId="20" borderId="7" xfId="0" applyNumberFormat="1" applyFont="1" applyFill="1" applyBorder="1" applyAlignment="1">
      <alignment horizontal="right" vertical="center"/>
    </xf>
    <xf numFmtId="10" fontId="9" fillId="20" borderId="5" xfId="0" applyNumberFormat="1" applyFont="1" applyFill="1" applyBorder="1" applyAlignment="1">
      <alignment horizontal="right" vertical="center"/>
    </xf>
    <xf numFmtId="185" fontId="12" fillId="20" borderId="3" xfId="0" applyNumberFormat="1" applyFont="1" applyFill="1" applyBorder="1" applyAlignment="1">
      <alignment horizontal="right" vertical="center"/>
    </xf>
    <xf numFmtId="164" fontId="9" fillId="20" borderId="3" xfId="0" applyNumberFormat="1" applyFont="1" applyFill="1" applyBorder="1" applyAlignment="1">
      <alignment horizontal="right" vertical="center"/>
    </xf>
    <xf numFmtId="174" fontId="9" fillId="20" borderId="7" xfId="0" applyNumberFormat="1" applyFont="1" applyFill="1" applyBorder="1" applyAlignment="1">
      <alignment horizontal="right" vertical="center"/>
    </xf>
    <xf numFmtId="175" fontId="9" fillId="20" borderId="3" xfId="0" applyNumberFormat="1" applyFont="1" applyFill="1" applyBorder="1" applyAlignment="1">
      <alignment horizontal="right" vertical="center"/>
    </xf>
    <xf numFmtId="175" fontId="12" fillId="19" borderId="3" xfId="0" applyNumberFormat="1" applyFont="1" applyFill="1" applyBorder="1" applyAlignment="1">
      <alignment vertical="center"/>
    </xf>
    <xf numFmtId="10" fontId="9" fillId="20" borderId="3" xfId="2" applyNumberFormat="1" applyFont="1" applyFill="1" applyBorder="1" applyAlignment="1">
      <alignment horizontal="right" vertical="center"/>
    </xf>
    <xf numFmtId="164" fontId="13" fillId="20" borderId="3" xfId="0" applyNumberFormat="1" applyFont="1" applyFill="1" applyBorder="1" applyAlignment="1">
      <alignment horizontal="right" vertical="center"/>
    </xf>
    <xf numFmtId="170" fontId="12" fillId="0" borderId="0" xfId="2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168" fontId="11" fillId="11" borderId="12" xfId="0" applyNumberFormat="1" applyFont="1" applyFill="1" applyBorder="1"/>
    <xf numFmtId="0" fontId="21" fillId="0" borderId="0" xfId="0" applyFont="1" applyAlignment="1">
      <alignment vertical="center"/>
    </xf>
    <xf numFmtId="166" fontId="14" fillId="0" borderId="0" xfId="0" applyNumberFormat="1" applyFont="1" applyAlignment="1">
      <alignment horizontal="right" vertical="center"/>
    </xf>
    <xf numFmtId="170" fontId="8" fillId="0" borderId="0" xfId="2" applyNumberFormat="1" applyFont="1" applyAlignment="1">
      <alignment horizontal="right" vertical="center"/>
    </xf>
    <xf numFmtId="164" fontId="10" fillId="11" borderId="48" xfId="0" applyNumberFormat="1" applyFont="1" applyFill="1" applyBorder="1" applyAlignment="1">
      <alignment horizontal="right" vertical="center"/>
    </xf>
    <xf numFmtId="0" fontId="0" fillId="0" borderId="49" xfId="0" applyBorder="1"/>
    <xf numFmtId="166" fontId="4" fillId="0" borderId="17" xfId="0" applyNumberFormat="1" applyFont="1" applyBorder="1" applyAlignment="1">
      <alignment vertical="center"/>
    </xf>
    <xf numFmtId="166" fontId="19" fillId="0" borderId="17" xfId="0" applyNumberFormat="1" applyFont="1" applyBorder="1" applyAlignment="1">
      <alignment vertical="center"/>
    </xf>
    <xf numFmtId="10" fontId="25" fillId="0" borderId="0" xfId="0" applyNumberFormat="1" applyFont="1" applyAlignment="1">
      <alignment horizontal="center" vertical="center"/>
    </xf>
    <xf numFmtId="166" fontId="10" fillId="11" borderId="50" xfId="0" applyNumberFormat="1" applyFont="1" applyFill="1" applyBorder="1" applyAlignment="1">
      <alignment horizontal="right" vertical="center"/>
    </xf>
    <xf numFmtId="166" fontId="10" fillId="11" borderId="51" xfId="0" applyNumberFormat="1" applyFont="1" applyFill="1" applyBorder="1" applyAlignment="1">
      <alignment horizontal="right" vertical="center"/>
    </xf>
    <xf numFmtId="166" fontId="10" fillId="11" borderId="52" xfId="0" applyNumberFormat="1" applyFont="1" applyFill="1" applyBorder="1" applyAlignment="1">
      <alignment horizontal="right" vertical="center"/>
    </xf>
    <xf numFmtId="166" fontId="12" fillId="0" borderId="51" xfId="0" applyNumberFormat="1" applyFont="1" applyBorder="1" applyAlignment="1">
      <alignment horizontal="right" vertical="center"/>
    </xf>
    <xf numFmtId="168" fontId="19" fillId="0" borderId="12" xfId="0" applyNumberFormat="1" applyFont="1" applyBorder="1"/>
    <xf numFmtId="2" fontId="0" fillId="0" borderId="0" xfId="0" applyNumberFormat="1"/>
    <xf numFmtId="9" fontId="28" fillId="0" borderId="0" xfId="0" applyNumberFormat="1" applyFont="1" applyAlignment="1">
      <alignment horizontal="right" vertical="center"/>
    </xf>
    <xf numFmtId="10" fontId="23" fillId="12" borderId="35" xfId="0" applyNumberFormat="1" applyFont="1" applyFill="1" applyBorder="1" applyAlignment="1">
      <alignment vertical="center"/>
    </xf>
    <xf numFmtId="10" fontId="23" fillId="12" borderId="36" xfId="0" applyNumberFormat="1" applyFont="1" applyFill="1" applyBorder="1" applyAlignment="1">
      <alignment vertical="center"/>
    </xf>
    <xf numFmtId="10" fontId="23" fillId="12" borderId="37" xfId="0" applyNumberFormat="1" applyFont="1" applyFill="1" applyBorder="1" applyAlignment="1">
      <alignment vertical="center"/>
    </xf>
    <xf numFmtId="0" fontId="0" fillId="23" borderId="0" xfId="0" applyFill="1"/>
    <xf numFmtId="44" fontId="4" fillId="0" borderId="0" xfId="1" applyFont="1" applyAlignment="1">
      <alignment vertical="center"/>
    </xf>
    <xf numFmtId="166" fontId="11" fillId="11" borderId="53" xfId="0" applyNumberFormat="1" applyFont="1" applyFill="1" applyBorder="1" applyAlignment="1">
      <alignment horizontal="right" vertical="center"/>
    </xf>
    <xf numFmtId="166" fontId="11" fillId="11" borderId="54" xfId="0" applyNumberFormat="1" applyFont="1" applyFill="1" applyBorder="1" applyAlignment="1">
      <alignment horizontal="right" vertical="center"/>
    </xf>
    <xf numFmtId="166" fontId="11" fillId="11" borderId="55" xfId="0" applyNumberFormat="1" applyFont="1" applyFill="1" applyBorder="1" applyAlignment="1">
      <alignment horizontal="right" vertical="center"/>
    </xf>
    <xf numFmtId="166" fontId="11" fillId="11" borderId="36" xfId="0" applyNumberFormat="1" applyFont="1" applyFill="1" applyBorder="1" applyAlignment="1">
      <alignment horizontal="right" vertical="center"/>
    </xf>
    <xf numFmtId="166" fontId="11" fillId="11" borderId="56" xfId="0" applyNumberFormat="1" applyFont="1" applyFill="1" applyBorder="1" applyAlignment="1">
      <alignment horizontal="right" vertical="center"/>
    </xf>
    <xf numFmtId="166" fontId="11" fillId="11" borderId="57" xfId="0" applyNumberFormat="1" applyFont="1" applyFill="1" applyBorder="1" applyAlignment="1">
      <alignment horizontal="right" vertical="center"/>
    </xf>
    <xf numFmtId="166" fontId="11" fillId="11" borderId="58" xfId="0" applyNumberFormat="1" applyFont="1" applyFill="1" applyBorder="1" applyAlignment="1">
      <alignment horizontal="right" vertical="center"/>
    </xf>
    <xf numFmtId="184" fontId="0" fillId="0" borderId="0" xfId="0" applyNumberFormat="1"/>
    <xf numFmtId="0" fontId="31" fillId="11" borderId="35" xfId="0" applyFont="1" applyFill="1" applyBorder="1"/>
    <xf numFmtId="171" fontId="10" fillId="11" borderId="36" xfId="0" applyNumberFormat="1" applyFont="1" applyFill="1" applyBorder="1" applyAlignment="1">
      <alignment horizontal="right" vertical="center"/>
    </xf>
    <xf numFmtId="164" fontId="7" fillId="20" borderId="6" xfId="0" applyNumberFormat="1" applyFont="1" applyFill="1" applyBorder="1" applyAlignment="1">
      <alignment horizontal="right" vertical="center"/>
    </xf>
    <xf numFmtId="164" fontId="23" fillId="5" borderId="35" xfId="0" applyNumberFormat="1" applyFont="1" applyFill="1" applyBorder="1" applyAlignment="1">
      <alignment horizontal="right" vertical="center"/>
    </xf>
    <xf numFmtId="164" fontId="23" fillId="5" borderId="36" xfId="0" applyNumberFormat="1" applyFont="1" applyFill="1" applyBorder="1" applyAlignment="1">
      <alignment horizontal="right" vertical="center"/>
    </xf>
    <xf numFmtId="164" fontId="23" fillId="5" borderId="37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86" fontId="0" fillId="0" borderId="0" xfId="0" applyNumberFormat="1"/>
    <xf numFmtId="171" fontId="11" fillId="11" borderId="35" xfId="0" applyNumberFormat="1" applyFont="1" applyFill="1" applyBorder="1" applyAlignment="1">
      <alignment vertical="center"/>
    </xf>
    <xf numFmtId="171" fontId="11" fillId="11" borderId="36" xfId="0" applyNumberFormat="1" applyFont="1" applyFill="1" applyBorder="1" applyAlignment="1">
      <alignment vertical="center"/>
    </xf>
    <xf numFmtId="171" fontId="11" fillId="11" borderId="37" xfId="0" applyNumberFormat="1" applyFont="1" applyFill="1" applyBorder="1" applyAlignment="1">
      <alignment vertical="center"/>
    </xf>
    <xf numFmtId="9" fontId="23" fillId="12" borderId="35" xfId="0" applyNumberFormat="1" applyFont="1" applyFill="1" applyBorder="1" applyAlignment="1">
      <alignment horizontal="right" vertical="center"/>
    </xf>
    <xf numFmtId="0" fontId="3" fillId="0" borderId="17" xfId="0" applyFont="1" applyBorder="1" applyAlignment="1">
      <alignment vertical="center"/>
    </xf>
    <xf numFmtId="179" fontId="3" fillId="0" borderId="17" xfId="0" applyNumberFormat="1" applyFont="1" applyBorder="1"/>
    <xf numFmtId="2" fontId="3" fillId="0" borderId="17" xfId="0" applyNumberFormat="1" applyFont="1" applyBorder="1"/>
    <xf numFmtId="2" fontId="3" fillId="0" borderId="19" xfId="0" applyNumberFormat="1" applyFont="1" applyBorder="1"/>
    <xf numFmtId="170" fontId="10" fillId="11" borderId="36" xfId="2" applyNumberFormat="1" applyFont="1" applyFill="1" applyBorder="1" applyAlignment="1">
      <alignment horizontal="right" vertical="center"/>
    </xf>
    <xf numFmtId="170" fontId="10" fillId="11" borderId="37" xfId="2" applyNumberFormat="1" applyFont="1" applyFill="1" applyBorder="1" applyAlignment="1">
      <alignment horizontal="right" vertical="center"/>
    </xf>
    <xf numFmtId="179" fontId="9" fillId="0" borderId="0" xfId="0" applyNumberFormat="1" applyFont="1" applyAlignment="1">
      <alignment vertical="center"/>
    </xf>
    <xf numFmtId="167" fontId="5" fillId="14" borderId="39" xfId="0" applyNumberFormat="1" applyFont="1" applyFill="1" applyBorder="1" applyAlignment="1">
      <alignment horizontal="right" vertical="center"/>
    </xf>
    <xf numFmtId="167" fontId="5" fillId="14" borderId="1" xfId="0" applyNumberFormat="1" applyFont="1" applyFill="1" applyBorder="1" applyAlignment="1">
      <alignment horizontal="right" vertical="center"/>
    </xf>
    <xf numFmtId="167" fontId="5" fillId="14" borderId="42" xfId="0" applyNumberFormat="1" applyFont="1" applyFill="1" applyBorder="1" applyAlignment="1">
      <alignment horizontal="right" vertical="center"/>
    </xf>
    <xf numFmtId="2" fontId="4" fillId="0" borderId="0" xfId="0" applyNumberFormat="1" applyFont="1"/>
    <xf numFmtId="168" fontId="3" fillId="0" borderId="17" xfId="0" applyNumberFormat="1" applyFont="1" applyBorder="1"/>
    <xf numFmtId="2" fontId="3" fillId="0" borderId="17" xfId="0" applyNumberFormat="1" applyFont="1" applyBorder="1" applyAlignment="1">
      <alignment vertical="center"/>
    </xf>
    <xf numFmtId="171" fontId="11" fillId="11" borderId="21" xfId="0" applyNumberFormat="1" applyFont="1" applyFill="1" applyBorder="1" applyAlignment="1">
      <alignment vertical="center"/>
    </xf>
    <xf numFmtId="171" fontId="11" fillId="11" borderId="22" xfId="0" applyNumberFormat="1" applyFont="1" applyFill="1" applyBorder="1" applyAlignment="1">
      <alignment vertical="center"/>
    </xf>
    <xf numFmtId="171" fontId="11" fillId="11" borderId="23" xfId="0" applyNumberFormat="1" applyFont="1" applyFill="1" applyBorder="1" applyAlignment="1">
      <alignment vertical="center"/>
    </xf>
    <xf numFmtId="164" fontId="7" fillId="20" borderId="59" xfId="0" applyNumberFormat="1" applyFont="1" applyFill="1" applyBorder="1" applyAlignment="1">
      <alignment horizontal="right" vertical="center"/>
    </xf>
    <xf numFmtId="164" fontId="23" fillId="5" borderId="21" xfId="0" applyNumberFormat="1" applyFont="1" applyFill="1" applyBorder="1" applyAlignment="1">
      <alignment horizontal="right" vertical="center"/>
    </xf>
    <xf numFmtId="164" fontId="23" fillId="5" borderId="22" xfId="0" applyNumberFormat="1" applyFont="1" applyFill="1" applyBorder="1" applyAlignment="1">
      <alignment horizontal="right" vertical="center"/>
    </xf>
    <xf numFmtId="164" fontId="23" fillId="5" borderId="23" xfId="0" applyNumberFormat="1" applyFont="1" applyFill="1" applyBorder="1" applyAlignment="1">
      <alignment horizontal="right" vertical="center"/>
    </xf>
    <xf numFmtId="170" fontId="25" fillId="0" borderId="60" xfId="0" applyNumberFormat="1" applyFont="1" applyBorder="1" applyAlignment="1">
      <alignment horizontal="center" vertical="center"/>
    </xf>
    <xf numFmtId="164" fontId="23" fillId="11" borderId="61" xfId="0" applyNumberFormat="1" applyFont="1" applyFill="1" applyBorder="1" applyAlignment="1">
      <alignment horizontal="right" vertical="center"/>
    </xf>
    <xf numFmtId="167" fontId="5" fillId="24" borderId="1" xfId="0" applyNumberFormat="1" applyFont="1" applyFill="1" applyBorder="1" applyAlignment="1">
      <alignment horizontal="center"/>
    </xf>
    <xf numFmtId="0" fontId="4" fillId="24" borderId="1" xfId="0" applyFont="1" applyFill="1" applyBorder="1"/>
    <xf numFmtId="167" fontId="5" fillId="14" borderId="62" xfId="0" applyNumberFormat="1" applyFont="1" applyFill="1" applyBorder="1" applyAlignment="1">
      <alignment horizontal="center"/>
    </xf>
    <xf numFmtId="167" fontId="5" fillId="24" borderId="26" xfId="0" applyNumberFormat="1" applyFont="1" applyFill="1" applyBorder="1" applyAlignment="1">
      <alignment horizont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166" fontId="18" fillId="9" borderId="11" xfId="0" applyNumberFormat="1" applyFont="1" applyFill="1" applyBorder="1" applyAlignment="1">
      <alignment horizontal="center" vertical="center"/>
    </xf>
    <xf numFmtId="0" fontId="20" fillId="0" borderId="12" xfId="0" applyFont="1" applyBorder="1"/>
    <xf numFmtId="0" fontId="20" fillId="0" borderId="13" xfId="0" applyFont="1" applyBorder="1"/>
    <xf numFmtId="166" fontId="7" fillId="8" borderId="17" xfId="0" applyNumberFormat="1" applyFont="1" applyFill="1" applyBorder="1" applyAlignment="1">
      <alignment horizontal="center" vertical="center"/>
    </xf>
    <xf numFmtId="0" fontId="5" fillId="14" borderId="25" xfId="0" applyFont="1" applyFill="1" applyBorder="1" applyAlignment="1">
      <alignment horizontal="center"/>
    </xf>
    <xf numFmtId="0" fontId="5" fillId="14" borderId="15" xfId="0" applyFont="1" applyFill="1" applyBorder="1" applyAlignment="1">
      <alignment horizontal="center"/>
    </xf>
    <xf numFmtId="0" fontId="5" fillId="16" borderId="0" xfId="0" applyFont="1" applyFill="1" applyAlignment="1">
      <alignment horizontal="center" vertical="center"/>
    </xf>
    <xf numFmtId="166" fontId="7" fillId="8" borderId="12" xfId="0" applyNumberFormat="1" applyFont="1" applyFill="1" applyBorder="1" applyAlignment="1">
      <alignment horizontal="center" vertical="center"/>
    </xf>
    <xf numFmtId="0" fontId="16" fillId="0" borderId="12" xfId="0" applyFont="1" applyBorder="1"/>
    <xf numFmtId="0" fontId="5" fillId="14" borderId="24" xfId="0" applyFont="1" applyFill="1" applyBorder="1" applyAlignment="1">
      <alignment horizontal="center"/>
    </xf>
    <xf numFmtId="0" fontId="5" fillId="10" borderId="15" xfId="0" applyFont="1" applyFill="1" applyBorder="1" applyAlignment="1">
      <alignment horizontal="center"/>
    </xf>
    <xf numFmtId="0" fontId="5" fillId="10" borderId="24" xfId="0" applyFont="1" applyFill="1" applyBorder="1" applyAlignment="1">
      <alignment horizontal="center"/>
    </xf>
  </cellXfs>
  <cellStyles count="5">
    <cellStyle name="Currency" xfId="1" builtinId="4"/>
    <cellStyle name="Normal" xfId="0" builtinId="0"/>
    <cellStyle name="Normal 2" xfId="3" xr:uid="{668B2F50-0282-4893-97BD-5A6EF0831F69}"/>
    <cellStyle name="Normal 7" xfId="4" xr:uid="{75C71607-0C86-4622-AE90-AD1040F63490}"/>
    <cellStyle name="Percent" xfId="2" builtinId="5"/>
  </cellStyles>
  <dxfs count="4">
    <dxf>
      <numFmt numFmtId="165" formatCode="0.0\x;\(0.0\x\);&quot;–&quot;"/>
      <fill>
        <patternFill patternType="none"/>
      </fill>
    </dxf>
    <dxf>
      <numFmt numFmtId="164" formatCode="0.0%_);\(0.0%\);&quot;-&quot;_);@_)"/>
      <fill>
        <patternFill patternType="none"/>
      </fill>
    </dxf>
    <dxf>
      <numFmt numFmtId="165" formatCode="0.0\x;\(0.0\x\);&quot;–&quot;"/>
      <fill>
        <patternFill patternType="none"/>
      </fill>
    </dxf>
    <dxf>
      <numFmt numFmtId="164" formatCode="0.0%_);\(0.0%\);&quot;-&quot;_);@_)"/>
      <fill>
        <patternFill patternType="none"/>
      </fill>
    </dxf>
  </dxfs>
  <tableStyles count="0" defaultTableStyle="TableStyleMedium2" defaultPivotStyle="PivotStyleLight16"/>
  <colors>
    <mruColors>
      <color rgb="FF44546A"/>
      <color rgb="FF3E345A"/>
      <color rgb="FF2A233D"/>
      <color rgb="FF5A4B81"/>
      <color rgb="FF000518"/>
      <color rgb="FFCFB173"/>
      <color rgb="FF4B0082"/>
      <color rgb="FFF9F2DF"/>
      <color rgb="FFF1E1B6"/>
      <color rgb="FF2C2C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Arial"/>
              </a:defRPr>
            </a:pPr>
            <a:r>
              <a:rPr lang="en-NZ" sz="1000" b="1" i="0">
                <a:solidFill>
                  <a:srgbClr val="757575"/>
                </a:solidFill>
                <a:latin typeface="Arial"/>
              </a:rPr>
              <a:t>Free Cashflow / EBITDA Profile
Forecast ($m)
</a:t>
            </a:r>
          </a:p>
        </c:rich>
      </c:tx>
      <c:layout>
        <c:manualLayout>
          <c:xMode val="edge"/>
          <c:yMode val="edge"/>
          <c:x val="1.1595840428457536E-3"/>
          <c:y val="0"/>
        </c:manualLayout>
      </c:layout>
      <c:overlay val="0"/>
    </c:title>
    <c:autoTitleDeleted val="0"/>
    <c:plotArea>
      <c:layout>
        <c:manualLayout>
          <c:xMode val="edge"/>
          <c:yMode val="edge"/>
          <c:x val="0.11876421697287839"/>
          <c:y val="0.21759259259259259"/>
          <c:w val="0.7638464566929134"/>
          <c:h val="0.70379629629629625"/>
        </c:manualLayout>
      </c:layout>
      <c:areaChart>
        <c:grouping val="standard"/>
        <c:varyColors val="1"/>
        <c:ser>
          <c:idx val="0"/>
          <c:order val="0"/>
          <c:tx>
            <c:v>EBITDA</c:v>
          </c:tx>
          <c:spPr>
            <a:solidFill>
              <a:srgbClr val="5B9BD5">
                <a:alpha val="30000"/>
              </a:srgbClr>
            </a:solidFill>
            <a:ln cmpd="sng">
              <a:solidFill>
                <a:srgbClr val="5B9BD5"/>
              </a:solidFill>
            </a:ln>
          </c:spPr>
          <c:cat>
            <c:numRef>
              <c:f>'&gt;&gt; DCF'!$N$4:$W$4</c:f>
              <c:numCache>
                <c:formatCode>"FY"yy</c:formatCode>
                <c:ptCount val="10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</c:numCache>
            </c:numRef>
          </c:cat>
          <c:val>
            <c:numRef>
              <c:f>'&gt;&gt; DCF'!$N$18:$W$18</c:f>
              <c:numCache>
                <c:formatCode>#,##0.0_);\(#,##0.0\);"-"_);@_)</c:formatCode>
                <c:ptCount val="10"/>
                <c:pt idx="0">
                  <c:v>104.41999999999999</c:v>
                </c:pt>
                <c:pt idx="1">
                  <c:v>58.569000000000017</c:v>
                </c:pt>
                <c:pt idx="2">
                  <c:v>109.30164393469113</c:v>
                </c:pt>
                <c:pt idx="3">
                  <c:v>138.55658068110489</c:v>
                </c:pt>
                <c:pt idx="4">
                  <c:v>163.42486193610515</c:v>
                </c:pt>
                <c:pt idx="5">
                  <c:v>176.02933675440028</c:v>
                </c:pt>
                <c:pt idx="6">
                  <c:v>188.88329539760642</c:v>
                </c:pt>
                <c:pt idx="7">
                  <c:v>199.59456075302569</c:v>
                </c:pt>
                <c:pt idx="8">
                  <c:v>209.83904076029296</c:v>
                </c:pt>
                <c:pt idx="9">
                  <c:v>223.16382036778708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11-42DC-864F-8A7D2107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724695"/>
        <c:axId val="1634545883"/>
      </c:areaChart>
      <c:barChart>
        <c:barDir val="col"/>
        <c:grouping val="clustered"/>
        <c:varyColors val="1"/>
        <c:ser>
          <c:idx val="1"/>
          <c:order val="1"/>
          <c:tx>
            <c:v>Unlevered Free Cashflow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'&gt;&gt; DCF'!$N$4:$W$4</c:f>
              <c:numCache>
                <c:formatCode>"FY"yy</c:formatCode>
                <c:ptCount val="10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</c:numCache>
            </c:numRef>
          </c:cat>
          <c:val>
            <c:numRef>
              <c:f>'&gt;&gt; DCF'!$N$30:$W$30</c:f>
              <c:numCache>
                <c:formatCode>#,##0.0_);\(#,##0.0\);"-"_);@_)</c:formatCode>
                <c:ptCount val="10"/>
                <c:pt idx="0">
                  <c:v>153.47040000000004</c:v>
                </c:pt>
                <c:pt idx="1">
                  <c:v>-9.3353199999999941</c:v>
                </c:pt>
                <c:pt idx="2">
                  <c:v>23.504019185709829</c:v>
                </c:pt>
                <c:pt idx="3">
                  <c:v>43.556783904701433</c:v>
                </c:pt>
                <c:pt idx="4">
                  <c:v>57.986512910387873</c:v>
                </c:pt>
                <c:pt idx="5">
                  <c:v>63.113002744078585</c:v>
                </c:pt>
                <c:pt idx="6">
                  <c:v>69.138723776421514</c:v>
                </c:pt>
                <c:pt idx="7">
                  <c:v>73.441502516803538</c:v>
                </c:pt>
                <c:pt idx="8">
                  <c:v>77.234861483409006</c:v>
                </c:pt>
                <c:pt idx="9">
                  <c:v>83.064318181746799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D11-42DC-864F-8A7D2107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1724695"/>
        <c:axId val="1634545883"/>
      </c:barChart>
      <c:dateAx>
        <c:axId val="1831724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Z"/>
              </a:p>
            </c:rich>
          </c:tx>
          <c:overlay val="0"/>
        </c:title>
        <c:numFmt formatCode="&quot;FY&quot;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634545883"/>
        <c:crosses val="autoZero"/>
        <c:auto val="1"/>
        <c:lblOffset val="100"/>
        <c:baseTimeUnit val="years"/>
      </c:dateAx>
      <c:valAx>
        <c:axId val="16345458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NZ" sz="1000" b="0" i="0">
                    <a:solidFill>
                      <a:srgbClr val="000000"/>
                    </a:solidFill>
                    <a:latin typeface="Arial"/>
                  </a:rPr>
                  <a:t>U FCF</a:t>
                </a:r>
              </a:p>
            </c:rich>
          </c:tx>
          <c:overlay val="0"/>
        </c:title>
        <c:numFmt formatCode="#,##0.0_);\(#,##0.0\);&quot;-&quot;_);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831724695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8733502949362369"/>
          <c:y val="7.5322926201301224E-2"/>
        </c:manualLayout>
      </c:layout>
      <c:overlay val="0"/>
      <c:txPr>
        <a:bodyPr/>
        <a:lstStyle/>
        <a:p>
          <a:pPr lvl="0">
            <a:defRPr sz="1000" b="0" i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000" b="1" i="0">
                <a:solidFill>
                  <a:srgbClr val="757575"/>
                </a:solidFill>
                <a:latin typeface="Arial"/>
              </a:defRPr>
            </a:pPr>
            <a:r>
              <a:rPr lang="en-NZ" sz="1000" b="1" i="0">
                <a:solidFill>
                  <a:srgbClr val="757575"/>
                </a:solidFill>
                <a:latin typeface="Arial"/>
              </a:rPr>
              <a:t>NOPAT / EBITDA Margin Profile
Forecast ($m)
</a:t>
            </a:r>
          </a:p>
        </c:rich>
      </c:tx>
      <c:layout>
        <c:manualLayout>
          <c:xMode val="edge"/>
          <c:yMode val="edge"/>
          <c:x val="1.1596675415573054E-3"/>
          <c:y val="0"/>
        </c:manualLayout>
      </c:layout>
      <c:overlay val="0"/>
    </c:title>
    <c:autoTitleDeleted val="0"/>
    <c:plotArea>
      <c:layout>
        <c:manualLayout>
          <c:xMode val="edge"/>
          <c:yMode val="edge"/>
          <c:x val="0.14042030182443285"/>
          <c:y val="0.21759259259259259"/>
          <c:w val="0.74219041453255974"/>
          <c:h val="0.70379629629629625"/>
        </c:manualLayout>
      </c:layout>
      <c:barChart>
        <c:barDir val="col"/>
        <c:grouping val="clustered"/>
        <c:varyColors val="1"/>
        <c:ser>
          <c:idx val="0"/>
          <c:order val="0"/>
          <c:tx>
            <c:v>Net Operating Profit After Tax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'&gt;&gt; DCF'!$N$4:$W$4</c:f>
              <c:numCache>
                <c:formatCode>"FY"yy</c:formatCode>
                <c:ptCount val="10"/>
                <c:pt idx="0">
                  <c:v>44926</c:v>
                </c:pt>
                <c:pt idx="1">
                  <c:v>45291</c:v>
                </c:pt>
                <c:pt idx="2">
                  <c:v>45657</c:v>
                </c:pt>
                <c:pt idx="3">
                  <c:v>46022</c:v>
                </c:pt>
                <c:pt idx="4">
                  <c:v>46387</c:v>
                </c:pt>
                <c:pt idx="5">
                  <c:v>46752</c:v>
                </c:pt>
                <c:pt idx="6">
                  <c:v>47118</c:v>
                </c:pt>
                <c:pt idx="7">
                  <c:v>47483</c:v>
                </c:pt>
                <c:pt idx="8">
                  <c:v>47848</c:v>
                </c:pt>
                <c:pt idx="9">
                  <c:v>48213</c:v>
                </c:pt>
              </c:numCache>
            </c:numRef>
          </c:cat>
          <c:val>
            <c:numRef>
              <c:f>'&gt;&gt; DCF'!$N$23:$W$23</c:f>
              <c:numCache>
                <c:formatCode>#,##0.0_);\(#,##0.0\);"-"_);@_)</c:formatCode>
                <c:ptCount val="10"/>
                <c:pt idx="0">
                  <c:v>57.470399999999998</c:v>
                </c:pt>
                <c:pt idx="1">
                  <c:v>16.681680000000014</c:v>
                </c:pt>
                <c:pt idx="2">
                  <c:v>51.409183632977602</c:v>
                </c:pt>
                <c:pt idx="3">
                  <c:v>71.10833809039552</c:v>
                </c:pt>
                <c:pt idx="4">
                  <c:v>87.580880593995701</c:v>
                </c:pt>
                <c:pt idx="5">
                  <c:v>95.1518514631682</c:v>
                </c:pt>
                <c:pt idx="6">
                  <c:v>102.82723813627661</c:v>
                </c:pt>
                <c:pt idx="7">
                  <c:v>108.88091246467849</c:v>
                </c:pt>
                <c:pt idx="8">
                  <c:v>114.51557950603591</c:v>
                </c:pt>
                <c:pt idx="9">
                  <c:v>122.28099433136293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DE2-4E94-B03B-594B3E863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0579371"/>
        <c:axId val="568808707"/>
      </c:barChart>
      <c:dateAx>
        <c:axId val="6905793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Z"/>
              </a:p>
            </c:rich>
          </c:tx>
          <c:overlay val="0"/>
        </c:title>
        <c:numFmt formatCode="&quot;FY&quot;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568808707"/>
        <c:crosses val="autoZero"/>
        <c:auto val="1"/>
        <c:lblOffset val="100"/>
        <c:baseTimeUnit val="years"/>
      </c:dateAx>
      <c:valAx>
        <c:axId val="5688087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NZ" sz="1000" b="0" i="0">
                    <a:solidFill>
                      <a:srgbClr val="000000"/>
                    </a:solidFill>
                    <a:latin typeface="Arial"/>
                  </a:rPr>
                  <a:t>EBITDA Margin</a:t>
                </a:r>
              </a:p>
            </c:rich>
          </c:tx>
          <c:overlay val="0"/>
        </c:title>
        <c:numFmt formatCode="#,##0.0_);\(#,##0.0\);&quot;-&quot;_);@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690579371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3326038860781482"/>
          <c:y val="0.10211186549332711"/>
        </c:manualLayout>
      </c:layout>
      <c:overlay val="0"/>
      <c:txPr>
        <a:bodyPr/>
        <a:lstStyle/>
        <a:p>
          <a:pPr lvl="0" rtl="0">
            <a:defRPr sz="1000" b="0" i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304800</xdr:colOff>
      <xdr:row>4</xdr:row>
      <xdr:rowOff>114300</xdr:rowOff>
    </xdr:from>
    <xdr:ext cx="7191375" cy="4400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FCD76D-FEED-4B18-ABD3-2E7FB099C2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18</xdr:col>
      <xdr:colOff>666751</xdr:colOff>
      <xdr:row>4</xdr:row>
      <xdr:rowOff>104775</xdr:rowOff>
    </xdr:from>
    <xdr:ext cx="6819900" cy="44196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CFFB22-E298-4098-956D-D273B1B5A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7FDA-008C-47DF-A09F-582CE254FBE1}">
  <sheetPr>
    <tabColor rgb="FFDEEAF6"/>
  </sheetPr>
  <dimension ref="A1"/>
  <sheetViews>
    <sheetView showGridLines="0" workbookViewId="0">
      <selection activeCell="M31" sqref="M31"/>
    </sheetView>
  </sheetViews>
  <sheetFormatPr defaultColWidth="14.42578125" defaultRowHeight="15" customHeight="1" x14ac:dyDescent="0.25"/>
  <cols>
    <col min="1" max="26" width="8.85546875" customWidth="1"/>
  </cols>
  <sheetData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FEC2-8D28-4352-AA23-C67A2A399B4B}">
  <sheetPr>
    <tabColor rgb="FFAEABAB"/>
  </sheetPr>
  <dimension ref="A2:AI147"/>
  <sheetViews>
    <sheetView showGridLines="0" tabSelected="1" topLeftCell="A14" workbookViewId="0">
      <selection activeCell="L20" sqref="L20"/>
    </sheetView>
  </sheetViews>
  <sheetFormatPr defaultColWidth="14.42578125" defaultRowHeight="15" customHeight="1" x14ac:dyDescent="0.25"/>
  <cols>
    <col min="1" max="2" width="2.7109375" customWidth="1"/>
    <col min="3" max="3" width="1.7109375" customWidth="1"/>
    <col min="4" max="4" width="2.85546875" customWidth="1"/>
    <col min="5" max="5" width="37.7109375" customWidth="1"/>
    <col min="6" max="6" width="13.42578125" customWidth="1"/>
    <col min="7" max="7" width="16.7109375" bestFit="1" customWidth="1"/>
    <col min="8" max="25" width="11.140625" customWidth="1"/>
    <col min="26" max="26" width="12.42578125" customWidth="1"/>
    <col min="27" max="35" width="9.140625" customWidth="1"/>
  </cols>
  <sheetData>
    <row r="2" spans="3:25" ht="12.75" customHeight="1" x14ac:dyDescent="0.25">
      <c r="C2" s="1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12.75" customHeight="1" x14ac:dyDescent="0.25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ht="7.5" customHeight="1" x14ac:dyDescent="0.25"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3:25" ht="12.75" customHeight="1" x14ac:dyDescent="0.25">
      <c r="C5" s="3"/>
      <c r="D5" s="4" t="s">
        <v>1</v>
      </c>
      <c r="E5" s="3"/>
      <c r="F5" s="5" t="str">
        <f>'&gt;&gt; DCF'!F4</f>
        <v>Year &gt;&gt;&gt;</v>
      </c>
      <c r="G5" s="5" t="s">
        <v>2</v>
      </c>
      <c r="H5" s="6">
        <f t="shared" ref="H5:M5" si="0">EOMONTH(I5,-12)</f>
        <v>42735</v>
      </c>
      <c r="I5" s="6">
        <f t="shared" si="0"/>
        <v>43100</v>
      </c>
      <c r="J5" s="6">
        <f t="shared" si="0"/>
        <v>43465</v>
      </c>
      <c r="K5" s="6">
        <f t="shared" si="0"/>
        <v>43830</v>
      </c>
      <c r="L5" s="6">
        <f t="shared" si="0"/>
        <v>44196</v>
      </c>
      <c r="M5" s="6">
        <f t="shared" si="0"/>
        <v>44561</v>
      </c>
      <c r="N5" s="6">
        <f>EOMONTH(O5,-12)</f>
        <v>44926</v>
      </c>
      <c r="O5" s="6">
        <f>$G$17</f>
        <v>45291</v>
      </c>
      <c r="P5" s="6">
        <f>EOMONTH(O5,12)</f>
        <v>45657</v>
      </c>
      <c r="Q5" s="6">
        <f t="shared" ref="Q5:Y5" si="1">EOMONTH(P5,12)</f>
        <v>46022</v>
      </c>
      <c r="R5" s="6">
        <f t="shared" si="1"/>
        <v>46387</v>
      </c>
      <c r="S5" s="6">
        <f t="shared" si="1"/>
        <v>46752</v>
      </c>
      <c r="T5" s="6">
        <f t="shared" si="1"/>
        <v>47118</v>
      </c>
      <c r="U5" s="6">
        <f t="shared" si="1"/>
        <v>47483</v>
      </c>
      <c r="V5" s="6">
        <f t="shared" si="1"/>
        <v>47848</v>
      </c>
      <c r="W5" s="6">
        <f t="shared" si="1"/>
        <v>48213</v>
      </c>
      <c r="X5" s="6">
        <f t="shared" si="1"/>
        <v>48579</v>
      </c>
      <c r="Y5" s="6">
        <f t="shared" si="1"/>
        <v>48944</v>
      </c>
    </row>
    <row r="6" spans="3:25" ht="12.75" customHeight="1" x14ac:dyDescent="0.25">
      <c r="C6" s="7"/>
      <c r="D6" s="7"/>
      <c r="E6" s="7" t="str">
        <f>'&gt;&gt; DCF'!E5</f>
        <v>Period</v>
      </c>
      <c r="F6" s="8" t="str">
        <f>'&gt;&gt; DCF'!F5</f>
        <v>Units</v>
      </c>
      <c r="G6" s="8"/>
      <c r="H6" s="9">
        <f>'&gt;&gt; DCF'!H5</f>
        <v>-6</v>
      </c>
      <c r="I6" s="9">
        <f>'&gt;&gt; DCF'!I5</f>
        <v>-5</v>
      </c>
      <c r="J6" s="9">
        <f>'&gt;&gt; DCF'!J5</f>
        <v>-4</v>
      </c>
      <c r="K6" s="9">
        <f>'&gt;&gt; DCF'!K5</f>
        <v>-3</v>
      </c>
      <c r="L6" s="9">
        <f>'&gt;&gt; DCF'!L5</f>
        <v>-2</v>
      </c>
      <c r="M6" s="9">
        <f>'&gt;&gt; DCF'!M5</f>
        <v>-1</v>
      </c>
      <c r="N6" s="9">
        <f>'&gt;&gt; DCF'!N5</f>
        <v>0</v>
      </c>
      <c r="O6" s="9">
        <f>'&gt;&gt; DCF'!O5</f>
        <v>0</v>
      </c>
      <c r="P6" s="9">
        <f>'&gt;&gt; DCF'!P5</f>
        <v>1</v>
      </c>
      <c r="Q6" s="9">
        <f>'&gt;&gt; DCF'!Q5</f>
        <v>2</v>
      </c>
      <c r="R6" s="9">
        <f>'&gt;&gt; DCF'!R5</f>
        <v>3</v>
      </c>
      <c r="S6" s="9">
        <f>'&gt;&gt; DCF'!S5</f>
        <v>4</v>
      </c>
      <c r="T6" s="9">
        <f>'&gt;&gt; DCF'!T5</f>
        <v>5</v>
      </c>
      <c r="U6" s="9">
        <f>'&gt;&gt; DCF'!U5</f>
        <v>6</v>
      </c>
      <c r="V6" s="9">
        <f>'&gt;&gt; DCF'!V5</f>
        <v>7</v>
      </c>
      <c r="W6" s="9">
        <f>'&gt;&gt; DCF'!W5</f>
        <v>8</v>
      </c>
      <c r="X6" s="9">
        <f>'&gt;&gt; DCF'!X5</f>
        <v>9</v>
      </c>
      <c r="Y6" s="9">
        <f>'&gt;&gt; DCF'!Y5</f>
        <v>10</v>
      </c>
    </row>
    <row r="7" spans="3:25" ht="12.75" customHeight="1" x14ac:dyDescent="0.25">
      <c r="C7" s="7"/>
      <c r="D7" s="7"/>
      <c r="E7" s="7" t="str">
        <f>'&gt;&gt; DCF'!E6</f>
        <v>Mid Year Factor</v>
      </c>
      <c r="F7" s="10" t="str">
        <f>'&gt;&gt; DCF'!F6</f>
        <v>TVM Factor</v>
      </c>
      <c r="G7" s="10"/>
      <c r="H7" s="11">
        <f>'&gt;&gt; DCF'!H6</f>
        <v>0</v>
      </c>
      <c r="I7" s="11">
        <f>'&gt;&gt; DCF'!I6</f>
        <v>0</v>
      </c>
      <c r="J7" s="11">
        <f>'&gt;&gt; DCF'!J6</f>
        <v>0</v>
      </c>
      <c r="K7" s="11">
        <f>'&gt;&gt; DCF'!K6</f>
        <v>0.5</v>
      </c>
      <c r="L7" s="11">
        <f>'&gt;&gt; DCF'!L6</f>
        <v>1.5</v>
      </c>
      <c r="M7" s="11">
        <f>'&gt;&gt; DCF'!M6</f>
        <v>2.5</v>
      </c>
      <c r="N7" s="11">
        <f>'&gt;&gt; DCF'!N6</f>
        <v>3.5</v>
      </c>
      <c r="O7" s="11">
        <f>'&gt;&gt; DCF'!O6</f>
        <v>4.5</v>
      </c>
      <c r="P7" s="11">
        <f>'&gt;&gt; DCF'!P6</f>
        <v>5.5</v>
      </c>
      <c r="Q7" s="11">
        <f>'&gt;&gt; DCF'!Q6</f>
        <v>6.5</v>
      </c>
      <c r="R7" s="11">
        <f>'&gt;&gt; DCF'!R6</f>
        <v>7.5</v>
      </c>
      <c r="S7" s="11">
        <f>'&gt;&gt; DCF'!S6</f>
        <v>8.5</v>
      </c>
      <c r="T7" s="11">
        <f>'&gt;&gt; DCF'!T6</f>
        <v>9.5</v>
      </c>
      <c r="U7" s="11">
        <f>'&gt;&gt; DCF'!U6</f>
        <v>10.5</v>
      </c>
      <c r="V7" s="11">
        <f>'&gt;&gt; DCF'!V6</f>
        <v>11.5</v>
      </c>
      <c r="W7" s="11">
        <f>'&gt;&gt; DCF'!W6</f>
        <v>12.5</v>
      </c>
      <c r="X7" s="11">
        <f>'&gt;&gt; DCF'!X6</f>
        <v>13.5</v>
      </c>
      <c r="Y7" s="11">
        <f>'&gt;&gt; DCF'!Y6</f>
        <v>14.5</v>
      </c>
    </row>
    <row r="8" spans="3:25" ht="12.75" customHeight="1" x14ac:dyDescent="0.25">
      <c r="C8" s="7"/>
      <c r="D8" s="7"/>
      <c r="E8" s="7" t="str">
        <f>'&gt;&gt; DCF'!E7</f>
        <v>Financial Year Start</v>
      </c>
      <c r="F8" s="10" t="str">
        <f>'&gt;&gt; DCF'!F7</f>
        <v>Abc</v>
      </c>
      <c r="G8" s="10"/>
      <c r="H8" s="12">
        <f>'&gt;&gt; DCF'!H7</f>
        <v>42370</v>
      </c>
      <c r="I8" s="12">
        <f>'&gt;&gt; DCF'!I7</f>
        <v>42736</v>
      </c>
      <c r="J8" s="12">
        <f>'&gt;&gt; DCF'!J7</f>
        <v>43101</v>
      </c>
      <c r="K8" s="12">
        <f>'&gt;&gt; DCF'!K7</f>
        <v>43466</v>
      </c>
      <c r="L8" s="12">
        <f>'&gt;&gt; DCF'!L7</f>
        <v>43831</v>
      </c>
      <c r="M8" s="12">
        <f>'&gt;&gt; DCF'!M7</f>
        <v>44197</v>
      </c>
      <c r="N8" s="12">
        <f>'&gt;&gt; DCF'!N7</f>
        <v>44562</v>
      </c>
      <c r="O8" s="12">
        <f>'&gt;&gt; DCF'!O7</f>
        <v>44927</v>
      </c>
      <c r="P8" s="12">
        <f>'&gt;&gt; DCF'!P7</f>
        <v>45292</v>
      </c>
      <c r="Q8" s="12">
        <f>'&gt;&gt; DCF'!Q7</f>
        <v>45658</v>
      </c>
      <c r="R8" s="12">
        <f>'&gt;&gt; DCF'!R7</f>
        <v>46023</v>
      </c>
      <c r="S8" s="12">
        <f>'&gt;&gt; DCF'!S7</f>
        <v>46388</v>
      </c>
      <c r="T8" s="12">
        <f>'&gt;&gt; DCF'!T7</f>
        <v>46753</v>
      </c>
      <c r="U8" s="12">
        <f>'&gt;&gt; DCF'!U7</f>
        <v>47119</v>
      </c>
      <c r="V8" s="12">
        <f>'&gt;&gt; DCF'!V7</f>
        <v>47484</v>
      </c>
      <c r="W8" s="12">
        <f>'&gt;&gt; DCF'!W7</f>
        <v>47849</v>
      </c>
      <c r="X8" s="12">
        <f>'&gt;&gt; DCF'!X7</f>
        <v>48214</v>
      </c>
      <c r="Y8" s="12">
        <f>'&gt;&gt; DCF'!Y7</f>
        <v>48580</v>
      </c>
    </row>
    <row r="9" spans="3:25" ht="12.75" customHeight="1" x14ac:dyDescent="0.25">
      <c r="C9" s="7"/>
      <c r="D9" s="7"/>
      <c r="E9" s="7" t="str">
        <f>'&gt;&gt; DCF'!E8</f>
        <v>Financial Year End</v>
      </c>
      <c r="F9" s="10" t="str">
        <f>'&gt;&gt; DCF'!F8</f>
        <v>Abc</v>
      </c>
      <c r="G9" s="10"/>
      <c r="H9" s="12">
        <f>'&gt;&gt; DCF'!H8</f>
        <v>42735</v>
      </c>
      <c r="I9" s="12">
        <f>'&gt;&gt; DCF'!I8</f>
        <v>43100</v>
      </c>
      <c r="J9" s="12">
        <f>'&gt;&gt; DCF'!J8</f>
        <v>43465</v>
      </c>
      <c r="K9" s="12">
        <f>'&gt;&gt; DCF'!K8</f>
        <v>43830</v>
      </c>
      <c r="L9" s="12">
        <f>'&gt;&gt; DCF'!L8</f>
        <v>44196</v>
      </c>
      <c r="M9" s="12">
        <f>'&gt;&gt; DCF'!M8</f>
        <v>44561</v>
      </c>
      <c r="N9" s="12">
        <f>'&gt;&gt; DCF'!N8</f>
        <v>44926</v>
      </c>
      <c r="O9" s="12">
        <f>'&gt;&gt; DCF'!O8</f>
        <v>45291</v>
      </c>
      <c r="P9" s="12">
        <f>'&gt;&gt; DCF'!P8</f>
        <v>45657</v>
      </c>
      <c r="Q9" s="12">
        <f>'&gt;&gt; DCF'!Q8</f>
        <v>46022</v>
      </c>
      <c r="R9" s="12">
        <f>'&gt;&gt; DCF'!R8</f>
        <v>46387</v>
      </c>
      <c r="S9" s="12">
        <f>'&gt;&gt; DCF'!S8</f>
        <v>46752</v>
      </c>
      <c r="T9" s="12">
        <f>'&gt;&gt; DCF'!T8</f>
        <v>47118</v>
      </c>
      <c r="U9" s="12">
        <f>'&gt;&gt; DCF'!U8</f>
        <v>47483</v>
      </c>
      <c r="V9" s="12">
        <f>'&gt;&gt; DCF'!V8</f>
        <v>47848</v>
      </c>
      <c r="W9" s="12">
        <f>'&gt;&gt; DCF'!W8</f>
        <v>48213</v>
      </c>
      <c r="X9" s="12">
        <f>'&gt;&gt; DCF'!X8</f>
        <v>48579</v>
      </c>
      <c r="Y9" s="12">
        <f>'&gt;&gt; DCF'!Y8</f>
        <v>48944</v>
      </c>
    </row>
    <row r="10" spans="3:25" ht="15" customHeight="1" x14ac:dyDescent="0.25">
      <c r="C10" s="7"/>
      <c r="D10" s="7"/>
      <c r="E10" s="7" t="str">
        <f>'&gt;&gt; DCF'!E9</f>
        <v>Actual / Forecast</v>
      </c>
      <c r="F10" s="10" t="str">
        <f>'&gt;&gt; DCF'!F9</f>
        <v>#</v>
      </c>
      <c r="G10" s="10"/>
      <c r="H10" s="13" t="str">
        <f ca="1">'&gt;&gt; DCF'!H9</f>
        <v>Actual</v>
      </c>
      <c r="I10" s="13" t="str">
        <f ca="1">'&gt;&gt; DCF'!I9</f>
        <v>Actual</v>
      </c>
      <c r="J10" s="13" t="str">
        <f ca="1">'&gt;&gt; DCF'!J9</f>
        <v>Actual</v>
      </c>
      <c r="K10" s="13" t="str">
        <f ca="1">'&gt;&gt; DCF'!K9</f>
        <v>Actual</v>
      </c>
      <c r="L10" s="13" t="str">
        <f ca="1">'&gt;&gt; DCF'!L9</f>
        <v>Actual</v>
      </c>
      <c r="M10" s="13" t="str">
        <f ca="1">'&gt;&gt; DCF'!M9</f>
        <v>Actual</v>
      </c>
      <c r="N10" s="13" t="str">
        <f ca="1">'&gt;&gt; DCF'!N9</f>
        <v>Actual</v>
      </c>
      <c r="O10" s="13" t="str">
        <f ca="1">'&gt;&gt; DCF'!O9</f>
        <v>Actual</v>
      </c>
      <c r="P10" s="13" t="str">
        <f ca="1">'&gt;&gt; DCF'!P9</f>
        <v>Forecast</v>
      </c>
      <c r="Q10" s="13" t="str">
        <f ca="1">'&gt;&gt; DCF'!Q9</f>
        <v>Forecast</v>
      </c>
      <c r="R10" s="13" t="str">
        <f ca="1">'&gt;&gt; DCF'!R9</f>
        <v>Forecast</v>
      </c>
      <c r="S10" s="13" t="str">
        <f ca="1">'&gt;&gt; DCF'!S9</f>
        <v>Forecast</v>
      </c>
      <c r="T10" s="13" t="str">
        <f ca="1">'&gt;&gt; DCF'!T9</f>
        <v>Forecast</v>
      </c>
      <c r="U10" s="14" t="str">
        <f ca="1">'&gt;&gt; DCF'!U9</f>
        <v>Forecast</v>
      </c>
      <c r="V10" s="14" t="str">
        <f ca="1">'&gt;&gt; DCF'!V9</f>
        <v>Forecast</v>
      </c>
      <c r="W10" s="14" t="str">
        <f ca="1">'&gt;&gt; DCF'!W9</f>
        <v>Forecast</v>
      </c>
      <c r="X10" s="14" t="str">
        <f ca="1">'&gt;&gt; DCF'!X9</f>
        <v>Forecast</v>
      </c>
      <c r="Y10" s="14" t="str">
        <f ca="1">'&gt;&gt; DCF'!Y9</f>
        <v>Forecast</v>
      </c>
    </row>
    <row r="11" spans="3:25" ht="15" customHeight="1" x14ac:dyDescent="0.25"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2"/>
      <c r="V11" s="2"/>
      <c r="W11" s="2"/>
      <c r="X11" s="2"/>
      <c r="Y11" s="2"/>
    </row>
    <row r="12" spans="3:25" ht="15" customHeight="1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3:25" ht="15" customHeight="1" x14ac:dyDescent="0.25">
      <c r="C13" s="2"/>
      <c r="D13" s="1" t="s">
        <v>3</v>
      </c>
      <c r="E13" s="2"/>
      <c r="F13" s="2"/>
      <c r="G13" s="2"/>
      <c r="H13" s="1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3:25" ht="15" customHeight="1" x14ac:dyDescent="0.25">
      <c r="C14" s="2"/>
      <c r="D14" s="1"/>
      <c r="E14" s="2" t="s">
        <v>4</v>
      </c>
      <c r="F14" s="16" t="s">
        <v>5</v>
      </c>
      <c r="G14" s="17" t="s">
        <v>263</v>
      </c>
      <c r="H14" s="2"/>
      <c r="I14" s="346"/>
      <c r="J14" s="2"/>
      <c r="K14" s="2"/>
      <c r="L14" s="2"/>
      <c r="M14" s="348"/>
      <c r="N14" s="349"/>
      <c r="O14" s="349"/>
      <c r="P14" s="349"/>
      <c r="Q14" s="349"/>
      <c r="R14" s="2"/>
      <c r="S14" s="2"/>
      <c r="T14" s="2"/>
      <c r="U14" s="2"/>
      <c r="V14" s="2"/>
      <c r="W14" s="2"/>
      <c r="X14" s="2"/>
      <c r="Y14" s="2"/>
    </row>
    <row r="15" spans="3:25" ht="15" customHeight="1" x14ac:dyDescent="0.25">
      <c r="C15" s="2"/>
      <c r="D15" s="2"/>
      <c r="E15" s="2" t="s">
        <v>6</v>
      </c>
      <c r="F15" s="16" t="s">
        <v>7</v>
      </c>
      <c r="G15" s="265">
        <f>'&gt;&gt; Dash'!K41</f>
        <v>8.3545737408000004E-2</v>
      </c>
      <c r="H15" s="2"/>
      <c r="I15" s="347"/>
      <c r="J15" s="2"/>
      <c r="K15" s="2"/>
      <c r="L15" s="2"/>
      <c r="M15" s="2"/>
      <c r="N15" s="2"/>
      <c r="O15" s="1"/>
      <c r="P15" s="1"/>
      <c r="Q15" s="1"/>
      <c r="R15" s="2"/>
      <c r="S15" s="2"/>
      <c r="T15" s="2"/>
      <c r="U15" s="2"/>
      <c r="V15" s="2"/>
      <c r="W15" s="2"/>
      <c r="X15" s="2"/>
      <c r="Y15" s="2"/>
    </row>
    <row r="16" spans="3:25" ht="15" customHeight="1" x14ac:dyDescent="0.25">
      <c r="C16" s="2"/>
      <c r="D16" s="2"/>
      <c r="E16" s="2" t="s">
        <v>8</v>
      </c>
      <c r="F16" s="16" t="s">
        <v>7</v>
      </c>
      <c r="G16" s="265">
        <f>'&gt;&gt; Dash'!F46</f>
        <v>0.10350000000000001</v>
      </c>
      <c r="H16" s="2"/>
      <c r="I16" s="347"/>
      <c r="J16" s="2"/>
      <c r="K16" s="2"/>
      <c r="L16" s="2"/>
      <c r="M16" s="2"/>
      <c r="N16" s="2"/>
      <c r="O16" s="19"/>
      <c r="P16" s="20"/>
      <c r="Q16" s="20"/>
      <c r="R16" s="2"/>
      <c r="S16" s="2"/>
      <c r="T16" s="2"/>
      <c r="U16" s="2"/>
      <c r="V16" s="2"/>
      <c r="W16" s="2"/>
      <c r="X16" s="2"/>
      <c r="Y16" s="2"/>
    </row>
    <row r="17" spans="4:7" ht="15" customHeight="1" x14ac:dyDescent="0.25">
      <c r="D17" s="2"/>
      <c r="E17" s="2" t="s">
        <v>9</v>
      </c>
      <c r="F17" s="16" t="s">
        <v>10</v>
      </c>
      <c r="G17" s="263">
        <v>45291</v>
      </c>
    </row>
    <row r="18" spans="4:7" ht="15" customHeight="1" x14ac:dyDescent="0.25">
      <c r="D18" s="2"/>
      <c r="E18" s="2" t="s">
        <v>11</v>
      </c>
      <c r="F18" s="16" t="s">
        <v>12</v>
      </c>
      <c r="G18" s="263">
        <v>42735</v>
      </c>
    </row>
    <row r="19" spans="4:7" ht="15" customHeight="1" x14ac:dyDescent="0.25">
      <c r="D19" s="2"/>
      <c r="E19" s="2" t="s">
        <v>13</v>
      </c>
      <c r="F19" s="16"/>
      <c r="G19" s="263">
        <v>45291</v>
      </c>
    </row>
    <row r="20" spans="4:7" ht="15" customHeight="1" x14ac:dyDescent="0.25">
      <c r="D20" s="2"/>
      <c r="E20" s="2" t="s">
        <v>14</v>
      </c>
      <c r="F20" s="16" t="s">
        <v>12</v>
      </c>
      <c r="G20" s="264">
        <f ca="1">G26</f>
        <v>45618</v>
      </c>
    </row>
    <row r="21" spans="4:7" ht="15" customHeight="1" x14ac:dyDescent="0.25">
      <c r="D21" s="2"/>
      <c r="E21" s="2" t="s">
        <v>15</v>
      </c>
      <c r="F21" s="16" t="s">
        <v>16</v>
      </c>
      <c r="G21" s="184">
        <v>1.78</v>
      </c>
    </row>
    <row r="22" spans="4:7" ht="15" customHeight="1" x14ac:dyDescent="0.25">
      <c r="D22" s="2"/>
      <c r="E22" s="2"/>
      <c r="F22" s="16"/>
      <c r="G22" s="21"/>
    </row>
    <row r="23" spans="4:7" ht="15" customHeight="1" x14ac:dyDescent="0.25">
      <c r="D23" s="2"/>
      <c r="E23" s="2"/>
      <c r="F23" s="16"/>
      <c r="G23" s="22"/>
    </row>
    <row r="24" spans="4:7" ht="15" customHeight="1" x14ac:dyDescent="0.25">
      <c r="D24" s="1" t="s">
        <v>17</v>
      </c>
      <c r="E24" s="2"/>
      <c r="F24" s="16"/>
      <c r="G24" s="22"/>
    </row>
    <row r="25" spans="4:7" ht="15" customHeight="1" x14ac:dyDescent="0.25">
      <c r="D25" s="1"/>
      <c r="E25" s="2" t="s">
        <v>18</v>
      </c>
      <c r="F25" s="16" t="s">
        <v>12</v>
      </c>
      <c r="G25" s="270">
        <f>EOMONTH( G19, 12 )</f>
        <v>45657</v>
      </c>
    </row>
    <row r="26" spans="4:7" ht="15" customHeight="1" x14ac:dyDescent="0.25">
      <c r="D26" s="2"/>
      <c r="E26" s="2" t="s">
        <v>19</v>
      </c>
      <c r="F26" s="16" t="s">
        <v>12</v>
      </c>
      <c r="G26" s="270">
        <f ca="1">TODAY()</f>
        <v>45618</v>
      </c>
    </row>
    <row r="27" spans="4:7" ht="15" customHeight="1" x14ac:dyDescent="0.25">
      <c r="D27" s="2"/>
      <c r="E27" s="2"/>
      <c r="F27" s="2"/>
      <c r="G27" s="23"/>
    </row>
    <row r="28" spans="4:7" ht="15" customHeight="1" x14ac:dyDescent="0.25">
      <c r="D28" s="1" t="s">
        <v>20</v>
      </c>
      <c r="E28" s="2"/>
      <c r="F28" s="2"/>
      <c r="G28" s="23"/>
    </row>
    <row r="29" spans="4:7" ht="15" customHeight="1" x14ac:dyDescent="0.25">
      <c r="D29" s="1"/>
      <c r="E29" s="1" t="s">
        <v>21</v>
      </c>
      <c r="F29" s="2"/>
      <c r="G29" s="23"/>
    </row>
    <row r="30" spans="4:7" ht="15" customHeight="1" x14ac:dyDescent="0.25">
      <c r="D30" s="2"/>
      <c r="E30" s="19" t="s">
        <v>22</v>
      </c>
      <c r="F30" s="24" t="s">
        <v>12</v>
      </c>
      <c r="G30" s="25" t="s">
        <v>23</v>
      </c>
    </row>
    <row r="31" spans="4:7" ht="15" customHeight="1" x14ac:dyDescent="0.25">
      <c r="D31" s="2"/>
      <c r="E31" s="2"/>
      <c r="F31" s="2"/>
      <c r="G31" s="2"/>
    </row>
    <row r="32" spans="4:7" ht="15" customHeight="1" x14ac:dyDescent="0.25">
      <c r="D32" s="1"/>
      <c r="E32" s="2" t="s">
        <v>24</v>
      </c>
      <c r="F32" s="16" t="s">
        <v>25</v>
      </c>
      <c r="G32" s="266">
        <f>'&gt;&gt; Fin Stmts'!O64+'&gt;&gt; Fin Stmts'!O53</f>
        <v>-320.60000000000002</v>
      </c>
    </row>
    <row r="33" spans="4:25" ht="15" customHeight="1" x14ac:dyDescent="0.25">
      <c r="E33" s="2" t="s">
        <v>26</v>
      </c>
      <c r="F33" s="16" t="s">
        <v>25</v>
      </c>
      <c r="G33" s="266">
        <f>'&gt;&gt; Fin Stmts'!O55+'&gt;&gt; Fin Stmts'!O62</f>
        <v>-0.7</v>
      </c>
    </row>
    <row r="34" spans="4:25" ht="15" customHeight="1" x14ac:dyDescent="0.25">
      <c r="E34" s="2" t="s">
        <v>27</v>
      </c>
      <c r="F34" s="16" t="s">
        <v>25</v>
      </c>
      <c r="G34" s="266">
        <f>'&gt;&gt; Fin Stmts'!O29</f>
        <v>4.9000000000000004</v>
      </c>
    </row>
    <row r="35" spans="4:25" ht="15" customHeight="1" x14ac:dyDescent="0.25">
      <c r="E35" s="2" t="s">
        <v>28</v>
      </c>
      <c r="F35" s="16" t="s">
        <v>25</v>
      </c>
      <c r="G35" s="267">
        <f>SUM(G32:G34)</f>
        <v>-316.40000000000003</v>
      </c>
      <c r="H35" s="307"/>
    </row>
    <row r="36" spans="4:25" ht="15" customHeight="1" x14ac:dyDescent="0.25">
      <c r="E36" s="15"/>
      <c r="F36" s="15"/>
      <c r="G36" s="15"/>
    </row>
    <row r="37" spans="4:25" ht="15" customHeight="1" x14ac:dyDescent="0.25">
      <c r="D37" s="1" t="s">
        <v>29</v>
      </c>
      <c r="E37" s="2"/>
      <c r="F37" s="2"/>
      <c r="G37" s="2"/>
    </row>
    <row r="38" spans="4:25" ht="15" customHeight="1" x14ac:dyDescent="0.25">
      <c r="D38" s="2"/>
      <c r="E38" s="2" t="s">
        <v>30</v>
      </c>
      <c r="F38" s="16" t="s">
        <v>25</v>
      </c>
      <c r="G38" s="268">
        <f t="array" ref="G38">INDEX( '&gt;&gt; DCF'!$I$16:$AB$16, MATCH( G41, '&gt;&gt; DCF'!$I$5:$AB$5, 0 ) )</f>
        <v>338.19082328117685</v>
      </c>
    </row>
    <row r="39" spans="4:25" ht="15" customHeight="1" x14ac:dyDescent="0.25">
      <c r="D39" s="2"/>
      <c r="E39" s="2" t="s">
        <v>32</v>
      </c>
      <c r="F39" s="16" t="s">
        <v>7</v>
      </c>
      <c r="G39" s="269">
        <f>'&gt;&gt; Dash'!F41</f>
        <v>0.02</v>
      </c>
    </row>
    <row r="40" spans="4:25" ht="15" customHeight="1" x14ac:dyDescent="0.25">
      <c r="D40" s="2"/>
      <c r="E40" s="2"/>
      <c r="F40" s="16"/>
      <c r="G40" s="32"/>
    </row>
    <row r="41" spans="4:25" ht="15" customHeight="1" x14ac:dyDescent="0.25">
      <c r="D41" s="2"/>
      <c r="E41" s="2" t="s">
        <v>33</v>
      </c>
      <c r="F41" s="16" t="s">
        <v>34</v>
      </c>
      <c r="G41" s="185">
        <v>10</v>
      </c>
    </row>
    <row r="42" spans="4:25" ht="15" customHeight="1" x14ac:dyDescent="0.25">
      <c r="D42" s="2"/>
      <c r="E42" s="2" t="s">
        <v>35</v>
      </c>
      <c r="F42" s="16" t="s">
        <v>10</v>
      </c>
      <c r="G42" s="34">
        <f>G41</f>
        <v>10</v>
      </c>
    </row>
    <row r="43" spans="4:25" ht="15" customHeight="1" x14ac:dyDescent="0.25">
      <c r="D43" s="2"/>
      <c r="E43" s="2"/>
      <c r="F43" s="2"/>
      <c r="G43" s="2"/>
    </row>
    <row r="44" spans="4:25" ht="15" customHeight="1" x14ac:dyDescent="0.25">
      <c r="D44" s="2"/>
      <c r="E44" s="15"/>
      <c r="F44" s="35"/>
      <c r="G44" s="35"/>
    </row>
    <row r="45" spans="4:25" ht="15" customHeight="1" x14ac:dyDescent="0.25">
      <c r="D45" s="2"/>
      <c r="E45" s="2" t="s">
        <v>36</v>
      </c>
      <c r="F45" s="16" t="s">
        <v>7</v>
      </c>
      <c r="G45" s="16"/>
      <c r="H45" s="271">
        <f t="shared" ref="H45:N45" si="2">IF(H6&lt;1,1,MIN(((H9-$G20)/DiY),1))</f>
        <v>1</v>
      </c>
      <c r="I45" s="271">
        <f t="shared" si="2"/>
        <v>1</v>
      </c>
      <c r="J45" s="271">
        <f t="shared" si="2"/>
        <v>1</v>
      </c>
      <c r="K45" s="271">
        <f t="shared" si="2"/>
        <v>1</v>
      </c>
      <c r="L45" s="271">
        <f t="shared" si="2"/>
        <v>1</v>
      </c>
      <c r="M45" s="271">
        <f t="shared" si="2"/>
        <v>1</v>
      </c>
      <c r="N45" s="271">
        <f t="shared" si="2"/>
        <v>1</v>
      </c>
      <c r="O45" s="36">
        <v>1</v>
      </c>
      <c r="P45" s="271">
        <f t="shared" ref="P45:Y45" ca="1" si="3">IF(P6&lt;1,1,MIN(((P9-$G20)/DiY),1))</f>
        <v>0.10684931506849316</v>
      </c>
      <c r="Q45" s="271">
        <f t="shared" ca="1" si="3"/>
        <v>1</v>
      </c>
      <c r="R45" s="271">
        <f t="shared" ca="1" si="3"/>
        <v>1</v>
      </c>
      <c r="S45" s="271">
        <f t="shared" ca="1" si="3"/>
        <v>1</v>
      </c>
      <c r="T45" s="271">
        <f t="shared" ca="1" si="3"/>
        <v>1</v>
      </c>
      <c r="U45" s="271">
        <f t="shared" ca="1" si="3"/>
        <v>1</v>
      </c>
      <c r="V45" s="271">
        <f t="shared" ca="1" si="3"/>
        <v>1</v>
      </c>
      <c r="W45" s="271">
        <f t="shared" ca="1" si="3"/>
        <v>1</v>
      </c>
      <c r="X45" s="271">
        <f t="shared" ca="1" si="3"/>
        <v>1</v>
      </c>
      <c r="Y45" s="271">
        <f t="shared" ca="1" si="3"/>
        <v>1</v>
      </c>
    </row>
    <row r="46" spans="4:25" ht="15" customHeight="1" x14ac:dyDescent="0.25">
      <c r="D46" s="2"/>
      <c r="E46" s="2" t="s">
        <v>37</v>
      </c>
      <c r="F46" s="16" t="s">
        <v>7</v>
      </c>
      <c r="G46" s="186">
        <v>0.28000000000000003</v>
      </c>
      <c r="H46" s="2"/>
      <c r="I46" s="2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</row>
    <row r="47" spans="4:25" ht="15" customHeight="1" x14ac:dyDescent="0.25">
      <c r="D47" s="2"/>
      <c r="E47" s="2" t="s">
        <v>38</v>
      </c>
      <c r="F47" s="38" t="s">
        <v>39</v>
      </c>
      <c r="G47" s="187">
        <v>378.75604099999998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4:25" ht="15" customHeight="1" x14ac:dyDescent="0.25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80"/>
      <c r="V48" s="80"/>
      <c r="W48" s="80"/>
      <c r="X48" s="80"/>
      <c r="Y48" s="80"/>
    </row>
    <row r="49" spans="1:27" ht="15" customHeight="1" x14ac:dyDescent="0.25">
      <c r="D49" s="2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2"/>
      <c r="V49" s="2"/>
      <c r="W49" s="2"/>
      <c r="X49" s="2"/>
      <c r="Y49" s="2"/>
    </row>
    <row r="50" spans="1:27" ht="15" customHeight="1" x14ac:dyDescent="0.25">
      <c r="D50" s="1" t="s">
        <v>40</v>
      </c>
      <c r="E50" s="2"/>
      <c r="F50" s="2"/>
      <c r="G50" s="2"/>
      <c r="H50" s="2"/>
      <c r="I50" s="39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7" ht="15" customHeight="1" x14ac:dyDescent="0.25">
      <c r="D51" s="2"/>
      <c r="E51" s="2" t="s">
        <v>41</v>
      </c>
      <c r="F51" s="24" t="s">
        <v>12</v>
      </c>
      <c r="G51" s="272">
        <v>12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7" ht="15" customHeight="1" x14ac:dyDescent="0.25">
      <c r="D52" s="2"/>
      <c r="E52" s="2" t="s">
        <v>42</v>
      </c>
      <c r="F52" s="24" t="s">
        <v>10</v>
      </c>
      <c r="G52" s="272">
        <v>1000000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7" ht="15" customHeight="1" x14ac:dyDescent="0.25">
      <c r="D53" s="2"/>
      <c r="E53" s="2" t="s">
        <v>43</v>
      </c>
      <c r="F53" s="24" t="s">
        <v>10</v>
      </c>
      <c r="G53" s="272">
        <f>10 ^ 3</f>
        <v>1000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7" ht="15" customHeight="1" x14ac:dyDescent="0.25">
      <c r="D54" s="2"/>
      <c r="E54" s="2" t="s">
        <v>44</v>
      </c>
      <c r="F54" s="24" t="s">
        <v>12</v>
      </c>
      <c r="G54" s="272">
        <v>365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7" ht="15" customHeight="1" x14ac:dyDescent="0.25">
      <c r="D55" s="2"/>
      <c r="E55" s="2"/>
      <c r="F55" s="24"/>
      <c r="G55" s="40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7" ht="15" customHeight="1" x14ac:dyDescent="0.25">
      <c r="B56" s="2"/>
      <c r="C56" s="2"/>
      <c r="D56" s="1"/>
      <c r="E56" s="2"/>
      <c r="F56" s="2"/>
      <c r="G56" s="2"/>
      <c r="H56" s="2"/>
    </row>
    <row r="57" spans="1:27" ht="15" customHeight="1" x14ac:dyDescent="0.25">
      <c r="B57" s="2"/>
      <c r="C57" s="2"/>
      <c r="D57" s="2"/>
      <c r="E57" s="2"/>
      <c r="F57" s="2"/>
      <c r="G57" s="2"/>
      <c r="H57" s="2"/>
    </row>
    <row r="58" spans="1:27" ht="15" customHeight="1" x14ac:dyDescent="0.25">
      <c r="A58" s="41"/>
      <c r="B58" s="41" t="s">
        <v>45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134" spans="31:35" ht="12.75" customHeight="1" x14ac:dyDescent="0.25">
      <c r="AE134" s="2"/>
      <c r="AF134" s="43" t="s">
        <v>46</v>
      </c>
      <c r="AG134" s="43" t="s">
        <v>47</v>
      </c>
      <c r="AH134" s="2"/>
      <c r="AI134" s="2"/>
    </row>
    <row r="135" spans="31:35" ht="12.75" customHeight="1" x14ac:dyDescent="0.25">
      <c r="AE135" s="2"/>
      <c r="AF135" s="2"/>
      <c r="AG135" s="2"/>
      <c r="AH135" s="2"/>
      <c r="AI135" s="2"/>
    </row>
    <row r="136" spans="31:35" ht="12.75" customHeight="1" x14ac:dyDescent="0.25">
      <c r="AE136" s="2"/>
      <c r="AF136" s="2"/>
      <c r="AG136" s="2"/>
      <c r="AH136" s="2"/>
      <c r="AI136" s="2"/>
    </row>
    <row r="137" spans="31:35" ht="12.75" customHeight="1" x14ac:dyDescent="0.25">
      <c r="AE137" s="2" t="s">
        <v>48</v>
      </c>
      <c r="AF137" s="27">
        <v>20820</v>
      </c>
      <c r="AG137" s="27">
        <v>24093</v>
      </c>
      <c r="AH137" s="2"/>
      <c r="AI137" s="2"/>
    </row>
    <row r="138" spans="31:35" ht="12.75" customHeight="1" x14ac:dyDescent="0.25">
      <c r="AE138" s="2"/>
      <c r="AF138" s="2"/>
      <c r="AG138" s="2"/>
      <c r="AH138" s="2"/>
      <c r="AI138" s="2"/>
    </row>
    <row r="139" spans="31:35" ht="12.75" customHeight="1" x14ac:dyDescent="0.25">
      <c r="AE139" s="2"/>
      <c r="AF139" s="2"/>
      <c r="AG139" s="2"/>
      <c r="AH139" s="2"/>
      <c r="AI139" s="2"/>
    </row>
    <row r="140" spans="31:35" ht="12.75" customHeight="1" x14ac:dyDescent="0.25">
      <c r="AE140" s="2" t="s">
        <v>49</v>
      </c>
      <c r="AF140" s="27">
        <v>213</v>
      </c>
      <c r="AG140" s="27">
        <v>3002</v>
      </c>
      <c r="AH140" s="2"/>
      <c r="AI140" s="2"/>
    </row>
    <row r="141" spans="31:35" ht="12.75" customHeight="1" x14ac:dyDescent="0.25">
      <c r="AE141" s="2" t="s">
        <v>50</v>
      </c>
      <c r="AF141" s="27">
        <v>175000</v>
      </c>
      <c r="AG141" s="27">
        <v>175455</v>
      </c>
      <c r="AH141" s="2"/>
      <c r="AI141" s="2"/>
    </row>
    <row r="142" spans="31:35" ht="12.75" customHeight="1" x14ac:dyDescent="0.25">
      <c r="AE142" s="2" t="s">
        <v>51</v>
      </c>
      <c r="AF142" s="44">
        <f t="shared" ref="AF142:AG142" si="4">AF137 / AF141</f>
        <v>0.11897142857142858</v>
      </c>
      <c r="AG142" s="44">
        <f t="shared" si="4"/>
        <v>0.13731726083611182</v>
      </c>
      <c r="AH142" s="2"/>
      <c r="AI142" s="2"/>
    </row>
    <row r="143" spans="31:35" ht="12.75" customHeight="1" x14ac:dyDescent="0.25">
      <c r="AE143" s="2" t="s">
        <v>52</v>
      </c>
      <c r="AF143" s="2"/>
      <c r="AG143" s="27">
        <f>AI144</f>
        <v>4200</v>
      </c>
      <c r="AH143" s="2"/>
      <c r="AI143" s="2">
        <f>3.7 +4.7</f>
        <v>8.4</v>
      </c>
    </row>
    <row r="144" spans="31:35" ht="12.75" customHeight="1" x14ac:dyDescent="0.25">
      <c r="AE144" s="2" t="s">
        <v>53</v>
      </c>
      <c r="AF144" s="2"/>
      <c r="AG144" s="44">
        <f>AG143 / AG141</f>
        <v>2.3937761819269897E-2</v>
      </c>
      <c r="AH144" s="2"/>
      <c r="AI144" s="2">
        <f>AI143 / 2 * 1000</f>
        <v>4200</v>
      </c>
    </row>
    <row r="145" spans="31:35" ht="12.75" customHeight="1" x14ac:dyDescent="0.25">
      <c r="AE145" s="2"/>
      <c r="AF145" s="2"/>
      <c r="AG145" s="2"/>
      <c r="AH145" s="2"/>
      <c r="AI145" s="2"/>
    </row>
    <row r="146" spans="31:35" ht="12.75" customHeight="1" x14ac:dyDescent="0.25">
      <c r="AE146" s="2" t="s">
        <v>54</v>
      </c>
      <c r="AF146" s="2"/>
      <c r="AG146" s="2">
        <v>0.9</v>
      </c>
      <c r="AH146" s="2"/>
      <c r="AI146" s="2"/>
    </row>
    <row r="147" spans="31:35" ht="12.75" customHeight="1" x14ac:dyDescent="0.25">
      <c r="AE147" s="2"/>
      <c r="AF147" s="2"/>
      <c r="AG147" s="28">
        <f>AG144 / AG146</f>
        <v>2.6597513132522108E-2</v>
      </c>
      <c r="AH147" s="2"/>
      <c r="AI147" s="2"/>
    </row>
  </sheetData>
  <mergeCells count="1">
    <mergeCell ref="M14:Q14"/>
  </mergeCells>
  <conditionalFormatting sqref="G38">
    <cfRule type="expression" dxfId="3" priority="9">
      <formula>#REF!=#REF!</formula>
    </cfRule>
    <cfRule type="expression" dxfId="2" priority="10">
      <formula>#REF! = $E$38</formula>
    </cfRule>
  </conditionalFormatting>
  <conditionalFormatting sqref="G51:G54">
    <cfRule type="expression" dxfId="1" priority="1">
      <formula>#REF!=#REF!</formula>
    </cfRule>
    <cfRule type="expression" dxfId="0" priority="2">
      <formula>#REF! = $E$38</formula>
    </cfRule>
  </conditionalFormatting>
  <dataValidations count="2">
    <dataValidation type="list" allowBlank="1" showErrorMessage="1" sqref="G30" xr:uid="{8FAB3979-B369-41FD-A008-21EC50A8EE72}">
      <formula1>#REF!</formula1>
    </dataValidation>
    <dataValidation type="list" allowBlank="1" showDropDown="1" showInputMessage="1" showErrorMessage="1" sqref="I14:I16" xr:uid="{2F93E69D-F98C-4349-B8DB-CEB9CE90FECE}">
      <formula1>$P$69:$P$71</formula1>
    </dataValidation>
  </dataValidation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B5BE-8532-44ED-A101-CC1A07704773}">
  <sheetPr>
    <tabColor rgb="FF44546A"/>
  </sheetPr>
  <dimension ref="A2:AA58"/>
  <sheetViews>
    <sheetView showGridLines="0" workbookViewId="0">
      <selection activeCell="E33" sqref="E33"/>
    </sheetView>
  </sheetViews>
  <sheetFormatPr defaultColWidth="14.42578125" defaultRowHeight="15" customHeight="1" x14ac:dyDescent="0.25"/>
  <cols>
    <col min="1" max="2" width="2.42578125" customWidth="1"/>
    <col min="3" max="3" width="1.28515625" customWidth="1"/>
    <col min="4" max="4" width="3.28515625" customWidth="1"/>
    <col min="5" max="5" width="38" customWidth="1"/>
    <col min="6" max="18" width="11.140625" customWidth="1"/>
    <col min="19" max="19" width="23.7109375" customWidth="1"/>
    <col min="20" max="20" width="12.5703125" bestFit="1" customWidth="1"/>
    <col min="21" max="21" width="9.140625" customWidth="1"/>
    <col min="22" max="22" width="10.7109375" customWidth="1"/>
    <col min="23" max="24" width="9.140625" customWidth="1"/>
    <col min="25" max="25" width="12.28515625" customWidth="1"/>
    <col min="26" max="26" width="17.42578125" customWidth="1"/>
    <col min="27" max="27" width="17.28515625" customWidth="1"/>
    <col min="28" max="28" width="15.7109375" customWidth="1"/>
    <col min="29" max="30" width="9.140625" customWidth="1"/>
  </cols>
  <sheetData>
    <row r="2" spans="3:27" ht="12.75" customHeight="1" x14ac:dyDescent="0.25">
      <c r="C2" s="4"/>
      <c r="D2" s="4" t="s">
        <v>55</v>
      </c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3:27" ht="12.75" customHeight="1" x14ac:dyDescent="0.25"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3:27" ht="15" customHeight="1" x14ac:dyDescent="0.25"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3:27" ht="15" customHeight="1" x14ac:dyDescent="0.25">
      <c r="C5" s="4"/>
      <c r="D5" s="4" t="s">
        <v>241</v>
      </c>
      <c r="E5" s="4"/>
      <c r="F5" s="4"/>
      <c r="G5" s="4"/>
      <c r="H5" s="4"/>
    </row>
    <row r="6" spans="3:27" ht="15" customHeight="1" x14ac:dyDescent="0.25">
      <c r="C6" s="45"/>
      <c r="D6" s="45"/>
      <c r="E6" s="45"/>
      <c r="F6" s="45"/>
      <c r="G6" s="45"/>
      <c r="H6" s="45"/>
    </row>
    <row r="7" spans="3:27" ht="15" customHeight="1" x14ac:dyDescent="0.25">
      <c r="C7" s="46"/>
      <c r="D7" s="46"/>
      <c r="E7" s="46"/>
      <c r="F7" s="46"/>
      <c r="G7" s="46"/>
      <c r="H7" s="46"/>
    </row>
    <row r="8" spans="3:27" ht="15" customHeight="1" x14ac:dyDescent="0.25">
      <c r="D8" s="2"/>
      <c r="E8" s="2" t="s">
        <v>64</v>
      </c>
      <c r="F8" s="24" t="s">
        <v>65</v>
      </c>
      <c r="G8" s="24"/>
      <c r="H8" s="27">
        <f t="array" ref="H8">INDEX( '&gt;&gt; DCF'!$H$71:$H$97, MATCH( '&gt;&gt; Dash'!E8, '&gt;&gt; DCF'!$E$71:$E$97, 0 ) )</f>
        <v>378.75604099999998</v>
      </c>
    </row>
    <row r="9" spans="3:27" ht="15" customHeight="1" x14ac:dyDescent="0.25">
      <c r="D9" s="2"/>
      <c r="E9" s="1" t="s">
        <v>127</v>
      </c>
      <c r="F9" s="24" t="s">
        <v>66</v>
      </c>
      <c r="G9" s="48"/>
      <c r="H9" s="49">
        <f ca="1">'&gt;&gt; DCF'!H76</f>
        <v>2.0639671507739501</v>
      </c>
    </row>
    <row r="10" spans="3:27" ht="15" customHeight="1" x14ac:dyDescent="0.25">
      <c r="D10" s="2"/>
      <c r="E10" s="2" t="s">
        <v>68</v>
      </c>
      <c r="F10" s="24" t="s">
        <v>7</v>
      </c>
      <c r="G10" s="48"/>
      <c r="H10" s="52">
        <f ca="1">H9/H16-1</f>
        <v>0.15953210717637645</v>
      </c>
    </row>
    <row r="11" spans="3:27" ht="15" customHeight="1" x14ac:dyDescent="0.25">
      <c r="D11" s="2"/>
      <c r="E11" s="1" t="s">
        <v>237</v>
      </c>
      <c r="F11" s="24" t="s">
        <v>66</v>
      </c>
      <c r="G11" s="48"/>
      <c r="H11" s="49">
        <f ca="1">'&gt;&gt; DCF'!H96</f>
        <v>2.9088418532839562</v>
      </c>
    </row>
    <row r="12" spans="3:27" ht="15" customHeight="1" x14ac:dyDescent="0.25">
      <c r="D12" s="2"/>
      <c r="E12" s="2" t="s">
        <v>68</v>
      </c>
      <c r="F12" s="24" t="s">
        <v>7</v>
      </c>
      <c r="G12" s="48"/>
      <c r="H12" s="52">
        <f ca="1">H11/H16-1</f>
        <v>0.63418081645166069</v>
      </c>
    </row>
    <row r="13" spans="3:27" ht="15" customHeight="1" x14ac:dyDescent="0.25">
      <c r="D13" s="2"/>
      <c r="E13" s="1" t="s">
        <v>242</v>
      </c>
      <c r="F13" s="24" t="s">
        <v>66</v>
      </c>
      <c r="G13" s="48"/>
      <c r="H13" s="49">
        <f ca="1">'&gt;&gt; DDM'!H43</f>
        <v>1.8871645221827156</v>
      </c>
    </row>
    <row r="14" spans="3:27" ht="15" customHeight="1" x14ac:dyDescent="0.25">
      <c r="D14" s="2"/>
      <c r="E14" s="2" t="s">
        <v>68</v>
      </c>
      <c r="F14" s="24" t="s">
        <v>7</v>
      </c>
      <c r="G14" s="48"/>
      <c r="H14" s="52">
        <f ca="1">H13/H16-1</f>
        <v>6.0204787743098676E-2</v>
      </c>
    </row>
    <row r="16" spans="3:27" ht="15" customHeight="1" x14ac:dyDescent="0.25">
      <c r="D16" s="2"/>
      <c r="E16" s="2" t="s">
        <v>67</v>
      </c>
      <c r="F16" s="24" t="s">
        <v>66</v>
      </c>
      <c r="G16" s="48"/>
      <c r="H16" s="51">
        <f>'&gt;&gt; Inputs'!G21</f>
        <v>1.78</v>
      </c>
    </row>
    <row r="17" spans="4:27" ht="15" customHeight="1" x14ac:dyDescent="0.25">
      <c r="D17" s="2"/>
      <c r="E17" s="2"/>
      <c r="F17" s="24"/>
      <c r="G17" s="48"/>
      <c r="H17" s="52"/>
    </row>
    <row r="18" spans="4:27" ht="15" customHeight="1" x14ac:dyDescent="0.25">
      <c r="D18" s="2"/>
      <c r="E18" s="2" t="s">
        <v>8</v>
      </c>
      <c r="F18" s="24" t="s">
        <v>7</v>
      </c>
      <c r="G18" s="48"/>
      <c r="H18" s="28">
        <f>$F$46</f>
        <v>0.10350000000000001</v>
      </c>
    </row>
    <row r="19" spans="4:27" ht="15" customHeight="1" x14ac:dyDescent="0.25">
      <c r="D19" s="2"/>
      <c r="E19" s="2" t="s">
        <v>69</v>
      </c>
      <c r="F19" s="24" t="s">
        <v>7</v>
      </c>
      <c r="G19" s="48"/>
      <c r="H19" s="28">
        <f>$K$41</f>
        <v>8.3545737408000004E-2</v>
      </c>
    </row>
    <row r="20" spans="4:27" ht="15" customHeight="1" x14ac:dyDescent="0.25">
      <c r="D20" s="2"/>
      <c r="E20" s="2"/>
      <c r="F20" s="24"/>
      <c r="G20" s="2"/>
      <c r="H20" s="2"/>
    </row>
    <row r="21" spans="4:27" ht="15" customHeight="1" x14ac:dyDescent="0.25">
      <c r="D21" s="2"/>
      <c r="E21" s="2" t="s">
        <v>70</v>
      </c>
      <c r="F21" s="24" t="s">
        <v>71</v>
      </c>
      <c r="G21" s="24"/>
      <c r="H21" s="31">
        <f t="array" aca="1" ref="H21" ca="1">INDEX( '&gt;&gt; DCF'!$H$71:$H$97, MATCH( '&gt;&gt; Dash'!E21, '&gt;&gt; DCF'!$E$71:$E$97, 0 ) )</f>
        <v>13.347334371104015</v>
      </c>
    </row>
    <row r="22" spans="4:27" ht="15" customHeight="1" x14ac:dyDescent="0.25">
      <c r="D22" s="2"/>
      <c r="E22" s="2" t="s">
        <v>72</v>
      </c>
      <c r="F22" s="24" t="s">
        <v>71</v>
      </c>
      <c r="G22" s="24"/>
      <c r="H22" s="31">
        <f t="array" aca="1" ref="H22" ca="1">INDEX( '&gt;&gt; DCF'!$H$71:$H$97, MATCH( '&gt;&gt; Dash'!E22, '&gt;&gt; DCF'!$E$71:$E$97, 0 ) )</f>
        <v>33.7407754664073</v>
      </c>
    </row>
    <row r="23" spans="4:27" ht="15" customHeight="1" x14ac:dyDescent="0.25">
      <c r="D23" s="2"/>
      <c r="E23" s="2" t="s">
        <v>73</v>
      </c>
      <c r="F23" s="24" t="s">
        <v>71</v>
      </c>
      <c r="G23" s="24"/>
      <c r="H23" s="31">
        <f t="array" ref="H23">INDEX( '&gt;&gt; DCF'!$H$71:$H$97, MATCH( '&gt;&gt; Dash'!E23, '&gt;&gt; DCF'!$E$71:$E$97, 0 ) )</f>
        <v>9.0628623442469483</v>
      </c>
    </row>
    <row r="24" spans="4:27" ht="15" customHeight="1" x14ac:dyDescent="0.25">
      <c r="D24" s="2"/>
      <c r="E24" s="2" t="s">
        <v>74</v>
      </c>
      <c r="F24" s="24" t="s">
        <v>71</v>
      </c>
      <c r="G24" s="24"/>
      <c r="H24" s="31">
        <f t="array" ref="H24">INDEX( '&gt;&gt; DCF'!$H$71:$H$97, MATCH( '&gt;&gt; Dash'!E24, '&gt;&gt; DCF'!$E$71:$E$97, 0 ) )</f>
        <v>13.873430615772071</v>
      </c>
    </row>
    <row r="25" spans="4:27" ht="15" customHeight="1" x14ac:dyDescent="0.25">
      <c r="D25" s="2"/>
      <c r="E25" s="2"/>
      <c r="F25" s="24"/>
      <c r="G25" s="24"/>
      <c r="H25" s="31"/>
    </row>
    <row r="26" spans="4:27" ht="15" customHeight="1" x14ac:dyDescent="0.25">
      <c r="D26" s="1" t="s">
        <v>75</v>
      </c>
      <c r="E26" s="2"/>
      <c r="F26" s="24"/>
      <c r="G26" s="24"/>
      <c r="H26" s="31"/>
    </row>
    <row r="27" spans="4:27" ht="15" customHeight="1" x14ac:dyDescent="0.25">
      <c r="D27" s="2"/>
      <c r="E27" s="2" t="s">
        <v>76</v>
      </c>
      <c r="F27" s="24" t="s">
        <v>7</v>
      </c>
      <c r="G27" s="24"/>
      <c r="H27" s="28">
        <f ca="1">'&gt;&gt; Summary'!G13</f>
        <v>0.10986844745973756</v>
      </c>
    </row>
    <row r="28" spans="4:27" ht="15" customHeight="1" x14ac:dyDescent="0.25">
      <c r="D28" s="2"/>
      <c r="E28" s="2" t="str">
        <f>"Forecast FY" &amp; TEXT(YEAR(EOMONTH('&gt;&gt; Inputs'!$G$17, 12)), "00") &amp; " Dividend Yield"</f>
        <v>Forecast FY2024 Dividend Yield</v>
      </c>
      <c r="F28" s="24" t="s">
        <v>7</v>
      </c>
      <c r="G28" s="24"/>
      <c r="H28" s="28">
        <f ca="1">'&gt;&gt; DDM'!H25/'&gt;&gt; Summary'!G11</f>
        <v>4.6675815030271711E-2</v>
      </c>
    </row>
    <row r="29" spans="4:27" ht="15" customHeight="1" x14ac:dyDescent="0.25">
      <c r="D29" s="2"/>
      <c r="E29" s="2" t="s">
        <v>77</v>
      </c>
      <c r="F29" s="24" t="s">
        <v>7</v>
      </c>
      <c r="G29" s="24"/>
      <c r="H29" s="28">
        <f ca="1">H27 + H28</f>
        <v>0.15654426249000927</v>
      </c>
    </row>
    <row r="31" spans="4:27" ht="15" customHeight="1" x14ac:dyDescent="0.25">
      <c r="D31" s="2"/>
      <c r="E31" s="15"/>
      <c r="F31" s="15"/>
      <c r="G31" s="15"/>
      <c r="H31" s="1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4:27" ht="15" customHeight="1" x14ac:dyDescent="0.2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4:27" ht="15" customHeight="1" x14ac:dyDescent="0.25">
      <c r="D33" s="3"/>
      <c r="E33" s="4" t="s">
        <v>78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4:27" ht="15" customHeight="1" x14ac:dyDescent="0.25"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4:27" ht="15" customHeight="1" x14ac:dyDescent="0.25"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4:27" ht="15" customHeight="1" x14ac:dyDescent="0.25">
      <c r="D36" s="1" t="s">
        <v>79</v>
      </c>
      <c r="E36" s="2"/>
      <c r="F36" s="2"/>
      <c r="H36" s="1" t="s">
        <v>279</v>
      </c>
      <c r="I36" s="2"/>
      <c r="J36" s="2"/>
      <c r="K36" s="2"/>
      <c r="L36" s="2"/>
      <c r="M36" s="1"/>
      <c r="N36" s="2"/>
      <c r="O36" s="2"/>
      <c r="P36" s="2"/>
      <c r="Q36" s="2"/>
      <c r="S36" s="2"/>
      <c r="W36" s="2"/>
      <c r="X36" s="2"/>
    </row>
    <row r="37" spans="4:27" ht="15" customHeight="1" x14ac:dyDescent="0.25">
      <c r="D37" s="2"/>
      <c r="E37" s="2"/>
      <c r="F37" s="2"/>
      <c r="H37" s="2"/>
      <c r="I37" s="2"/>
      <c r="J37" s="2"/>
      <c r="K37" s="2"/>
      <c r="L37" s="2"/>
      <c r="M37" s="2"/>
      <c r="N37" s="2"/>
      <c r="O37" s="2"/>
      <c r="P37" s="2"/>
      <c r="Q37" s="2"/>
      <c r="S37" s="2"/>
      <c r="W37" s="2"/>
      <c r="X37" s="2"/>
    </row>
    <row r="38" spans="4:27" ht="15" customHeight="1" x14ac:dyDescent="0.25">
      <c r="D38" s="2" t="s">
        <v>81</v>
      </c>
      <c r="E38" s="2"/>
      <c r="F38" s="53">
        <v>0.28000000000000003</v>
      </c>
      <c r="H38" s="2" t="s">
        <v>80</v>
      </c>
      <c r="J38" s="16" t="s">
        <v>7</v>
      </c>
      <c r="K38" s="53"/>
      <c r="L38" s="2"/>
      <c r="W38" s="2"/>
      <c r="X38" s="2"/>
    </row>
    <row r="39" spans="4:27" ht="15" customHeight="1" x14ac:dyDescent="0.25">
      <c r="D39" s="2" t="s">
        <v>83</v>
      </c>
      <c r="E39" s="2"/>
      <c r="F39" s="182">
        <v>4.5900000000000003E-2</v>
      </c>
      <c r="H39" s="2" t="s">
        <v>82</v>
      </c>
      <c r="J39" s="16" t="s">
        <v>7</v>
      </c>
      <c r="K39" s="182"/>
      <c r="L39" s="2"/>
      <c r="W39" s="2"/>
      <c r="X39" s="2"/>
    </row>
    <row r="40" spans="4:27" ht="15" customHeight="1" x14ac:dyDescent="0.25">
      <c r="D40" s="2" t="s">
        <v>84</v>
      </c>
      <c r="E40" s="2"/>
      <c r="F40" s="182">
        <v>0.06</v>
      </c>
      <c r="H40" s="2"/>
      <c r="J40" s="2"/>
      <c r="K40" s="2"/>
      <c r="L40" s="2"/>
      <c r="M40" s="24"/>
      <c r="P40" s="2"/>
      <c r="Q40" s="2"/>
      <c r="W40" s="2"/>
      <c r="X40" s="2"/>
    </row>
    <row r="41" spans="4:27" ht="15" customHeight="1" x14ac:dyDescent="0.25">
      <c r="D41" s="2" t="s">
        <v>32</v>
      </c>
      <c r="E41" s="2"/>
      <c r="F41" s="182">
        <v>0.02</v>
      </c>
      <c r="H41" s="2" t="s">
        <v>6</v>
      </c>
      <c r="J41" s="16" t="s">
        <v>7</v>
      </c>
      <c r="K41" s="273">
        <f>(F46*(1-F45))+(F47*F45*(1-F38))</f>
        <v>8.3545737408000004E-2</v>
      </c>
      <c r="L41" s="2"/>
      <c r="W41" s="2"/>
      <c r="X41" s="2"/>
    </row>
    <row r="42" spans="4:27" ht="15" customHeight="1" x14ac:dyDescent="0.25">
      <c r="D42" s="2"/>
      <c r="E42" s="2"/>
      <c r="F42" s="56"/>
      <c r="H42" s="2"/>
      <c r="J42" s="2"/>
      <c r="K42" s="2"/>
      <c r="L42" s="2"/>
      <c r="W42" s="2"/>
      <c r="X42" s="2"/>
    </row>
    <row r="43" spans="4:27" ht="15" customHeight="1" x14ac:dyDescent="0.25">
      <c r="D43" s="2" t="s">
        <v>264</v>
      </c>
      <c r="E43" s="2"/>
      <c r="F43" s="183">
        <v>0.96</v>
      </c>
      <c r="H43" s="2" t="s">
        <v>32</v>
      </c>
      <c r="J43" s="16" t="s">
        <v>7</v>
      </c>
      <c r="K43" s="274">
        <f>F41</f>
        <v>0.02</v>
      </c>
      <c r="M43" s="2"/>
      <c r="P43" s="24"/>
      <c r="Q43" s="57"/>
      <c r="W43" s="2"/>
      <c r="X43" s="2"/>
    </row>
    <row r="44" spans="4:27" ht="15" customHeight="1" x14ac:dyDescent="0.25">
      <c r="H44" s="54" t="s">
        <v>31</v>
      </c>
      <c r="J44" s="278" t="s">
        <v>7</v>
      </c>
      <c r="K44" s="274">
        <f>'&gt;&gt; Segments'!Y51</f>
        <v>0.71169526641689396</v>
      </c>
      <c r="W44" s="2"/>
      <c r="X44" s="2"/>
    </row>
    <row r="45" spans="4:27" ht="15" customHeight="1" x14ac:dyDescent="0.25">
      <c r="D45" s="2" t="s">
        <v>85</v>
      </c>
      <c r="E45" s="2"/>
      <c r="F45" s="182">
        <v>0.31240000000000001</v>
      </c>
      <c r="K45" s="2"/>
      <c r="L45" s="2"/>
      <c r="W45" s="2"/>
      <c r="X45" s="2"/>
    </row>
    <row r="46" spans="4:27" ht="15" customHeight="1" x14ac:dyDescent="0.25">
      <c r="D46" s="2" t="s">
        <v>8</v>
      </c>
      <c r="E46" s="2"/>
      <c r="F46" s="275">
        <f>F39+F43*F40</f>
        <v>0.10350000000000001</v>
      </c>
      <c r="L46" s="2"/>
      <c r="M46" s="2"/>
      <c r="N46" s="2"/>
      <c r="O46" s="2"/>
      <c r="P46" s="2"/>
      <c r="Q46" s="2"/>
      <c r="R46" s="2"/>
      <c r="S46" s="2"/>
      <c r="T46" s="16"/>
      <c r="U46" s="2"/>
      <c r="V46" s="58"/>
      <c r="W46" s="2"/>
      <c r="X46" s="2"/>
    </row>
    <row r="47" spans="4:27" ht="15" customHeight="1" x14ac:dyDescent="0.25">
      <c r="D47" s="2" t="s">
        <v>86</v>
      </c>
      <c r="E47" s="2"/>
      <c r="F47" s="182">
        <v>5.5036000000000002E-2</v>
      </c>
      <c r="H47" s="298" t="s">
        <v>265</v>
      </c>
      <c r="L47" s="2"/>
      <c r="M47" s="2"/>
      <c r="N47" s="2"/>
      <c r="O47" s="2"/>
      <c r="P47" s="2"/>
      <c r="Q47" s="2"/>
      <c r="R47" s="2"/>
      <c r="S47" s="2" t="s">
        <v>214</v>
      </c>
      <c r="T47" s="16"/>
      <c r="U47" s="2"/>
      <c r="V47" s="59"/>
      <c r="W47" s="2"/>
      <c r="X47" s="2"/>
    </row>
    <row r="48" spans="4:27" ht="15" customHeight="1" x14ac:dyDescent="0.25"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51" spans="1:27" ht="15" customHeight="1" x14ac:dyDescent="0.25">
      <c r="M51" s="2"/>
      <c r="N51" s="2"/>
      <c r="O51" s="2"/>
      <c r="P51" s="2"/>
    </row>
    <row r="52" spans="1:27" ht="15" customHeight="1" x14ac:dyDescent="0.25">
      <c r="A52" s="41"/>
      <c r="B52" s="41" t="s">
        <v>45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4" spans="1:27" ht="12.75" customHeight="1" x14ac:dyDescent="0.25"/>
    <row r="55" spans="1:27" ht="12.75" customHeight="1" x14ac:dyDescent="0.25"/>
    <row r="56" spans="1:27" ht="12.75" customHeight="1" x14ac:dyDescent="0.25"/>
    <row r="57" spans="1:27" ht="12.75" customHeight="1" x14ac:dyDescent="0.25"/>
    <row r="58" spans="1:27" ht="12.75" customHeight="1" x14ac:dyDescent="0.25"/>
  </sheetData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506E-D8DF-4FF4-B854-09B39F6FC084}">
  <sheetPr>
    <tabColor rgb="FF8496B0"/>
  </sheetPr>
  <dimension ref="A2:AA112"/>
  <sheetViews>
    <sheetView showGridLines="0" zoomScaleNormal="100" workbookViewId="0">
      <selection activeCell="E83" sqref="E83"/>
    </sheetView>
  </sheetViews>
  <sheetFormatPr defaultColWidth="14.42578125" defaultRowHeight="15" customHeight="1" x14ac:dyDescent="0.25"/>
  <cols>
    <col min="1" max="2" width="2.7109375" customWidth="1"/>
    <col min="3" max="3" width="1.42578125" customWidth="1"/>
    <col min="4" max="4" width="3.42578125" customWidth="1"/>
    <col min="5" max="5" width="44.42578125" customWidth="1"/>
    <col min="6" max="25" width="11.140625" customWidth="1"/>
    <col min="26" max="37" width="9.140625" customWidth="1"/>
  </cols>
  <sheetData>
    <row r="2" spans="3:25" x14ac:dyDescent="0.25">
      <c r="C2" s="64" t="s">
        <v>56</v>
      </c>
      <c r="E2" s="2"/>
      <c r="F2" s="2"/>
      <c r="G2" s="2"/>
      <c r="H2" s="353" t="s">
        <v>90</v>
      </c>
      <c r="I2" s="353"/>
      <c r="J2" s="353"/>
      <c r="K2" s="353"/>
      <c r="L2" s="353"/>
      <c r="M2" s="353"/>
      <c r="N2" s="353"/>
      <c r="O2" s="353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5">
      <c r="C4" s="3"/>
      <c r="D4" s="4" t="s">
        <v>91</v>
      </c>
      <c r="E4" s="3"/>
      <c r="F4" s="5" t="s">
        <v>92</v>
      </c>
      <c r="G4" s="5"/>
      <c r="H4" s="6">
        <f t="shared" ref="H4:M4" si="0">EOMONTH(I4,-12)</f>
        <v>42735</v>
      </c>
      <c r="I4" s="6">
        <f t="shared" si="0"/>
        <v>43100</v>
      </c>
      <c r="J4" s="6">
        <f t="shared" si="0"/>
        <v>43465</v>
      </c>
      <c r="K4" s="6">
        <f t="shared" si="0"/>
        <v>43830</v>
      </c>
      <c r="L4" s="6">
        <f t="shared" si="0"/>
        <v>44196</v>
      </c>
      <c r="M4" s="6">
        <f t="shared" si="0"/>
        <v>44561</v>
      </c>
      <c r="N4" s="6">
        <f>EOMONTH(O4,-12)</f>
        <v>44926</v>
      </c>
      <c r="O4" s="6">
        <f>EOMONTH('&gt;&gt; Inputs'!$G$17,0)</f>
        <v>45291</v>
      </c>
      <c r="P4" s="6">
        <f>EOMONTH(O4,12)</f>
        <v>45657</v>
      </c>
      <c r="Q4" s="6">
        <f t="shared" ref="Q4:Y4" si="1">EOMONTH(P4,12)</f>
        <v>46022</v>
      </c>
      <c r="R4" s="6">
        <f t="shared" si="1"/>
        <v>46387</v>
      </c>
      <c r="S4" s="6">
        <f t="shared" si="1"/>
        <v>46752</v>
      </c>
      <c r="T4" s="6">
        <f t="shared" si="1"/>
        <v>47118</v>
      </c>
      <c r="U4" s="6">
        <f t="shared" si="1"/>
        <v>47483</v>
      </c>
      <c r="V4" s="6">
        <f t="shared" si="1"/>
        <v>47848</v>
      </c>
      <c r="W4" s="6">
        <f t="shared" si="1"/>
        <v>48213</v>
      </c>
      <c r="X4" s="6">
        <f t="shared" si="1"/>
        <v>48579</v>
      </c>
      <c r="Y4" s="6">
        <f t="shared" si="1"/>
        <v>48944</v>
      </c>
    </row>
    <row r="5" spans="3:25" ht="12.75" customHeight="1" x14ac:dyDescent="0.25">
      <c r="C5" s="7"/>
      <c r="D5" s="7"/>
      <c r="E5" s="7" t="s">
        <v>93</v>
      </c>
      <c r="F5" s="8" t="s">
        <v>94</v>
      </c>
      <c r="G5" s="8"/>
      <c r="H5" s="11">
        <f t="shared" ref="H5:M5" si="2">I5-1</f>
        <v>-6</v>
      </c>
      <c r="I5" s="11">
        <f t="shared" si="2"/>
        <v>-5</v>
      </c>
      <c r="J5" s="11">
        <f t="shared" si="2"/>
        <v>-4</v>
      </c>
      <c r="K5" s="11">
        <f t="shared" si="2"/>
        <v>-3</v>
      </c>
      <c r="L5" s="11">
        <f t="shared" si="2"/>
        <v>-2</v>
      </c>
      <c r="M5" s="11">
        <f t="shared" si="2"/>
        <v>-1</v>
      </c>
      <c r="N5" s="11">
        <v>0</v>
      </c>
      <c r="O5" s="11">
        <v>0</v>
      </c>
      <c r="P5" s="11">
        <f t="shared" ref="P5:Y5" si="3">O5 + 1</f>
        <v>1</v>
      </c>
      <c r="Q5" s="11">
        <f t="shared" si="3"/>
        <v>2</v>
      </c>
      <c r="R5" s="11">
        <f t="shared" si="3"/>
        <v>3</v>
      </c>
      <c r="S5" s="11">
        <f t="shared" si="3"/>
        <v>4</v>
      </c>
      <c r="T5" s="11">
        <f t="shared" si="3"/>
        <v>5</v>
      </c>
      <c r="U5" s="11">
        <f t="shared" si="3"/>
        <v>6</v>
      </c>
      <c r="V5" s="11">
        <f t="shared" si="3"/>
        <v>7</v>
      </c>
      <c r="W5" s="11">
        <f t="shared" si="3"/>
        <v>8</v>
      </c>
      <c r="X5" s="11">
        <f t="shared" si="3"/>
        <v>9</v>
      </c>
      <c r="Y5" s="11">
        <f t="shared" si="3"/>
        <v>10</v>
      </c>
    </row>
    <row r="6" spans="3:25" ht="12.75" customHeight="1" x14ac:dyDescent="0.25">
      <c r="C6" s="7"/>
      <c r="D6" s="7"/>
      <c r="E6" s="7" t="s">
        <v>95</v>
      </c>
      <c r="F6" s="10" t="s">
        <v>96</v>
      </c>
      <c r="G6" s="10"/>
      <c r="H6" s="11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5">
      <c r="C7" s="7"/>
      <c r="D7" s="7"/>
      <c r="E7" s="7" t="s">
        <v>97</v>
      </c>
      <c r="F7" s="10" t="s">
        <v>5</v>
      </c>
      <c r="G7" s="10"/>
      <c r="H7" s="12">
        <f>EOMONTH( H8, -12 ) + 1</f>
        <v>42370</v>
      </c>
      <c r="I7" s="60">
        <f t="shared" ref="I7:Y7" si="5">H8 + 1</f>
        <v>42736</v>
      </c>
      <c r="J7" s="60">
        <f t="shared" si="5"/>
        <v>43101</v>
      </c>
      <c r="K7" s="60">
        <f t="shared" si="5"/>
        <v>43466</v>
      </c>
      <c r="L7" s="60">
        <f t="shared" si="5"/>
        <v>43831</v>
      </c>
      <c r="M7" s="60">
        <f t="shared" si="5"/>
        <v>44197</v>
      </c>
      <c r="N7" s="60">
        <f t="shared" si="5"/>
        <v>44562</v>
      </c>
      <c r="O7" s="60">
        <f t="shared" si="5"/>
        <v>44927</v>
      </c>
      <c r="P7" s="60">
        <f t="shared" si="5"/>
        <v>45292</v>
      </c>
      <c r="Q7" s="60">
        <f t="shared" si="5"/>
        <v>45658</v>
      </c>
      <c r="R7" s="60">
        <f t="shared" si="5"/>
        <v>46023</v>
      </c>
      <c r="S7" s="60">
        <f t="shared" si="5"/>
        <v>46388</v>
      </c>
      <c r="T7" s="60">
        <f t="shared" si="5"/>
        <v>46753</v>
      </c>
      <c r="U7" s="60">
        <f t="shared" si="5"/>
        <v>47119</v>
      </c>
      <c r="V7" s="60">
        <f t="shared" si="5"/>
        <v>47484</v>
      </c>
      <c r="W7" s="60">
        <f t="shared" si="5"/>
        <v>47849</v>
      </c>
      <c r="X7" s="60">
        <f t="shared" si="5"/>
        <v>48214</v>
      </c>
      <c r="Y7" s="60">
        <f t="shared" si="5"/>
        <v>48580</v>
      </c>
    </row>
    <row r="8" spans="3:25" ht="12.75" customHeight="1" x14ac:dyDescent="0.25">
      <c r="C8" s="7"/>
      <c r="D8" s="7"/>
      <c r="E8" s="7" t="s">
        <v>98</v>
      </c>
      <c r="F8" s="10" t="s">
        <v>5</v>
      </c>
      <c r="G8" s="10"/>
      <c r="H8" s="12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5">
      <c r="C9" s="7"/>
      <c r="D9" s="7"/>
      <c r="E9" s="7" t="s">
        <v>99</v>
      </c>
      <c r="F9" s="10" t="s">
        <v>10</v>
      </c>
      <c r="G9" s="10"/>
      <c r="H9" s="13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Forecast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15" customHeight="1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3:25" ht="15" customHeight="1" x14ac:dyDescent="0.25">
      <c r="C11" s="2"/>
      <c r="D11" s="2"/>
      <c r="E11" s="2" t="s">
        <v>100</v>
      </c>
      <c r="F11" s="24" t="s">
        <v>10</v>
      </c>
      <c r="G11" s="24"/>
      <c r="H11" s="50">
        <f>IF( AND( H5 &lt;= '&gt;&gt; Inputs'!$G41, H5 &gt;= 1 ), 1, 0 )</f>
        <v>0</v>
      </c>
      <c r="I11" s="50">
        <f>IF( AND( I5 &lt;= '&gt;&gt; Inputs'!$G41, I5 &gt;= 1 ), 1, 0 )</f>
        <v>0</v>
      </c>
      <c r="J11" s="50">
        <f>IF( AND( J5 &lt;= '&gt;&gt; Inputs'!$G41, J5 &gt;= 1 ), 1, 0 )</f>
        <v>0</v>
      </c>
      <c r="K11" s="50">
        <f>IF( AND( K5 &lt;= '&gt;&gt; Inputs'!$G41, K5 &gt;= 1 ), 1, 0 )</f>
        <v>0</v>
      </c>
      <c r="L11" s="50">
        <f>IF( AND( L5 &lt;= '&gt;&gt; Inputs'!$G41, L5 &gt;= 1 ), 1, 0 )</f>
        <v>0</v>
      </c>
      <c r="M11" s="50">
        <f>IF( AND( M5 &lt;= '&gt;&gt; Inputs'!$G41, M5 &gt;= 1 ), 1, 0 )</f>
        <v>0</v>
      </c>
      <c r="N11" s="61">
        <f>IF( AND( N5 &lt;= '&gt;&gt; Inputs'!$G41, N5 &gt;= 1 ), 1, 0 )</f>
        <v>0</v>
      </c>
      <c r="O11" s="61">
        <f>IF( AND( O5 &lt;= '&gt;&gt; Inputs'!$G41, O5 &gt;= 1 ), 1, 0 )</f>
        <v>0</v>
      </c>
      <c r="P11" s="61">
        <f>IF( AND( P5 &lt;= '&gt;&gt; Inputs'!$G41, P5 &gt;= 1 ), 1, 0 )</f>
        <v>1</v>
      </c>
      <c r="Q11" s="61">
        <f>IF( AND( Q5 &lt;= '&gt;&gt; Inputs'!$G41, Q5 &gt;= 1 ), 1, 0 )</f>
        <v>1</v>
      </c>
      <c r="R11" s="61">
        <f>IF( AND( R5 &lt;= '&gt;&gt; Inputs'!$G41, R5 &gt;= 1 ), 1, 0 )</f>
        <v>1</v>
      </c>
      <c r="S11" s="61">
        <f>IF( AND( S5 &lt;= '&gt;&gt; Inputs'!$G41, S5 &gt;= 1 ), 1, 0 )</f>
        <v>1</v>
      </c>
      <c r="T11" s="61">
        <f>IF( AND( T5 &lt;= '&gt;&gt; Inputs'!$G41, T5 &gt;= 1 ), 1, 0 )</f>
        <v>1</v>
      </c>
      <c r="U11" s="61">
        <f>IF( AND( U5 &lt;= '&gt;&gt; Inputs'!$G41, U5 &gt;= 1 ), 1, 0 )</f>
        <v>1</v>
      </c>
      <c r="V11" s="61">
        <f>IF( AND( V5 &lt;= '&gt;&gt; Inputs'!$G41, V5 &gt;= 1 ), 1, 0 )</f>
        <v>1</v>
      </c>
      <c r="W11" s="61">
        <f>IF( AND( W5 &lt;= '&gt;&gt; Inputs'!$G41, W5 &gt;= 1 ), 1, 0 )</f>
        <v>1</v>
      </c>
      <c r="X11" s="61">
        <f>IF( AND( X5 &lt;= '&gt;&gt; Inputs'!$G41, X5 &gt;= 1 ), 1, 0 )</f>
        <v>1</v>
      </c>
      <c r="Y11" s="61">
        <f>IF( AND( Y5 &lt;= '&gt;&gt; Inputs'!$G41, Y5 &gt;= 1 ), 1, 0 )</f>
        <v>1</v>
      </c>
    </row>
    <row r="12" spans="3:25" ht="15" customHeight="1" x14ac:dyDescent="0.25">
      <c r="C12" s="2"/>
      <c r="D12" s="2"/>
      <c r="E12" s="2" t="s">
        <v>101</v>
      </c>
      <c r="F12" s="24" t="s">
        <v>10</v>
      </c>
      <c r="G12" s="24"/>
      <c r="H12" s="50">
        <f>IF( H5 = '&gt;&gt; Inputs'!$G41, 1, 0 )</f>
        <v>0</v>
      </c>
      <c r="I12" s="50">
        <f>IF( I5 = '&gt;&gt; Inputs'!$G41, 1, 0 )</f>
        <v>0</v>
      </c>
      <c r="J12" s="50">
        <f>IF( J5 = '&gt;&gt; Inputs'!$G41, 1, 0 )</f>
        <v>0</v>
      </c>
      <c r="K12" s="50">
        <f>IF( K5 = '&gt;&gt; Inputs'!$G41, 1, 0 )</f>
        <v>0</v>
      </c>
      <c r="L12" s="50">
        <f>IF( L5 = '&gt;&gt; Inputs'!$G41, 1, 0 )</f>
        <v>0</v>
      </c>
      <c r="M12" s="50">
        <f>IF( M5 = '&gt;&gt; Inputs'!$G41, 1, 0 )</f>
        <v>0</v>
      </c>
      <c r="N12" s="50">
        <f>IF( N5 = '&gt;&gt; Inputs'!$G41, 1, 0 )</f>
        <v>0</v>
      </c>
      <c r="O12" s="50">
        <f>IF( O5 = '&gt;&gt; Inputs'!$G41, 1, 0 )</f>
        <v>0</v>
      </c>
      <c r="P12" s="50">
        <f>IF( P5 = '&gt;&gt; Inputs'!$G41, 1, 0 )</f>
        <v>0</v>
      </c>
      <c r="Q12" s="50">
        <f>IF( Q5 = '&gt;&gt; Inputs'!$G41, 1, 0 )</f>
        <v>0</v>
      </c>
      <c r="R12" s="50">
        <f>IF( R5 = '&gt;&gt; Inputs'!$G41, 1, 0 )</f>
        <v>0</v>
      </c>
      <c r="S12" s="50">
        <f>IF( S5 = '&gt;&gt; Inputs'!$G41, 1, 0 )</f>
        <v>0</v>
      </c>
      <c r="T12" s="50">
        <f>IF( T5 = '&gt;&gt; Inputs'!$G41, 1, 0 )</f>
        <v>0</v>
      </c>
      <c r="U12" s="50">
        <f>IF( U5 = '&gt;&gt; Inputs'!$G41, 1, 0 )</f>
        <v>0</v>
      </c>
      <c r="V12" s="50">
        <f>IF( V5 = '&gt;&gt; Inputs'!$G41, 1, 0 )</f>
        <v>0</v>
      </c>
      <c r="W12" s="50">
        <f>IF( W5 = '&gt;&gt; Inputs'!$G41, 1, 0 )</f>
        <v>0</v>
      </c>
      <c r="X12" s="50">
        <f>IF( X5 = '&gt;&gt; Inputs'!$G41, 1, 0 )</f>
        <v>0</v>
      </c>
      <c r="Y12" s="50">
        <f>IF( Y5 = '&gt;&gt; Inputs'!$G41, 1, 0 )</f>
        <v>1</v>
      </c>
    </row>
    <row r="13" spans="3:25" ht="15" customHeight="1" x14ac:dyDescent="0.25">
      <c r="C13" s="2"/>
      <c r="D13" s="2"/>
      <c r="E13" s="15"/>
      <c r="F13" s="29"/>
      <c r="G13" s="29"/>
      <c r="H13" s="15"/>
      <c r="I13" s="15"/>
      <c r="J13" s="15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</row>
    <row r="14" spans="3:25" ht="15" customHeight="1" x14ac:dyDescent="0.25">
      <c r="C14" s="64" t="s">
        <v>102</v>
      </c>
      <c r="D14" s="2"/>
      <c r="E14" s="2"/>
      <c r="F14" s="24"/>
      <c r="G14" s="24"/>
      <c r="H14" s="65"/>
      <c r="I14" s="2"/>
      <c r="J14" s="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</row>
    <row r="16" spans="3:25" ht="15" customHeight="1" x14ac:dyDescent="0.25">
      <c r="D16" s="2"/>
      <c r="E16" s="2" t="s">
        <v>103</v>
      </c>
      <c r="F16" s="24" t="s">
        <v>25</v>
      </c>
      <c r="G16" s="24"/>
      <c r="H16" s="27"/>
      <c r="I16" s="27">
        <f>'&gt;&gt; Fin Stmts'!I13</f>
        <v>411.61099999999999</v>
      </c>
      <c r="J16" s="27">
        <f>'&gt;&gt; Fin Stmts'!J13</f>
        <v>359.31600000000003</v>
      </c>
      <c r="K16" s="27">
        <f>'&gt;&gt; Fin Stmts'!K13</f>
        <v>344.86099999999999</v>
      </c>
      <c r="L16" s="27">
        <f>'&gt;&gt; Fin Stmts'!L13</f>
        <v>249.96600000000001</v>
      </c>
      <c r="M16" s="27">
        <f>'&gt;&gt; Fin Stmts'!M13</f>
        <v>238.37</v>
      </c>
      <c r="N16" s="27">
        <f>'&gt;&gt; Fin Stmts'!N13</f>
        <v>159.82</v>
      </c>
      <c r="O16" s="27">
        <f>'&gt;&gt; Fin Stmts'!O13</f>
        <v>137.56900000000002</v>
      </c>
      <c r="P16" s="27">
        <f>'&gt;&gt; Fin Stmts'!P13</f>
        <v>148.75208417419213</v>
      </c>
      <c r="Q16" s="27">
        <f>'&gt;&gt; Fin Stmts'!Q13</f>
        <v>190.51558592968044</v>
      </c>
      <c r="R16" s="27">
        <f>'&gt;&gt; Fin Stmts'!R13</f>
        <v>226.69893516832622</v>
      </c>
      <c r="S16" s="27">
        <f>'&gt;&gt; Fin Stmts'!S13</f>
        <v>248.27501591464969</v>
      </c>
      <c r="T16" s="27">
        <f>'&gt;&gt; Fin Stmts'!T13</f>
        <v>272.33059680860339</v>
      </c>
      <c r="U16" s="27">
        <f>'&gt;&gt; Fin Stmts'!U13</f>
        <v>285.51917965969085</v>
      </c>
      <c r="V16" s="27">
        <f>'&gt;&gt; Fin Stmts'!V13</f>
        <v>299.5160535711654</v>
      </c>
      <c r="W16" s="27">
        <f>'&gt;&gt; Fin Stmts'!W13</f>
        <v>314.34424299583782</v>
      </c>
      <c r="X16" s="27">
        <f>'&gt;&gt; Fin Stmts'!X13</f>
        <v>329.98699527297384</v>
      </c>
      <c r="Y16" s="27">
        <f>'&gt;&gt; Fin Stmts'!Y13</f>
        <v>338.19082328117685</v>
      </c>
    </row>
    <row r="17" spans="4:25" ht="15" customHeight="1" x14ac:dyDescent="0.25">
      <c r="D17" s="2" t="s">
        <v>60</v>
      </c>
      <c r="E17" s="2" t="s">
        <v>104</v>
      </c>
      <c r="F17" s="24" t="s">
        <v>25</v>
      </c>
      <c r="G17" s="24"/>
      <c r="H17" s="27"/>
      <c r="I17" s="27">
        <f>'&gt;&gt; Fin Stmts'!I14</f>
        <v>-290.39999999999998</v>
      </c>
      <c r="J17" s="27">
        <f>'&gt;&gt; Fin Stmts'!J14</f>
        <v>-306.39999999999998</v>
      </c>
      <c r="K17" s="27">
        <f>'&gt;&gt; Fin Stmts'!K14</f>
        <v>-330.1</v>
      </c>
      <c r="L17" s="27">
        <f>'&gt;&gt; Fin Stmts'!L14</f>
        <v>-506.2</v>
      </c>
      <c r="M17" s="27">
        <f>'&gt;&gt; Fin Stmts'!M14</f>
        <v>-988.2</v>
      </c>
      <c r="N17" s="27">
        <f>'&gt;&gt; Fin Stmts'!N14</f>
        <v>-55.4</v>
      </c>
      <c r="O17" s="27">
        <f>'&gt;&gt; Fin Stmts'!O14</f>
        <v>-79</v>
      </c>
      <c r="P17" s="27">
        <f>'&gt;&gt; Fin Stmts'!P14</f>
        <v>-39.450440239501006</v>
      </c>
      <c r="Q17" s="27">
        <f>'&gt;&gt; Fin Stmts'!Q14</f>
        <v>-51.959005248575551</v>
      </c>
      <c r="R17" s="27">
        <f>'&gt;&gt; Fin Stmts'!R14</f>
        <v>-63.27407323222107</v>
      </c>
      <c r="S17" s="27">
        <f>'&gt;&gt; Fin Stmts'!S14</f>
        <v>-72.245679160249409</v>
      </c>
      <c r="T17" s="27">
        <f>'&gt;&gt; Fin Stmts'!T14</f>
        <v>-83.447301410996971</v>
      </c>
      <c r="U17" s="27">
        <f>'&gt;&gt; Fin Stmts'!U14</f>
        <v>-85.92461890666516</v>
      </c>
      <c r="V17" s="27">
        <f>'&gt;&gt; Fin Stmts'!V14</f>
        <v>-89.677012810872441</v>
      </c>
      <c r="W17" s="27">
        <f>'&gt;&gt; Fin Stmts'!W14</f>
        <v>-91.180422628050735</v>
      </c>
      <c r="X17" s="27">
        <f>'&gt;&gt; Fin Stmts'!X14</f>
        <v>-93.799590604136682</v>
      </c>
      <c r="Y17" s="27">
        <f>'&gt;&gt; Fin Stmts'!Y14</f>
        <v>-97.502015206330981</v>
      </c>
    </row>
    <row r="18" spans="4:25" ht="15" customHeight="1" x14ac:dyDescent="0.25">
      <c r="D18" s="2"/>
      <c r="E18" s="66" t="s">
        <v>88</v>
      </c>
      <c r="F18" s="29" t="s">
        <v>25</v>
      </c>
      <c r="G18" s="29"/>
      <c r="H18" s="67"/>
      <c r="I18" s="67">
        <f>SUM(I16:I17)</f>
        <v>121.21100000000001</v>
      </c>
      <c r="J18" s="67">
        <f t="shared" ref="J18:Y18" si="7">SUM(J16:J17)</f>
        <v>52.916000000000054</v>
      </c>
      <c r="K18" s="67">
        <f t="shared" si="7"/>
        <v>14.760999999999967</v>
      </c>
      <c r="L18" s="67">
        <f t="shared" si="7"/>
        <v>-256.23399999999998</v>
      </c>
      <c r="M18" s="67">
        <f t="shared" si="7"/>
        <v>-749.83</v>
      </c>
      <c r="N18" s="67">
        <f t="shared" si="7"/>
        <v>104.41999999999999</v>
      </c>
      <c r="O18" s="67">
        <f t="shared" si="7"/>
        <v>58.569000000000017</v>
      </c>
      <c r="P18" s="67">
        <f t="shared" si="7"/>
        <v>109.30164393469113</v>
      </c>
      <c r="Q18" s="67">
        <f t="shared" si="7"/>
        <v>138.55658068110489</v>
      </c>
      <c r="R18" s="67">
        <f t="shared" si="7"/>
        <v>163.42486193610515</v>
      </c>
      <c r="S18" s="67">
        <f t="shared" si="7"/>
        <v>176.02933675440028</v>
      </c>
      <c r="T18" s="67">
        <f t="shared" si="7"/>
        <v>188.88329539760642</v>
      </c>
      <c r="U18" s="67">
        <f t="shared" si="7"/>
        <v>199.59456075302569</v>
      </c>
      <c r="V18" s="67">
        <f t="shared" si="7"/>
        <v>209.83904076029296</v>
      </c>
      <c r="W18" s="67">
        <f t="shared" si="7"/>
        <v>223.16382036778708</v>
      </c>
      <c r="X18" s="67">
        <f t="shared" si="7"/>
        <v>236.18740466883716</v>
      </c>
      <c r="Y18" s="67">
        <f t="shared" si="7"/>
        <v>240.68880807484587</v>
      </c>
    </row>
    <row r="19" spans="4:25" ht="15" customHeight="1" x14ac:dyDescent="0.25">
      <c r="D19" s="2"/>
      <c r="E19" s="1"/>
      <c r="F19" s="24"/>
      <c r="G19" s="24"/>
      <c r="H19" s="16"/>
      <c r="I19" s="27"/>
      <c r="J19" s="27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</row>
    <row r="20" spans="4:25" ht="15" customHeight="1" x14ac:dyDescent="0.25">
      <c r="D20" s="24" t="s">
        <v>60</v>
      </c>
      <c r="E20" s="2" t="s">
        <v>269</v>
      </c>
      <c r="F20" s="24" t="s">
        <v>25</v>
      </c>
      <c r="G20" s="24"/>
      <c r="H20" s="33"/>
      <c r="I20" s="33">
        <f>'&gt;&gt; Segments'!I55</f>
        <v>94.7</v>
      </c>
      <c r="J20" s="33">
        <f>'&gt;&gt; Segments'!J55</f>
        <v>96.4</v>
      </c>
      <c r="K20" s="33">
        <f>'&gt;&gt; Segments'!K55</f>
        <v>99.5</v>
      </c>
      <c r="L20" s="33">
        <f>'&gt;&gt; Segments'!L55</f>
        <v>87.2</v>
      </c>
      <c r="M20" s="33">
        <f>'&gt;&gt; Segments'!M55</f>
        <v>84</v>
      </c>
      <c r="N20" s="33">
        <f>'&gt;&gt; Segments'!N55</f>
        <v>24.6</v>
      </c>
      <c r="O20" s="33">
        <f>'&gt;&gt; Segments'!O55</f>
        <v>35.4</v>
      </c>
      <c r="P20" s="33">
        <f>'&gt;&gt; Segments'!P55</f>
        <v>37.9</v>
      </c>
      <c r="Q20" s="33">
        <f>'&gt;&gt; Segments'!Q55</f>
        <v>39.795000000000002</v>
      </c>
      <c r="R20" s="33">
        <f>'&gt;&gt; Segments'!R55</f>
        <v>41.784750000000003</v>
      </c>
      <c r="S20" s="33">
        <f>'&gt;&gt; Segments'!S55</f>
        <v>43.873987500000005</v>
      </c>
      <c r="T20" s="33">
        <f>'&gt;&gt; Segments'!T55</f>
        <v>46.067686875000007</v>
      </c>
      <c r="U20" s="33">
        <f>'&gt;&gt; Segments'!U55</f>
        <v>48.371071218750011</v>
      </c>
      <c r="V20" s="33">
        <f>'&gt;&gt; Segments'!V55</f>
        <v>50.789624779687514</v>
      </c>
      <c r="W20" s="33">
        <f>'&gt;&gt; Segments'!W55</f>
        <v>53.329106018671894</v>
      </c>
      <c r="X20" s="33">
        <f>'&gt;&gt; Segments'!X55</f>
        <v>55.995561319605493</v>
      </c>
      <c r="Y20" s="33">
        <f>'&gt;&gt; Segments'!Y55</f>
        <v>58.79533938558577</v>
      </c>
    </row>
    <row r="21" spans="4:25" ht="15" customHeight="1" x14ac:dyDescent="0.25">
      <c r="D21" s="24" t="s">
        <v>62</v>
      </c>
      <c r="E21" s="66" t="s">
        <v>105</v>
      </c>
      <c r="F21" s="29" t="s">
        <v>25</v>
      </c>
      <c r="G21" s="29"/>
      <c r="H21" s="68"/>
      <c r="I21" s="68">
        <f>I18 - I20</f>
        <v>26.51100000000001</v>
      </c>
      <c r="J21" s="68">
        <f t="shared" ref="J21:Y21" si="8">J18 - J20</f>
        <v>-43.483999999999952</v>
      </c>
      <c r="K21" s="68">
        <f t="shared" si="8"/>
        <v>-84.739000000000033</v>
      </c>
      <c r="L21" s="68">
        <f t="shared" si="8"/>
        <v>-343.43399999999997</v>
      </c>
      <c r="M21" s="68">
        <f t="shared" si="8"/>
        <v>-833.83</v>
      </c>
      <c r="N21" s="68">
        <f t="shared" si="8"/>
        <v>79.819999999999993</v>
      </c>
      <c r="O21" s="68">
        <f t="shared" si="8"/>
        <v>23.169000000000018</v>
      </c>
      <c r="P21" s="68">
        <f t="shared" si="8"/>
        <v>71.401643934691123</v>
      </c>
      <c r="Q21" s="68">
        <f t="shared" si="8"/>
        <v>98.761580681104888</v>
      </c>
      <c r="R21" s="68">
        <f t="shared" si="8"/>
        <v>121.64011193610514</v>
      </c>
      <c r="S21" s="68">
        <f t="shared" si="8"/>
        <v>132.15534925440028</v>
      </c>
      <c r="T21" s="68">
        <f t="shared" si="8"/>
        <v>142.8156085226064</v>
      </c>
      <c r="U21" s="68">
        <f t="shared" si="8"/>
        <v>151.22348953427567</v>
      </c>
      <c r="V21" s="68">
        <f t="shared" si="8"/>
        <v>159.04941598060543</v>
      </c>
      <c r="W21" s="68">
        <f t="shared" si="8"/>
        <v>169.83471434911519</v>
      </c>
      <c r="X21" s="68">
        <f t="shared" si="8"/>
        <v>180.19184334923168</v>
      </c>
      <c r="Y21" s="68">
        <f t="shared" si="8"/>
        <v>181.89346868926009</v>
      </c>
    </row>
    <row r="22" spans="4:25" ht="15" customHeight="1" x14ac:dyDescent="0.25">
      <c r="D22" s="24" t="s">
        <v>60</v>
      </c>
      <c r="E22" s="2" t="s">
        <v>106</v>
      </c>
      <c r="F22" s="24" t="s">
        <v>25</v>
      </c>
      <c r="G22" s="24"/>
      <c r="H22" s="33"/>
      <c r="I22" s="33">
        <f>0 - ( '&gt;&gt; Inputs'!$G$46 * I21 )</f>
        <v>-7.4230800000000032</v>
      </c>
      <c r="J22" s="33">
        <f>0 - ( '&gt;&gt; Inputs'!$G$46 * J21 )</f>
        <v>12.175519999999988</v>
      </c>
      <c r="K22" s="33">
        <f>0 - ( '&gt;&gt; Inputs'!$G$46 * K21 )</f>
        <v>23.72692000000001</v>
      </c>
      <c r="L22" s="33">
        <f>0 - ( '&gt;&gt; Inputs'!$G$46 * L21 )</f>
        <v>96.161519999999996</v>
      </c>
      <c r="M22" s="33">
        <f>0 - ( '&gt;&gt; Inputs'!$G$46 * M21 )</f>
        <v>233.47240000000002</v>
      </c>
      <c r="N22" s="33">
        <f>0 - ( '&gt;&gt; Inputs'!$G$46 * N21 )</f>
        <v>-22.349599999999999</v>
      </c>
      <c r="O22" s="33">
        <f>0 - ( '&gt;&gt; Inputs'!$G$46 * O21 )</f>
        <v>-6.4873200000000057</v>
      </c>
      <c r="P22" s="33">
        <f>0 - ( '&gt;&gt; Inputs'!$G$46 * P21 )</f>
        <v>-19.992460301713518</v>
      </c>
      <c r="Q22" s="33">
        <f>0 - ( '&gt;&gt; Inputs'!$G$46 * Q21 )</f>
        <v>-27.653242590709372</v>
      </c>
      <c r="R22" s="33">
        <f>0 - ( '&gt;&gt; Inputs'!$G$46 * R21 )</f>
        <v>-34.059231342109442</v>
      </c>
      <c r="S22" s="33">
        <f>0 - ( '&gt;&gt; Inputs'!$G$46 * S21 )</f>
        <v>-37.003497791232078</v>
      </c>
      <c r="T22" s="33">
        <f>0 - ( '&gt;&gt; Inputs'!$G$46 * T21 )</f>
        <v>-39.988370386329798</v>
      </c>
      <c r="U22" s="33">
        <f>0 - ( '&gt;&gt; Inputs'!$G$46 * U21 )</f>
        <v>-42.342577069597191</v>
      </c>
      <c r="V22" s="33">
        <f>0 - ( '&gt;&gt; Inputs'!$G$46 * V21 )</f>
        <v>-44.533836474569526</v>
      </c>
      <c r="W22" s="33">
        <f>0 - ( '&gt;&gt; Inputs'!$G$46 * W21 )</f>
        <v>-47.553720017752255</v>
      </c>
      <c r="X22" s="33">
        <f>0 - ( '&gt;&gt; Inputs'!$G$46 * X21 )</f>
        <v>-50.453716137784873</v>
      </c>
      <c r="Y22" s="33">
        <f>0 - ( '&gt;&gt; Inputs'!$G$46 * Y21 )</f>
        <v>-50.930171232992826</v>
      </c>
    </row>
    <row r="23" spans="4:25" ht="15" customHeight="1" x14ac:dyDescent="0.25">
      <c r="D23" s="55" t="s">
        <v>62</v>
      </c>
      <c r="E23" s="66" t="s">
        <v>107</v>
      </c>
      <c r="F23" s="29" t="s">
        <v>25</v>
      </c>
      <c r="G23" s="29"/>
      <c r="H23" s="68"/>
      <c r="I23" s="68">
        <f>SUM(I21:I22)</f>
        <v>19.087920000000008</v>
      </c>
      <c r="J23" s="68">
        <f t="shared" ref="J23:Y23" si="9">SUM(J21:J22)</f>
        <v>-31.308479999999964</v>
      </c>
      <c r="K23" s="68">
        <f t="shared" si="9"/>
        <v>-61.012080000000026</v>
      </c>
      <c r="L23" s="68">
        <f t="shared" si="9"/>
        <v>-247.27247999999997</v>
      </c>
      <c r="M23" s="68">
        <f t="shared" si="9"/>
        <v>-600.35760000000005</v>
      </c>
      <c r="N23" s="68">
        <f t="shared" si="9"/>
        <v>57.470399999999998</v>
      </c>
      <c r="O23" s="68">
        <f t="shared" si="9"/>
        <v>16.681680000000014</v>
      </c>
      <c r="P23" s="68">
        <f t="shared" si="9"/>
        <v>51.409183632977602</v>
      </c>
      <c r="Q23" s="68">
        <f t="shared" si="9"/>
        <v>71.10833809039552</v>
      </c>
      <c r="R23" s="68">
        <f t="shared" si="9"/>
        <v>87.580880593995701</v>
      </c>
      <c r="S23" s="68">
        <f t="shared" si="9"/>
        <v>95.1518514631682</v>
      </c>
      <c r="T23" s="68">
        <f t="shared" si="9"/>
        <v>102.82723813627661</v>
      </c>
      <c r="U23" s="68">
        <f t="shared" si="9"/>
        <v>108.88091246467849</v>
      </c>
      <c r="V23" s="68">
        <f t="shared" si="9"/>
        <v>114.51557950603591</v>
      </c>
      <c r="W23" s="68">
        <f t="shared" si="9"/>
        <v>122.28099433136293</v>
      </c>
      <c r="X23" s="68">
        <f t="shared" si="9"/>
        <v>129.73812721144679</v>
      </c>
      <c r="Y23" s="68">
        <f t="shared" si="9"/>
        <v>130.96329745626727</v>
      </c>
    </row>
    <row r="25" spans="4:25" ht="15" customHeight="1" x14ac:dyDescent="0.25">
      <c r="D25" s="2" t="s">
        <v>58</v>
      </c>
      <c r="E25" s="2" t="s">
        <v>215</v>
      </c>
      <c r="F25" s="24" t="s">
        <v>25</v>
      </c>
      <c r="G25" s="24"/>
      <c r="H25" s="33"/>
      <c r="I25" s="33">
        <f t="shared" ref="I25:Y25" si="10" xml:space="preserve"> I20</f>
        <v>94.7</v>
      </c>
      <c r="J25" s="33">
        <f t="shared" si="10"/>
        <v>96.4</v>
      </c>
      <c r="K25" s="33">
        <f t="shared" si="10"/>
        <v>99.5</v>
      </c>
      <c r="L25" s="33">
        <f t="shared" si="10"/>
        <v>87.2</v>
      </c>
      <c r="M25" s="33">
        <f t="shared" si="10"/>
        <v>84</v>
      </c>
      <c r="N25" s="33">
        <f t="shared" si="10"/>
        <v>24.6</v>
      </c>
      <c r="O25" s="33">
        <f t="shared" si="10"/>
        <v>35.4</v>
      </c>
      <c r="P25" s="33">
        <f t="shared" si="10"/>
        <v>37.9</v>
      </c>
      <c r="Q25" s="33">
        <f t="shared" si="10"/>
        <v>39.795000000000002</v>
      </c>
      <c r="R25" s="33">
        <f t="shared" si="10"/>
        <v>41.784750000000003</v>
      </c>
      <c r="S25" s="33">
        <f t="shared" si="10"/>
        <v>43.873987500000005</v>
      </c>
      <c r="T25" s="33">
        <f t="shared" si="10"/>
        <v>46.067686875000007</v>
      </c>
      <c r="U25" s="33">
        <f t="shared" si="10"/>
        <v>48.371071218750011</v>
      </c>
      <c r="V25" s="33">
        <f t="shared" si="10"/>
        <v>50.789624779687514</v>
      </c>
      <c r="W25" s="33">
        <f t="shared" si="10"/>
        <v>53.329106018671894</v>
      </c>
      <c r="X25" s="33">
        <f t="shared" si="10"/>
        <v>55.995561319605493</v>
      </c>
      <c r="Y25" s="33">
        <f t="shared" si="10"/>
        <v>58.79533938558577</v>
      </c>
    </row>
    <row r="26" spans="4:25" ht="15" customHeight="1" x14ac:dyDescent="0.25">
      <c r="D26" s="19" t="s">
        <v>60</v>
      </c>
      <c r="E26" s="2" t="s">
        <v>108</v>
      </c>
      <c r="F26" s="24" t="s">
        <v>25</v>
      </c>
      <c r="G26" s="24"/>
      <c r="H26" s="27"/>
      <c r="I26" s="27">
        <f>-'&gt;&gt; Fin Stmts'!I75</f>
        <v>-49.099999999999994</v>
      </c>
      <c r="J26" s="27">
        <f>-'&gt;&gt; Fin Stmts'!J75</f>
        <v>38.900000000000006</v>
      </c>
      <c r="K26" s="27">
        <f>-'&gt;&gt; Fin Stmts'!K75</f>
        <v>-25.400000000000034</v>
      </c>
      <c r="L26" s="27">
        <f>-'&gt;&gt; Fin Stmts'!L75</f>
        <v>6.7000000000000171</v>
      </c>
      <c r="M26" s="27">
        <f>-'&gt;&gt; Fin Stmts'!M75</f>
        <v>22.699999999999989</v>
      </c>
      <c r="N26" s="27">
        <f>-'&gt;&gt; Fin Stmts'!N75</f>
        <v>128.60000000000002</v>
      </c>
      <c r="O26" s="27">
        <f>-'&gt;&gt; Fin Stmts'!O75</f>
        <v>-0.7170000000000023</v>
      </c>
      <c r="P26" s="27">
        <f>-'&gt;&gt; Fin Stmts'!P75</f>
        <v>-4.6501644472677768</v>
      </c>
      <c r="Q26" s="27">
        <f>-'&gt;&gt; Fin Stmts'!Q75</f>
        <v>2.2211958143059363</v>
      </c>
      <c r="R26" s="27">
        <f>-'&gt;&gt; Fin Stmts'!R75</f>
        <v>1.6670198163921839</v>
      </c>
      <c r="S26" s="27">
        <f>-'&gt;&gt; Fin Stmts'!S75</f>
        <v>0.78560815591042044</v>
      </c>
      <c r="T26" s="27">
        <f>-'&gt;&gt; Fin Stmts'!T75</f>
        <v>0.7771653588949512</v>
      </c>
      <c r="U26" s="27">
        <f>-'&gt;&gt; Fin Stmts'!U75</f>
        <v>0.74955375681259184</v>
      </c>
      <c r="V26" s="27">
        <f>-'&gt;&gt; Fin Stmts'!V75</f>
        <v>0.71769386729503992</v>
      </c>
      <c r="W26" s="27">
        <f>-'&gt;&gt; Fin Stmts'!W75</f>
        <v>0.68165633480187893</v>
      </c>
      <c r="X26" s="27">
        <f>-'&gt;&gt; Fin Stmts'!X75</f>
        <v>0.64155125771057442</v>
      </c>
      <c r="Y26" s="27">
        <f>-'&gt;&gt; Fin Stmts'!Y75</f>
        <v>0.59752828078185871</v>
      </c>
    </row>
    <row r="27" spans="4:25" ht="15" customHeight="1" x14ac:dyDescent="0.25">
      <c r="D27" s="19" t="s">
        <v>60</v>
      </c>
      <c r="E27" s="2" t="s">
        <v>109</v>
      </c>
      <c r="F27" s="24" t="s">
        <v>25</v>
      </c>
      <c r="G27" s="24"/>
      <c r="H27" s="33"/>
      <c r="I27" s="33">
        <f>'&gt;&gt; Fin Stmts'!I81</f>
        <v>-94.6</v>
      </c>
      <c r="J27" s="33">
        <f>'&gt;&gt; Fin Stmts'!J81</f>
        <v>-162.30000000000001</v>
      </c>
      <c r="K27" s="33">
        <f>'&gt;&gt; Fin Stmts'!K81</f>
        <v>-77.7</v>
      </c>
      <c r="L27" s="33">
        <f>'&gt;&gt; Fin Stmts'!L81</f>
        <v>-33.9</v>
      </c>
      <c r="M27" s="33">
        <f>'&gt;&gt; Fin Stmts'!M81</f>
        <v>-33.4</v>
      </c>
      <c r="N27" s="33">
        <f>'&gt;&gt; Fin Stmts'!N81</f>
        <v>-59.1</v>
      </c>
      <c r="O27" s="33">
        <f>'&gt;&gt; Fin Stmts'!O81</f>
        <v>-63.1</v>
      </c>
      <c r="P27" s="33">
        <f>'&gt;&gt; Fin Stmts'!P81</f>
        <v>-66.25500000000001</v>
      </c>
      <c r="Q27" s="33">
        <f>'&gt;&gt; Fin Stmts'!Q81</f>
        <v>-69.567750000000018</v>
      </c>
      <c r="R27" s="33">
        <f>'&gt;&gt; Fin Stmts'!R81</f>
        <v>-73.046137500000029</v>
      </c>
      <c r="S27" s="33">
        <f>'&gt;&gt; Fin Stmts'!S81</f>
        <v>-76.698444375000037</v>
      </c>
      <c r="T27" s="33">
        <f>'&gt;&gt; Fin Stmts'!T81</f>
        <v>-80.533366593750046</v>
      </c>
      <c r="U27" s="33">
        <f>'&gt;&gt; Fin Stmts'!U81</f>
        <v>-84.560034923437556</v>
      </c>
      <c r="V27" s="33">
        <f>'&gt;&gt; Fin Stmts'!V81</f>
        <v>-88.78803666960944</v>
      </c>
      <c r="W27" s="33">
        <f>'&gt;&gt; Fin Stmts'!W81</f>
        <v>-93.227438503089914</v>
      </c>
      <c r="X27" s="33">
        <f>'&gt;&gt; Fin Stmts'!X81</f>
        <v>-97.888810428244412</v>
      </c>
      <c r="Y27" s="33">
        <f>'&gt;&gt; Fin Stmts'!Y81</f>
        <v>-102.78325094965663</v>
      </c>
    </row>
    <row r="28" spans="4:25" ht="15" customHeight="1" x14ac:dyDescent="0.25">
      <c r="D28" s="19" t="s">
        <v>60</v>
      </c>
      <c r="E28" s="2" t="s">
        <v>110</v>
      </c>
      <c r="F28" s="24" t="s">
        <v>25</v>
      </c>
      <c r="G28" s="24"/>
      <c r="H28" s="33"/>
      <c r="I28" s="33">
        <f>'&gt;&gt; Fin Stmts'!H80</f>
        <v>0</v>
      </c>
      <c r="J28" s="33">
        <f>'&gt;&gt; Fin Stmts'!I80</f>
        <v>0</v>
      </c>
      <c r="K28" s="33">
        <f>'&gt;&gt; Fin Stmts'!J80</f>
        <v>0</v>
      </c>
      <c r="L28" s="33">
        <f>'&gt;&gt; Fin Stmts'!K80</f>
        <v>0</v>
      </c>
      <c r="M28" s="33">
        <f>'&gt;&gt; Fin Stmts'!L80</f>
        <v>13.3</v>
      </c>
      <c r="N28" s="33">
        <f>'&gt;&gt; Fin Stmts'!M80</f>
        <v>1.9</v>
      </c>
      <c r="O28" s="33">
        <f>'&gt;&gt; Fin Stmts'!N80</f>
        <v>2.4</v>
      </c>
      <c r="P28" s="33">
        <f>'&gt;&gt; Fin Stmts'!O80</f>
        <v>5.0999999999999996</v>
      </c>
      <c r="Q28" s="33">
        <f>'&gt;&gt; Fin Stmts'!P80</f>
        <v>0</v>
      </c>
      <c r="R28" s="33">
        <f>'&gt;&gt; Fin Stmts'!Q80</f>
        <v>0</v>
      </c>
      <c r="S28" s="33">
        <f>'&gt;&gt; Fin Stmts'!R80</f>
        <v>0</v>
      </c>
      <c r="T28" s="33">
        <f>'&gt;&gt; Fin Stmts'!S80</f>
        <v>0</v>
      </c>
      <c r="U28" s="33">
        <f>'&gt;&gt; Fin Stmts'!T80</f>
        <v>0</v>
      </c>
      <c r="V28" s="33">
        <f>'&gt;&gt; Fin Stmts'!U80</f>
        <v>0</v>
      </c>
      <c r="W28" s="33">
        <f>'&gt;&gt; Fin Stmts'!V80</f>
        <v>0</v>
      </c>
      <c r="X28" s="33">
        <f>'&gt;&gt; Fin Stmts'!W80</f>
        <v>0</v>
      </c>
      <c r="Y28" s="33">
        <f>'&gt;&gt; Fin Stmts'!X80</f>
        <v>0</v>
      </c>
    </row>
    <row r="29" spans="4:25" ht="15" customHeight="1" x14ac:dyDescent="0.25">
      <c r="D29" s="19" t="s">
        <v>60</v>
      </c>
      <c r="E29" s="2" t="s">
        <v>111</v>
      </c>
      <c r="F29" s="24" t="s">
        <v>25</v>
      </c>
      <c r="G29" s="24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</row>
    <row r="30" spans="4:25" ht="15" customHeight="1" x14ac:dyDescent="0.25">
      <c r="D30" s="19"/>
      <c r="E30" s="66" t="s">
        <v>112</v>
      </c>
      <c r="F30" s="29" t="s">
        <v>25</v>
      </c>
      <c r="G30" s="29"/>
      <c r="H30" s="67"/>
      <c r="I30" s="67">
        <f>SUM( I23:I29 )</f>
        <v>-29.912079999999975</v>
      </c>
      <c r="J30" s="67">
        <f t="shared" ref="J30:Y30" si="11">SUM( J23:J29 )</f>
        <v>-58.30847999999996</v>
      </c>
      <c r="K30" s="67">
        <f t="shared" si="11"/>
        <v>-64.612080000000063</v>
      </c>
      <c r="L30" s="67">
        <f t="shared" si="11"/>
        <v>-187.27247999999997</v>
      </c>
      <c r="M30" s="67">
        <f t="shared" si="11"/>
        <v>-513.75760000000014</v>
      </c>
      <c r="N30" s="67">
        <f t="shared" si="11"/>
        <v>153.47040000000004</v>
      </c>
      <c r="O30" s="67">
        <f t="shared" si="11"/>
        <v>-9.3353199999999941</v>
      </c>
      <c r="P30" s="67">
        <f t="shared" si="11"/>
        <v>23.504019185709829</v>
      </c>
      <c r="Q30" s="67">
        <f t="shared" si="11"/>
        <v>43.556783904701433</v>
      </c>
      <c r="R30" s="67">
        <f t="shared" si="11"/>
        <v>57.986512910387873</v>
      </c>
      <c r="S30" s="67">
        <f t="shared" si="11"/>
        <v>63.113002744078585</v>
      </c>
      <c r="T30" s="67">
        <f t="shared" si="11"/>
        <v>69.138723776421514</v>
      </c>
      <c r="U30" s="67">
        <f t="shared" si="11"/>
        <v>73.441502516803538</v>
      </c>
      <c r="V30" s="67">
        <f t="shared" si="11"/>
        <v>77.234861483409006</v>
      </c>
      <c r="W30" s="67">
        <f t="shared" si="11"/>
        <v>83.064318181746799</v>
      </c>
      <c r="X30" s="67">
        <f t="shared" si="11"/>
        <v>88.486429360518443</v>
      </c>
      <c r="Y30" s="67">
        <f t="shared" si="11"/>
        <v>87.572914172978273</v>
      </c>
    </row>
    <row r="31" spans="4:25" ht="15" customHeight="1" x14ac:dyDescent="0.25">
      <c r="D31" s="19"/>
      <c r="E31" s="188" t="s">
        <v>118</v>
      </c>
      <c r="F31" s="24" t="s">
        <v>25</v>
      </c>
      <c r="G31" s="24"/>
      <c r="H31" s="2"/>
      <c r="I31" s="27"/>
      <c r="J31" s="27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70">
        <f>(Y30*(1+'&gt;&gt; Dash'!$F$41))/('&gt;&gt; Dash'!$K$41-'&gt;&gt; Dash'!$F$41)</f>
        <v>1405.6705626519722</v>
      </c>
    </row>
    <row r="32" spans="4:25" ht="15" customHeight="1" x14ac:dyDescent="0.25">
      <c r="D32" s="19"/>
      <c r="E32" s="15"/>
      <c r="F32" s="29"/>
      <c r="G32" s="29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spans="4:25" ht="15" customHeight="1" x14ac:dyDescent="0.25">
      <c r="D33" s="19"/>
      <c r="E33" s="2" t="s">
        <v>36</v>
      </c>
      <c r="F33" s="24" t="s">
        <v>7</v>
      </c>
      <c r="G33" s="24"/>
      <c r="H33" s="28"/>
      <c r="I33" s="299"/>
      <c r="J33" s="28"/>
      <c r="K33" s="21"/>
      <c r="L33" s="21"/>
      <c r="M33" s="21"/>
      <c r="N33" s="21"/>
      <c r="O33" s="21"/>
      <c r="P33" s="21">
        <f ca="1">P11 * '&gt;&gt; Inputs'!P45</f>
        <v>0.10684931506849316</v>
      </c>
      <c r="Q33" s="21">
        <f ca="1">Q11 * '&gt;&gt; Inputs'!Q45</f>
        <v>1</v>
      </c>
      <c r="R33" s="21">
        <f ca="1">R11 * '&gt;&gt; Inputs'!R45</f>
        <v>1</v>
      </c>
      <c r="S33" s="21">
        <f ca="1">S11 * '&gt;&gt; Inputs'!S45</f>
        <v>1</v>
      </c>
      <c r="T33" s="21">
        <f ca="1">T11 * '&gt;&gt; Inputs'!T45</f>
        <v>1</v>
      </c>
      <c r="U33" s="21">
        <f ca="1">U11 * '&gt;&gt; Inputs'!U45</f>
        <v>1</v>
      </c>
      <c r="V33" s="21">
        <f ca="1">V11 * '&gt;&gt; Inputs'!V45</f>
        <v>1</v>
      </c>
      <c r="W33" s="21">
        <f ca="1">W11 * '&gt;&gt; Inputs'!W45</f>
        <v>1</v>
      </c>
      <c r="X33" s="21">
        <f ca="1">X11 * '&gt;&gt; Inputs'!X45</f>
        <v>1</v>
      </c>
      <c r="Y33" s="21">
        <f ca="1">Y11 * '&gt;&gt; Inputs'!Y45</f>
        <v>1</v>
      </c>
    </row>
    <row r="34" spans="4:25" ht="15" customHeight="1" x14ac:dyDescent="0.25">
      <c r="D34" s="19"/>
      <c r="E34" s="2" t="s">
        <v>113</v>
      </c>
      <c r="F34" s="24" t="s">
        <v>25</v>
      </c>
      <c r="G34" s="24"/>
      <c r="H34" s="27"/>
      <c r="I34" s="27"/>
      <c r="J34" s="27"/>
      <c r="K34" s="33"/>
      <c r="L34" s="33"/>
      <c r="M34" s="33"/>
      <c r="N34" s="33"/>
      <c r="O34" s="33"/>
      <c r="P34" s="33">
        <f ca="1">( P33 * P30 )</f>
        <v>2.5113883513498174</v>
      </c>
      <c r="Q34" s="33">
        <f t="shared" ref="Q34:Y34" ca="1" si="12">( Q33 * Q30 )</f>
        <v>43.556783904701433</v>
      </c>
      <c r="R34" s="33">
        <f t="shared" ca="1" si="12"/>
        <v>57.986512910387873</v>
      </c>
      <c r="S34" s="33">
        <f t="shared" ca="1" si="12"/>
        <v>63.113002744078585</v>
      </c>
      <c r="T34" s="33">
        <f t="shared" ca="1" si="12"/>
        <v>69.138723776421514</v>
      </c>
      <c r="U34" s="33">
        <f t="shared" ca="1" si="12"/>
        <v>73.441502516803538</v>
      </c>
      <c r="V34" s="33">
        <f t="shared" ca="1" si="12"/>
        <v>77.234861483409006</v>
      </c>
      <c r="W34" s="33">
        <f t="shared" ca="1" si="12"/>
        <v>83.064318181746799</v>
      </c>
      <c r="X34" s="33">
        <f t="shared" ca="1" si="12"/>
        <v>88.486429360518443</v>
      </c>
      <c r="Y34" s="33">
        <f t="shared" ca="1" si="12"/>
        <v>87.572914172978273</v>
      </c>
    </row>
    <row r="35" spans="4:25" ht="15" customHeight="1" x14ac:dyDescent="0.25">
      <c r="D35" s="19"/>
      <c r="E35" s="2" t="s">
        <v>114</v>
      </c>
      <c r="F35" s="24" t="s">
        <v>25</v>
      </c>
      <c r="G35" s="24"/>
      <c r="H35" s="27"/>
      <c r="I35" s="27"/>
      <c r="J35" s="27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>
        <f ca="1">Y33 * Y31</f>
        <v>1405.6705626519722</v>
      </c>
    </row>
    <row r="36" spans="4:25" ht="15" customHeight="1" x14ac:dyDescent="0.25">
      <c r="D36" s="19"/>
      <c r="E36" s="2"/>
      <c r="F36" s="24"/>
      <c r="G36" s="24"/>
      <c r="H36" s="16"/>
      <c r="I36" s="27"/>
      <c r="J36" s="27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</row>
    <row r="37" spans="4:25" ht="15" customHeight="1" x14ac:dyDescent="0.25">
      <c r="D37" s="19"/>
      <c r="E37" s="2" t="s">
        <v>115</v>
      </c>
      <c r="F37" s="16" t="s">
        <v>10</v>
      </c>
      <c r="G37" s="16"/>
      <c r="H37" s="27"/>
      <c r="I37" s="27"/>
      <c r="J37" s="27"/>
      <c r="K37" s="61"/>
      <c r="L37" s="61"/>
      <c r="M37" s="61"/>
      <c r="N37" s="61"/>
      <c r="O37" s="61"/>
      <c r="P37" s="61">
        <f ca="1">IF( P11 = 1, ( P8 - '&gt;&gt; Inputs'!$G$26 ) / DiY, 0 )</f>
        <v>0.10684931506849316</v>
      </c>
      <c r="Q37" s="61">
        <f ca="1">IF( Q11 = 1, ( Q8 - '&gt;&gt; Inputs'!$G$26 ) / DiY, 0 )</f>
        <v>1.106849315068493</v>
      </c>
      <c r="R37" s="61">
        <f ca="1">IF( R11 = 1, ( R8 - '&gt;&gt; Inputs'!$G$26 ) / DiY, 0 )</f>
        <v>2.106849315068493</v>
      </c>
      <c r="S37" s="61">
        <f ca="1">IF( S11 = 1, ( S8 - '&gt;&gt; Inputs'!$G$26 ) / DiY, 0 )</f>
        <v>3.106849315068493</v>
      </c>
      <c r="T37" s="61">
        <f ca="1">IF( T11 = 1, ( T8 - '&gt;&gt; Inputs'!$G$26 ) / DiY, 0 )</f>
        <v>4.1095890410958908</v>
      </c>
      <c r="U37" s="61">
        <f ca="1">IF( U11 = 1, ( U8 - '&gt;&gt; Inputs'!$G$26 ) / DiY, 0 )</f>
        <v>5.1095890410958908</v>
      </c>
      <c r="V37" s="61">
        <f ca="1">IF( V11 = 1, ( V8 - '&gt;&gt; Inputs'!$G$26 ) / DiY, 0 )</f>
        <v>6.1095890410958908</v>
      </c>
      <c r="W37" s="61">
        <f ca="1">IF( W11 = 1, ( W8 - '&gt;&gt; Inputs'!$G$26 ) / DiY, 0 )</f>
        <v>7.1095890410958908</v>
      </c>
      <c r="X37" s="61">
        <f ca="1">IF( X11 = 1, ( X8 - '&gt;&gt; Inputs'!$G$26 ) / DiY, 0 )</f>
        <v>8.1123287671232873</v>
      </c>
      <c r="Y37" s="61">
        <f ca="1">IF( Y11 = 1, ( Y8 - '&gt;&gt; Inputs'!$G$26 ) / DiY, 0 )</f>
        <v>9.1123287671232873</v>
      </c>
    </row>
    <row r="38" spans="4:25" ht="15" customHeight="1" x14ac:dyDescent="0.25">
      <c r="D38" s="19"/>
      <c r="E38" s="2" t="s">
        <v>116</v>
      </c>
      <c r="F38" s="24" t="s">
        <v>10</v>
      </c>
      <c r="G38" s="24"/>
      <c r="H38" s="44"/>
      <c r="I38" s="44"/>
      <c r="J38" s="44"/>
      <c r="K38" s="22"/>
      <c r="L38" s="22"/>
      <c r="M38" s="22"/>
      <c r="N38" s="22"/>
      <c r="O38" s="22"/>
      <c r="P38" s="22">
        <f ca="1">P11 * ( 1 / ( 1 +'&gt;&gt; Dash'!$K$41 ) ^ P$37 )</f>
        <v>0.99146319138617922</v>
      </c>
      <c r="Q38" s="22">
        <f ca="1">Q11 * ( 1 / ( 1 +'&gt;&gt; Dash'!$K$41 ) ^ Q$37 )</f>
        <v>0.91501738889020445</v>
      </c>
      <c r="R38" s="22">
        <f ca="1">R11 * ( 1 / ( 1 +'&gt;&gt; Dash'!$K$41 ) ^ R$37 )</f>
        <v>0.84446586544566171</v>
      </c>
      <c r="S38" s="22">
        <f ca="1">S11 * ( 1 / ( 1 +'&gt;&gt; Dash'!$K$41 ) ^ S$37 )</f>
        <v>0.7793541484143971</v>
      </c>
      <c r="T38" s="22">
        <f ca="1">T11 * ( 1 / ( 1 +'&gt;&gt; Dash'!$K$41 ) ^ T$37 )</f>
        <v>0.71910470707947294</v>
      </c>
      <c r="U38" s="22">
        <f ca="1">U11 * ( 1 / ( 1 +'&gt;&gt; Dash'!$K$41 ) ^ U$37 )</f>
        <v>0.66365883991171126</v>
      </c>
      <c r="V38" s="22">
        <f ca="1">V11 * ( 1 / ( 1 +'&gt;&gt; Dash'!$K$41 ) ^ V$37 )</f>
        <v>0.61248807226105684</v>
      </c>
      <c r="W38" s="22">
        <f ca="1">W11 * ( 1 / ( 1 +'&gt;&gt; Dash'!$K$41 ) ^ W$37 )</f>
        <v>0.56526277674832437</v>
      </c>
      <c r="X38" s="22">
        <f ca="1">X11 * ( 1 / ( 1 +'&gt;&gt; Dash'!$K$41 ) ^ X$37 )</f>
        <v>0.52156407240986247</v>
      </c>
      <c r="Y38" s="22">
        <f ca="1">Y11 * ( 1 / ( 1 +'&gt;&gt; Dash'!$K$41 ) ^ Y$37 )</f>
        <v>0.48134938323648441</v>
      </c>
    </row>
    <row r="40" spans="4:25" ht="15" customHeight="1" x14ac:dyDescent="0.25">
      <c r="D40" s="19"/>
      <c r="E40" s="191" t="s">
        <v>117</v>
      </c>
      <c r="F40" s="192" t="s">
        <v>25</v>
      </c>
      <c r="G40" s="192"/>
      <c r="H40" s="193"/>
      <c r="I40" s="193"/>
      <c r="J40" s="193"/>
      <c r="K40" s="194"/>
      <c r="L40" s="194"/>
      <c r="M40" s="194"/>
      <c r="N40" s="194"/>
      <c r="O40" s="194"/>
      <c r="P40" s="195">
        <f ca="1">P34 * P38</f>
        <v>2.4899491096393653</v>
      </c>
      <c r="Q40" s="195">
        <f t="shared" ref="Q40:X40" ca="1" si="13">Q34 * Q38</f>
        <v>39.855214676934786</v>
      </c>
      <c r="R40" s="195">
        <f t="shared" ca="1" si="13"/>
        <v>48.967630809046732</v>
      </c>
      <c r="S40" s="195">
        <f t="shared" ca="1" si="13"/>
        <v>49.187380507486871</v>
      </c>
      <c r="T40" s="195">
        <f t="shared" ca="1" si="13"/>
        <v>49.717981709092186</v>
      </c>
      <c r="U40" s="195">
        <f t="shared" ca="1" si="13"/>
        <v>48.740102361674857</v>
      </c>
      <c r="V40" s="195">
        <f t="shared" ca="1" si="13"/>
        <v>47.305431421322929</v>
      </c>
      <c r="W40" s="195">
        <f t="shared" ca="1" si="13"/>
        <v>46.953167144120521</v>
      </c>
      <c r="X40" s="195">
        <f t="shared" ca="1" si="13"/>
        <v>46.151342450279621</v>
      </c>
      <c r="Y40" s="195">
        <f ca="1">Y34 * Y38</f>
        <v>42.153168225384675</v>
      </c>
    </row>
    <row r="41" spans="4:25" ht="15" customHeight="1" x14ac:dyDescent="0.25">
      <c r="D41" s="19"/>
      <c r="E41" s="188" t="s">
        <v>244</v>
      </c>
      <c r="F41" s="79" t="s">
        <v>25</v>
      </c>
      <c r="G41" s="79"/>
      <c r="H41" s="80"/>
      <c r="I41" s="80"/>
      <c r="J41" s="80"/>
      <c r="K41" s="80"/>
      <c r="L41" s="207"/>
      <c r="M41" s="80"/>
      <c r="N41" s="80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208">
        <f ca="1">Y35 * Y38</f>
        <v>676.61865836620882</v>
      </c>
    </row>
    <row r="42" spans="4:25" ht="15" customHeight="1" x14ac:dyDescent="0.25">
      <c r="D42" s="19"/>
      <c r="E42" s="2"/>
      <c r="F42" s="24"/>
      <c r="G42" s="24"/>
      <c r="H42" s="27"/>
      <c r="I42" s="27"/>
      <c r="J42" s="27"/>
      <c r="K42" s="27"/>
      <c r="M42" s="27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 spans="4:25" ht="15" customHeight="1" x14ac:dyDescent="0.25">
      <c r="D43" s="19"/>
      <c r="E43" s="2" t="s">
        <v>24</v>
      </c>
      <c r="F43" s="24" t="s">
        <v>25</v>
      </c>
      <c r="G43" s="24"/>
      <c r="H43" s="72">
        <f>'&gt;&gt; Fin Stmts'!H64+'&gt;&gt; Fin Stmts'!H53</f>
        <v>-219.5</v>
      </c>
      <c r="I43" s="72">
        <f>'&gt;&gt; Fin Stmts'!I64+'&gt;&gt; Fin Stmts'!I53</f>
        <v>-170</v>
      </c>
      <c r="J43" s="72">
        <f>'&gt;&gt; Fin Stmts'!J64+'&gt;&gt; Fin Stmts'!J53</f>
        <v>-258.60000000000002</v>
      </c>
      <c r="K43" s="72">
        <f>'&gt;&gt; Fin Stmts'!K64+'&gt;&gt; Fin Stmts'!K53</f>
        <v>-246.6</v>
      </c>
      <c r="L43" s="72">
        <f>'&gt;&gt; Fin Stmts'!L64+'&gt;&gt; Fin Stmts'!L53</f>
        <v>-274.60000000000002</v>
      </c>
      <c r="M43" s="72">
        <f>'&gt;&gt; Fin Stmts'!M64+'&gt;&gt; Fin Stmts'!M53</f>
        <v>-199.7</v>
      </c>
      <c r="N43" s="72">
        <f>'&gt;&gt; Fin Stmts'!N64+'&gt;&gt; Fin Stmts'!N53</f>
        <v>-259.60000000000002</v>
      </c>
      <c r="O43" s="72">
        <f>'&gt;&gt; Fin Stmts'!O64+'&gt;&gt; Fin Stmts'!O53</f>
        <v>-320.60000000000002</v>
      </c>
      <c r="P43" s="72">
        <f>'&gt;&gt; Fin Stmts'!P64+'&gt;&gt; Fin Stmts'!P53</f>
        <v>-347.20572504476723</v>
      </c>
      <c r="Q43" s="72">
        <f>'&gt;&gt; Fin Stmts'!Q64+'&gt;&gt; Fin Stmts'!Q53</f>
        <v>-374.88879363752335</v>
      </c>
      <c r="R43" s="72">
        <f>'&gt;&gt; Fin Stmts'!R64+'&gt;&gt; Fin Stmts'!R53</f>
        <v>-396.77390636972342</v>
      </c>
      <c r="S43" s="72">
        <f>'&gt;&gt; Fin Stmts'!S64+'&gt;&gt; Fin Stmts'!S53</f>
        <v>-410.47803671207282</v>
      </c>
      <c r="T43" s="72">
        <f>'&gt;&gt; Fin Stmts'!T64+'&gt;&gt; Fin Stmts'!T53</f>
        <v>-416.06071190179966</v>
      </c>
      <c r="U43" s="72">
        <f>'&gt;&gt; Fin Stmts'!U64+'&gt;&gt; Fin Stmts'!U53</f>
        <v>-473.69895677072833</v>
      </c>
      <c r="V43" s="72">
        <f>'&gt;&gt; Fin Stmts'!V64+'&gt;&gt; Fin Stmts'!V53</f>
        <v>-482.0698141482622</v>
      </c>
      <c r="W43" s="72">
        <f>'&gt;&gt; Fin Stmts'!W64+'&gt;&gt; Fin Stmts'!W53</f>
        <v>-507.7537659470064</v>
      </c>
      <c r="X43" s="72">
        <f>'&gt;&gt; Fin Stmts'!X64+'&gt;&gt; Fin Stmts'!X53</f>
        <v>-540.2197107722701</v>
      </c>
      <c r="Y43" s="72">
        <f>'&gt;&gt; Fin Stmts'!Y64+'&gt;&gt; Fin Stmts'!Y53</f>
        <v>-574.62444070426773</v>
      </c>
    </row>
    <row r="44" spans="4:25" ht="15" customHeight="1" x14ac:dyDescent="0.25">
      <c r="D44" s="19"/>
      <c r="E44" s="2" t="s">
        <v>26</v>
      </c>
      <c r="F44" s="24" t="s">
        <v>25</v>
      </c>
      <c r="G44" s="24"/>
      <c r="H44" s="72">
        <f>'&gt;&gt; Fin Stmts'!H55+'&gt;&gt; Fin Stmts'!H62</f>
        <v>0</v>
      </c>
      <c r="I44" s="72">
        <f>'&gt;&gt; Fin Stmts'!I55+'&gt;&gt; Fin Stmts'!I62</f>
        <v>-2.7</v>
      </c>
      <c r="J44" s="72">
        <f>'&gt;&gt; Fin Stmts'!J55+'&gt;&gt; Fin Stmts'!J62</f>
        <v>-2.5</v>
      </c>
      <c r="K44" s="72">
        <f>'&gt;&gt; Fin Stmts'!K55+'&gt;&gt; Fin Stmts'!K62</f>
        <v>-3.4000000000000004</v>
      </c>
      <c r="L44" s="72">
        <f>'&gt;&gt; Fin Stmts'!L55+'&gt;&gt; Fin Stmts'!L62</f>
        <v>-4.0999999999999996</v>
      </c>
      <c r="M44" s="72">
        <f>'&gt;&gt; Fin Stmts'!M55+'&gt;&gt; Fin Stmts'!M62</f>
        <v>-2.4000000000000004</v>
      </c>
      <c r="N44" s="72">
        <f>'&gt;&gt; Fin Stmts'!N55+'&gt;&gt; Fin Stmts'!N62</f>
        <v>-0.7</v>
      </c>
      <c r="O44" s="72">
        <f>'&gt;&gt; Fin Stmts'!O55+'&gt;&gt; Fin Stmts'!O62</f>
        <v>-0.7</v>
      </c>
      <c r="P44" s="72">
        <f>'&gt;&gt; Fin Stmts'!P55+'&gt;&gt; Fin Stmts'!P62</f>
        <v>-0.7</v>
      </c>
      <c r="Q44" s="72">
        <f>'&gt;&gt; Fin Stmts'!Q55+'&gt;&gt; Fin Stmts'!Q62</f>
        <v>-0.7</v>
      </c>
      <c r="R44" s="72">
        <f>'&gt;&gt; Fin Stmts'!R55+'&gt;&gt; Fin Stmts'!R62</f>
        <v>-0.7</v>
      </c>
      <c r="S44" s="72">
        <f>'&gt;&gt; Fin Stmts'!S55+'&gt;&gt; Fin Stmts'!S62</f>
        <v>-0.7</v>
      </c>
      <c r="T44" s="72">
        <f>'&gt;&gt; Fin Stmts'!T55+'&gt;&gt; Fin Stmts'!T62</f>
        <v>-0.7</v>
      </c>
      <c r="U44" s="72">
        <f>'&gt;&gt; Fin Stmts'!U55+'&gt;&gt; Fin Stmts'!U62</f>
        <v>-0.7</v>
      </c>
      <c r="V44" s="72">
        <f>'&gt;&gt; Fin Stmts'!V55+'&gt;&gt; Fin Stmts'!V62</f>
        <v>-0.7</v>
      </c>
      <c r="W44" s="72">
        <f>'&gt;&gt; Fin Stmts'!W55+'&gt;&gt; Fin Stmts'!W62</f>
        <v>-0.7</v>
      </c>
      <c r="X44" s="72">
        <f>'&gt;&gt; Fin Stmts'!X55+'&gt;&gt; Fin Stmts'!X62</f>
        <v>-0.7</v>
      </c>
      <c r="Y44" s="72">
        <f>'&gt;&gt; Fin Stmts'!Y55+'&gt;&gt; Fin Stmts'!Y62</f>
        <v>-0.7</v>
      </c>
    </row>
    <row r="45" spans="4:25" ht="15" customHeight="1" x14ac:dyDescent="0.25">
      <c r="D45" s="19"/>
      <c r="E45" s="2" t="s">
        <v>27</v>
      </c>
      <c r="F45" s="24" t="s">
        <v>25</v>
      </c>
      <c r="G45" s="24"/>
      <c r="H45" s="72">
        <f>'&gt;&gt; Fin Stmts'!H29</f>
        <v>1.7</v>
      </c>
      <c r="I45" s="72">
        <f>'&gt;&gt; Fin Stmts'!I29</f>
        <v>17.600000000000001</v>
      </c>
      <c r="J45" s="72">
        <f>'&gt;&gt; Fin Stmts'!J29</f>
        <v>0.8</v>
      </c>
      <c r="K45" s="72">
        <f>'&gt;&gt; Fin Stmts'!K29</f>
        <v>5.3</v>
      </c>
      <c r="L45" s="72">
        <f>'&gt;&gt; Fin Stmts'!L29</f>
        <v>43.3</v>
      </c>
      <c r="M45" s="72">
        <f>'&gt;&gt; Fin Stmts'!M29</f>
        <v>16.100000000000001</v>
      </c>
      <c r="N45" s="72">
        <f>'&gt;&gt; Fin Stmts'!N29</f>
        <v>2.4</v>
      </c>
      <c r="O45" s="72">
        <f>'&gt;&gt; Fin Stmts'!O29</f>
        <v>4.9000000000000004</v>
      </c>
      <c r="P45" s="72">
        <f>'&gt;&gt; Fin Stmts'!P29</f>
        <v>3.9220684209608541</v>
      </c>
      <c r="Q45" s="72">
        <f>'&gt;&gt; Fin Stmts'!Q29</f>
        <v>4.3891868540123165</v>
      </c>
      <c r="R45" s="72">
        <f>'&gt;&gt; Fin Stmts'!R29</f>
        <v>4.7397618368587411</v>
      </c>
      <c r="S45" s="72">
        <f>'&gt;&gt; Fin Stmts'!S29</f>
        <v>4.9049755692175845</v>
      </c>
      <c r="T45" s="72">
        <f>'&gt;&gt; Fin Stmts'!T29</f>
        <v>5.0684137777405578</v>
      </c>
      <c r="U45" s="72">
        <f>'&gt;&gt; Fin Stmts'!U29</f>
        <v>5.226045254495137</v>
      </c>
      <c r="V45" s="72">
        <f>'&gt;&gt; Fin Stmts'!V29</f>
        <v>5.3769765828104035</v>
      </c>
      <c r="W45" s="72">
        <f>'&gt;&gt; Fin Stmts'!W29</f>
        <v>5.5203292025756054</v>
      </c>
      <c r="X45" s="72">
        <f>'&gt;&gt; Fin Stmts'!X29</f>
        <v>5.6552477074160254</v>
      </c>
      <c r="Y45" s="72">
        <f>'&gt;&gt; Fin Stmts'!Y29</f>
        <v>5.7809081613143567</v>
      </c>
    </row>
    <row r="46" spans="4:25" ht="15" customHeight="1" x14ac:dyDescent="0.25">
      <c r="D46" s="19"/>
      <c r="E46" s="2" t="s">
        <v>28</v>
      </c>
      <c r="F46" s="24" t="s">
        <v>25</v>
      </c>
      <c r="G46" s="24"/>
      <c r="H46" s="72">
        <f t="shared" ref="H46:N46" si="14">SUM(H43:H45)</f>
        <v>-217.8</v>
      </c>
      <c r="I46" s="72">
        <f t="shared" si="14"/>
        <v>-155.1</v>
      </c>
      <c r="J46" s="72">
        <f t="shared" si="14"/>
        <v>-260.3</v>
      </c>
      <c r="K46" s="72">
        <f t="shared" si="14"/>
        <v>-244.7</v>
      </c>
      <c r="L46" s="72">
        <f t="shared" si="14"/>
        <v>-235.40000000000003</v>
      </c>
      <c r="M46" s="72">
        <f t="shared" si="14"/>
        <v>-186</v>
      </c>
      <c r="N46" s="72">
        <f t="shared" si="14"/>
        <v>-257.90000000000003</v>
      </c>
      <c r="O46" s="72">
        <f>SUM(O43:O45)</f>
        <v>-316.40000000000003</v>
      </c>
      <c r="P46" s="72">
        <f>SUM(P43:P45)</f>
        <v>-343.98365662380638</v>
      </c>
      <c r="Q46" s="72">
        <f t="shared" ref="Q46:Y46" si="15">SUM(Q43:Q45)</f>
        <v>-371.199606783511</v>
      </c>
      <c r="R46" s="72">
        <f t="shared" si="15"/>
        <v>-392.73414453286466</v>
      </c>
      <c r="S46" s="72">
        <f t="shared" si="15"/>
        <v>-406.27306114285523</v>
      </c>
      <c r="T46" s="72">
        <f t="shared" si="15"/>
        <v>-411.69229812405911</v>
      </c>
      <c r="U46" s="72">
        <f t="shared" si="15"/>
        <v>-469.17291151623317</v>
      </c>
      <c r="V46" s="72">
        <f t="shared" si="15"/>
        <v>-477.39283756545177</v>
      </c>
      <c r="W46" s="72">
        <f t="shared" si="15"/>
        <v>-502.93343674443076</v>
      </c>
      <c r="X46" s="72">
        <f t="shared" si="15"/>
        <v>-535.26446306485411</v>
      </c>
      <c r="Y46" s="72">
        <f t="shared" si="15"/>
        <v>-569.54353254295347</v>
      </c>
    </row>
    <row r="47" spans="4:25" ht="15" customHeight="1" x14ac:dyDescent="0.25">
      <c r="D47" s="19"/>
      <c r="E47" s="2" t="s">
        <v>119</v>
      </c>
      <c r="F47" s="24" t="s">
        <v>25</v>
      </c>
      <c r="G47" s="24"/>
      <c r="H47" s="72">
        <f t="shared" ref="H47:O47" si="16">G46-H46</f>
        <v>217.8</v>
      </c>
      <c r="I47" s="72">
        <f t="shared" si="16"/>
        <v>-62.700000000000017</v>
      </c>
      <c r="J47" s="72">
        <f t="shared" si="16"/>
        <v>105.20000000000002</v>
      </c>
      <c r="K47" s="72">
        <f t="shared" si="16"/>
        <v>-15.600000000000023</v>
      </c>
      <c r="L47" s="72">
        <f t="shared" si="16"/>
        <v>-9.2999999999999545</v>
      </c>
      <c r="M47" s="72">
        <f t="shared" si="16"/>
        <v>-49.400000000000034</v>
      </c>
      <c r="N47" s="72">
        <f t="shared" si="16"/>
        <v>71.900000000000034</v>
      </c>
      <c r="O47" s="72">
        <f t="shared" si="16"/>
        <v>58.5</v>
      </c>
      <c r="P47" s="72">
        <f>O46-P46</f>
        <v>27.583656623806348</v>
      </c>
      <c r="Q47" s="72">
        <f t="shared" ref="Q47:Y47" si="17">P46-Q46</f>
        <v>27.215950159704619</v>
      </c>
      <c r="R47" s="72">
        <f t="shared" si="17"/>
        <v>21.53453774935366</v>
      </c>
      <c r="S47" s="72">
        <f t="shared" si="17"/>
        <v>13.538916609990565</v>
      </c>
      <c r="T47" s="72">
        <f t="shared" si="17"/>
        <v>5.4192369812038805</v>
      </c>
      <c r="U47" s="72">
        <f t="shared" si="17"/>
        <v>57.480613392174064</v>
      </c>
      <c r="V47" s="72">
        <f t="shared" si="17"/>
        <v>8.2199260492185999</v>
      </c>
      <c r="W47" s="72">
        <f t="shared" si="17"/>
        <v>25.540599178978994</v>
      </c>
      <c r="X47" s="72">
        <f t="shared" si="17"/>
        <v>32.331026320423348</v>
      </c>
      <c r="Y47" s="72">
        <f t="shared" si="17"/>
        <v>34.279069478099359</v>
      </c>
    </row>
    <row r="48" spans="4:25" ht="15" customHeight="1" x14ac:dyDescent="0.25">
      <c r="D48" s="19"/>
      <c r="E48" s="2"/>
      <c r="F48" s="24"/>
      <c r="G48" s="24"/>
      <c r="H48" s="2"/>
      <c r="I48" s="2"/>
      <c r="J48" s="2"/>
      <c r="K48" s="2"/>
      <c r="L48" s="2"/>
      <c r="M48" s="2"/>
      <c r="N48" s="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</row>
    <row r="49" spans="4:25" ht="15" customHeight="1" x14ac:dyDescent="0.25">
      <c r="E49" s="2" t="s">
        <v>120</v>
      </c>
      <c r="F49" s="24" t="s">
        <v>25</v>
      </c>
      <c r="O49" s="74"/>
      <c r="P49" s="74">
        <f t="shared" ref="P49:Y49" ca="1" si="18">P30*P33</f>
        <v>2.5113883513498174</v>
      </c>
      <c r="Q49" s="74">
        <f t="shared" ca="1" si="18"/>
        <v>43.556783904701433</v>
      </c>
      <c r="R49" s="74">
        <f t="shared" ca="1" si="18"/>
        <v>57.986512910387873</v>
      </c>
      <c r="S49" s="74">
        <f t="shared" ca="1" si="18"/>
        <v>63.113002744078585</v>
      </c>
      <c r="T49" s="74">
        <f t="shared" ca="1" si="18"/>
        <v>69.138723776421514</v>
      </c>
      <c r="U49" s="74">
        <f t="shared" ca="1" si="18"/>
        <v>73.441502516803538</v>
      </c>
      <c r="V49" s="74">
        <f t="shared" ca="1" si="18"/>
        <v>77.234861483409006</v>
      </c>
      <c r="W49" s="74">
        <f t="shared" ca="1" si="18"/>
        <v>83.064318181746799</v>
      </c>
      <c r="X49" s="74">
        <f t="shared" ca="1" si="18"/>
        <v>88.486429360518443</v>
      </c>
      <c r="Y49" s="74">
        <f t="shared" ca="1" si="18"/>
        <v>87.572914172978273</v>
      </c>
    </row>
    <row r="50" spans="4:25" ht="15" customHeight="1" x14ac:dyDescent="0.25">
      <c r="D50" s="19" t="s">
        <v>60</v>
      </c>
      <c r="E50" s="2" t="s">
        <v>272</v>
      </c>
      <c r="F50" s="24" t="s">
        <v>25</v>
      </c>
      <c r="G50" s="54"/>
      <c r="H50" s="333">
        <v>0</v>
      </c>
      <c r="I50" s="334">
        <v>-0.2</v>
      </c>
      <c r="J50" s="334">
        <v>-0.5</v>
      </c>
      <c r="K50" s="334">
        <v>-1.2</v>
      </c>
      <c r="L50" s="334">
        <v>-0.9</v>
      </c>
      <c r="M50" s="334">
        <v>-2.8</v>
      </c>
      <c r="N50" s="334">
        <v>-1.9</v>
      </c>
      <c r="O50" s="335">
        <v>0</v>
      </c>
      <c r="P50" s="72">
        <f>P46*P51</f>
        <v>-1.6883973302878592</v>
      </c>
      <c r="Q50" s="72">
        <f t="shared" ref="Q50:Y50" si="19">Q46*Q51</f>
        <v>-1.8219831466661844</v>
      </c>
      <c r="R50" s="72">
        <f t="shared" si="19"/>
        <v>-1.9276825173916816</v>
      </c>
      <c r="S50" s="72">
        <f t="shared" si="19"/>
        <v>-1.9941364614065207</v>
      </c>
      <c r="T50" s="72">
        <f t="shared" si="19"/>
        <v>-2.020736054367033</v>
      </c>
      <c r="U50" s="72">
        <f t="shared" si="19"/>
        <v>-2.30287188357241</v>
      </c>
      <c r="V50" s="72">
        <f t="shared" si="19"/>
        <v>-2.3432182806451127</v>
      </c>
      <c r="W50" s="72">
        <f t="shared" si="19"/>
        <v>-2.4685808629578561</v>
      </c>
      <c r="X50" s="72">
        <f t="shared" si="19"/>
        <v>-2.6272733399802988</v>
      </c>
      <c r="Y50" s="72">
        <f t="shared" si="19"/>
        <v>-2.7955275237971513</v>
      </c>
    </row>
    <row r="51" spans="4:25" ht="15" customHeight="1" x14ac:dyDescent="0.25">
      <c r="D51" s="19"/>
      <c r="E51" s="18" t="s">
        <v>89</v>
      </c>
      <c r="F51" s="24" t="s">
        <v>7</v>
      </c>
      <c r="G51" s="37"/>
      <c r="H51" s="310"/>
      <c r="I51" s="310">
        <f>I50/I46</f>
        <v>1.2894906511927791E-3</v>
      </c>
      <c r="J51" s="310">
        <f t="shared" ref="J51:O51" si="20">J50/J46</f>
        <v>1.9208605455243949E-3</v>
      </c>
      <c r="K51" s="310">
        <f t="shared" si="20"/>
        <v>4.9039640375970577E-3</v>
      </c>
      <c r="L51" s="310">
        <f t="shared" si="20"/>
        <v>3.8232795242141033E-3</v>
      </c>
      <c r="M51" s="310">
        <f t="shared" si="20"/>
        <v>1.5053763440860214E-2</v>
      </c>
      <c r="N51" s="310">
        <f t="shared" si="20"/>
        <v>7.3671965878247371E-3</v>
      </c>
      <c r="O51" s="336">
        <f t="shared" si="20"/>
        <v>0</v>
      </c>
      <c r="P51" s="337">
        <f>AVERAGE(I51:O51)</f>
        <v>4.908364969601898E-3</v>
      </c>
      <c r="Q51" s="338">
        <f>P51</f>
        <v>4.908364969601898E-3</v>
      </c>
      <c r="R51" s="338">
        <f t="shared" ref="R51:Y51" si="21">Q51</f>
        <v>4.908364969601898E-3</v>
      </c>
      <c r="S51" s="338">
        <f t="shared" si="21"/>
        <v>4.908364969601898E-3</v>
      </c>
      <c r="T51" s="338">
        <f t="shared" si="21"/>
        <v>4.908364969601898E-3</v>
      </c>
      <c r="U51" s="338">
        <f t="shared" si="21"/>
        <v>4.908364969601898E-3</v>
      </c>
      <c r="V51" s="338">
        <f t="shared" si="21"/>
        <v>4.908364969601898E-3</v>
      </c>
      <c r="W51" s="338">
        <f t="shared" si="21"/>
        <v>4.908364969601898E-3</v>
      </c>
      <c r="X51" s="338">
        <f t="shared" si="21"/>
        <v>4.908364969601898E-3</v>
      </c>
      <c r="Y51" s="339">
        <f t="shared" si="21"/>
        <v>4.908364969601898E-3</v>
      </c>
    </row>
    <row r="52" spans="4:25" ht="15" customHeight="1" x14ac:dyDescent="0.25">
      <c r="D52" s="19" t="s">
        <v>58</v>
      </c>
      <c r="E52" s="2" t="s">
        <v>121</v>
      </c>
      <c r="F52" s="24" t="s">
        <v>25</v>
      </c>
      <c r="G52" s="24"/>
      <c r="H52" s="2"/>
      <c r="I52" s="2"/>
      <c r="J52" s="2"/>
      <c r="K52" s="2"/>
      <c r="L52" s="2"/>
      <c r="M52" s="2"/>
      <c r="N52" s="2"/>
      <c r="O52" s="72"/>
      <c r="P52" s="74">
        <f t="shared" ref="P52:Y52" si="22">P47</f>
        <v>27.583656623806348</v>
      </c>
      <c r="Q52" s="74">
        <f t="shared" si="22"/>
        <v>27.215950159704619</v>
      </c>
      <c r="R52" s="74">
        <f t="shared" si="22"/>
        <v>21.53453774935366</v>
      </c>
      <c r="S52" s="74">
        <f t="shared" si="22"/>
        <v>13.538916609990565</v>
      </c>
      <c r="T52" s="74">
        <f t="shared" si="22"/>
        <v>5.4192369812038805</v>
      </c>
      <c r="U52" s="74">
        <f t="shared" si="22"/>
        <v>57.480613392174064</v>
      </c>
      <c r="V52" s="74">
        <f t="shared" si="22"/>
        <v>8.2199260492185999</v>
      </c>
      <c r="W52" s="74">
        <f t="shared" si="22"/>
        <v>25.540599178978994</v>
      </c>
      <c r="X52" s="74">
        <f t="shared" si="22"/>
        <v>32.331026320423348</v>
      </c>
      <c r="Y52" s="74">
        <f t="shared" si="22"/>
        <v>34.279069478099359</v>
      </c>
    </row>
    <row r="53" spans="4:25" ht="15" customHeight="1" x14ac:dyDescent="0.25">
      <c r="D53" s="19"/>
      <c r="E53" s="191" t="s">
        <v>122</v>
      </c>
      <c r="F53" s="192" t="s">
        <v>25</v>
      </c>
      <c r="G53" s="192"/>
      <c r="H53" s="197"/>
      <c r="I53" s="197"/>
      <c r="J53" s="197"/>
      <c r="K53" s="197"/>
      <c r="L53" s="197"/>
      <c r="M53" s="197"/>
      <c r="N53" s="197"/>
      <c r="O53" s="211"/>
      <c r="P53" s="212">
        <f ca="1">SUM(P49:P50,P52)</f>
        <v>28.406647644868308</v>
      </c>
      <c r="Q53" s="212">
        <f t="shared" ref="Q53:Y53" ca="1" si="23">SUM(Q49:Q50,Q52)</f>
        <v>68.950750917739867</v>
      </c>
      <c r="R53" s="212">
        <f t="shared" ca="1" si="23"/>
        <v>77.593368142349846</v>
      </c>
      <c r="S53" s="212">
        <f t="shared" ca="1" si="23"/>
        <v>74.657782892662624</v>
      </c>
      <c r="T53" s="212">
        <f t="shared" ca="1" si="23"/>
        <v>72.53722470325836</v>
      </c>
      <c r="U53" s="212">
        <f t="shared" ca="1" si="23"/>
        <v>128.61924402540518</v>
      </c>
      <c r="V53" s="212">
        <f t="shared" ca="1" si="23"/>
        <v>83.111569251982488</v>
      </c>
      <c r="W53" s="212">
        <f t="shared" ca="1" si="23"/>
        <v>106.13633649776794</v>
      </c>
      <c r="X53" s="212">
        <f t="shared" ca="1" si="23"/>
        <v>118.19018234096148</v>
      </c>
      <c r="Y53" s="212">
        <f t="shared" ca="1" si="23"/>
        <v>119.05645612728048</v>
      </c>
    </row>
    <row r="54" spans="4:25" ht="15" customHeight="1" x14ac:dyDescent="0.25">
      <c r="D54" s="19"/>
      <c r="E54" s="188" t="s">
        <v>124</v>
      </c>
      <c r="F54" s="79" t="s">
        <v>25</v>
      </c>
      <c r="G54" s="79"/>
      <c r="H54" s="80"/>
      <c r="I54" s="80"/>
      <c r="J54" s="80"/>
      <c r="K54" s="80"/>
      <c r="L54" s="80"/>
      <c r="M54" s="80"/>
      <c r="N54" s="80"/>
      <c r="O54" s="196"/>
      <c r="P54" s="213"/>
      <c r="Q54" s="213"/>
      <c r="R54" s="213"/>
      <c r="S54" s="213"/>
      <c r="T54" s="213"/>
      <c r="U54" s="213"/>
      <c r="V54" s="213"/>
      <c r="W54" s="213"/>
      <c r="X54" s="213"/>
      <c r="Y54" s="214">
        <f ca="1">(Y53*(1+'&gt;&gt; Dash'!F41))/('&gt;&gt; Dash'!$F$46-'&gt;&gt; Dash'!$F$41)</f>
        <v>1454.3423383212705</v>
      </c>
    </row>
    <row r="55" spans="4:25" ht="15" customHeight="1" x14ac:dyDescent="0.25">
      <c r="D55" s="19"/>
      <c r="E55" s="2"/>
      <c r="F55" s="24"/>
      <c r="G55" s="24"/>
      <c r="H55" s="2"/>
      <c r="I55" s="2"/>
      <c r="J55" s="2"/>
      <c r="K55" s="2"/>
      <c r="L55" s="2"/>
      <c r="M55" s="2"/>
      <c r="N55" s="2"/>
      <c r="O55" s="72"/>
      <c r="P55" s="75"/>
      <c r="Q55" s="75"/>
      <c r="R55" s="75"/>
      <c r="S55" s="75"/>
      <c r="T55" s="75"/>
      <c r="U55" s="75"/>
      <c r="V55" s="75"/>
      <c r="W55" s="75"/>
      <c r="X55" s="75"/>
      <c r="Y55" s="75"/>
    </row>
    <row r="56" spans="4:25" ht="15" customHeight="1" x14ac:dyDescent="0.25">
      <c r="D56" s="19"/>
      <c r="E56" s="2" t="s">
        <v>36</v>
      </c>
      <c r="F56" s="24" t="s">
        <v>7</v>
      </c>
      <c r="G56" s="24"/>
      <c r="H56" s="28"/>
      <c r="I56" s="28"/>
      <c r="J56" s="28"/>
      <c r="K56" s="21"/>
      <c r="L56" s="21"/>
      <c r="M56" s="21"/>
      <c r="N56" s="21"/>
      <c r="O56" s="21"/>
      <c r="P56" s="21">
        <f ca="1">P11 * '&gt;&gt; Inputs'!P45</f>
        <v>0.10684931506849316</v>
      </c>
      <c r="Q56" s="21">
        <f ca="1">Q11 * '&gt;&gt; Inputs'!Q45</f>
        <v>1</v>
      </c>
      <c r="R56" s="21">
        <f ca="1">R11 * '&gt;&gt; Inputs'!R45</f>
        <v>1</v>
      </c>
      <c r="S56" s="21">
        <f ca="1">S11 * '&gt;&gt; Inputs'!S45</f>
        <v>1</v>
      </c>
      <c r="T56" s="21">
        <f ca="1">T11 * '&gt;&gt; Inputs'!T45</f>
        <v>1</v>
      </c>
      <c r="U56" s="21">
        <f ca="1">U11 * '&gt;&gt; Inputs'!U45</f>
        <v>1</v>
      </c>
      <c r="V56" s="21">
        <f ca="1">V11 * '&gt;&gt; Inputs'!V45</f>
        <v>1</v>
      </c>
      <c r="W56" s="21">
        <f ca="1">W11 * '&gt;&gt; Inputs'!W45</f>
        <v>1</v>
      </c>
      <c r="X56" s="21">
        <f ca="1">X11 * '&gt;&gt; Inputs'!X45</f>
        <v>1</v>
      </c>
      <c r="Y56" s="21">
        <f ca="1">Y11 * '&gt;&gt; Inputs'!Y45</f>
        <v>1</v>
      </c>
    </row>
    <row r="57" spans="4:25" ht="15" customHeight="1" x14ac:dyDescent="0.25">
      <c r="D57" s="19"/>
      <c r="E57" s="2" t="s">
        <v>113</v>
      </c>
      <c r="F57" s="24" t="s">
        <v>25</v>
      </c>
      <c r="G57" s="24"/>
      <c r="H57" s="27"/>
      <c r="I57" s="27"/>
      <c r="J57" s="27"/>
      <c r="K57" s="33"/>
      <c r="L57" s="33"/>
      <c r="M57" s="33"/>
      <c r="N57" s="33"/>
      <c r="O57" s="33"/>
      <c r="P57" s="33">
        <f ca="1">( P56 * P53 )</f>
        <v>3.035230844246203</v>
      </c>
      <c r="Q57" s="33">
        <f t="shared" ref="Q57:Y57" ca="1" si="24">( Q56 * Q53 )</f>
        <v>68.950750917739867</v>
      </c>
      <c r="R57" s="33">
        <f t="shared" ca="1" si="24"/>
        <v>77.593368142349846</v>
      </c>
      <c r="S57" s="33">
        <f t="shared" ca="1" si="24"/>
        <v>74.657782892662624</v>
      </c>
      <c r="T57" s="33">
        <f t="shared" ca="1" si="24"/>
        <v>72.53722470325836</v>
      </c>
      <c r="U57" s="33">
        <f t="shared" ca="1" si="24"/>
        <v>128.61924402540518</v>
      </c>
      <c r="V57" s="33">
        <f t="shared" ca="1" si="24"/>
        <v>83.111569251982488</v>
      </c>
      <c r="W57" s="33">
        <f t="shared" ca="1" si="24"/>
        <v>106.13633649776794</v>
      </c>
      <c r="X57" s="33">
        <f t="shared" ca="1" si="24"/>
        <v>118.19018234096148</v>
      </c>
      <c r="Y57" s="33">
        <f t="shared" ca="1" si="24"/>
        <v>119.05645612728048</v>
      </c>
    </row>
    <row r="58" spans="4:25" ht="15" customHeight="1" x14ac:dyDescent="0.25">
      <c r="D58" s="19"/>
      <c r="E58" s="2" t="s">
        <v>114</v>
      </c>
      <c r="F58" s="24" t="s">
        <v>25</v>
      </c>
      <c r="G58" s="24"/>
      <c r="H58" s="27"/>
      <c r="I58" s="27"/>
      <c r="J58" s="27"/>
      <c r="K58" s="33"/>
      <c r="L58" s="33"/>
      <c r="M58" s="33"/>
      <c r="N58" s="33"/>
      <c r="O58" s="33"/>
      <c r="P58" s="33">
        <f t="shared" ref="P58:X58" ca="1" si="25">P56 * P55</f>
        <v>0</v>
      </c>
      <c r="Q58" s="33">
        <f t="shared" ca="1" si="25"/>
        <v>0</v>
      </c>
      <c r="R58" s="33">
        <f t="shared" ca="1" si="25"/>
        <v>0</v>
      </c>
      <c r="S58" s="33">
        <f t="shared" ca="1" si="25"/>
        <v>0</v>
      </c>
      <c r="T58" s="33">
        <f t="shared" ca="1" si="25"/>
        <v>0</v>
      </c>
      <c r="U58" s="33">
        <f t="shared" ca="1" si="25"/>
        <v>0</v>
      </c>
      <c r="V58" s="33">
        <f t="shared" ca="1" si="25"/>
        <v>0</v>
      </c>
      <c r="W58" s="33">
        <f t="shared" ca="1" si="25"/>
        <v>0</v>
      </c>
      <c r="X58" s="33">
        <f t="shared" ca="1" si="25"/>
        <v>0</v>
      </c>
      <c r="Y58" s="33">
        <f ca="1">Y56 * Y54</f>
        <v>1454.3423383212705</v>
      </c>
    </row>
    <row r="59" spans="4:25" ht="15" customHeight="1" x14ac:dyDescent="0.25">
      <c r="D59" s="19"/>
      <c r="E59" s="2"/>
      <c r="F59" s="24"/>
      <c r="G59" s="24"/>
      <c r="H59" s="16"/>
      <c r="I59" s="27"/>
      <c r="J59" s="27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4:25" ht="15" customHeight="1" x14ac:dyDescent="0.25">
      <c r="D60" s="19"/>
      <c r="E60" s="2" t="s">
        <v>115</v>
      </c>
      <c r="F60" s="16" t="s">
        <v>10</v>
      </c>
      <c r="G60" s="16"/>
      <c r="H60" s="27"/>
      <c r="I60" s="27"/>
      <c r="J60" s="27"/>
      <c r="K60" s="61"/>
      <c r="L60" s="61"/>
      <c r="M60" s="61"/>
      <c r="N60" s="61"/>
      <c r="O60" s="61"/>
      <c r="P60" s="61">
        <f ca="1">IF( P11 = 1, ( P8 - '&gt;&gt; Inputs'!$G$26 ) / DiY, 0 )</f>
        <v>0.10684931506849316</v>
      </c>
      <c r="Q60" s="61">
        <f ca="1">IF( Q11 = 1, ( Q8 - '&gt;&gt; Inputs'!$G$26 ) / DiY, 0 )</f>
        <v>1.106849315068493</v>
      </c>
      <c r="R60" s="61">
        <f ca="1">IF( R11 = 1, ( R8 - '&gt;&gt; Inputs'!$G$26 ) / DiY, 0 )</f>
        <v>2.106849315068493</v>
      </c>
      <c r="S60" s="61">
        <f ca="1">IF( S11 = 1, ( S8 - '&gt;&gt; Inputs'!$G$26 ) / DiY, 0 )</f>
        <v>3.106849315068493</v>
      </c>
      <c r="T60" s="61">
        <f ca="1">IF( T11 = 1, ( T8 - '&gt;&gt; Inputs'!$G$26 ) / DiY, 0 )</f>
        <v>4.1095890410958908</v>
      </c>
      <c r="U60" s="61">
        <f ca="1">IF( U11 = 1, ( U8 - '&gt;&gt; Inputs'!$G$26 ) / DiY, 0 )</f>
        <v>5.1095890410958908</v>
      </c>
      <c r="V60" s="61">
        <f ca="1">IF( V11 = 1, ( V8 - '&gt;&gt; Inputs'!$G$26 ) / DiY, 0 )</f>
        <v>6.1095890410958908</v>
      </c>
      <c r="W60" s="61">
        <f ca="1">IF( W11 = 1, ( W8 - '&gt;&gt; Inputs'!$G$26 ) / DiY, 0 )</f>
        <v>7.1095890410958908</v>
      </c>
      <c r="X60" s="61">
        <f ca="1">IF( X11 = 1, ( X8 - '&gt;&gt; Inputs'!$G$26 ) / DiY, 0 )</f>
        <v>8.1123287671232873</v>
      </c>
      <c r="Y60" s="61">
        <f ca="1">IF( Y11 = 1, ( Y8 - '&gt;&gt; Inputs'!$G$26 ) / DiY, 0 )</f>
        <v>9.1123287671232873</v>
      </c>
    </row>
    <row r="61" spans="4:25" ht="15" customHeight="1" x14ac:dyDescent="0.25">
      <c r="D61" s="19"/>
      <c r="E61" s="2" t="s">
        <v>116</v>
      </c>
      <c r="F61" s="24" t="s">
        <v>10</v>
      </c>
      <c r="G61" s="24"/>
      <c r="H61" s="44"/>
      <c r="I61" s="44"/>
      <c r="J61" s="44"/>
      <c r="K61" s="22"/>
      <c r="L61" s="22"/>
      <c r="M61" s="22"/>
      <c r="N61" s="22"/>
      <c r="O61" s="22"/>
      <c r="P61" s="22">
        <f ca="1">P11 * ( 1 / ( 1 + '&gt;&gt; Dash'!$F$46 ) ^ '&gt;&gt; DCF'!P$60 )</f>
        <v>0.98953191301751287</v>
      </c>
      <c r="Q61" s="22">
        <f ca="1">Q11 * ( 1 / ( 1 + '&gt;&gt; Dash'!$F$46 ) ^ '&gt;&gt; DCF'!Q$60 )</f>
        <v>0.89672126236294791</v>
      </c>
      <c r="R61" s="22">
        <f ca="1">R11 * ( 1 / ( 1 + '&gt;&gt; Dash'!$F$46 ) ^ '&gt;&gt; DCF'!R$60 )</f>
        <v>0.81261555266239049</v>
      </c>
      <c r="S61" s="22">
        <f ca="1">S11 * ( 1 / ( 1 + '&gt;&gt; Dash'!$F$46 ) ^ '&gt;&gt; DCF'!S$60 )</f>
        <v>0.73639832592876353</v>
      </c>
      <c r="T61" s="22">
        <f ca="1">T11 * ( 1 / ( 1 + '&gt;&gt; Dash'!$F$46 ) ^ '&gt;&gt; DCF'!T$60 )</f>
        <v>0.66714966234490969</v>
      </c>
      <c r="U61" s="22">
        <f ca="1">U11 * ( 1 / ( 1 + '&gt;&gt; Dash'!$F$46 ) ^ '&gt;&gt; DCF'!U$60 )</f>
        <v>0.60457604199810588</v>
      </c>
      <c r="V61" s="22">
        <f ca="1">V11 * ( 1 / ( 1 + '&gt;&gt; Dash'!$F$46 ) ^ '&gt;&gt; DCF'!V$60 )</f>
        <v>0.54787135659094333</v>
      </c>
      <c r="W61" s="22">
        <f ca="1">W11 * ( 1 / ( 1 + '&gt;&gt; Dash'!$F$46 ) ^ '&gt;&gt; DCF'!W$60 )</f>
        <v>0.49648514416940948</v>
      </c>
      <c r="X61" s="22">
        <f ca="1">X11 * ( 1 / ( 1 + '&gt;&gt; Dash'!$F$46 ) ^ '&gt;&gt; DCF'!X$60 )</f>
        <v>0.44979718805597524</v>
      </c>
      <c r="Y61" s="22">
        <f ca="1">Y11 * ( 1 / ( 1 + '&gt;&gt; Dash'!$F$46 ) ^ '&gt;&gt; DCF'!Y$60 )</f>
        <v>0.40760959497596305</v>
      </c>
    </row>
    <row r="62" spans="4:25" ht="15" customHeight="1" x14ac:dyDescent="0.25">
      <c r="D62" s="19"/>
      <c r="E62" s="71"/>
      <c r="F62" s="24"/>
      <c r="G62" s="24"/>
      <c r="H62" s="2"/>
      <c r="I62" s="2"/>
      <c r="J62" s="2"/>
      <c r="K62" s="2"/>
      <c r="L62" s="2"/>
      <c r="M62" s="2"/>
      <c r="N62" s="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</row>
    <row r="63" spans="4:25" ht="15" customHeight="1" x14ac:dyDescent="0.25">
      <c r="D63" s="19"/>
      <c r="E63" s="191" t="s">
        <v>123</v>
      </c>
      <c r="F63" s="192" t="s">
        <v>25</v>
      </c>
      <c r="G63" s="192"/>
      <c r="H63" s="197"/>
      <c r="I63" s="197"/>
      <c r="J63" s="197"/>
      <c r="K63" s="197"/>
      <c r="L63" s="197"/>
      <c r="M63" s="197"/>
      <c r="N63" s="197"/>
      <c r="O63" s="198"/>
      <c r="P63" s="199">
        <f ca="1">P61*P57</f>
        <v>3.0034577837567058</v>
      </c>
      <c r="Q63" s="199">
        <f t="shared" ref="Q63:Y63" ca="1" si="26">Q61*Q57</f>
        <v>61.829604403828881</v>
      </c>
      <c r="R63" s="199">
        <f t="shared" ca="1" si="26"/>
        <v>63.053577735931945</v>
      </c>
      <c r="S63" s="199">
        <f t="shared" ca="1" si="26"/>
        <v>54.977866339709834</v>
      </c>
      <c r="T63" s="199">
        <f t="shared" ca="1" si="26"/>
        <v>48.393184968215657</v>
      </c>
      <c r="U63" s="199">
        <f t="shared" ca="1" si="26"/>
        <v>77.760113477667986</v>
      </c>
      <c r="V63" s="199">
        <f t="shared" ca="1" si="26"/>
        <v>45.534448194485776</v>
      </c>
      <c r="W63" s="199">
        <f t="shared" ca="1" si="26"/>
        <v>52.695114327707273</v>
      </c>
      <c r="X63" s="199">
        <f t="shared" ca="1" si="26"/>
        <v>53.161611672787458</v>
      </c>
      <c r="Y63" s="199">
        <f t="shared" ca="1" si="26"/>
        <v>48.528553861314315</v>
      </c>
    </row>
    <row r="64" spans="4:25" ht="15" customHeight="1" x14ac:dyDescent="0.25">
      <c r="E64" s="188" t="s">
        <v>245</v>
      </c>
      <c r="F64" s="79" t="s">
        <v>25</v>
      </c>
      <c r="G64" s="79"/>
      <c r="H64" s="80"/>
      <c r="I64" s="80"/>
      <c r="J64" s="80"/>
      <c r="K64" s="80"/>
      <c r="L64" s="80"/>
      <c r="M64" s="80"/>
      <c r="N64" s="80"/>
      <c r="O64" s="189"/>
      <c r="P64" s="190"/>
      <c r="Q64" s="190"/>
      <c r="R64" s="190"/>
      <c r="S64" s="190"/>
      <c r="T64" s="190"/>
      <c r="U64" s="190"/>
      <c r="V64" s="190"/>
      <c r="W64" s="190"/>
      <c r="X64" s="190"/>
      <c r="Y64" s="208">
        <f ca="1">Y58 * Y61</f>
        <v>592.80389147952815</v>
      </c>
    </row>
    <row r="65" spans="5:25" ht="15" customHeight="1" x14ac:dyDescent="0.25">
      <c r="E65" s="71"/>
      <c r="F65" s="24"/>
      <c r="G65" s="24"/>
      <c r="H65" s="2"/>
      <c r="I65" s="2"/>
      <c r="J65" s="2"/>
      <c r="K65" s="2"/>
      <c r="L65" s="2"/>
      <c r="M65" s="2"/>
      <c r="N65" s="2"/>
      <c r="O65" s="34"/>
      <c r="P65" s="73"/>
      <c r="Q65" s="73"/>
      <c r="R65" s="73"/>
      <c r="S65" s="73"/>
      <c r="T65" s="73"/>
      <c r="U65" s="73"/>
      <c r="V65" s="73"/>
      <c r="W65" s="73"/>
      <c r="X65" s="73"/>
      <c r="Y65" s="73"/>
    </row>
    <row r="66" spans="5:25" ht="15" customHeight="1" x14ac:dyDescent="0.25">
      <c r="E66" s="2"/>
      <c r="F66" s="24"/>
      <c r="G66" s="24"/>
      <c r="H66" s="2"/>
      <c r="I66" s="2"/>
      <c r="J66" s="2"/>
      <c r="K66" s="2"/>
      <c r="L66" s="2"/>
      <c r="M66" s="2"/>
      <c r="N66" s="2"/>
      <c r="O66" s="34"/>
      <c r="Y66" s="76"/>
    </row>
    <row r="67" spans="5:25" ht="15" customHeight="1" x14ac:dyDescent="0.25">
      <c r="E67" s="350" t="s">
        <v>125</v>
      </c>
      <c r="F67" s="351"/>
      <c r="G67" s="351"/>
      <c r="H67" s="352"/>
      <c r="I67" s="2"/>
      <c r="J67" s="2"/>
      <c r="K67" s="2"/>
      <c r="L67" s="2"/>
      <c r="M67" s="2"/>
      <c r="N67" s="2"/>
      <c r="O67" s="2"/>
      <c r="Q67" s="2"/>
      <c r="R67" s="2"/>
      <c r="S67" s="2"/>
      <c r="T67" s="2"/>
      <c r="U67" s="2"/>
      <c r="V67" s="2"/>
      <c r="W67" s="2"/>
      <c r="X67" s="2"/>
      <c r="Y67" s="2"/>
    </row>
    <row r="68" spans="5:25" ht="15" customHeight="1" x14ac:dyDescent="0.25">
      <c r="E68" s="2"/>
      <c r="F68" s="24"/>
      <c r="G68" s="2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5:25" ht="15" customHeight="1" x14ac:dyDescent="0.25">
      <c r="E69" s="77" t="s">
        <v>126</v>
      </c>
      <c r="F69" s="24" t="s">
        <v>25</v>
      </c>
      <c r="G69" s="2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5:25" ht="15" customHeight="1" x14ac:dyDescent="0.25">
      <c r="E70" s="2" t="s">
        <v>57</v>
      </c>
      <c r="F70" s="24" t="s">
        <v>25</v>
      </c>
      <c r="G70" s="24"/>
      <c r="H70" s="47">
        <f ca="1">SUM(P40:Y41)</f>
        <v>1098.1400267811914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5:25" ht="15" customHeight="1" x14ac:dyDescent="0.25">
      <c r="E71" s="2" t="s">
        <v>59</v>
      </c>
      <c r="F71" s="24" t="s">
        <v>25</v>
      </c>
      <c r="G71" s="24"/>
      <c r="H71" s="17">
        <v>0</v>
      </c>
      <c r="I71" s="78"/>
      <c r="J71" s="47"/>
      <c r="K71" s="2"/>
      <c r="L71" s="2"/>
      <c r="M71" s="2"/>
      <c r="N71" s="2"/>
      <c r="O71" s="2"/>
      <c r="P71" s="47"/>
      <c r="Q71" s="2"/>
      <c r="R71" s="2"/>
      <c r="S71" s="2"/>
      <c r="T71" s="2"/>
      <c r="U71" s="2"/>
      <c r="V71" s="2"/>
      <c r="W71" s="2"/>
      <c r="X71" s="2"/>
      <c r="Y71" s="2"/>
    </row>
    <row r="72" spans="5:25" ht="15" customHeight="1" x14ac:dyDescent="0.25">
      <c r="E72" s="2" t="s">
        <v>61</v>
      </c>
      <c r="F72" s="24" t="s">
        <v>25</v>
      </c>
      <c r="G72" s="24"/>
      <c r="H72" s="27">
        <f>'&gt;&gt; Inputs'!$G$35</f>
        <v>-316.40000000000003</v>
      </c>
      <c r="I72" s="2"/>
      <c r="J72" s="47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5:25" ht="15" customHeight="1" x14ac:dyDescent="0.25">
      <c r="E73" s="15" t="s">
        <v>63</v>
      </c>
      <c r="F73" s="29" t="s">
        <v>25</v>
      </c>
      <c r="G73" s="29"/>
      <c r="H73" s="26">
        <f ca="1">H70 + H71 + H72</f>
        <v>781.74002678119132</v>
      </c>
      <c r="I73" s="2"/>
      <c r="J73" s="3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5:25" ht="15" customHeight="1" x14ac:dyDescent="0.25">
      <c r="E74" s="2"/>
      <c r="F74" s="2"/>
      <c r="G74" s="2"/>
      <c r="H74" s="2"/>
      <c r="I74" s="47"/>
      <c r="J74" s="27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5:25" ht="15" customHeight="1" x14ac:dyDescent="0.25">
      <c r="E75" s="2" t="s">
        <v>64</v>
      </c>
      <c r="F75" s="16" t="s">
        <v>65</v>
      </c>
      <c r="G75" s="16"/>
      <c r="H75" s="27">
        <f>'&gt;&gt; Inputs'!$G$47</f>
        <v>378.75604099999998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5:25" ht="15" customHeight="1" x14ac:dyDescent="0.25">
      <c r="E76" s="1" t="s">
        <v>127</v>
      </c>
      <c r="F76" s="48" t="s">
        <v>66</v>
      </c>
      <c r="G76" s="48"/>
      <c r="H76" s="49">
        <f ca="1">H73 / H75</f>
        <v>2.0639671507739501</v>
      </c>
      <c r="I76" s="2"/>
      <c r="J76" s="34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5:25" ht="15" customHeight="1" x14ac:dyDescent="0.25">
      <c r="E77" s="1"/>
      <c r="F77" s="48"/>
      <c r="G77" s="48"/>
      <c r="H77" s="49"/>
      <c r="I77" s="2"/>
      <c r="J77" s="34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5:25" ht="15" customHeight="1" x14ac:dyDescent="0.25">
      <c r="E78" s="2" t="s">
        <v>67</v>
      </c>
      <c r="F78" s="16" t="s">
        <v>66</v>
      </c>
      <c r="G78" s="16"/>
      <c r="H78" s="50">
        <f>'&gt;&gt; Inputs'!G21</f>
        <v>1.78</v>
      </c>
      <c r="I78" s="2"/>
      <c r="J78" s="34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5:25" ht="15" customHeight="1" x14ac:dyDescent="0.25">
      <c r="E79" s="2" t="s">
        <v>68</v>
      </c>
      <c r="F79" s="16" t="s">
        <v>7</v>
      </c>
      <c r="G79" s="16"/>
      <c r="H79" s="28">
        <f ca="1">H76 / H78 - 1</f>
        <v>0.15953210717637645</v>
      </c>
      <c r="I79" s="2"/>
      <c r="J79" s="34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5:25" ht="15" customHeight="1" x14ac:dyDescent="0.25">
      <c r="E80" s="2"/>
      <c r="F80" s="16"/>
      <c r="G80" s="16"/>
      <c r="H80" s="28"/>
      <c r="I80" s="2"/>
      <c r="J80" s="34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5:25" ht="15" customHeight="1" x14ac:dyDescent="0.25">
      <c r="E81" s="2" t="s">
        <v>262</v>
      </c>
      <c r="F81" s="16" t="s">
        <v>7</v>
      </c>
      <c r="G81" s="16"/>
      <c r="H81" s="28">
        <f>'&gt;&gt; Dash'!$K$41</f>
        <v>8.3545737408000004E-2</v>
      </c>
      <c r="I81" s="2"/>
      <c r="J81" s="3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5:25" ht="15" customHeight="1" x14ac:dyDescent="0.25">
      <c r="E82" s="2"/>
      <c r="F82" s="278"/>
      <c r="G82" s="278"/>
      <c r="H82" s="2"/>
      <c r="I82" s="2"/>
      <c r="J82" s="34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5:25" ht="15" customHeight="1" x14ac:dyDescent="0.25">
      <c r="E83" s="2" t="str">
        <f>"Forecast FY" &amp; TEXT(YEAR(EOMONTH('&gt;&gt; Inputs'!$G$17, 12)), "00") &amp; " EBITDA"</f>
        <v>Forecast FY2024 EBITDA</v>
      </c>
      <c r="F83" s="278" t="s">
        <v>25</v>
      </c>
      <c r="G83" s="278"/>
      <c r="H83" s="47">
        <f>P18</f>
        <v>109.30164393469113</v>
      </c>
      <c r="I83" s="2"/>
      <c r="J83" s="34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5:25" ht="15" customHeight="1" x14ac:dyDescent="0.25">
      <c r="E84" s="2" t="str">
        <f>"Forecast FY" &amp; TEXT(YEAR(EOMONTH('&gt;&gt; Inputs'!$G$17, 12)), "00") &amp; " EBIT"</f>
        <v>Forecast FY2024 EBIT</v>
      </c>
      <c r="F84" s="278" t="s">
        <v>25</v>
      </c>
      <c r="G84" s="278"/>
      <c r="H84" s="47">
        <f>P21</f>
        <v>71.401643934691123</v>
      </c>
      <c r="I84" s="2"/>
      <c r="J84" s="3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5:25" ht="15" customHeight="1" x14ac:dyDescent="0.25">
      <c r="I85" s="2"/>
      <c r="J85" s="3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5:25" ht="15" customHeight="1" x14ac:dyDescent="0.25">
      <c r="E86" s="2" t="s">
        <v>70</v>
      </c>
      <c r="F86" s="16" t="s">
        <v>71</v>
      </c>
      <c r="G86" s="16"/>
      <c r="H86" s="31">
        <f ca="1">H73 / '&gt;&gt; Fin Stmts'!O15</f>
        <v>13.347334371104015</v>
      </c>
      <c r="I86" s="2"/>
      <c r="J86" s="3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5:25" ht="15" customHeight="1" x14ac:dyDescent="0.25">
      <c r="E87" s="2" t="s">
        <v>72</v>
      </c>
      <c r="F87" s="16" t="s">
        <v>71</v>
      </c>
      <c r="G87" s="16"/>
      <c r="H87" s="31">
        <f ca="1">H73/ '&gt;&gt; Fin Stmts'!O17</f>
        <v>33.7407754664073</v>
      </c>
      <c r="I87" s="2"/>
      <c r="J87" s="3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5:25" ht="15" customHeight="1" x14ac:dyDescent="0.25">
      <c r="E88" s="2" t="s">
        <v>73</v>
      </c>
      <c r="F88" s="16" t="s">
        <v>71</v>
      </c>
      <c r="G88" s="16"/>
      <c r="H88" s="31">
        <f>( ( H75 * H78 ) + ( 0 - H72 ) ) / H83</f>
        <v>9.0628623442469483</v>
      </c>
      <c r="I88" s="2"/>
      <c r="J88" s="3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5:25" ht="15" customHeight="1" x14ac:dyDescent="0.25">
      <c r="E89" s="2" t="s">
        <v>74</v>
      </c>
      <c r="F89" s="16" t="s">
        <v>71</v>
      </c>
      <c r="G89" s="16"/>
      <c r="H89" s="31">
        <f>( ( H75 * H78 ) + ( 0 - H72 ) ) / H84</f>
        <v>13.873430615772071</v>
      </c>
      <c r="I89" s="2"/>
      <c r="J89" s="49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5:25" ht="15" customHeight="1" x14ac:dyDescent="0.25">
      <c r="E90" s="2"/>
      <c r="F90" s="16"/>
      <c r="G90" s="16"/>
      <c r="H90" s="31"/>
      <c r="I90" s="2"/>
      <c r="J90" s="49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5:25" ht="15" customHeight="1" x14ac:dyDescent="0.25">
      <c r="E91" s="350" t="s">
        <v>128</v>
      </c>
      <c r="F91" s="351"/>
      <c r="G91" s="351"/>
      <c r="H91" s="352"/>
      <c r="I91" s="2"/>
      <c r="J91" s="49"/>
      <c r="K91" s="2"/>
      <c r="L91" s="2"/>
      <c r="Q91" s="2"/>
      <c r="R91" s="2"/>
      <c r="S91" s="2"/>
      <c r="T91" s="2"/>
      <c r="U91" s="2"/>
      <c r="V91" s="2"/>
      <c r="W91" s="2"/>
      <c r="X91" s="2"/>
      <c r="Y91" s="2"/>
    </row>
    <row r="92" spans="5:25" ht="15" customHeight="1" x14ac:dyDescent="0.25">
      <c r="E92" s="161"/>
    </row>
    <row r="93" spans="5:25" ht="15" customHeight="1" x14ac:dyDescent="0.25">
      <c r="E93" s="2" t="s">
        <v>63</v>
      </c>
      <c r="F93" s="24" t="s">
        <v>25</v>
      </c>
      <c r="G93" s="24"/>
      <c r="H93" s="47">
        <f ca="1">SUM(P63:Y64)</f>
        <v>1101.741424244934</v>
      </c>
    </row>
    <row r="95" spans="5:25" ht="15" customHeight="1" x14ac:dyDescent="0.25">
      <c r="E95" s="2" t="s">
        <v>64</v>
      </c>
      <c r="F95" s="16" t="s">
        <v>65</v>
      </c>
      <c r="G95" s="16"/>
      <c r="H95" s="27">
        <f>'&gt;&gt; Inputs'!$G$47</f>
        <v>378.75604099999998</v>
      </c>
    </row>
    <row r="96" spans="5:25" ht="15" customHeight="1" x14ac:dyDescent="0.25">
      <c r="E96" s="1" t="s">
        <v>237</v>
      </c>
      <c r="F96" s="48" t="s">
        <v>66</v>
      </c>
      <c r="G96" s="48"/>
      <c r="H96" s="49">
        <f ca="1">H93 / H95</f>
        <v>2.9088418532839562</v>
      </c>
    </row>
    <row r="98" spans="1:27" ht="15" customHeight="1" x14ac:dyDescent="0.25">
      <c r="E98" s="2" t="s">
        <v>67</v>
      </c>
      <c r="F98" s="16" t="s">
        <v>66</v>
      </c>
      <c r="G98" s="16"/>
      <c r="H98" s="50">
        <f>'&gt;&gt; Inputs'!G21</f>
        <v>1.78</v>
      </c>
    </row>
    <row r="99" spans="1:27" ht="15" customHeight="1" x14ac:dyDescent="0.25">
      <c r="E99" s="2" t="s">
        <v>68</v>
      </c>
      <c r="F99" s="16" t="s">
        <v>7</v>
      </c>
      <c r="G99" s="16"/>
      <c r="H99" s="28">
        <f ca="1">H96 / H98 - 1</f>
        <v>0.63418081645166069</v>
      </c>
    </row>
    <row r="100" spans="1:27" ht="15" customHeight="1" x14ac:dyDescent="0.25">
      <c r="E100" s="2"/>
      <c r="F100" s="16"/>
      <c r="G100" s="16"/>
      <c r="H100" s="52"/>
    </row>
    <row r="101" spans="1:27" ht="15" customHeight="1" x14ac:dyDescent="0.25">
      <c r="E101" s="2" t="s">
        <v>8</v>
      </c>
      <c r="F101" s="16" t="s">
        <v>7</v>
      </c>
      <c r="G101" s="16"/>
      <c r="H101" s="28">
        <f>'&gt;&gt; Inputs'!G16</f>
        <v>0.10350000000000001</v>
      </c>
    </row>
    <row r="102" spans="1:27" ht="15" customHeight="1" x14ac:dyDescent="0.25">
      <c r="E102" s="2"/>
      <c r="F102" s="278"/>
      <c r="G102" s="278"/>
      <c r="H102" s="2"/>
    </row>
    <row r="103" spans="1:27" ht="15" customHeight="1" x14ac:dyDescent="0.25">
      <c r="E103" s="2" t="str">
        <f>"Forecast FY" &amp; TEXT(YEAR(EOMONTH('&gt;&gt; Inputs'!$G$17, 12)), "00") &amp; " EBITDA"</f>
        <v>Forecast FY2024 EBITDA</v>
      </c>
      <c r="F103" s="278" t="s">
        <v>25</v>
      </c>
      <c r="G103" s="278"/>
      <c r="H103" s="47">
        <f>P18</f>
        <v>109.30164393469113</v>
      </c>
    </row>
    <row r="104" spans="1:27" ht="15" customHeight="1" x14ac:dyDescent="0.25">
      <c r="E104" s="2" t="str">
        <f>"Forecast FY" &amp; TEXT(YEAR(EOMONTH('&gt;&gt; Inputs'!$G$17, 12)), "00") &amp; " EBIT"</f>
        <v>Forecast FY2024 EBIT</v>
      </c>
      <c r="F104" s="278" t="s">
        <v>25</v>
      </c>
      <c r="G104" s="278"/>
      <c r="H104" s="47">
        <f>P21</f>
        <v>71.401643934691123</v>
      </c>
    </row>
    <row r="106" spans="1:27" ht="15" customHeight="1" x14ac:dyDescent="0.25">
      <c r="B106" s="2"/>
      <c r="C106" s="2"/>
      <c r="D106" s="2"/>
      <c r="E106" s="2" t="s">
        <v>70</v>
      </c>
      <c r="F106" s="16" t="s">
        <v>71</v>
      </c>
      <c r="G106" s="16"/>
      <c r="H106" s="31">
        <f ca="1">H93 / '&gt;&gt; Fin Stmts'!O15</f>
        <v>18.810999406596213</v>
      </c>
    </row>
    <row r="107" spans="1:27" ht="15" customHeight="1" x14ac:dyDescent="0.25">
      <c r="B107" s="2"/>
      <c r="C107" s="2"/>
      <c r="D107" s="2"/>
      <c r="E107" s="2" t="s">
        <v>72</v>
      </c>
      <c r="F107" s="16" t="s">
        <v>71</v>
      </c>
      <c r="G107" s="16"/>
      <c r="H107" s="31">
        <f ca="1">H93 / '&gt;&gt; Fin Stmts'!O17</f>
        <v>47.552394330568134</v>
      </c>
    </row>
    <row r="108" spans="1:27" ht="15" customHeight="1" x14ac:dyDescent="0.25">
      <c r="B108" s="2"/>
      <c r="C108" s="2"/>
      <c r="D108" s="2"/>
      <c r="E108" s="2" t="s">
        <v>73</v>
      </c>
      <c r="F108" s="16" t="s">
        <v>71</v>
      </c>
      <c r="G108" s="16"/>
      <c r="H108" s="31">
        <f>( ( H98 * H95 )  ) / H103</f>
        <v>6.1681208873933588</v>
      </c>
    </row>
    <row r="109" spans="1:27" ht="15" customHeight="1" x14ac:dyDescent="0.25">
      <c r="B109" s="2"/>
      <c r="C109" s="2"/>
      <c r="D109" s="2"/>
      <c r="E109" s="2" t="s">
        <v>74</v>
      </c>
      <c r="F109" s="16" t="s">
        <v>71</v>
      </c>
      <c r="G109" s="16"/>
      <c r="H109" s="31">
        <f>( ( H98 * H95 )  ) / H104</f>
        <v>9.4421600936339338</v>
      </c>
    </row>
    <row r="110" spans="1:27" ht="15" customHeight="1" x14ac:dyDescent="0.25">
      <c r="B110" s="2"/>
      <c r="C110" s="2"/>
      <c r="D110" s="2"/>
    </row>
    <row r="111" spans="1:27" ht="15" customHeight="1" x14ac:dyDescent="0.25">
      <c r="B111" s="2"/>
      <c r="C111" s="2"/>
      <c r="D111" s="2"/>
    </row>
    <row r="112" spans="1:27" ht="15" customHeight="1" x14ac:dyDescent="0.25">
      <c r="A112" s="41"/>
      <c r="B112" s="41" t="s">
        <v>45</v>
      </c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</row>
  </sheetData>
  <mergeCells count="3">
    <mergeCell ref="E67:H67"/>
    <mergeCell ref="E91:H91"/>
    <mergeCell ref="H2:O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EF47-9951-4963-9FFE-497781B76D7D}">
  <sheetPr>
    <tabColor rgb="FF8496B0"/>
  </sheetPr>
  <dimension ref="A2:AA58"/>
  <sheetViews>
    <sheetView showGridLines="0" workbookViewId="0">
      <selection activeCell="H43" sqref="H43"/>
    </sheetView>
  </sheetViews>
  <sheetFormatPr defaultColWidth="14.42578125" defaultRowHeight="15" customHeight="1" x14ac:dyDescent="0.25"/>
  <cols>
    <col min="1" max="2" width="2.42578125" customWidth="1"/>
    <col min="3" max="3" width="1.28515625" customWidth="1"/>
    <col min="4" max="4" width="3.28515625" customWidth="1"/>
    <col min="5" max="5" width="38" customWidth="1"/>
    <col min="6" max="17" width="11.140625" customWidth="1"/>
    <col min="18" max="18" width="15.140625" bestFit="1" customWidth="1"/>
    <col min="19" max="26" width="11.140625" customWidth="1"/>
    <col min="27" max="28" width="9.140625" customWidth="1"/>
    <col min="29" max="29" width="12.28515625" customWidth="1"/>
    <col min="30" max="30" width="17.42578125" customWidth="1"/>
    <col min="31" max="31" width="17.28515625" customWidth="1"/>
    <col min="32" max="32" width="15.7109375" customWidth="1"/>
    <col min="33" max="34" width="9.140625" customWidth="1"/>
  </cols>
  <sheetData>
    <row r="2" spans="3:26" ht="15" customHeight="1" x14ac:dyDescent="0.25">
      <c r="C2" s="64" t="s">
        <v>246</v>
      </c>
      <c r="E2" s="2"/>
      <c r="F2" s="2"/>
      <c r="G2" s="2"/>
      <c r="H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3:26" ht="15" customHeight="1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3:26" ht="15" customHeight="1" x14ac:dyDescent="0.25">
      <c r="C4" s="3"/>
      <c r="D4" s="4" t="s">
        <v>91</v>
      </c>
      <c r="E4" s="3"/>
      <c r="F4" s="5" t="s">
        <v>92</v>
      </c>
      <c r="G4" s="6">
        <f>EOMONTH('&gt;&gt; Inputs'!$G$17,0)</f>
        <v>45291</v>
      </c>
      <c r="H4" s="6">
        <f>EOMONTH(G4,12)</f>
        <v>45657</v>
      </c>
      <c r="I4" s="6">
        <f t="shared" ref="I4:Q4" si="0">EOMONTH(H4,12)</f>
        <v>46022</v>
      </c>
      <c r="J4" s="6">
        <f t="shared" si="0"/>
        <v>46387</v>
      </c>
      <c r="K4" s="6">
        <f t="shared" si="0"/>
        <v>46752</v>
      </c>
      <c r="L4" s="6">
        <f t="shared" si="0"/>
        <v>47118</v>
      </c>
      <c r="M4" s="6">
        <f t="shared" si="0"/>
        <v>47483</v>
      </c>
      <c r="N4" s="6">
        <f t="shared" si="0"/>
        <v>47848</v>
      </c>
      <c r="O4" s="6">
        <f t="shared" si="0"/>
        <v>48213</v>
      </c>
      <c r="P4" s="6">
        <f t="shared" si="0"/>
        <v>48579</v>
      </c>
      <c r="Q4" s="6">
        <f t="shared" si="0"/>
        <v>48944</v>
      </c>
    </row>
    <row r="5" spans="3:26" ht="15" customHeight="1" x14ac:dyDescent="0.25">
      <c r="C5" s="7"/>
      <c r="D5" s="7"/>
      <c r="E5" s="7" t="s">
        <v>93</v>
      </c>
      <c r="F5" s="8" t="s">
        <v>94</v>
      </c>
      <c r="G5" s="11">
        <v>0</v>
      </c>
      <c r="H5" s="11">
        <f t="shared" ref="H5:Q5" si="1">G5 + 1</f>
        <v>1</v>
      </c>
      <c r="I5" s="11">
        <f t="shared" si="1"/>
        <v>2</v>
      </c>
      <c r="J5" s="11">
        <f t="shared" si="1"/>
        <v>3</v>
      </c>
      <c r="K5" s="11">
        <f t="shared" si="1"/>
        <v>4</v>
      </c>
      <c r="L5" s="11">
        <f t="shared" si="1"/>
        <v>5</v>
      </c>
      <c r="M5" s="11">
        <f t="shared" si="1"/>
        <v>6</v>
      </c>
      <c r="N5" s="11">
        <f t="shared" si="1"/>
        <v>7</v>
      </c>
      <c r="O5" s="11">
        <f t="shared" si="1"/>
        <v>8</v>
      </c>
      <c r="P5" s="11">
        <f t="shared" si="1"/>
        <v>9</v>
      </c>
      <c r="Q5" s="11">
        <f t="shared" si="1"/>
        <v>10</v>
      </c>
    </row>
    <row r="6" spans="3:26" ht="15" customHeight="1" x14ac:dyDescent="0.25">
      <c r="C6" s="7"/>
      <c r="D6" s="7"/>
      <c r="E6" s="7" t="s">
        <v>95</v>
      </c>
      <c r="F6" s="10" t="s">
        <v>96</v>
      </c>
      <c r="G6" s="11">
        <f>'&gt;&gt; DCF'!O6</f>
        <v>4.5</v>
      </c>
      <c r="H6" s="11">
        <f t="shared" ref="H6:Q6" si="2">G6 + 1</f>
        <v>5.5</v>
      </c>
      <c r="I6" s="11">
        <f t="shared" si="2"/>
        <v>6.5</v>
      </c>
      <c r="J6" s="11">
        <f t="shared" si="2"/>
        <v>7.5</v>
      </c>
      <c r="K6" s="11">
        <f t="shared" si="2"/>
        <v>8.5</v>
      </c>
      <c r="L6" s="11">
        <f t="shared" si="2"/>
        <v>9.5</v>
      </c>
      <c r="M6" s="11">
        <f t="shared" si="2"/>
        <v>10.5</v>
      </c>
      <c r="N6" s="11">
        <f t="shared" si="2"/>
        <v>11.5</v>
      </c>
      <c r="O6" s="11">
        <f t="shared" si="2"/>
        <v>12.5</v>
      </c>
      <c r="P6" s="11">
        <f t="shared" si="2"/>
        <v>13.5</v>
      </c>
      <c r="Q6" s="11">
        <f t="shared" si="2"/>
        <v>14.5</v>
      </c>
    </row>
    <row r="7" spans="3:26" ht="15" customHeight="1" x14ac:dyDescent="0.25">
      <c r="C7" s="7"/>
      <c r="D7" s="7"/>
      <c r="E7" s="7" t="s">
        <v>97</v>
      </c>
      <c r="F7" s="10" t="s">
        <v>5</v>
      </c>
      <c r="G7" s="60">
        <f>'&gt;&gt; DCF'!O7</f>
        <v>44927</v>
      </c>
      <c r="H7" s="60">
        <f t="shared" ref="H7:Q7" si="3">G8 + 1</f>
        <v>45292</v>
      </c>
      <c r="I7" s="60">
        <f t="shared" si="3"/>
        <v>45658</v>
      </c>
      <c r="J7" s="60">
        <f t="shared" si="3"/>
        <v>46023</v>
      </c>
      <c r="K7" s="60">
        <f t="shared" si="3"/>
        <v>46388</v>
      </c>
      <c r="L7" s="60">
        <f t="shared" si="3"/>
        <v>46753</v>
      </c>
      <c r="M7" s="60">
        <f t="shared" si="3"/>
        <v>47119</v>
      </c>
      <c r="N7" s="60">
        <f t="shared" si="3"/>
        <v>47484</v>
      </c>
      <c r="O7" s="60">
        <f t="shared" si="3"/>
        <v>47849</v>
      </c>
      <c r="P7" s="60">
        <f t="shared" si="3"/>
        <v>48214</v>
      </c>
      <c r="Q7" s="60">
        <f t="shared" si="3"/>
        <v>48580</v>
      </c>
    </row>
    <row r="8" spans="3:26" ht="15" customHeight="1" x14ac:dyDescent="0.25">
      <c r="C8" s="7"/>
      <c r="D8" s="7"/>
      <c r="E8" s="7" t="s">
        <v>98</v>
      </c>
      <c r="F8" s="10" t="s">
        <v>5</v>
      </c>
      <c r="G8" s="12">
        <f t="shared" ref="G8:Q8" si="4">EOMONTH( G7, 11 )</f>
        <v>45291</v>
      </c>
      <c r="H8" s="12">
        <f t="shared" si="4"/>
        <v>45657</v>
      </c>
      <c r="I8" s="12">
        <f t="shared" si="4"/>
        <v>46022</v>
      </c>
      <c r="J8" s="12">
        <f t="shared" si="4"/>
        <v>46387</v>
      </c>
      <c r="K8" s="12">
        <f t="shared" si="4"/>
        <v>46752</v>
      </c>
      <c r="L8" s="12">
        <f t="shared" si="4"/>
        <v>47118</v>
      </c>
      <c r="M8" s="12">
        <f t="shared" si="4"/>
        <v>47483</v>
      </c>
      <c r="N8" s="12">
        <f t="shared" si="4"/>
        <v>47848</v>
      </c>
      <c r="O8" s="12">
        <f t="shared" si="4"/>
        <v>48213</v>
      </c>
      <c r="P8" s="12">
        <f t="shared" si="4"/>
        <v>48579</v>
      </c>
      <c r="Q8" s="12">
        <f t="shared" si="4"/>
        <v>48944</v>
      </c>
    </row>
    <row r="9" spans="3:26" ht="15" customHeight="1" x14ac:dyDescent="0.25">
      <c r="C9" s="7"/>
      <c r="D9" s="7"/>
      <c r="E9" s="7" t="s">
        <v>99</v>
      </c>
      <c r="F9" s="10" t="s">
        <v>10</v>
      </c>
      <c r="G9" s="13" t="str">
        <f ca="1">IF( G8 &gt; '&gt;&gt; Inputs'!$G20, "Forecast", "Actual" )</f>
        <v>Actual</v>
      </c>
      <c r="H9" s="13" t="str">
        <f ca="1">IF( H8 &gt; '&gt;&gt; Inputs'!$G20, "Forecast", "Actual" )</f>
        <v>Forecast</v>
      </c>
      <c r="I9" s="13" t="str">
        <f ca="1">IF( I8 &gt; '&gt;&gt; Inputs'!$G20, "Forecast", "Actual" )</f>
        <v>Forecast</v>
      </c>
      <c r="J9" s="13" t="str">
        <f ca="1">IF( J8 &gt; '&gt;&gt; Inputs'!$G20, "Forecast", "Actual" )</f>
        <v>Forecast</v>
      </c>
      <c r="K9" s="13" t="str">
        <f ca="1">IF( K8 &gt; '&gt;&gt; Inputs'!$G20, "Forecast", "Actual" )</f>
        <v>Forecast</v>
      </c>
      <c r="L9" s="13" t="str">
        <f ca="1">IF( L8 &gt; '&gt;&gt; Inputs'!$G20, "Forecast", "Actual" )</f>
        <v>Forecast</v>
      </c>
      <c r="M9" s="13" t="str">
        <f ca="1">IF( M8 &gt; '&gt;&gt; Inputs'!$G20, "Forecast", "Actual" )</f>
        <v>Forecast</v>
      </c>
      <c r="N9" s="13" t="str">
        <f ca="1">IF( N8 &gt; '&gt;&gt; Inputs'!$G20, "Forecast", "Actual" )</f>
        <v>Forecast</v>
      </c>
      <c r="O9" s="13" t="str">
        <f ca="1">IF( O8 &gt; '&gt;&gt; Inputs'!$G20, "Forecast", "Actual" )</f>
        <v>Forecast</v>
      </c>
      <c r="P9" s="13" t="str">
        <f ca="1">IF( P8 &gt; '&gt;&gt; Inputs'!$G20, "Forecast", "Actual" )</f>
        <v>Forecast</v>
      </c>
      <c r="Q9" s="13" t="str">
        <f ca="1">IF( Q8 &gt; '&gt;&gt; Inputs'!$G20, "Forecast", "Actual" )</f>
        <v>Forecast</v>
      </c>
    </row>
    <row r="10" spans="3:26" ht="15" customHeight="1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3:26" ht="15" customHeight="1" x14ac:dyDescent="0.25">
      <c r="C11" s="2"/>
      <c r="D11" s="2"/>
      <c r="E11" s="2" t="s">
        <v>100</v>
      </c>
      <c r="F11" s="24" t="s">
        <v>10</v>
      </c>
      <c r="G11" s="61">
        <f>IF( AND( G5 &lt;= '&gt;&gt; Inputs'!$G41, G5 &gt;= 1 ), 1, 0 )</f>
        <v>0</v>
      </c>
      <c r="H11" s="61">
        <f>IF( AND( H5 &lt;= '&gt;&gt; Inputs'!$G41, H5 &gt;= 1 ), 1, 0 )</f>
        <v>1</v>
      </c>
      <c r="I11" s="61">
        <f>IF( AND( I5 &lt;= '&gt;&gt; Inputs'!$G41, I5 &gt;= 1 ), 1, 0 )</f>
        <v>1</v>
      </c>
      <c r="J11" s="61">
        <f>IF( AND( J5 &lt;= '&gt;&gt; Inputs'!$G41, J5 &gt;= 1 ), 1, 0 )</f>
        <v>1</v>
      </c>
      <c r="K11" s="61">
        <f>IF( AND( K5 &lt;= '&gt;&gt; Inputs'!$G41, K5 &gt;= 1 ), 1, 0 )</f>
        <v>1</v>
      </c>
      <c r="L11" s="61">
        <f>IF( AND( L5 &lt;= '&gt;&gt; Inputs'!$G41, L5 &gt;= 1 ), 1, 0 )</f>
        <v>1</v>
      </c>
      <c r="M11" s="61">
        <f>IF( AND( M5 &lt;= '&gt;&gt; Inputs'!$G41, M5 &gt;= 1 ), 1, 0 )</f>
        <v>1</v>
      </c>
      <c r="N11" s="61">
        <f>IF( AND( N5 &lt;= '&gt;&gt; Inputs'!$G41, N5 &gt;= 1 ), 1, 0 )</f>
        <v>1</v>
      </c>
      <c r="O11" s="61">
        <f>IF( AND( O5 &lt;= '&gt;&gt; Inputs'!$G41, O5 &gt;= 1 ), 1, 0 )</f>
        <v>1</v>
      </c>
      <c r="P11" s="61">
        <f>IF( AND( P5 &lt;= '&gt;&gt; Inputs'!$G41, P5 &gt;= 1 ), 1, 0 )</f>
        <v>1</v>
      </c>
      <c r="Q11" s="61">
        <f>IF( AND( Q5 &lt;= '&gt;&gt; Inputs'!$G41, Q5 &gt;= 1 ), 1, 0 )</f>
        <v>1</v>
      </c>
    </row>
    <row r="12" spans="3:26" ht="15" customHeight="1" x14ac:dyDescent="0.25">
      <c r="C12" s="2"/>
      <c r="D12" s="2"/>
      <c r="E12" s="80" t="s">
        <v>101</v>
      </c>
      <c r="F12" s="79" t="s">
        <v>10</v>
      </c>
      <c r="G12" s="215">
        <f>IF( G5 = '&gt;&gt; Inputs'!$G41, 1, 0 )</f>
        <v>0</v>
      </c>
      <c r="H12" s="215">
        <f>IF( H5 = '&gt;&gt; Inputs'!$G41, 1, 0 )</f>
        <v>0</v>
      </c>
      <c r="I12" s="215">
        <f>IF( I5 = '&gt;&gt; Inputs'!$G41, 1, 0 )</f>
        <v>0</v>
      </c>
      <c r="J12" s="215">
        <f>IF( J5 = '&gt;&gt; Inputs'!$G41, 1, 0 )</f>
        <v>0</v>
      </c>
      <c r="K12" s="215">
        <f>IF( K5 = '&gt;&gt; Inputs'!$G41, 1, 0 )</f>
        <v>0</v>
      </c>
      <c r="L12" s="215">
        <f>IF( L5 = '&gt;&gt; Inputs'!$G41, 1, 0 )</f>
        <v>0</v>
      </c>
      <c r="M12" s="215">
        <f>IF( M5 = '&gt;&gt; Inputs'!$G41, 1, 0 )</f>
        <v>0</v>
      </c>
      <c r="N12" s="215">
        <f>IF( N5 = '&gt;&gt; Inputs'!$G41, 1, 0 )</f>
        <v>0</v>
      </c>
      <c r="O12" s="215">
        <f>IF( O5 = '&gt;&gt; Inputs'!$G41, 1, 0 )</f>
        <v>0</v>
      </c>
      <c r="P12" s="215">
        <f>IF( P5 = '&gt;&gt; Inputs'!$G41, 1, 0 )</f>
        <v>0</v>
      </c>
      <c r="Q12" s="215">
        <f>IF( Q5 = '&gt;&gt; Inputs'!$G41, 1, 0 )</f>
        <v>1</v>
      </c>
    </row>
    <row r="14" spans="3:26" ht="15" customHeight="1" x14ac:dyDescent="0.25">
      <c r="C14" s="4"/>
      <c r="D14" s="4" t="s">
        <v>253</v>
      </c>
      <c r="E14" s="4"/>
      <c r="F14" s="4"/>
      <c r="G14" s="4"/>
    </row>
    <row r="15" spans="3:26" ht="15" customHeight="1" x14ac:dyDescent="0.25">
      <c r="C15" s="45"/>
      <c r="D15" s="45"/>
      <c r="E15" s="45"/>
      <c r="F15" s="45"/>
      <c r="G15" s="45"/>
    </row>
    <row r="16" spans="3:26" ht="15" customHeight="1" x14ac:dyDescent="0.25">
      <c r="C16" s="46"/>
      <c r="D16" s="46"/>
      <c r="E16" s="46"/>
      <c r="F16" s="46"/>
      <c r="G16" s="46"/>
    </row>
    <row r="17" spans="3:26" ht="15" customHeight="1" x14ac:dyDescent="0.25">
      <c r="E17" s="2" t="s">
        <v>8</v>
      </c>
      <c r="F17" s="24" t="s">
        <v>7</v>
      </c>
      <c r="G17" s="231">
        <f>'&gt;&gt; Dash'!F46</f>
        <v>0.10350000000000001</v>
      </c>
    </row>
    <row r="18" spans="3:26" ht="15" customHeight="1" x14ac:dyDescent="0.25">
      <c r="E18" s="2" t="s">
        <v>32</v>
      </c>
      <c r="F18" s="24" t="s">
        <v>7</v>
      </c>
      <c r="G18" s="231">
        <f>'&gt;&gt; Dash'!F41</f>
        <v>0.02</v>
      </c>
    </row>
    <row r="19" spans="3:26" ht="15" customHeight="1" x14ac:dyDescent="0.25">
      <c r="C19" s="227"/>
      <c r="D19" s="227"/>
      <c r="E19" s="227"/>
      <c r="F19" s="227"/>
      <c r="G19" s="227"/>
    </row>
    <row r="21" spans="3:26" ht="15" customHeight="1" x14ac:dyDescent="0.25">
      <c r="C21" s="64" t="s">
        <v>252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3:26" ht="15" customHeight="1" x14ac:dyDescent="0.25"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3:26" ht="15" customHeight="1" x14ac:dyDescent="0.25">
      <c r="E23" s="216"/>
      <c r="F23" s="216"/>
      <c r="G23" s="201"/>
      <c r="H23" s="354" t="s">
        <v>243</v>
      </c>
      <c r="I23" s="355"/>
      <c r="J23" s="355"/>
      <c r="K23" s="355"/>
      <c r="L23" s="355"/>
      <c r="M23" s="355"/>
      <c r="N23" s="355"/>
      <c r="O23" s="355"/>
      <c r="P23" s="355"/>
      <c r="Q23" s="355"/>
      <c r="R23" s="229"/>
      <c r="S23" s="203"/>
      <c r="T23" s="203"/>
    </row>
    <row r="24" spans="3:26" ht="15" customHeight="1" x14ac:dyDescent="0.25">
      <c r="E24" s="200"/>
      <c r="F24" s="200"/>
      <c r="G24" s="202"/>
      <c r="H24" s="327">
        <f>EOMONTH('&gt;&gt; Inputs'!$G$17,12)</f>
        <v>45657</v>
      </c>
      <c r="I24" s="328">
        <f>EOMONTH(H24,12)</f>
        <v>46022</v>
      </c>
      <c r="J24" s="328">
        <f t="shared" ref="J24:Q24" si="5">EOMONTH(I24,12)</f>
        <v>46387</v>
      </c>
      <c r="K24" s="328">
        <f t="shared" si="5"/>
        <v>46752</v>
      </c>
      <c r="L24" s="328">
        <f t="shared" si="5"/>
        <v>47118</v>
      </c>
      <c r="M24" s="328">
        <f t="shared" si="5"/>
        <v>47483</v>
      </c>
      <c r="N24" s="328">
        <f t="shared" si="5"/>
        <v>47848</v>
      </c>
      <c r="O24" s="328">
        <f t="shared" si="5"/>
        <v>48213</v>
      </c>
      <c r="P24" s="328">
        <f t="shared" si="5"/>
        <v>48579</v>
      </c>
      <c r="Q24" s="329">
        <f t="shared" si="5"/>
        <v>48944</v>
      </c>
      <c r="R24" s="228"/>
      <c r="S24" s="204"/>
      <c r="T24" s="204"/>
    </row>
    <row r="25" spans="3:26" ht="15" customHeight="1" x14ac:dyDescent="0.25">
      <c r="E25" s="81" t="s">
        <v>129</v>
      </c>
      <c r="F25" s="24" t="s">
        <v>164</v>
      </c>
      <c r="G25" s="81"/>
      <c r="H25" s="82">
        <f>'&gt;&gt; Segments'!P91</f>
        <v>9.2211145563586672E-2</v>
      </c>
      <c r="I25" s="82">
        <f>'&gt;&gt; Segments'!Q91</f>
        <v>0.11821621521925182</v>
      </c>
      <c r="J25" s="82">
        <f>'&gt;&gt; Segments'!R91</f>
        <v>0.13996179907859965</v>
      </c>
      <c r="K25" s="82">
        <f>'&gt;&gt; Segments'!S91</f>
        <v>0.14995632068303857</v>
      </c>
      <c r="L25" s="82">
        <f>'&gt;&gt; Segments'!T91</f>
        <v>0.16008868273440505</v>
      </c>
      <c r="M25" s="82">
        <f>'&gt;&gt; Segments'!U91</f>
        <v>0.16808020454936914</v>
      </c>
      <c r="N25" s="82">
        <f>'&gt;&gt; Segments'!V91</f>
        <v>0.17551859025337091</v>
      </c>
      <c r="O25" s="82">
        <f>'&gt;&gt; Segments'!W91</f>
        <v>0.18576979945497812</v>
      </c>
      <c r="P25" s="82">
        <f>'&gt;&gt; Segments'!X91</f>
        <v>0.19561404228262436</v>
      </c>
      <c r="Q25" s="82">
        <f>'&gt;&gt; Segments'!Y91</f>
        <v>0.19723140294779784</v>
      </c>
      <c r="S25" s="82"/>
      <c r="T25" s="82"/>
    </row>
    <row r="26" spans="3:26" ht="15" customHeight="1" x14ac:dyDescent="0.25">
      <c r="E26" s="205" t="s">
        <v>248</v>
      </c>
      <c r="F26" s="24" t="s">
        <v>164</v>
      </c>
      <c r="G26" s="81"/>
      <c r="H26" s="82"/>
      <c r="I26" s="82"/>
      <c r="J26" s="82"/>
      <c r="K26" s="82"/>
      <c r="L26" s="82"/>
      <c r="M26" s="82"/>
      <c r="N26" s="82"/>
      <c r="O26" s="82"/>
      <c r="P26" s="82"/>
      <c r="Q26" s="82">
        <f>(Q25*(1+G18))/(G17-G18)</f>
        <v>2.4092937845120215</v>
      </c>
      <c r="R26" s="82"/>
      <c r="S26" s="82"/>
      <c r="T26" s="82"/>
    </row>
    <row r="27" spans="3:26" ht="15" customHeight="1" x14ac:dyDescent="0.25">
      <c r="E27" s="83" t="s">
        <v>130</v>
      </c>
      <c r="F27" s="218" t="s">
        <v>7</v>
      </c>
      <c r="I27" s="84">
        <f>I25/H25-1</f>
        <v>0.28201655555545235</v>
      </c>
      <c r="J27" s="84">
        <f t="shared" ref="J27:Q27" si="6">J25/I25-1</f>
        <v>0.18394755591707113</v>
      </c>
      <c r="K27" s="84">
        <f t="shared" si="6"/>
        <v>7.140892493691231E-2</v>
      </c>
      <c r="L27" s="84">
        <f t="shared" si="6"/>
        <v>6.7568756056526347E-2</v>
      </c>
      <c r="M27" s="84">
        <f t="shared" si="6"/>
        <v>4.9919342694713986E-2</v>
      </c>
      <c r="N27" s="84">
        <f t="shared" si="6"/>
        <v>4.4254977699155207E-2</v>
      </c>
      <c r="O27" s="84">
        <f t="shared" si="6"/>
        <v>5.8405261726458768E-2</v>
      </c>
      <c r="P27" s="84">
        <f t="shared" si="6"/>
        <v>5.2991621116714516E-2</v>
      </c>
      <c r="Q27" s="84">
        <f t="shared" si="6"/>
        <v>8.2681214819777527E-3</v>
      </c>
      <c r="S27" s="84"/>
      <c r="T27" s="84"/>
    </row>
    <row r="28" spans="3:26" ht="15" customHeight="1" x14ac:dyDescent="0.25">
      <c r="E28" s="83"/>
      <c r="F28" s="83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</row>
    <row r="29" spans="3:26" ht="15" customHeight="1" x14ac:dyDescent="0.25">
      <c r="E29" s="2" t="s">
        <v>36</v>
      </c>
      <c r="F29" s="24" t="s">
        <v>7</v>
      </c>
      <c r="H29" s="217">
        <f ca="1">H11 * '&gt;&gt; Inputs'!P45</f>
        <v>0.10684931506849316</v>
      </c>
      <c r="I29" s="217">
        <f ca="1">I11 * '&gt;&gt; Inputs'!Q45</f>
        <v>1</v>
      </c>
      <c r="J29" s="217">
        <f ca="1">J11 * '&gt;&gt; Inputs'!R45</f>
        <v>1</v>
      </c>
      <c r="K29" s="217">
        <f ca="1">K11 * '&gt;&gt; Inputs'!S45</f>
        <v>1</v>
      </c>
      <c r="L29" s="217">
        <f ca="1">L11 * '&gt;&gt; Inputs'!T45</f>
        <v>1</v>
      </c>
      <c r="M29" s="217">
        <f ca="1">M11 * '&gt;&gt; Inputs'!U45</f>
        <v>1</v>
      </c>
      <c r="N29" s="217">
        <f ca="1">N11 * '&gt;&gt; Inputs'!V45</f>
        <v>1</v>
      </c>
      <c r="O29" s="217">
        <f ca="1">O11 * '&gt;&gt; Inputs'!W45</f>
        <v>1</v>
      </c>
      <c r="P29" s="217">
        <f ca="1">P11 * '&gt;&gt; Inputs'!X45</f>
        <v>1</v>
      </c>
      <c r="Q29" s="217">
        <f ca="1">Q11 * '&gt;&gt; Inputs'!Y45</f>
        <v>1</v>
      </c>
      <c r="R29" s="217"/>
      <c r="S29" s="21"/>
      <c r="T29" s="21"/>
      <c r="U29" s="21"/>
      <c r="V29" s="21"/>
      <c r="W29" s="21"/>
      <c r="X29" s="21"/>
      <c r="Y29" s="21"/>
      <c r="Z29" s="21"/>
    </row>
    <row r="30" spans="3:26" ht="15" customHeight="1" x14ac:dyDescent="0.25">
      <c r="E30" s="2" t="s">
        <v>247</v>
      </c>
      <c r="F30" s="24" t="s">
        <v>164</v>
      </c>
      <c r="H30" s="22">
        <f t="shared" ref="H30:Q30" ca="1" si="7">H29*H25</f>
        <v>9.8526977451503569E-3</v>
      </c>
      <c r="I30" s="22">
        <f t="shared" ca="1" si="7"/>
        <v>0.11821621521925182</v>
      </c>
      <c r="J30" s="22">
        <f t="shared" ca="1" si="7"/>
        <v>0.13996179907859965</v>
      </c>
      <c r="K30" s="22">
        <f t="shared" ca="1" si="7"/>
        <v>0.14995632068303857</v>
      </c>
      <c r="L30" s="22">
        <f t="shared" ca="1" si="7"/>
        <v>0.16008868273440505</v>
      </c>
      <c r="M30" s="22">
        <f t="shared" ca="1" si="7"/>
        <v>0.16808020454936914</v>
      </c>
      <c r="N30" s="22">
        <f t="shared" ca="1" si="7"/>
        <v>0.17551859025337091</v>
      </c>
      <c r="O30" s="22">
        <f t="shared" ca="1" si="7"/>
        <v>0.18576979945497812</v>
      </c>
      <c r="P30" s="22">
        <f t="shared" ca="1" si="7"/>
        <v>0.19561404228262436</v>
      </c>
      <c r="Q30" s="22">
        <f t="shared" ca="1" si="7"/>
        <v>0.19723140294779784</v>
      </c>
      <c r="R30" s="22"/>
      <c r="S30" s="61"/>
      <c r="T30" s="61"/>
      <c r="U30" s="61"/>
      <c r="V30" s="61"/>
      <c r="W30" s="61"/>
      <c r="X30" s="61"/>
      <c r="Y30" s="61"/>
      <c r="Z30" s="61"/>
    </row>
    <row r="31" spans="3:26" ht="15" customHeight="1" x14ac:dyDescent="0.25">
      <c r="E31" s="2" t="s">
        <v>114</v>
      </c>
      <c r="F31" s="24" t="s">
        <v>164</v>
      </c>
      <c r="H31" s="24"/>
      <c r="I31" s="27"/>
      <c r="J31" s="27"/>
      <c r="K31" s="27"/>
      <c r="L31" s="33"/>
      <c r="M31" s="33"/>
      <c r="N31" s="33"/>
      <c r="O31" s="33"/>
      <c r="P31" s="33"/>
      <c r="Q31" s="22">
        <f ca="1">Q26*Q29</f>
        <v>2.4092937845120215</v>
      </c>
      <c r="R31" s="22"/>
      <c r="S31" s="33"/>
      <c r="T31" s="33"/>
      <c r="U31" s="33"/>
      <c r="V31" s="33"/>
      <c r="W31" s="33"/>
      <c r="X31" s="33"/>
      <c r="Y31" s="33"/>
      <c r="Z31" s="61"/>
    </row>
    <row r="32" spans="3:26" ht="15" customHeight="1" x14ac:dyDescent="0.25">
      <c r="E32" s="2"/>
      <c r="F32" s="24"/>
      <c r="H32" s="24"/>
      <c r="I32" s="16"/>
      <c r="J32" s="27"/>
      <c r="K32" s="27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7" ht="15" customHeight="1" x14ac:dyDescent="0.25">
      <c r="E33" s="2" t="s">
        <v>115</v>
      </c>
      <c r="F33" s="16" t="s">
        <v>10</v>
      </c>
      <c r="H33" s="61">
        <f ca="1">IF( H11 = 1, ( H8 - '&gt;&gt; Inputs'!$G$26 ) / DiY, 0 )</f>
        <v>0.10684931506849316</v>
      </c>
      <c r="I33" s="61">
        <f ca="1">IF( I11 = 1, ( I8 - '&gt;&gt; Inputs'!$G$26 ) / DiY, 0 )</f>
        <v>1.106849315068493</v>
      </c>
      <c r="J33" s="61">
        <f ca="1">IF( J11 = 1, ( J8 - '&gt;&gt; Inputs'!$G$26 ) / DiY, 0 )</f>
        <v>2.106849315068493</v>
      </c>
      <c r="K33" s="61">
        <f ca="1">IF( K11 = 1, ( K8 - '&gt;&gt; Inputs'!$G$26 ) / DiY, 0 )</f>
        <v>3.106849315068493</v>
      </c>
      <c r="L33" s="61">
        <f ca="1">IF( L11 = 1, ( L8 - '&gt;&gt; Inputs'!$G$26 ) / DiY, 0 )</f>
        <v>4.1095890410958908</v>
      </c>
      <c r="M33" s="61">
        <f ca="1">IF( M11 = 1, ( M8 - '&gt;&gt; Inputs'!$G$26 ) / DiY, 0 )</f>
        <v>5.1095890410958908</v>
      </c>
      <c r="N33" s="61">
        <f ca="1">IF( N11 = 1, ( N8 - '&gt;&gt; Inputs'!$G$26 ) / DiY, 0 )</f>
        <v>6.1095890410958908</v>
      </c>
      <c r="O33" s="61">
        <f ca="1">IF( O11 = 1, ( O8 - '&gt;&gt; Inputs'!$G$26 ) / DiY, 0 )</f>
        <v>7.1095890410958908</v>
      </c>
      <c r="P33" s="61">
        <f ca="1">IF( P11 = 1, ( P8 - '&gt;&gt; Inputs'!$G$26 ) / DiY, 0 )</f>
        <v>8.1123287671232873</v>
      </c>
      <c r="Q33" s="61">
        <f ca="1">IF( Q11 = 1, ( Q8 - '&gt;&gt; Inputs'!$G$26 ) / DiY, 0 )</f>
        <v>9.1123287671232873</v>
      </c>
      <c r="R33" s="61"/>
      <c r="S33" s="61"/>
      <c r="T33" s="61"/>
      <c r="U33" s="61"/>
      <c r="V33" s="61"/>
      <c r="W33" s="61"/>
      <c r="X33" s="61"/>
      <c r="Y33" s="61"/>
      <c r="Z33" s="61"/>
    </row>
    <row r="34" spans="1:27" ht="15" customHeight="1" x14ac:dyDescent="0.25">
      <c r="E34" s="2" t="s">
        <v>116</v>
      </c>
      <c r="F34" s="24" t="s">
        <v>10</v>
      </c>
      <c r="H34" s="22">
        <f ca="1">H11 * ( 1 / ( 1 +'&gt;&gt; Dash'!$F$46 ) ^ H$33 )</f>
        <v>0.98953191301751287</v>
      </c>
      <c r="I34" s="22">
        <f ca="1">I11 * ( 1 / ( 1 +'&gt;&gt; Dash'!$F$46 ) ^ I$33 )</f>
        <v>0.89672126236294791</v>
      </c>
      <c r="J34" s="22">
        <f ca="1">J11 * ( 1 / ( 1 +'&gt;&gt; Dash'!$F$46 ) ^ J$33 )</f>
        <v>0.81261555266239049</v>
      </c>
      <c r="K34" s="22">
        <f ca="1">K11 * ( 1 / ( 1 +'&gt;&gt; Dash'!$F$46 ) ^ K$33 )</f>
        <v>0.73639832592876353</v>
      </c>
      <c r="L34" s="22">
        <f ca="1">L11 * ( 1 / ( 1 +'&gt;&gt; Dash'!$F$46 ) ^ L$33 )</f>
        <v>0.66714966234490969</v>
      </c>
      <c r="M34" s="22">
        <f ca="1">M11 * ( 1 / ( 1 +'&gt;&gt; Dash'!$F$46 ) ^ M$33 )</f>
        <v>0.60457604199810588</v>
      </c>
      <c r="N34" s="22">
        <f ca="1">N11 * ( 1 / ( 1 +'&gt;&gt; Dash'!$F$46 ) ^ N$33 )</f>
        <v>0.54787135659094333</v>
      </c>
      <c r="O34" s="22">
        <f ca="1">O11 * ( 1 / ( 1 +'&gt;&gt; Dash'!$F$46 ) ^ O$33 )</f>
        <v>0.49648514416940948</v>
      </c>
      <c r="P34" s="22">
        <f ca="1">P11 * ( 1 / ( 1 +'&gt;&gt; Dash'!$F$46 ) ^ P$33 )</f>
        <v>0.44979718805597524</v>
      </c>
      <c r="Q34" s="22">
        <f ca="1">Q11 * ( 1 / ( 1 +'&gt;&gt; Dash'!$F$46 ) ^ Q$33 )</f>
        <v>0.40760959497596305</v>
      </c>
      <c r="R34" s="22"/>
      <c r="S34" s="22"/>
      <c r="T34" s="22"/>
      <c r="U34" s="22"/>
      <c r="V34" s="22"/>
      <c r="W34" s="22"/>
      <c r="X34" s="22"/>
      <c r="Y34" s="22"/>
      <c r="Z34" s="22"/>
    </row>
    <row r="35" spans="1:27" ht="15" customHeight="1" x14ac:dyDescent="0.25">
      <c r="E35" s="83"/>
      <c r="F35" s="218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</row>
    <row r="36" spans="1:27" ht="15" customHeight="1" x14ac:dyDescent="0.25">
      <c r="E36" s="219" t="s">
        <v>249</v>
      </c>
      <c r="F36" s="220" t="s">
        <v>164</v>
      </c>
      <c r="G36" s="221"/>
      <c r="H36" s="222">
        <f ca="1">H30*H34</f>
        <v>9.7495588481419683E-3</v>
      </c>
      <c r="I36" s="222">
        <f t="shared" ref="I36:Q36" ca="1" si="8">I30*I34</f>
        <v>0.10600699374317743</v>
      </c>
      <c r="J36" s="222">
        <f t="shared" ca="1" si="8"/>
        <v>0.11373513470987871</v>
      </c>
      <c r="K36" s="222">
        <f t="shared" ca="1" si="8"/>
        <v>0.11042758351342642</v>
      </c>
      <c r="L36" s="222">
        <f t="shared" ca="1" si="8"/>
        <v>0.10680311063149971</v>
      </c>
      <c r="M36" s="222">
        <f t="shared" ca="1" si="8"/>
        <v>0.10161726480468963</v>
      </c>
      <c r="N36" s="222">
        <f t="shared" ca="1" si="8"/>
        <v>9.6161608149044245E-2</v>
      </c>
      <c r="O36" s="222">
        <f t="shared" ca="1" si="8"/>
        <v>9.2231945664727102E-2</v>
      </c>
      <c r="P36" s="222">
        <f t="shared" ca="1" si="8"/>
        <v>8.7986646162987084E-2</v>
      </c>
      <c r="Q36" s="222">
        <f t="shared" ca="1" si="8"/>
        <v>8.0393412272092846E-2</v>
      </c>
      <c r="R36" s="84"/>
      <c r="S36" s="84"/>
      <c r="T36" s="84"/>
    </row>
    <row r="37" spans="1:27" ht="15" customHeight="1" x14ac:dyDescent="0.25">
      <c r="E37" s="223" t="s">
        <v>250</v>
      </c>
      <c r="F37" s="224" t="s">
        <v>164</v>
      </c>
      <c r="G37" s="225"/>
      <c r="H37" s="225"/>
      <c r="I37" s="225"/>
      <c r="J37" s="225"/>
      <c r="K37" s="225"/>
      <c r="L37" s="225"/>
      <c r="M37" s="225"/>
      <c r="N37" s="225"/>
      <c r="O37" s="225"/>
      <c r="P37" s="225"/>
      <c r="Q37" s="226">
        <f ca="1">Q31*Q34</f>
        <v>0.98205126368305029</v>
      </c>
      <c r="R37" s="84"/>
      <c r="S37" s="84"/>
      <c r="T37" s="84"/>
    </row>
    <row r="38" spans="1:27" ht="15" customHeight="1" x14ac:dyDescent="0.25">
      <c r="E38" s="83"/>
      <c r="F38" s="83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</row>
    <row r="39" spans="1:27" ht="15" customHeight="1" x14ac:dyDescent="0.25">
      <c r="E39" s="83"/>
      <c r="F39" s="83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</row>
    <row r="40" spans="1:27" ht="15" customHeight="1" x14ac:dyDescent="0.25">
      <c r="E40" s="350" t="s">
        <v>251</v>
      </c>
      <c r="F40" s="351"/>
      <c r="G40" s="351"/>
      <c r="H40" s="352"/>
    </row>
    <row r="42" spans="1:27" ht="15" customHeight="1" x14ac:dyDescent="0.25">
      <c r="E42" s="2" t="s">
        <v>64</v>
      </c>
      <c r="F42" s="16" t="s">
        <v>65</v>
      </c>
      <c r="H42" s="27">
        <f>'&gt;&gt; Inputs'!$G$47</f>
        <v>378.75604099999998</v>
      </c>
    </row>
    <row r="43" spans="1:27" ht="15" customHeight="1" x14ac:dyDescent="0.25">
      <c r="E43" s="1" t="s">
        <v>131</v>
      </c>
      <c r="F43" s="16" t="s">
        <v>66</v>
      </c>
      <c r="H43" s="49">
        <f ca="1">SUM(H36:Q37)</f>
        <v>1.8871645221827156</v>
      </c>
    </row>
    <row r="44" spans="1:27" ht="15" customHeight="1" x14ac:dyDescent="0.25">
      <c r="E44" s="2" t="s">
        <v>67</v>
      </c>
      <c r="F44" s="16" t="s">
        <v>66</v>
      </c>
      <c r="H44" s="85">
        <f>'&gt;&gt; Inputs'!G21</f>
        <v>1.78</v>
      </c>
      <c r="J44" s="206"/>
    </row>
    <row r="45" spans="1:27" ht="15" customHeight="1" x14ac:dyDescent="0.25">
      <c r="E45" s="2" t="s">
        <v>68</v>
      </c>
      <c r="F45" s="16" t="s">
        <v>7</v>
      </c>
      <c r="H45" s="52">
        <f ca="1">H43/H44-1</f>
        <v>6.0204787743098676E-2</v>
      </c>
    </row>
    <row r="48" spans="1:27" ht="15" customHeight="1" x14ac:dyDescent="0.25">
      <c r="A48" s="41"/>
      <c r="B48" s="41" t="s">
        <v>45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58" spans="3:26" ht="15" customHeight="1" x14ac:dyDescent="0.25">
      <c r="C58" s="2"/>
      <c r="D58" s="2"/>
      <c r="E58" s="2"/>
      <c r="F58" s="2"/>
      <c r="G58" s="24"/>
      <c r="H58" s="24"/>
      <c r="I58" s="2"/>
      <c r="J58" s="2"/>
      <c r="K58" s="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</sheetData>
  <mergeCells count="2">
    <mergeCell ref="H23:Q23"/>
    <mergeCell ref="E40:H40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1B10-2E72-47B7-BC76-185E91CCE67E}">
  <sheetPr>
    <tabColor rgb="FF44546A"/>
  </sheetPr>
  <dimension ref="A2:AA35"/>
  <sheetViews>
    <sheetView showGridLines="0" workbookViewId="0">
      <selection activeCell="L18" sqref="L18"/>
    </sheetView>
  </sheetViews>
  <sheetFormatPr defaultColWidth="14.42578125" defaultRowHeight="15" customHeight="1" x14ac:dyDescent="0.25"/>
  <cols>
    <col min="1" max="2" width="2.42578125" customWidth="1"/>
    <col min="3" max="3" width="1.28515625" customWidth="1"/>
    <col min="4" max="4" width="3.28515625" customWidth="1"/>
    <col min="5" max="5" width="21.140625" customWidth="1"/>
    <col min="6" max="6" width="11.140625" customWidth="1"/>
    <col min="7" max="7" width="14.85546875" bestFit="1" customWidth="1"/>
    <col min="8" max="12" width="11.140625" customWidth="1"/>
    <col min="13" max="17" width="9.140625" customWidth="1"/>
    <col min="18" max="18" width="3.42578125" customWidth="1"/>
    <col min="19" max="19" width="23.7109375" customWidth="1"/>
    <col min="20" max="21" width="9.140625" customWidth="1"/>
    <col min="22" max="22" width="10.7109375" customWidth="1"/>
    <col min="23" max="24" width="9.140625" customWidth="1"/>
    <col min="25" max="25" width="12.28515625" customWidth="1"/>
    <col min="26" max="26" width="17.42578125" customWidth="1"/>
    <col min="27" max="27" width="17.28515625" customWidth="1"/>
    <col min="28" max="28" width="15.7109375" customWidth="1"/>
    <col min="29" max="30" width="9.140625" customWidth="1"/>
  </cols>
  <sheetData>
    <row r="2" spans="3:12" ht="15" customHeight="1" x14ac:dyDescent="0.25">
      <c r="C2" s="4" t="s">
        <v>133</v>
      </c>
      <c r="D2" s="4"/>
      <c r="E2" s="3"/>
      <c r="F2" s="3"/>
      <c r="G2" s="3"/>
      <c r="H2" s="3"/>
      <c r="I2" s="3"/>
      <c r="J2" s="3"/>
      <c r="K2" s="3"/>
      <c r="L2" s="3"/>
    </row>
    <row r="3" spans="3:12" ht="15" customHeight="1" x14ac:dyDescent="0.25">
      <c r="C3" s="7"/>
      <c r="D3" s="7"/>
      <c r="E3" s="7"/>
      <c r="F3" s="7"/>
      <c r="G3" s="7"/>
      <c r="H3" s="7"/>
      <c r="I3" s="7"/>
      <c r="J3" s="7"/>
      <c r="K3" s="7"/>
      <c r="L3" s="7"/>
    </row>
    <row r="4" spans="3:12" ht="15" customHeight="1" x14ac:dyDescent="0.25"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3:12" ht="15" customHeight="1" x14ac:dyDescent="0.25">
      <c r="D5" s="87"/>
      <c r="E5" s="238" t="s">
        <v>134</v>
      </c>
      <c r="F5" s="238"/>
      <c r="G5" s="239" t="s">
        <v>135</v>
      </c>
      <c r="H5" s="239" t="s">
        <v>136</v>
      </c>
      <c r="I5" s="87"/>
      <c r="J5" s="356" t="s">
        <v>137</v>
      </c>
      <c r="K5" s="356"/>
      <c r="L5" s="239" t="s">
        <v>138</v>
      </c>
    </row>
    <row r="6" spans="3:12" ht="15" customHeight="1" x14ac:dyDescent="0.25">
      <c r="D6" s="87"/>
      <c r="E6" s="236" t="s">
        <v>255</v>
      </c>
      <c r="F6" s="237" t="s">
        <v>66</v>
      </c>
      <c r="G6" s="243">
        <f ca="1">'&gt;&gt; DCF'!H76</f>
        <v>2.0639671507739501</v>
      </c>
      <c r="H6" s="245">
        <v>0.5</v>
      </c>
      <c r="I6" s="87"/>
      <c r="J6" s="236" t="s">
        <v>140</v>
      </c>
      <c r="K6" s="243">
        <f ca="1">K7*(1+L6)</f>
        <v>2.0743441283022497</v>
      </c>
      <c r="L6" s="250">
        <v>0.05</v>
      </c>
    </row>
    <row r="7" spans="3:12" ht="15" customHeight="1" x14ac:dyDescent="0.25">
      <c r="D7" s="87"/>
      <c r="E7" s="87" t="s">
        <v>254</v>
      </c>
      <c r="F7" s="16" t="s">
        <v>66</v>
      </c>
      <c r="G7" s="244">
        <f ca="1">'&gt;&gt; DCF'!H96</f>
        <v>2.9088418532839562</v>
      </c>
      <c r="H7" s="246">
        <v>0</v>
      </c>
      <c r="I7" s="87"/>
      <c r="J7" s="87" t="s">
        <v>141</v>
      </c>
      <c r="K7" s="244">
        <f ca="1">G11</f>
        <v>1.9755658364783328</v>
      </c>
      <c r="L7" s="249">
        <v>0</v>
      </c>
    </row>
    <row r="8" spans="3:12" ht="15" customHeight="1" x14ac:dyDescent="0.25">
      <c r="D8" s="87"/>
      <c r="E8" s="236" t="s">
        <v>139</v>
      </c>
      <c r="F8" s="237" t="s">
        <v>66</v>
      </c>
      <c r="G8" s="243">
        <f ca="1">'&gt;&gt; DDM'!H43</f>
        <v>1.8871645221827156</v>
      </c>
      <c r="H8" s="245">
        <v>0.5</v>
      </c>
      <c r="I8" s="87"/>
      <c r="J8" s="236" t="s">
        <v>142</v>
      </c>
      <c r="K8" s="243">
        <f ca="1">K7*(1+L8)</f>
        <v>1.8767875446544162</v>
      </c>
      <c r="L8" s="250">
        <v>-0.05</v>
      </c>
    </row>
    <row r="9" spans="3:12" ht="15" customHeight="1" x14ac:dyDescent="0.25">
      <c r="D9" s="87"/>
      <c r="E9" s="87"/>
      <c r="F9" s="87"/>
      <c r="G9" s="230"/>
      <c r="H9" s="246">
        <f>SUM(H6:H8)</f>
        <v>1</v>
      </c>
      <c r="I9" s="87"/>
      <c r="J9" s="87"/>
      <c r="K9" s="87"/>
      <c r="L9" s="87"/>
    </row>
    <row r="10" spans="3:12" ht="15" customHeight="1" x14ac:dyDescent="0.25">
      <c r="D10" s="87"/>
      <c r="E10" s="87"/>
      <c r="F10" s="87"/>
      <c r="G10" s="87"/>
      <c r="H10" s="88"/>
      <c r="I10" s="87"/>
      <c r="J10" s="87"/>
      <c r="K10" s="87"/>
      <c r="L10" s="87"/>
    </row>
    <row r="11" spans="3:12" ht="15" customHeight="1" x14ac:dyDescent="0.25">
      <c r="D11" s="87"/>
      <c r="E11" s="240" t="s">
        <v>256</v>
      </c>
      <c r="F11" s="241" t="s">
        <v>66</v>
      </c>
      <c r="G11" s="242">
        <f ca="1">SUMPRODUCT(G6:G8,H6:H8)</f>
        <v>1.9755658364783328</v>
      </c>
      <c r="H11" s="87"/>
      <c r="I11" s="87"/>
      <c r="J11" s="87"/>
      <c r="K11" s="87"/>
      <c r="L11" s="87"/>
    </row>
    <row r="12" spans="3:12" ht="15" customHeight="1" x14ac:dyDescent="0.25">
      <c r="D12" s="87"/>
      <c r="E12" s="87" t="s">
        <v>143</v>
      </c>
      <c r="F12" s="16" t="s">
        <v>66</v>
      </c>
      <c r="G12" s="244">
        <f>'&gt;&gt; Inputs'!G21</f>
        <v>1.78</v>
      </c>
      <c r="H12" s="87"/>
      <c r="I12" s="87"/>
      <c r="J12" s="87"/>
      <c r="K12" s="87"/>
      <c r="L12" s="87"/>
    </row>
    <row r="13" spans="3:12" ht="15" customHeight="1" x14ac:dyDescent="0.25">
      <c r="D13" s="87"/>
      <c r="E13" s="247" t="s">
        <v>271</v>
      </c>
      <c r="F13" s="251" t="s">
        <v>7</v>
      </c>
      <c r="G13" s="248">
        <f ca="1">G11/G12-1</f>
        <v>0.10986844745973756</v>
      </c>
      <c r="H13" s="87"/>
      <c r="I13" s="87"/>
      <c r="J13" s="87"/>
      <c r="K13" s="87"/>
      <c r="L13" s="87"/>
    </row>
    <row r="15" spans="3:12" ht="15" customHeight="1" x14ac:dyDescent="0.25">
      <c r="E15" s="4" t="s">
        <v>144</v>
      </c>
      <c r="F15" s="4"/>
      <c r="G15" s="239" t="str">
        <f ca="1">IF(G13 &gt;= 0.15, "BUY", IF(G13 &gt;= 0.05, "OVERWEIGHT", IF(G13 &gt;= -0.05, "HOLD", IF(G13 &gt;= -0.15, "UNDERWEIGHT", "SELL"))))</f>
        <v>OVERWEIGHT</v>
      </c>
    </row>
    <row r="30" spans="1:27" ht="15" customHeight="1" x14ac:dyDescent="0.25">
      <c r="A30" s="41"/>
      <c r="B30" s="41" t="s">
        <v>45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r="34" ht="12.75" customHeight="1" x14ac:dyDescent="0.25"/>
    <row r="35" ht="12.75" customHeight="1" x14ac:dyDescent="0.25"/>
  </sheetData>
  <mergeCells count="1">
    <mergeCell ref="J5:K5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C44E-43F9-4B21-9228-989BE03EF0DE}">
  <sheetPr>
    <tabColor theme="2" tint="-0.249977111117893"/>
  </sheetPr>
  <dimension ref="A2:AA162"/>
  <sheetViews>
    <sheetView showGridLines="0" zoomScale="90" zoomScaleNormal="90" workbookViewId="0">
      <pane ySplit="9" topLeftCell="A10" activePane="bottomLeft" state="frozen"/>
      <selection pane="bottomLeft" activeCell="I33" sqref="I33"/>
    </sheetView>
  </sheetViews>
  <sheetFormatPr defaultColWidth="14.42578125" defaultRowHeight="15" customHeight="1" x14ac:dyDescent="0.25"/>
  <cols>
    <col min="1" max="2" width="2.7109375" customWidth="1"/>
    <col min="3" max="3" width="1.42578125" customWidth="1"/>
    <col min="4" max="4" width="3.42578125" customWidth="1"/>
    <col min="5" max="5" width="44.42578125" customWidth="1"/>
    <col min="6" max="26" width="11.140625" customWidth="1"/>
    <col min="27" max="37" width="9.140625" customWidth="1"/>
  </cols>
  <sheetData>
    <row r="2" spans="3:25" x14ac:dyDescent="0.25">
      <c r="C2" s="2"/>
      <c r="D2" s="1" t="s">
        <v>145</v>
      </c>
      <c r="E2" s="2"/>
      <c r="F2" s="2"/>
      <c r="G2" s="2"/>
      <c r="H2" s="357" t="s">
        <v>90</v>
      </c>
      <c r="I2" s="358"/>
      <c r="J2" s="358"/>
      <c r="K2" s="358"/>
      <c r="L2" s="358"/>
      <c r="M2" s="358"/>
      <c r="N2" s="358"/>
      <c r="O2" s="358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5">
      <c r="C4" s="3"/>
      <c r="D4" s="4" t="s">
        <v>91</v>
      </c>
      <c r="E4" s="3"/>
      <c r="F4" s="5" t="s">
        <v>92</v>
      </c>
      <c r="G4" s="5"/>
      <c r="H4" s="6">
        <f t="shared" ref="H4:M4" si="0">EOMONTH(I4,-12)</f>
        <v>42735</v>
      </c>
      <c r="I4" s="6">
        <f t="shared" si="0"/>
        <v>43100</v>
      </c>
      <c r="J4" s="6">
        <f t="shared" si="0"/>
        <v>43465</v>
      </c>
      <c r="K4" s="6">
        <f t="shared" si="0"/>
        <v>43830</v>
      </c>
      <c r="L4" s="6">
        <f t="shared" si="0"/>
        <v>44196</v>
      </c>
      <c r="M4" s="6">
        <f t="shared" si="0"/>
        <v>44561</v>
      </c>
      <c r="N4" s="6">
        <f>EOMONTH(O4,-12)</f>
        <v>44926</v>
      </c>
      <c r="O4" s="6">
        <f>EOMONTH('&gt;&gt; Inputs'!$G$17,0)</f>
        <v>45291</v>
      </c>
      <c r="P4" s="6">
        <f>EOMONTH(O4,12)</f>
        <v>45657</v>
      </c>
      <c r="Q4" s="6">
        <f t="shared" ref="Q4:Y4" si="1">EOMONTH(P4,12)</f>
        <v>46022</v>
      </c>
      <c r="R4" s="6">
        <f t="shared" si="1"/>
        <v>46387</v>
      </c>
      <c r="S4" s="6">
        <f t="shared" si="1"/>
        <v>46752</v>
      </c>
      <c r="T4" s="6">
        <f t="shared" si="1"/>
        <v>47118</v>
      </c>
      <c r="U4" s="6">
        <f t="shared" si="1"/>
        <v>47483</v>
      </c>
      <c r="V4" s="6">
        <f t="shared" si="1"/>
        <v>47848</v>
      </c>
      <c r="W4" s="6">
        <f t="shared" si="1"/>
        <v>48213</v>
      </c>
      <c r="X4" s="6">
        <f t="shared" si="1"/>
        <v>48579</v>
      </c>
      <c r="Y4" s="6">
        <f t="shared" si="1"/>
        <v>48944</v>
      </c>
    </row>
    <row r="5" spans="3:25" ht="12.75" customHeight="1" x14ac:dyDescent="0.25">
      <c r="C5" s="7"/>
      <c r="D5" s="7"/>
      <c r="E5" s="7" t="s">
        <v>93</v>
      </c>
      <c r="F5" s="8" t="s">
        <v>94</v>
      </c>
      <c r="G5" s="8"/>
      <c r="H5" s="11">
        <f t="shared" ref="H5:M5" si="2">I5-1</f>
        <v>-6</v>
      </c>
      <c r="I5" s="11">
        <f t="shared" si="2"/>
        <v>-5</v>
      </c>
      <c r="J5" s="11">
        <f t="shared" si="2"/>
        <v>-4</v>
      </c>
      <c r="K5" s="11">
        <f t="shared" si="2"/>
        <v>-3</v>
      </c>
      <c r="L5" s="11">
        <f t="shared" si="2"/>
        <v>-2</v>
      </c>
      <c r="M5" s="11">
        <f t="shared" si="2"/>
        <v>-1</v>
      </c>
      <c r="N5" s="11">
        <v>0</v>
      </c>
      <c r="O5" s="11">
        <v>0</v>
      </c>
      <c r="P5" s="11">
        <f t="shared" ref="P5:Y5" si="3">O5 + 1</f>
        <v>1</v>
      </c>
      <c r="Q5" s="11">
        <f t="shared" si="3"/>
        <v>2</v>
      </c>
      <c r="R5" s="11">
        <f t="shared" si="3"/>
        <v>3</v>
      </c>
      <c r="S5" s="11">
        <f t="shared" si="3"/>
        <v>4</v>
      </c>
      <c r="T5" s="11">
        <f t="shared" si="3"/>
        <v>5</v>
      </c>
      <c r="U5" s="11">
        <f t="shared" si="3"/>
        <v>6</v>
      </c>
      <c r="V5" s="11">
        <f t="shared" si="3"/>
        <v>7</v>
      </c>
      <c r="W5" s="11">
        <f t="shared" si="3"/>
        <v>8</v>
      </c>
      <c r="X5" s="11">
        <f t="shared" si="3"/>
        <v>9</v>
      </c>
      <c r="Y5" s="11">
        <f t="shared" si="3"/>
        <v>10</v>
      </c>
    </row>
    <row r="6" spans="3:25" ht="12.75" customHeight="1" x14ac:dyDescent="0.25">
      <c r="C6" s="7"/>
      <c r="D6" s="7"/>
      <c r="E6" s="7" t="s">
        <v>95</v>
      </c>
      <c r="F6" s="10" t="s">
        <v>96</v>
      </c>
      <c r="G6" s="10"/>
      <c r="H6" s="11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5">
      <c r="C7" s="7"/>
      <c r="D7" s="7"/>
      <c r="E7" s="7" t="s">
        <v>97</v>
      </c>
      <c r="F7" s="10" t="s">
        <v>5</v>
      </c>
      <c r="G7" s="10"/>
      <c r="H7" s="12">
        <f>EOMONTH( H8, -12 ) + 1</f>
        <v>42370</v>
      </c>
      <c r="I7" s="60">
        <f t="shared" ref="I7:Y7" si="5">H8 + 1</f>
        <v>42736</v>
      </c>
      <c r="J7" s="60">
        <f t="shared" si="5"/>
        <v>43101</v>
      </c>
      <c r="K7" s="60">
        <f t="shared" si="5"/>
        <v>43466</v>
      </c>
      <c r="L7" s="60">
        <f t="shared" si="5"/>
        <v>43831</v>
      </c>
      <c r="M7" s="60">
        <f t="shared" si="5"/>
        <v>44197</v>
      </c>
      <c r="N7" s="60">
        <f t="shared" si="5"/>
        <v>44562</v>
      </c>
      <c r="O7" s="60">
        <f t="shared" si="5"/>
        <v>44927</v>
      </c>
      <c r="P7" s="60">
        <f t="shared" si="5"/>
        <v>45292</v>
      </c>
      <c r="Q7" s="60">
        <f t="shared" si="5"/>
        <v>45658</v>
      </c>
      <c r="R7" s="60">
        <f t="shared" si="5"/>
        <v>46023</v>
      </c>
      <c r="S7" s="60">
        <f t="shared" si="5"/>
        <v>46388</v>
      </c>
      <c r="T7" s="60">
        <f t="shared" si="5"/>
        <v>46753</v>
      </c>
      <c r="U7" s="60">
        <f t="shared" si="5"/>
        <v>47119</v>
      </c>
      <c r="V7" s="60">
        <f t="shared" si="5"/>
        <v>47484</v>
      </c>
      <c r="W7" s="60">
        <f t="shared" si="5"/>
        <v>47849</v>
      </c>
      <c r="X7" s="60">
        <f t="shared" si="5"/>
        <v>48214</v>
      </c>
      <c r="Y7" s="60">
        <f t="shared" si="5"/>
        <v>48580</v>
      </c>
    </row>
    <row r="8" spans="3:25" ht="12.75" customHeight="1" x14ac:dyDescent="0.25">
      <c r="C8" s="7"/>
      <c r="D8" s="7"/>
      <c r="E8" s="7" t="s">
        <v>98</v>
      </c>
      <c r="F8" s="10" t="s">
        <v>5</v>
      </c>
      <c r="G8" s="10"/>
      <c r="H8" s="12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5">
      <c r="C9" s="7"/>
      <c r="D9" s="7"/>
      <c r="E9" s="7" t="s">
        <v>99</v>
      </c>
      <c r="F9" s="10" t="s">
        <v>10</v>
      </c>
      <c r="G9" s="10"/>
      <c r="H9" s="13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Forecast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9" customHeight="1" x14ac:dyDescent="0.25">
      <c r="C10" s="2"/>
      <c r="D10" s="2"/>
      <c r="E10" s="2"/>
      <c r="F10" s="24"/>
      <c r="G10" s="24"/>
      <c r="H10" s="89"/>
      <c r="I10" s="89"/>
      <c r="J10" s="89"/>
      <c r="K10" s="89"/>
      <c r="L10" s="89"/>
      <c r="M10" s="89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3:25" ht="15" customHeight="1" x14ac:dyDescent="0.25">
      <c r="C11" s="2"/>
      <c r="D11" s="2"/>
      <c r="E11" s="2"/>
      <c r="F11" s="24"/>
      <c r="G11" s="2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3:25" ht="15" customHeight="1" x14ac:dyDescent="0.25">
      <c r="C12" s="2"/>
      <c r="D12" s="2"/>
      <c r="E12" s="2" t="s">
        <v>100</v>
      </c>
      <c r="F12" s="24" t="s">
        <v>10</v>
      </c>
      <c r="G12" s="24"/>
      <c r="H12" s="50">
        <f>IF( AND( H5 &lt;= '&gt;&gt; Inputs'!$G41, H5 &gt;= 1 ), 1, 0 )</f>
        <v>0</v>
      </c>
      <c r="I12" s="50">
        <f>IF( AND( I5 &lt;= '&gt;&gt; Inputs'!$G41, I5 &gt;= 1 ), 1, 0 )</f>
        <v>0</v>
      </c>
      <c r="J12" s="50">
        <f>IF( AND( J5 &lt;= '&gt;&gt; Inputs'!$G41, J5 &gt;= 1 ), 1, 0 )</f>
        <v>0</v>
      </c>
      <c r="K12" s="61">
        <f>IF( AND( K5 &lt;= '&gt;&gt; Inputs'!$G41, K5 &gt;= 1 ), 1, 0 )</f>
        <v>0</v>
      </c>
      <c r="L12" s="61">
        <f>IF( AND( L5 &lt;= '&gt;&gt; Inputs'!$G41, L5 &gt;= 1 ), 1, 0 )</f>
        <v>0</v>
      </c>
      <c r="M12" s="61">
        <f>IF( AND( M5 &lt;= '&gt;&gt; Inputs'!$G41, M5 &gt;= 1 ), 1, 0 )</f>
        <v>0</v>
      </c>
      <c r="N12" s="61">
        <f>IF( AND( N5 &lt;= '&gt;&gt; Inputs'!$G41, N5 &gt;= 1 ), 1, 0 )</f>
        <v>0</v>
      </c>
      <c r="O12" s="61">
        <f>IF( AND( O5 &lt;= '&gt;&gt; Inputs'!$G41, O5 &gt;= 1 ), 1, 0 )</f>
        <v>0</v>
      </c>
      <c r="P12" s="61">
        <f>IF( AND( P5 &lt;= '&gt;&gt; Inputs'!$G41, P5 &gt;= 1 ), 1, 0 )</f>
        <v>1</v>
      </c>
      <c r="Q12" s="61">
        <f>IF( AND( Q5 &lt;= '&gt;&gt; Inputs'!$G41, Q5 &gt;= 1 ), 1, 0 )</f>
        <v>1</v>
      </c>
      <c r="R12" s="61">
        <f>IF( AND( R5 &lt;= '&gt;&gt; Inputs'!$G41, R5 &gt;= 1 ), 1, 0 )</f>
        <v>1</v>
      </c>
      <c r="S12" s="61">
        <f>IF( AND( S5 &lt;= '&gt;&gt; Inputs'!$G41, S5 &gt;= 1 ), 1, 0 )</f>
        <v>1</v>
      </c>
      <c r="T12" s="61">
        <f>IF( AND( T5 &lt;= '&gt;&gt; Inputs'!$G41, T5 &gt;= 1 ), 1, 0 )</f>
        <v>1</v>
      </c>
      <c r="U12" s="61">
        <f>IF( AND( U5 &lt;= '&gt;&gt; Inputs'!$G41, U5 &gt;= 1 ), 1, 0 )</f>
        <v>1</v>
      </c>
      <c r="V12" s="61">
        <f>IF( AND( V5 &lt;= '&gt;&gt; Inputs'!$G41, V5 &gt;= 1 ), 1, 0 )</f>
        <v>1</v>
      </c>
      <c r="W12" s="61">
        <f>IF( AND( W5 &lt;= '&gt;&gt; Inputs'!$G41, W5 &gt;= 1 ), 1, 0 )</f>
        <v>1</v>
      </c>
      <c r="X12" s="61">
        <f>IF( AND( X5 &lt;= '&gt;&gt; Inputs'!$G41, X5 &gt;= 1 ), 1, 0 )</f>
        <v>1</v>
      </c>
      <c r="Y12" s="61">
        <f>IF( AND( Y5 &lt;= '&gt;&gt; Inputs'!$G41, Y5 &gt;= 1 ), 1, 0 )</f>
        <v>1</v>
      </c>
    </row>
    <row r="13" spans="3:25" ht="15" customHeight="1" x14ac:dyDescent="0.25">
      <c r="C13" s="2"/>
      <c r="D13" s="2"/>
      <c r="E13" s="2" t="s">
        <v>101</v>
      </c>
      <c r="F13" s="24" t="s">
        <v>10</v>
      </c>
      <c r="G13" s="24"/>
      <c r="H13" s="50">
        <f>IF( H5 = '&gt;&gt; Inputs'!$G41, 1, 0 )</f>
        <v>0</v>
      </c>
      <c r="I13" s="50">
        <f>IF( I5 = '&gt;&gt; Inputs'!$G41, 1, 0 )</f>
        <v>0</v>
      </c>
      <c r="J13" s="50">
        <f>IF( J5 = '&gt;&gt; Inputs'!$G41, 1, 0 )</f>
        <v>0</v>
      </c>
      <c r="K13" s="50">
        <f>IF( K5 = '&gt;&gt; Inputs'!$G41, 1, 0 )</f>
        <v>0</v>
      </c>
      <c r="L13" s="50">
        <f>IF( L5 = '&gt;&gt; Inputs'!$G41, 1, 0 )</f>
        <v>0</v>
      </c>
      <c r="M13" s="50">
        <f>IF( M5 = '&gt;&gt; Inputs'!$G41, 1, 0 )</f>
        <v>0</v>
      </c>
      <c r="N13" s="50">
        <f>IF( N5 = '&gt;&gt; Inputs'!$G41, 1, 0 )</f>
        <v>0</v>
      </c>
      <c r="O13" s="50">
        <f>IF( O5 = '&gt;&gt; Inputs'!$G41, 1, 0 )</f>
        <v>0</v>
      </c>
      <c r="P13" s="50">
        <f>IF( P5 = '&gt;&gt; Inputs'!$G41, 1, 0 )</f>
        <v>0</v>
      </c>
      <c r="Q13" s="50">
        <f>IF( Q5 = '&gt;&gt; Inputs'!$G41, 1, 0 )</f>
        <v>0</v>
      </c>
      <c r="R13" s="50">
        <f>IF( R5 = '&gt;&gt; Inputs'!$G41, 1, 0 )</f>
        <v>0</v>
      </c>
      <c r="S13" s="50">
        <f>IF( S5 = '&gt;&gt; Inputs'!$G41, 1, 0 )</f>
        <v>0</v>
      </c>
      <c r="T13" s="50">
        <f>IF( T5 = '&gt;&gt; Inputs'!$G41, 1, 0 )</f>
        <v>0</v>
      </c>
      <c r="U13" s="50">
        <f>IF( U5 = '&gt;&gt; Inputs'!$G41, 1, 0 )</f>
        <v>0</v>
      </c>
      <c r="V13" s="50">
        <f>IF( V5 = '&gt;&gt; Inputs'!$G41, 1, 0 )</f>
        <v>0</v>
      </c>
      <c r="W13" s="50">
        <f>IF( W5 = '&gt;&gt; Inputs'!$G41, 1, 0 )</f>
        <v>0</v>
      </c>
      <c r="X13" s="50">
        <f>IF( X5 = '&gt;&gt; Inputs'!$G41, 1, 0 )</f>
        <v>0</v>
      </c>
      <c r="Y13" s="50">
        <f>IF( Y5 = '&gt;&gt; Inputs'!$G41, 1, 0 )</f>
        <v>1</v>
      </c>
    </row>
    <row r="14" spans="3:25" ht="15" customHeight="1" x14ac:dyDescent="0.25">
      <c r="C14" s="2"/>
      <c r="D14" s="2"/>
      <c r="E14" s="2"/>
      <c r="F14" s="24"/>
      <c r="G14" s="24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</row>
    <row r="15" spans="3:25" ht="15" customHeight="1" x14ac:dyDescent="0.25">
      <c r="C15" s="90" t="s">
        <v>146</v>
      </c>
      <c r="D15" s="91"/>
      <c r="E15" s="91"/>
      <c r="F15" s="92"/>
      <c r="G15" s="92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</row>
    <row r="17" spans="3:25" ht="15" customHeight="1" x14ac:dyDescent="0.25">
      <c r="E17" s="2" t="s">
        <v>147</v>
      </c>
      <c r="F17" s="24" t="s">
        <v>25</v>
      </c>
      <c r="G17" s="24"/>
      <c r="H17" s="47">
        <f t="shared" ref="H17:Y17" si="7">H101</f>
        <v>46.941000000000003</v>
      </c>
      <c r="I17" s="47">
        <f t="shared" si="7"/>
        <v>49.655000000000001</v>
      </c>
      <c r="J17" s="47">
        <f t="shared" si="7"/>
        <v>54.807000000000002</v>
      </c>
      <c r="K17" s="47">
        <f t="shared" si="7"/>
        <v>47.024999999999999</v>
      </c>
      <c r="L17" s="47">
        <f t="shared" si="7"/>
        <v>49.542999999999999</v>
      </c>
      <c r="M17" s="47">
        <f t="shared" si="7"/>
        <v>51.265999999999998</v>
      </c>
      <c r="N17" s="47">
        <f t="shared" si="7"/>
        <v>90.409000000000006</v>
      </c>
      <c r="O17" s="47">
        <f t="shared" si="7"/>
        <v>130.703</v>
      </c>
      <c r="P17" s="47">
        <f t="shared" si="7"/>
        <v>143.77330000000001</v>
      </c>
      <c r="Q17" s="47">
        <f t="shared" si="7"/>
        <v>186.90529000000001</v>
      </c>
      <c r="R17" s="47">
        <f t="shared" si="7"/>
        <v>224.286348</v>
      </c>
      <c r="S17" s="47">
        <f t="shared" si="7"/>
        <v>246.71498280000003</v>
      </c>
      <c r="T17" s="47">
        <f t="shared" si="7"/>
        <v>271.38648108000007</v>
      </c>
      <c r="U17" s="47">
        <f t="shared" si="7"/>
        <v>284.95580513400006</v>
      </c>
      <c r="V17" s="47">
        <f t="shared" si="7"/>
        <v>299.20359539070006</v>
      </c>
      <c r="W17" s="47">
        <f t="shared" si="7"/>
        <v>314.16377516023505</v>
      </c>
      <c r="X17" s="47">
        <f t="shared" si="7"/>
        <v>329.87196391824682</v>
      </c>
      <c r="Y17" s="47">
        <f t="shared" si="7"/>
        <v>338.11876301620293</v>
      </c>
    </row>
    <row r="18" spans="3:25" ht="15" customHeight="1" x14ac:dyDescent="0.25">
      <c r="E18" s="2" t="s">
        <v>148</v>
      </c>
      <c r="F18" s="24" t="s">
        <v>25</v>
      </c>
      <c r="G18" s="24"/>
      <c r="H18" s="47">
        <f>H113</f>
        <v>306.68799999999999</v>
      </c>
      <c r="I18" s="47">
        <f t="shared" ref="I18:Y18" si="8">I113</f>
        <v>361.95600000000002</v>
      </c>
      <c r="J18" s="47">
        <f t="shared" si="8"/>
        <v>304.50900000000001</v>
      </c>
      <c r="K18" s="47">
        <f t="shared" si="8"/>
        <v>297.83600000000001</v>
      </c>
      <c r="L18" s="47">
        <f t="shared" si="8"/>
        <v>200.423</v>
      </c>
      <c r="M18" s="47">
        <f t="shared" si="8"/>
        <v>187.10400000000001</v>
      </c>
      <c r="N18" s="47">
        <f t="shared" si="8"/>
        <v>69.411000000000001</v>
      </c>
      <c r="O18" s="47">
        <f t="shared" si="8"/>
        <v>6.8659999999999997</v>
      </c>
      <c r="P18" s="47">
        <f t="shared" si="8"/>
        <v>4.9787841741921142</v>
      </c>
      <c r="Q18" s="47">
        <f t="shared" si="8"/>
        <v>3.6102959296804329</v>
      </c>
      <c r="R18" s="47">
        <f t="shared" si="8"/>
        <v>2.4125871683262194</v>
      </c>
      <c r="S18" s="47">
        <f t="shared" si="8"/>
        <v>1.5600331146496573</v>
      </c>
      <c r="T18" s="47">
        <f t="shared" si="8"/>
        <v>0.94411572860330173</v>
      </c>
      <c r="U18" s="47">
        <f t="shared" si="8"/>
        <v>0.56337452569078694</v>
      </c>
      <c r="V18" s="47">
        <f t="shared" si="8"/>
        <v>0.31245818046531687</v>
      </c>
      <c r="W18" s="47">
        <f t="shared" si="8"/>
        <v>0.18046783560278079</v>
      </c>
      <c r="X18" s="47">
        <f t="shared" si="8"/>
        <v>0.11503135472704158</v>
      </c>
      <c r="Y18" s="47">
        <f t="shared" si="8"/>
        <v>7.2060264973896643E-2</v>
      </c>
    </row>
    <row r="19" spans="3:25" ht="15" customHeight="1" x14ac:dyDescent="0.25">
      <c r="E19" s="2" t="s">
        <v>149</v>
      </c>
      <c r="F19" s="24" t="s">
        <v>25</v>
      </c>
      <c r="G19" s="24"/>
      <c r="H19" s="47">
        <f>H125</f>
        <v>0</v>
      </c>
      <c r="I19" s="47">
        <f t="shared" ref="I19:Y19" si="9">I125</f>
        <v>0</v>
      </c>
      <c r="J19" s="47">
        <f t="shared" si="9"/>
        <v>0</v>
      </c>
      <c r="K19" s="47">
        <f t="shared" si="9"/>
        <v>0</v>
      </c>
      <c r="L19" s="47">
        <f t="shared" si="9"/>
        <v>0</v>
      </c>
      <c r="M19" s="47">
        <f t="shared" si="9"/>
        <v>0</v>
      </c>
      <c r="N19" s="47">
        <f t="shared" si="9"/>
        <v>0</v>
      </c>
      <c r="O19" s="47">
        <f t="shared" si="9"/>
        <v>0</v>
      </c>
      <c r="P19" s="47">
        <f t="shared" si="9"/>
        <v>0</v>
      </c>
      <c r="Q19" s="47">
        <f t="shared" si="9"/>
        <v>0</v>
      </c>
      <c r="R19" s="47">
        <f t="shared" si="9"/>
        <v>0</v>
      </c>
      <c r="S19" s="47">
        <f t="shared" si="9"/>
        <v>0</v>
      </c>
      <c r="T19" s="47">
        <f t="shared" si="9"/>
        <v>0</v>
      </c>
      <c r="U19" s="47">
        <f t="shared" si="9"/>
        <v>0</v>
      </c>
      <c r="V19" s="47">
        <f t="shared" si="9"/>
        <v>0</v>
      </c>
      <c r="W19" s="47">
        <f t="shared" si="9"/>
        <v>0</v>
      </c>
      <c r="X19" s="47">
        <f t="shared" si="9"/>
        <v>0</v>
      </c>
      <c r="Y19" s="47">
        <f t="shared" si="9"/>
        <v>0</v>
      </c>
    </row>
    <row r="20" spans="3:25" ht="15" customHeight="1" x14ac:dyDescent="0.25">
      <c r="E20" s="2" t="s">
        <v>150</v>
      </c>
      <c r="F20" s="24" t="s">
        <v>25</v>
      </c>
      <c r="G20" s="24"/>
      <c r="H20" s="47">
        <f>H137</f>
        <v>0</v>
      </c>
      <c r="I20" s="47">
        <f t="shared" ref="I20:Y20" si="10">I137</f>
        <v>0</v>
      </c>
      <c r="J20" s="47">
        <f t="shared" si="10"/>
        <v>0</v>
      </c>
      <c r="K20" s="47">
        <f t="shared" si="10"/>
        <v>0</v>
      </c>
      <c r="L20" s="47">
        <f t="shared" si="10"/>
        <v>0</v>
      </c>
      <c r="M20" s="47">
        <f t="shared" si="10"/>
        <v>0</v>
      </c>
      <c r="N20" s="47">
        <f t="shared" si="10"/>
        <v>0</v>
      </c>
      <c r="O20" s="47">
        <f t="shared" si="10"/>
        <v>0</v>
      </c>
      <c r="P20" s="47">
        <f t="shared" si="10"/>
        <v>0</v>
      </c>
      <c r="Q20" s="47">
        <f t="shared" si="10"/>
        <v>0</v>
      </c>
      <c r="R20" s="47">
        <f t="shared" si="10"/>
        <v>0</v>
      </c>
      <c r="S20" s="47">
        <f t="shared" si="10"/>
        <v>0</v>
      </c>
      <c r="T20" s="47">
        <f t="shared" si="10"/>
        <v>0</v>
      </c>
      <c r="U20" s="47">
        <f t="shared" si="10"/>
        <v>0</v>
      </c>
      <c r="V20" s="47">
        <f t="shared" si="10"/>
        <v>0</v>
      </c>
      <c r="W20" s="47">
        <f t="shared" si="10"/>
        <v>0</v>
      </c>
      <c r="X20" s="47">
        <f t="shared" si="10"/>
        <v>0</v>
      </c>
      <c r="Y20" s="47">
        <f t="shared" si="10"/>
        <v>0</v>
      </c>
    </row>
    <row r="21" spans="3:25" ht="15" customHeight="1" x14ac:dyDescent="0.25">
      <c r="E21" s="2" t="s">
        <v>151</v>
      </c>
      <c r="F21" s="24" t="s">
        <v>25</v>
      </c>
      <c r="G21" s="24"/>
      <c r="H21" s="47">
        <f>H149</f>
        <v>0</v>
      </c>
      <c r="I21" s="47">
        <f t="shared" ref="I21:Y21" si="11">I149</f>
        <v>0</v>
      </c>
      <c r="J21" s="47">
        <f t="shared" si="11"/>
        <v>0</v>
      </c>
      <c r="K21" s="47">
        <f t="shared" si="11"/>
        <v>0</v>
      </c>
      <c r="L21" s="47">
        <f t="shared" si="11"/>
        <v>0</v>
      </c>
      <c r="M21" s="47">
        <f t="shared" si="11"/>
        <v>0</v>
      </c>
      <c r="N21" s="47">
        <f t="shared" si="11"/>
        <v>0</v>
      </c>
      <c r="O21" s="47">
        <f t="shared" si="11"/>
        <v>0</v>
      </c>
      <c r="P21" s="47">
        <f t="shared" si="11"/>
        <v>0</v>
      </c>
      <c r="Q21" s="47">
        <f t="shared" si="11"/>
        <v>0</v>
      </c>
      <c r="R21" s="47">
        <f t="shared" si="11"/>
        <v>0</v>
      </c>
      <c r="S21" s="47">
        <f t="shared" si="11"/>
        <v>0</v>
      </c>
      <c r="T21" s="47">
        <f t="shared" si="11"/>
        <v>0</v>
      </c>
      <c r="U21" s="47">
        <f t="shared" si="11"/>
        <v>0</v>
      </c>
      <c r="V21" s="47">
        <f t="shared" si="11"/>
        <v>0</v>
      </c>
      <c r="W21" s="47">
        <f t="shared" si="11"/>
        <v>0</v>
      </c>
      <c r="X21" s="47">
        <f t="shared" si="11"/>
        <v>0</v>
      </c>
      <c r="Y21" s="47">
        <f t="shared" si="11"/>
        <v>0</v>
      </c>
    </row>
    <row r="22" spans="3:25" ht="15" customHeight="1" x14ac:dyDescent="0.25">
      <c r="E22" s="1" t="s">
        <v>259</v>
      </c>
      <c r="F22" s="94" t="s">
        <v>25</v>
      </c>
      <c r="G22" s="94"/>
      <c r="H22" s="95">
        <f t="shared" ref="H22:Y22" si="12">SUM(H17:H21)</f>
        <v>353.62900000000002</v>
      </c>
      <c r="I22" s="95">
        <f t="shared" si="12"/>
        <v>411.61099999999999</v>
      </c>
      <c r="J22" s="95">
        <f t="shared" si="12"/>
        <v>359.31600000000003</v>
      </c>
      <c r="K22" s="95">
        <f t="shared" si="12"/>
        <v>344.86099999999999</v>
      </c>
      <c r="L22" s="95">
        <f t="shared" si="12"/>
        <v>249.96600000000001</v>
      </c>
      <c r="M22" s="95">
        <f t="shared" si="12"/>
        <v>238.37</v>
      </c>
      <c r="N22" s="95">
        <f t="shared" si="12"/>
        <v>159.82</v>
      </c>
      <c r="O22" s="95">
        <f t="shared" si="12"/>
        <v>137.56900000000002</v>
      </c>
      <c r="P22" s="95">
        <f t="shared" si="12"/>
        <v>148.75208417419213</v>
      </c>
      <c r="Q22" s="95">
        <f t="shared" si="12"/>
        <v>190.51558592968044</v>
      </c>
      <c r="R22" s="95">
        <f t="shared" si="12"/>
        <v>226.69893516832622</v>
      </c>
      <c r="S22" s="95">
        <f t="shared" si="12"/>
        <v>248.27501591464969</v>
      </c>
      <c r="T22" s="95">
        <f t="shared" si="12"/>
        <v>272.33059680860339</v>
      </c>
      <c r="U22" s="95">
        <f t="shared" si="12"/>
        <v>285.51917965969085</v>
      </c>
      <c r="V22" s="95">
        <f t="shared" si="12"/>
        <v>299.5160535711654</v>
      </c>
      <c r="W22" s="95">
        <f t="shared" si="12"/>
        <v>314.34424299583782</v>
      </c>
      <c r="X22" s="95">
        <f t="shared" si="12"/>
        <v>329.98699527297384</v>
      </c>
      <c r="Y22" s="95">
        <f t="shared" si="12"/>
        <v>338.19082328117685</v>
      </c>
    </row>
    <row r="23" spans="3:25" ht="15" customHeight="1" x14ac:dyDescent="0.25">
      <c r="E23" s="1"/>
      <c r="F23" s="94"/>
      <c r="G23" s="94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</row>
    <row r="24" spans="3:25" s="98" customFormat="1" ht="15" customHeight="1" x14ac:dyDescent="0.25">
      <c r="E24" s="1" t="s">
        <v>152</v>
      </c>
      <c r="F24" s="94" t="s">
        <v>25</v>
      </c>
      <c r="G24" s="94"/>
      <c r="H24" s="69"/>
      <c r="I24" s="97">
        <f t="shared" ref="I24:N24" si="13">I42-I22</f>
        <v>-191.01099999999997</v>
      </c>
      <c r="J24" s="97">
        <f t="shared" si="13"/>
        <v>-206.71600000000001</v>
      </c>
      <c r="K24" s="97">
        <f t="shared" si="13"/>
        <v>-222.96099999999998</v>
      </c>
      <c r="L24" s="97">
        <f t="shared" si="13"/>
        <v>-191.38800000000001</v>
      </c>
      <c r="M24" s="97">
        <f t="shared" si="13"/>
        <v>-169.102</v>
      </c>
      <c r="N24" s="97">
        <f t="shared" si="13"/>
        <v>-75.349999999999994</v>
      </c>
      <c r="O24" s="97">
        <f>O42-O22</f>
        <v>-46.716000000000022</v>
      </c>
      <c r="P24" s="97">
        <f t="shared" ref="P24:Y24" si="14">P42-P22</f>
        <v>-39.450440239501006</v>
      </c>
      <c r="Q24" s="97">
        <f t="shared" si="14"/>
        <v>-51.959005248575551</v>
      </c>
      <c r="R24" s="97">
        <f t="shared" si="14"/>
        <v>-63.27407323222107</v>
      </c>
      <c r="S24" s="97">
        <f t="shared" si="14"/>
        <v>-72.245679160249409</v>
      </c>
      <c r="T24" s="97">
        <f t="shared" si="14"/>
        <v>-83.447301410996971</v>
      </c>
      <c r="U24" s="97">
        <f t="shared" si="14"/>
        <v>-85.92461890666516</v>
      </c>
      <c r="V24" s="97">
        <f t="shared" si="14"/>
        <v>-89.677012810872441</v>
      </c>
      <c r="W24" s="97">
        <f t="shared" si="14"/>
        <v>-91.180422628050735</v>
      </c>
      <c r="X24" s="97">
        <f t="shared" si="14"/>
        <v>-93.799590604136682</v>
      </c>
      <c r="Y24" s="97">
        <f t="shared" si="14"/>
        <v>-97.502015206330981</v>
      </c>
    </row>
    <row r="25" spans="3:25" s="98" customFormat="1" ht="15" customHeight="1" x14ac:dyDescent="0.25">
      <c r="E25" s="18" t="s">
        <v>132</v>
      </c>
      <c r="F25" s="16" t="s">
        <v>7</v>
      </c>
      <c r="G25" s="16"/>
      <c r="H25" s="281"/>
      <c r="I25" s="282">
        <f>IFERROR(I24/I22,"NA")</f>
        <v>-0.46405708302256249</v>
      </c>
      <c r="J25" s="282">
        <f t="shared" ref="J25:Y25" si="15">IFERROR(J24/J22,"NA")</f>
        <v>-0.57530418907034475</v>
      </c>
      <c r="K25" s="282">
        <f t="shared" si="15"/>
        <v>-0.6465242518000005</v>
      </c>
      <c r="L25" s="282">
        <f t="shared" si="15"/>
        <v>-0.76565612923357573</v>
      </c>
      <c r="M25" s="282">
        <f t="shared" si="15"/>
        <v>-0.70940974115870281</v>
      </c>
      <c r="N25" s="282">
        <f t="shared" si="15"/>
        <v>-0.47146790138906269</v>
      </c>
      <c r="O25" s="282">
        <f t="shared" si="15"/>
        <v>-0.33958231869098426</v>
      </c>
      <c r="P25" s="282">
        <f t="shared" si="15"/>
        <v>-0.26520932771135919</v>
      </c>
      <c r="Q25" s="282">
        <f t="shared" si="15"/>
        <v>-0.27272837020144741</v>
      </c>
      <c r="R25" s="282">
        <f t="shared" si="15"/>
        <v>-0.27911058861057042</v>
      </c>
      <c r="S25" s="282">
        <f t="shared" si="15"/>
        <v>-0.29099053279322129</v>
      </c>
      <c r="T25" s="282">
        <f t="shared" si="15"/>
        <v>-0.30641911848650832</v>
      </c>
      <c r="U25" s="282">
        <f t="shared" si="15"/>
        <v>-0.30094167057035665</v>
      </c>
      <c r="V25" s="282">
        <f t="shared" si="15"/>
        <v>-0.29940636483968985</v>
      </c>
      <c r="W25" s="282">
        <f t="shared" si="15"/>
        <v>-0.29006550830726696</v>
      </c>
      <c r="X25" s="282">
        <f t="shared" si="15"/>
        <v>-0.28425238554187027</v>
      </c>
      <c r="Y25" s="282">
        <f t="shared" si="15"/>
        <v>-0.28830473358310604</v>
      </c>
    </row>
    <row r="26" spans="3:25" ht="15" customHeight="1" x14ac:dyDescent="0.25">
      <c r="E26" s="2"/>
      <c r="F26" s="24"/>
      <c r="G26" s="24"/>
      <c r="H26" s="34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</row>
    <row r="27" spans="3:25" ht="15" customHeight="1" x14ac:dyDescent="0.25">
      <c r="E27" s="100" t="s">
        <v>260</v>
      </c>
      <c r="F27" s="94"/>
      <c r="G27" s="37"/>
      <c r="H27" s="97"/>
      <c r="I27" s="97"/>
      <c r="J27" s="97"/>
      <c r="K27" s="97"/>
      <c r="L27" s="97"/>
      <c r="M27" s="97"/>
      <c r="N27" s="97"/>
      <c r="P27" s="99"/>
      <c r="Q27" s="97"/>
      <c r="R27" s="97"/>
      <c r="S27" s="97"/>
      <c r="T27" s="97"/>
      <c r="U27" s="97"/>
      <c r="V27" s="97"/>
      <c r="W27" s="97"/>
      <c r="X27" s="97"/>
      <c r="Y27" s="97"/>
    </row>
    <row r="28" spans="3:25" ht="15" customHeight="1" x14ac:dyDescent="0.25">
      <c r="E28" s="2" t="s">
        <v>147</v>
      </c>
      <c r="F28" s="24" t="s">
        <v>7</v>
      </c>
      <c r="G28" s="37"/>
      <c r="H28" s="232"/>
      <c r="I28" s="232">
        <f>IFERROR(I17/H17-1,"NA")</f>
        <v>5.7817259964636492E-2</v>
      </c>
      <c r="J28" s="232">
        <f t="shared" ref="J28:Y28" si="16">IFERROR(J17/I17-1,"NA")</f>
        <v>0.10375591581915211</v>
      </c>
      <c r="K28" s="232">
        <f t="shared" si="16"/>
        <v>-0.14198916196836175</v>
      </c>
      <c r="L28" s="232">
        <f t="shared" si="16"/>
        <v>5.3545986177565119E-2</v>
      </c>
      <c r="M28" s="232">
        <f t="shared" si="16"/>
        <v>3.477786972932595E-2</v>
      </c>
      <c r="N28" s="232">
        <f t="shared" si="16"/>
        <v>0.76352748410252436</v>
      </c>
      <c r="O28" s="232">
        <f t="shared" si="16"/>
        <v>0.44568571712993177</v>
      </c>
      <c r="P28" s="232">
        <f t="shared" si="16"/>
        <v>0.10000000000000009</v>
      </c>
      <c r="Q28" s="232">
        <f t="shared" si="16"/>
        <v>0.30000000000000004</v>
      </c>
      <c r="R28" s="232">
        <f t="shared" si="16"/>
        <v>0.19999999999999996</v>
      </c>
      <c r="S28" s="232">
        <f t="shared" si="16"/>
        <v>0.10000000000000009</v>
      </c>
      <c r="T28" s="232">
        <f t="shared" si="16"/>
        <v>0.10000000000000009</v>
      </c>
      <c r="U28" s="232">
        <f t="shared" si="16"/>
        <v>5.0000000000000044E-2</v>
      </c>
      <c r="V28" s="232">
        <f t="shared" si="16"/>
        <v>5.0000000000000044E-2</v>
      </c>
      <c r="W28" s="232">
        <f t="shared" si="16"/>
        <v>5.0000000000000044E-2</v>
      </c>
      <c r="X28" s="232">
        <f t="shared" si="16"/>
        <v>5.0000000000000044E-2</v>
      </c>
      <c r="Y28" s="232">
        <f t="shared" si="16"/>
        <v>2.4999999999999911E-2</v>
      </c>
    </row>
    <row r="29" spans="3:25" ht="15" customHeight="1" x14ac:dyDescent="0.25">
      <c r="E29" s="2" t="s">
        <v>148</v>
      </c>
      <c r="F29" s="24" t="s">
        <v>7</v>
      </c>
      <c r="G29" s="37"/>
      <c r="H29" s="232"/>
      <c r="I29" s="232">
        <f t="shared" ref="I29:Y29" si="17">IFERROR(I18/H18-1,"NA")</f>
        <v>0.18020920283806352</v>
      </c>
      <c r="J29" s="232">
        <f t="shared" si="17"/>
        <v>-0.15871266120743954</v>
      </c>
      <c r="K29" s="232">
        <f t="shared" si="17"/>
        <v>-2.1913966418069752E-2</v>
      </c>
      <c r="L29" s="232">
        <f t="shared" si="17"/>
        <v>-0.32706925959252742</v>
      </c>
      <c r="M29" s="232">
        <f t="shared" si="17"/>
        <v>-6.6454448840701841E-2</v>
      </c>
      <c r="N29" s="232">
        <f t="shared" si="17"/>
        <v>-0.6290244997434582</v>
      </c>
      <c r="O29" s="232">
        <f t="shared" si="17"/>
        <v>-0.90108196107245253</v>
      </c>
      <c r="P29" s="232">
        <f t="shared" si="17"/>
        <v>-0.27486394200522657</v>
      </c>
      <c r="Q29" s="232">
        <f t="shared" si="17"/>
        <v>-0.27486394200522657</v>
      </c>
      <c r="R29" s="232">
        <f t="shared" si="17"/>
        <v>-0.3317480851106378</v>
      </c>
      <c r="S29" s="232">
        <f t="shared" si="17"/>
        <v>-0.35337751309853749</v>
      </c>
      <c r="T29" s="232">
        <f t="shared" si="17"/>
        <v>-0.39481045643359602</v>
      </c>
      <c r="U29" s="232">
        <f t="shared" si="17"/>
        <v>-0.4032781060387296</v>
      </c>
      <c r="V29" s="232">
        <f t="shared" si="17"/>
        <v>-0.44538106318848314</v>
      </c>
      <c r="W29" s="232">
        <f t="shared" si="17"/>
        <v>-0.42242563361911123</v>
      </c>
      <c r="X29" s="232">
        <f t="shared" si="17"/>
        <v>-0.36259359268744351</v>
      </c>
      <c r="Y29" s="232">
        <f t="shared" si="17"/>
        <v>-0.37355979902272063</v>
      </c>
    </row>
    <row r="30" spans="3:25" ht="15" customHeight="1" x14ac:dyDescent="0.25">
      <c r="E30" s="2" t="s">
        <v>149</v>
      </c>
      <c r="F30" s="24" t="s">
        <v>7</v>
      </c>
      <c r="G30" s="37"/>
      <c r="H30" s="232"/>
      <c r="I30" s="232" t="str">
        <f t="shared" ref="I30:Y30" si="18">IFERROR(I19/H19-1,"NA")</f>
        <v>NA</v>
      </c>
      <c r="J30" s="232" t="str">
        <f t="shared" si="18"/>
        <v>NA</v>
      </c>
      <c r="K30" s="232" t="str">
        <f t="shared" si="18"/>
        <v>NA</v>
      </c>
      <c r="L30" s="232" t="str">
        <f t="shared" si="18"/>
        <v>NA</v>
      </c>
      <c r="M30" s="232" t="str">
        <f t="shared" si="18"/>
        <v>NA</v>
      </c>
      <c r="N30" s="232" t="str">
        <f t="shared" si="18"/>
        <v>NA</v>
      </c>
      <c r="O30" s="232" t="str">
        <f t="shared" si="18"/>
        <v>NA</v>
      </c>
      <c r="P30" s="232" t="str">
        <f t="shared" si="18"/>
        <v>NA</v>
      </c>
      <c r="Q30" s="232" t="str">
        <f t="shared" si="18"/>
        <v>NA</v>
      </c>
      <c r="R30" s="232" t="str">
        <f t="shared" si="18"/>
        <v>NA</v>
      </c>
      <c r="S30" s="232" t="str">
        <f t="shared" si="18"/>
        <v>NA</v>
      </c>
      <c r="T30" s="232" t="str">
        <f t="shared" si="18"/>
        <v>NA</v>
      </c>
      <c r="U30" s="232" t="str">
        <f t="shared" si="18"/>
        <v>NA</v>
      </c>
      <c r="V30" s="232" t="str">
        <f t="shared" si="18"/>
        <v>NA</v>
      </c>
      <c r="W30" s="232" t="str">
        <f t="shared" si="18"/>
        <v>NA</v>
      </c>
      <c r="X30" s="232" t="str">
        <f t="shared" si="18"/>
        <v>NA</v>
      </c>
      <c r="Y30" s="232" t="str">
        <f t="shared" si="18"/>
        <v>NA</v>
      </c>
    </row>
    <row r="31" spans="3:25" ht="15" customHeight="1" x14ac:dyDescent="0.25">
      <c r="E31" s="2" t="s">
        <v>150</v>
      </c>
      <c r="F31" s="24" t="s">
        <v>7</v>
      </c>
      <c r="G31" s="37"/>
      <c r="H31" s="232"/>
      <c r="I31" s="232" t="str">
        <f t="shared" ref="I31:Y31" si="19">IFERROR(I20/H20-1,"NA")</f>
        <v>NA</v>
      </c>
      <c r="J31" s="232" t="str">
        <f t="shared" si="19"/>
        <v>NA</v>
      </c>
      <c r="K31" s="232" t="str">
        <f t="shared" si="19"/>
        <v>NA</v>
      </c>
      <c r="L31" s="232" t="str">
        <f t="shared" si="19"/>
        <v>NA</v>
      </c>
      <c r="M31" s="232" t="str">
        <f t="shared" si="19"/>
        <v>NA</v>
      </c>
      <c r="N31" s="232" t="str">
        <f t="shared" si="19"/>
        <v>NA</v>
      </c>
      <c r="O31" s="232" t="str">
        <f t="shared" si="19"/>
        <v>NA</v>
      </c>
      <c r="P31" s="232" t="str">
        <f t="shared" si="19"/>
        <v>NA</v>
      </c>
      <c r="Q31" s="232" t="str">
        <f t="shared" si="19"/>
        <v>NA</v>
      </c>
      <c r="R31" s="232" t="str">
        <f t="shared" si="19"/>
        <v>NA</v>
      </c>
      <c r="S31" s="232" t="str">
        <f t="shared" si="19"/>
        <v>NA</v>
      </c>
      <c r="T31" s="232" t="str">
        <f t="shared" si="19"/>
        <v>NA</v>
      </c>
      <c r="U31" s="232" t="str">
        <f t="shared" si="19"/>
        <v>NA</v>
      </c>
      <c r="V31" s="232" t="str">
        <f t="shared" si="19"/>
        <v>NA</v>
      </c>
      <c r="W31" s="232" t="str">
        <f t="shared" si="19"/>
        <v>NA</v>
      </c>
      <c r="X31" s="232" t="str">
        <f t="shared" si="19"/>
        <v>NA</v>
      </c>
      <c r="Y31" s="232" t="str">
        <f t="shared" si="19"/>
        <v>NA</v>
      </c>
    </row>
    <row r="32" spans="3:25" ht="15" customHeight="1" x14ac:dyDescent="0.25">
      <c r="C32" s="1"/>
      <c r="D32" s="1"/>
      <c r="E32" s="2" t="s">
        <v>151</v>
      </c>
      <c r="F32" s="24" t="s">
        <v>7</v>
      </c>
      <c r="G32" s="37"/>
      <c r="H32" s="232"/>
      <c r="I32" s="232" t="str">
        <f t="shared" ref="I32:Y33" si="20">IFERROR(I21/H21-1,"NA")</f>
        <v>NA</v>
      </c>
      <c r="J32" s="232" t="str">
        <f t="shared" si="20"/>
        <v>NA</v>
      </c>
      <c r="K32" s="232" t="str">
        <f t="shared" si="20"/>
        <v>NA</v>
      </c>
      <c r="L32" s="232" t="str">
        <f t="shared" si="20"/>
        <v>NA</v>
      </c>
      <c r="M32" s="232" t="str">
        <f t="shared" si="20"/>
        <v>NA</v>
      </c>
      <c r="N32" s="232" t="str">
        <f t="shared" si="20"/>
        <v>NA</v>
      </c>
      <c r="O32" s="232" t="str">
        <f t="shared" si="20"/>
        <v>NA</v>
      </c>
      <c r="P32" s="232" t="str">
        <f t="shared" si="20"/>
        <v>NA</v>
      </c>
      <c r="Q32" s="232" t="str">
        <f t="shared" si="20"/>
        <v>NA</v>
      </c>
      <c r="R32" s="232" t="str">
        <f t="shared" si="20"/>
        <v>NA</v>
      </c>
      <c r="S32" s="232" t="str">
        <f t="shared" si="20"/>
        <v>NA</v>
      </c>
      <c r="T32" s="232" t="str">
        <f t="shared" si="20"/>
        <v>NA</v>
      </c>
      <c r="U32" s="232" t="str">
        <f t="shared" si="20"/>
        <v>NA</v>
      </c>
      <c r="V32" s="232" t="str">
        <f t="shared" si="20"/>
        <v>NA</v>
      </c>
      <c r="W32" s="232" t="str">
        <f t="shared" si="20"/>
        <v>NA</v>
      </c>
      <c r="X32" s="232" t="str">
        <f t="shared" si="20"/>
        <v>NA</v>
      </c>
      <c r="Y32" s="232" t="str">
        <f t="shared" si="20"/>
        <v>NA</v>
      </c>
    </row>
    <row r="33" spans="3:25" ht="15" customHeight="1" x14ac:dyDescent="0.25">
      <c r="C33" s="1"/>
      <c r="D33" s="1"/>
      <c r="E33" s="1" t="s">
        <v>153</v>
      </c>
      <c r="F33" s="24" t="s">
        <v>7</v>
      </c>
      <c r="G33" s="101"/>
      <c r="H33" s="276"/>
      <c r="I33" s="276">
        <f t="shared" si="20"/>
        <v>0.16396279716878404</v>
      </c>
      <c r="J33" s="276">
        <f t="shared" si="20"/>
        <v>-0.12704956864612449</v>
      </c>
      <c r="K33" s="276">
        <f t="shared" si="20"/>
        <v>-4.0229213283015652E-2</v>
      </c>
      <c r="L33" s="276">
        <f t="shared" si="20"/>
        <v>-0.27516883613977805</v>
      </c>
      <c r="M33" s="276">
        <f t="shared" si="20"/>
        <v>-4.6390309082035119E-2</v>
      </c>
      <c r="N33" s="276">
        <f t="shared" si="20"/>
        <v>-0.32952972270000425</v>
      </c>
      <c r="O33" s="276">
        <f t="shared" si="20"/>
        <v>-0.13922537855086958</v>
      </c>
      <c r="P33" s="276">
        <f t="shared" si="20"/>
        <v>8.1290728101477194E-2</v>
      </c>
      <c r="Q33" s="276">
        <f t="shared" si="20"/>
        <v>0.28075910322427666</v>
      </c>
      <c r="R33" s="276">
        <f t="shared" si="20"/>
        <v>0.18992330240110178</v>
      </c>
      <c r="S33" s="276">
        <f t="shared" si="20"/>
        <v>9.517504231020335E-2</v>
      </c>
      <c r="T33" s="276">
        <f t="shared" si="20"/>
        <v>9.6890864372045193E-2</v>
      </c>
      <c r="U33" s="276">
        <f t="shared" si="20"/>
        <v>4.8428575436040733E-2</v>
      </c>
      <c r="V33" s="276">
        <f t="shared" si="20"/>
        <v>4.9022534766867132E-2</v>
      </c>
      <c r="W33" s="276">
        <f t="shared" si="20"/>
        <v>4.9507160794468819E-2</v>
      </c>
      <c r="X33" s="276">
        <f t="shared" si="20"/>
        <v>4.9763126335808705E-2</v>
      </c>
      <c r="Y33" s="276">
        <f t="shared" si="20"/>
        <v>2.4861064604732697E-2</v>
      </c>
    </row>
    <row r="34" spans="3:25" ht="15" customHeight="1" x14ac:dyDescent="0.25">
      <c r="C34" s="2"/>
      <c r="D34" s="2"/>
      <c r="E34" s="2"/>
      <c r="F34" s="24"/>
      <c r="G34" s="24"/>
      <c r="H34" s="2"/>
      <c r="I34" s="2"/>
      <c r="J34" s="2"/>
      <c r="K34" s="62"/>
      <c r="L34" s="62"/>
      <c r="M34" s="62"/>
      <c r="N34" s="102"/>
      <c r="O34" s="102"/>
      <c r="P34" s="62"/>
      <c r="Q34" s="62"/>
      <c r="R34" s="62"/>
      <c r="S34" s="62"/>
      <c r="T34" s="62"/>
      <c r="U34" s="62"/>
      <c r="V34" s="62"/>
      <c r="W34" s="62"/>
      <c r="X34" s="62"/>
      <c r="Y34" s="62"/>
    </row>
    <row r="35" spans="3:25" ht="15" customHeight="1" x14ac:dyDescent="0.25">
      <c r="C35" s="90" t="s">
        <v>275</v>
      </c>
      <c r="D35" s="91"/>
      <c r="E35" s="91"/>
      <c r="F35" s="92"/>
      <c r="G35" s="92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</row>
    <row r="36" spans="3:25" ht="15" customHeight="1" x14ac:dyDescent="0.25">
      <c r="C36" s="1"/>
      <c r="D36" s="2"/>
      <c r="E36" s="2"/>
      <c r="F36" s="24"/>
      <c r="G36" s="24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</row>
    <row r="37" spans="3:25" ht="15" customHeight="1" x14ac:dyDescent="0.25">
      <c r="C37" s="2"/>
      <c r="D37" s="2"/>
      <c r="E37" s="2" t="s">
        <v>147</v>
      </c>
      <c r="F37" s="24" t="s">
        <v>25</v>
      </c>
      <c r="G37" s="24"/>
      <c r="H37" s="47">
        <f t="shared" ref="H37:Y37" si="21">H106</f>
        <v>41.8</v>
      </c>
      <c r="I37" s="47">
        <f t="shared" si="21"/>
        <v>41.2</v>
      </c>
      <c r="J37" s="47">
        <f t="shared" si="21"/>
        <v>47.2</v>
      </c>
      <c r="K37" s="47">
        <f t="shared" si="21"/>
        <v>41.5</v>
      </c>
      <c r="L37" s="47">
        <f t="shared" si="21"/>
        <v>32.665999999999997</v>
      </c>
      <c r="M37" s="47">
        <f t="shared" si="21"/>
        <v>35.429000000000002</v>
      </c>
      <c r="N37" s="47">
        <f t="shared" si="21"/>
        <v>57.451999999999998</v>
      </c>
      <c r="O37" s="47">
        <f t="shared" si="21"/>
        <v>87.242999999999995</v>
      </c>
      <c r="P37" s="47">
        <f t="shared" si="21"/>
        <v>107.91806629620193</v>
      </c>
      <c r="Q37" s="47">
        <f t="shared" si="21"/>
        <v>137.59205351326247</v>
      </c>
      <c r="R37" s="47">
        <f t="shared" si="21"/>
        <v>162.81543169167909</v>
      </c>
      <c r="S37" s="47">
        <f t="shared" si="21"/>
        <v>175.64814062155421</v>
      </c>
      <c r="T37" s="47">
        <f t="shared" si="21"/>
        <v>188.65530172777693</v>
      </c>
      <c r="U37" s="47">
        <f t="shared" si="21"/>
        <v>199.4419571273923</v>
      </c>
      <c r="V37" s="47">
        <f t="shared" si="21"/>
        <v>209.74878877230967</v>
      </c>
      <c r="W37" s="47">
        <f t="shared" si="21"/>
        <v>223.11332133764427</v>
      </c>
      <c r="X37" s="47">
        <f t="shared" si="21"/>
        <v>236.15699447638505</v>
      </c>
      <c r="Y37" s="47">
        <f t="shared" si="21"/>
        <v>240.66987314716917</v>
      </c>
    </row>
    <row r="38" spans="3:25" ht="15" customHeight="1" x14ac:dyDescent="0.25">
      <c r="C38" s="2"/>
      <c r="D38" s="2"/>
      <c r="E38" s="2" t="s">
        <v>148</v>
      </c>
      <c r="F38" s="24" t="s">
        <v>25</v>
      </c>
      <c r="G38" s="24"/>
      <c r="H38" s="47">
        <f>H118</f>
        <v>125.6</v>
      </c>
      <c r="I38" s="47">
        <f t="shared" ref="I38:Y38" si="22">I118</f>
        <v>179.4</v>
      </c>
      <c r="J38" s="47">
        <f t="shared" si="22"/>
        <v>105.4</v>
      </c>
      <c r="K38" s="47">
        <f t="shared" si="22"/>
        <v>80.400000000000006</v>
      </c>
      <c r="L38" s="47">
        <f t="shared" si="22"/>
        <v>25.911999999999999</v>
      </c>
      <c r="M38" s="47">
        <f t="shared" si="22"/>
        <v>33.838999999999999</v>
      </c>
      <c r="N38" s="47">
        <f t="shared" si="22"/>
        <v>27.018000000000001</v>
      </c>
      <c r="O38" s="47">
        <f t="shared" si="22"/>
        <v>3.61</v>
      </c>
      <c r="P38" s="47">
        <f t="shared" si="22"/>
        <v>1.3835776384892033</v>
      </c>
      <c r="Q38" s="47">
        <f t="shared" si="22"/>
        <v>0.9645271678424221</v>
      </c>
      <c r="R38" s="47">
        <f t="shared" si="22"/>
        <v>0.60943024442605676</v>
      </c>
      <c r="S38" s="47">
        <f t="shared" si="22"/>
        <v>0.38119613284608161</v>
      </c>
      <c r="T38" s="47">
        <f t="shared" si="22"/>
        <v>0.22799366982948646</v>
      </c>
      <c r="U38" s="47">
        <f t="shared" si="22"/>
        <v>0.15260362563338567</v>
      </c>
      <c r="V38" s="47">
        <f t="shared" si="22"/>
        <v>9.0251987983284765E-2</v>
      </c>
      <c r="W38" s="47">
        <f t="shared" si="22"/>
        <v>5.0499030142816412E-2</v>
      </c>
      <c r="X38" s="47">
        <f t="shared" si="22"/>
        <v>3.0410192452113047E-2</v>
      </c>
      <c r="Y38" s="47">
        <f t="shared" si="22"/>
        <v>1.8934927676703947E-2</v>
      </c>
    </row>
    <row r="39" spans="3:25" ht="15" customHeight="1" x14ac:dyDescent="0.25">
      <c r="C39" s="2"/>
      <c r="D39" s="2"/>
      <c r="E39" s="2" t="s">
        <v>149</v>
      </c>
      <c r="F39" s="24" t="s">
        <v>25</v>
      </c>
      <c r="G39" s="24"/>
      <c r="H39" s="47">
        <f>H130</f>
        <v>0</v>
      </c>
      <c r="I39" s="47">
        <f t="shared" ref="I39:Y39" si="23">I130</f>
        <v>0</v>
      </c>
      <c r="J39" s="47">
        <f t="shared" si="23"/>
        <v>0</v>
      </c>
      <c r="K39" s="47">
        <f t="shared" si="23"/>
        <v>0</v>
      </c>
      <c r="L39" s="47">
        <f t="shared" si="23"/>
        <v>0</v>
      </c>
      <c r="M39" s="47">
        <f t="shared" si="23"/>
        <v>0</v>
      </c>
      <c r="N39" s="47">
        <f t="shared" si="23"/>
        <v>0</v>
      </c>
      <c r="O39" s="47">
        <f t="shared" si="23"/>
        <v>0</v>
      </c>
      <c r="P39" s="47">
        <f t="shared" si="23"/>
        <v>0</v>
      </c>
      <c r="Q39" s="47">
        <f t="shared" si="23"/>
        <v>0</v>
      </c>
      <c r="R39" s="47">
        <f t="shared" si="23"/>
        <v>0</v>
      </c>
      <c r="S39" s="47">
        <f t="shared" si="23"/>
        <v>0</v>
      </c>
      <c r="T39" s="47">
        <f t="shared" si="23"/>
        <v>0</v>
      </c>
      <c r="U39" s="47">
        <f t="shared" si="23"/>
        <v>0</v>
      </c>
      <c r="V39" s="47">
        <f t="shared" si="23"/>
        <v>0</v>
      </c>
      <c r="W39" s="47">
        <f t="shared" si="23"/>
        <v>0</v>
      </c>
      <c r="X39" s="47">
        <f t="shared" si="23"/>
        <v>0</v>
      </c>
      <c r="Y39" s="47">
        <f t="shared" si="23"/>
        <v>0</v>
      </c>
    </row>
    <row r="40" spans="3:25" ht="15" customHeight="1" x14ac:dyDescent="0.25">
      <c r="C40" s="2"/>
      <c r="D40" s="2"/>
      <c r="E40" s="2" t="s">
        <v>150</v>
      </c>
      <c r="F40" s="24" t="s">
        <v>25</v>
      </c>
      <c r="G40" s="24"/>
      <c r="H40" s="47">
        <f>H142</f>
        <v>0</v>
      </c>
      <c r="I40" s="47">
        <f t="shared" ref="I40:Y40" si="24">I142</f>
        <v>0</v>
      </c>
      <c r="J40" s="47">
        <f t="shared" si="24"/>
        <v>0</v>
      </c>
      <c r="K40" s="47">
        <f t="shared" si="24"/>
        <v>0</v>
      </c>
      <c r="L40" s="47">
        <f t="shared" si="24"/>
        <v>0</v>
      </c>
      <c r="M40" s="47">
        <f t="shared" si="24"/>
        <v>0</v>
      </c>
      <c r="N40" s="47">
        <f t="shared" si="24"/>
        <v>0</v>
      </c>
      <c r="O40" s="47">
        <f t="shared" si="24"/>
        <v>0</v>
      </c>
      <c r="P40" s="47">
        <f t="shared" si="24"/>
        <v>0</v>
      </c>
      <c r="Q40" s="47">
        <f t="shared" si="24"/>
        <v>0</v>
      </c>
      <c r="R40" s="47">
        <f t="shared" si="24"/>
        <v>0</v>
      </c>
      <c r="S40" s="47">
        <f t="shared" si="24"/>
        <v>0</v>
      </c>
      <c r="T40" s="47">
        <f t="shared" si="24"/>
        <v>0</v>
      </c>
      <c r="U40" s="47">
        <f t="shared" si="24"/>
        <v>0</v>
      </c>
      <c r="V40" s="47">
        <f t="shared" si="24"/>
        <v>0</v>
      </c>
      <c r="W40" s="47">
        <f t="shared" si="24"/>
        <v>0</v>
      </c>
      <c r="X40" s="47">
        <f t="shared" si="24"/>
        <v>0</v>
      </c>
      <c r="Y40" s="47">
        <f t="shared" si="24"/>
        <v>0</v>
      </c>
    </row>
    <row r="41" spans="3:25" ht="15" customHeight="1" x14ac:dyDescent="0.25">
      <c r="C41" s="2"/>
      <c r="D41" s="2"/>
      <c r="E41" s="2" t="s">
        <v>151</v>
      </c>
      <c r="F41" s="24" t="s">
        <v>25</v>
      </c>
      <c r="G41" s="24"/>
      <c r="H41" s="47">
        <f t="shared" ref="H41:Y41" si="25">H154</f>
        <v>0</v>
      </c>
      <c r="I41" s="47">
        <f t="shared" si="25"/>
        <v>0</v>
      </c>
      <c r="J41" s="47">
        <f t="shared" si="25"/>
        <v>0</v>
      </c>
      <c r="K41" s="47">
        <f t="shared" si="25"/>
        <v>0</v>
      </c>
      <c r="L41" s="47">
        <f t="shared" si="25"/>
        <v>0</v>
      </c>
      <c r="M41" s="47">
        <f t="shared" si="25"/>
        <v>0</v>
      </c>
      <c r="N41" s="47">
        <f t="shared" si="25"/>
        <v>0</v>
      </c>
      <c r="O41" s="47">
        <f t="shared" si="25"/>
        <v>0</v>
      </c>
      <c r="P41" s="47">
        <f t="shared" si="25"/>
        <v>0</v>
      </c>
      <c r="Q41" s="47">
        <f t="shared" si="25"/>
        <v>0</v>
      </c>
      <c r="R41" s="47">
        <f t="shared" si="25"/>
        <v>0</v>
      </c>
      <c r="S41" s="47">
        <f t="shared" si="25"/>
        <v>0</v>
      </c>
      <c r="T41" s="47">
        <f t="shared" si="25"/>
        <v>0</v>
      </c>
      <c r="U41" s="47">
        <f t="shared" si="25"/>
        <v>0</v>
      </c>
      <c r="V41" s="47">
        <f t="shared" si="25"/>
        <v>0</v>
      </c>
      <c r="W41" s="47">
        <f t="shared" si="25"/>
        <v>0</v>
      </c>
      <c r="X41" s="47">
        <f t="shared" si="25"/>
        <v>0</v>
      </c>
      <c r="Y41" s="47">
        <f t="shared" si="25"/>
        <v>0</v>
      </c>
    </row>
    <row r="42" spans="3:25" ht="15" customHeight="1" x14ac:dyDescent="0.25">
      <c r="C42" s="1"/>
      <c r="D42" s="1"/>
      <c r="E42" s="1" t="s">
        <v>154</v>
      </c>
      <c r="F42" s="94" t="s">
        <v>25</v>
      </c>
      <c r="G42" s="94"/>
      <c r="H42" s="95">
        <f>SUM(H37:H41)</f>
        <v>167.39999999999998</v>
      </c>
      <c r="I42" s="95">
        <f t="shared" ref="I42:Y42" si="26">SUM(I37:I41)</f>
        <v>220.60000000000002</v>
      </c>
      <c r="J42" s="95">
        <f t="shared" si="26"/>
        <v>152.60000000000002</v>
      </c>
      <c r="K42" s="95">
        <f t="shared" si="26"/>
        <v>121.9</v>
      </c>
      <c r="L42" s="95">
        <f t="shared" si="26"/>
        <v>58.577999999999996</v>
      </c>
      <c r="M42" s="95">
        <f t="shared" si="26"/>
        <v>69.268000000000001</v>
      </c>
      <c r="N42" s="95">
        <f t="shared" si="26"/>
        <v>84.47</v>
      </c>
      <c r="O42" s="95">
        <f t="shared" si="26"/>
        <v>90.852999999999994</v>
      </c>
      <c r="P42" s="95">
        <f t="shared" si="26"/>
        <v>109.30164393469113</v>
      </c>
      <c r="Q42" s="95">
        <f t="shared" si="26"/>
        <v>138.55658068110489</v>
      </c>
      <c r="R42" s="95">
        <f t="shared" si="26"/>
        <v>163.42486193610515</v>
      </c>
      <c r="S42" s="95">
        <f t="shared" si="26"/>
        <v>176.02933675440028</v>
      </c>
      <c r="T42" s="95">
        <f t="shared" si="26"/>
        <v>188.88329539760642</v>
      </c>
      <c r="U42" s="95">
        <f t="shared" si="26"/>
        <v>199.59456075302569</v>
      </c>
      <c r="V42" s="95">
        <f t="shared" si="26"/>
        <v>209.83904076029296</v>
      </c>
      <c r="W42" s="95">
        <f t="shared" si="26"/>
        <v>223.16382036778708</v>
      </c>
      <c r="X42" s="95">
        <f t="shared" si="26"/>
        <v>236.18740466883716</v>
      </c>
      <c r="Y42" s="95">
        <f t="shared" si="26"/>
        <v>240.68880807484587</v>
      </c>
    </row>
    <row r="43" spans="3:25" ht="15" customHeight="1" x14ac:dyDescent="0.25">
      <c r="C43" s="1"/>
      <c r="D43" s="1"/>
      <c r="E43" s="18" t="s">
        <v>132</v>
      </c>
      <c r="F43" s="94" t="s">
        <v>7</v>
      </c>
      <c r="G43" s="94"/>
      <c r="H43" s="96"/>
      <c r="I43" s="107">
        <f>IFERROR((I42/H42)-1,"NA")</f>
        <v>0.31780167264038273</v>
      </c>
      <c r="J43" s="107">
        <f t="shared" ref="J43" si="27">IFERROR((J42/I42)-1,"NA")</f>
        <v>-0.30825022665457835</v>
      </c>
      <c r="K43" s="107">
        <f t="shared" ref="K43" si="28">IFERROR((K42/J42)-1,"NA")</f>
        <v>-0.20117955439056368</v>
      </c>
      <c r="L43" s="107">
        <f t="shared" ref="L43" si="29">IFERROR((L42/K42)-1,"NA")</f>
        <v>-0.51945857260049233</v>
      </c>
      <c r="M43" s="107">
        <f t="shared" ref="M43" si="30">IFERROR((M42/L42)-1,"NA")</f>
        <v>0.18249172044112139</v>
      </c>
      <c r="N43" s="107">
        <f t="shared" ref="N43" si="31">IFERROR((N42/M42)-1,"NA")</f>
        <v>0.21946642028064911</v>
      </c>
      <c r="O43" s="107">
        <f t="shared" ref="O43" si="32">IFERROR((O42/N42)-1,"NA")</f>
        <v>7.556528945187635E-2</v>
      </c>
      <c r="P43" s="107">
        <f t="shared" ref="P43" si="33">IFERROR((P42/O42)-1,"NA")</f>
        <v>0.203060371530837</v>
      </c>
      <c r="Q43" s="107">
        <f t="shared" ref="Q43" si="34">IFERROR((Q42/P42)-1,"NA")</f>
        <v>0.26765321813360732</v>
      </c>
      <c r="R43" s="107">
        <f t="shared" ref="R43" si="35">IFERROR((R42/Q42)-1,"NA")</f>
        <v>0.17948105483517884</v>
      </c>
      <c r="S43" s="107">
        <f t="shared" ref="S43" si="36">IFERROR((S42/R42)-1,"NA")</f>
        <v>7.7127033604122985E-2</v>
      </c>
      <c r="T43" s="107">
        <f t="shared" ref="T43" si="37">IFERROR((T42/S42)-1,"NA")</f>
        <v>7.3021684227216221E-2</v>
      </c>
      <c r="U43" s="107">
        <f t="shared" ref="U43" si="38">IFERROR((U42/T42)-1,"NA")</f>
        <v>5.6708378223027323E-2</v>
      </c>
      <c r="V43" s="107">
        <f t="shared" ref="V43" si="39">IFERROR((V42/U42)-1,"NA")</f>
        <v>5.132644882013393E-2</v>
      </c>
      <c r="W43" s="107">
        <f t="shared" ref="W43" si="40">IFERROR((W42/V42)-1,"NA")</f>
        <v>6.350000247435128E-2</v>
      </c>
      <c r="X43" s="107">
        <f t="shared" ref="X43" si="41">IFERROR((X42/W42)-1,"NA")</f>
        <v>5.8358851715239801E-2</v>
      </c>
      <c r="Y43" s="107">
        <f t="shared" ref="Y43" si="42">IFERROR((Y42/X42)-1,"NA")</f>
        <v>1.9058609041071373E-2</v>
      </c>
    </row>
    <row r="44" spans="3:25" ht="15" customHeight="1" x14ac:dyDescent="0.25">
      <c r="C44" s="2"/>
      <c r="D44" s="2"/>
      <c r="E44" s="2"/>
      <c r="F44" s="24"/>
      <c r="G44" s="24"/>
      <c r="H44" s="27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27"/>
      <c r="T44" s="27"/>
      <c r="U44" s="27"/>
      <c r="V44" s="27"/>
      <c r="W44" s="27"/>
      <c r="X44" s="27"/>
      <c r="Y44" s="27"/>
    </row>
    <row r="45" spans="3:25" ht="15" customHeight="1" x14ac:dyDescent="0.25">
      <c r="C45" s="1"/>
      <c r="D45" s="1"/>
      <c r="E45" s="100" t="s">
        <v>89</v>
      </c>
      <c r="F45" s="94"/>
      <c r="G45" s="3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</row>
    <row r="46" spans="3:25" ht="15" customHeight="1" x14ac:dyDescent="0.25">
      <c r="C46" s="1"/>
      <c r="D46" s="1"/>
      <c r="E46" s="2" t="s">
        <v>147</v>
      </c>
      <c r="F46" s="24" t="s">
        <v>7</v>
      </c>
      <c r="G46" s="37"/>
      <c r="H46" s="232">
        <f t="shared" ref="H46:Y46" si="43">IFERROR(H37/H17,"NA")</f>
        <v>0.89047953814362701</v>
      </c>
      <c r="I46" s="232">
        <f t="shared" si="43"/>
        <v>0.82972510321216397</v>
      </c>
      <c r="J46" s="232">
        <f t="shared" si="43"/>
        <v>0.86120386082069811</v>
      </c>
      <c r="K46" s="232">
        <f t="shared" si="43"/>
        <v>0.88250930356193513</v>
      </c>
      <c r="L46" s="232">
        <f t="shared" si="43"/>
        <v>0.65934642633671758</v>
      </c>
      <c r="M46" s="232">
        <f t="shared" si="43"/>
        <v>0.69108180860609381</v>
      </c>
      <c r="N46" s="232">
        <f t="shared" si="43"/>
        <v>0.63546770786094298</v>
      </c>
      <c r="O46" s="232">
        <f t="shared" si="43"/>
        <v>0.66749041720541991</v>
      </c>
      <c r="P46" s="232">
        <f t="shared" si="43"/>
        <v>0.75061270970480554</v>
      </c>
      <c r="Q46" s="232">
        <f t="shared" si="43"/>
        <v>0.73615922541979661</v>
      </c>
      <c r="R46" s="232">
        <f t="shared" si="43"/>
        <v>0.72592662524283058</v>
      </c>
      <c r="S46" s="232">
        <f t="shared" si="43"/>
        <v>0.71194760297125415</v>
      </c>
      <c r="T46" s="232">
        <f t="shared" si="43"/>
        <v>0.69515364574171468</v>
      </c>
      <c r="U46" s="232">
        <f t="shared" si="43"/>
        <v>0.69990487484052133</v>
      </c>
      <c r="V46" s="232">
        <f t="shared" si="43"/>
        <v>0.70102362405912833</v>
      </c>
      <c r="W46" s="232">
        <f t="shared" si="43"/>
        <v>0.71018156445264347</v>
      </c>
      <c r="X46" s="232">
        <f t="shared" si="43"/>
        <v>0.71590501863599587</v>
      </c>
      <c r="Y46" s="232">
        <f t="shared" si="43"/>
        <v>0.71179094292272704</v>
      </c>
    </row>
    <row r="47" spans="3:25" ht="15" customHeight="1" x14ac:dyDescent="0.25">
      <c r="C47" s="1"/>
      <c r="D47" s="1"/>
      <c r="E47" s="2" t="s">
        <v>148</v>
      </c>
      <c r="F47" s="24" t="s">
        <v>7</v>
      </c>
      <c r="G47" s="37"/>
      <c r="H47" s="232">
        <f t="shared" ref="H47:Y47" si="44">IFERROR(H38/H18,"NA")</f>
        <v>0.40953672787979967</v>
      </c>
      <c r="I47" s="232">
        <f t="shared" si="44"/>
        <v>0.49564035407618606</v>
      </c>
      <c r="J47" s="232">
        <f t="shared" si="44"/>
        <v>0.3461309846342801</v>
      </c>
      <c r="K47" s="232">
        <f t="shared" si="44"/>
        <v>0.26994721927503729</v>
      </c>
      <c r="L47" s="232">
        <f t="shared" si="44"/>
        <v>0.12928655892786756</v>
      </c>
      <c r="M47" s="232">
        <f t="shared" si="44"/>
        <v>0.18085663588164869</v>
      </c>
      <c r="N47" s="232">
        <f t="shared" si="44"/>
        <v>0.38924666119203011</v>
      </c>
      <c r="O47" s="232">
        <f t="shared" si="44"/>
        <v>0.52577920186425864</v>
      </c>
      <c r="P47" s="232">
        <f t="shared" si="44"/>
        <v>0.27789468072568352</v>
      </c>
      <c r="Q47" s="232">
        <f t="shared" si="44"/>
        <v>0.2671601405062099</v>
      </c>
      <c r="R47" s="232">
        <f t="shared" si="44"/>
        <v>0.25260444572821844</v>
      </c>
      <c r="S47" s="232">
        <f t="shared" si="44"/>
        <v>0.24435130848596653</v>
      </c>
      <c r="T47" s="232">
        <f t="shared" si="44"/>
        <v>0.24148911295734252</v>
      </c>
      <c r="U47" s="232">
        <f t="shared" si="44"/>
        <v>0.27087420299359349</v>
      </c>
      <c r="V47" s="232">
        <f t="shared" si="44"/>
        <v>0.28884501551177283</v>
      </c>
      <c r="W47" s="232">
        <f t="shared" si="44"/>
        <v>0.27982288353015677</v>
      </c>
      <c r="X47" s="232">
        <f t="shared" si="44"/>
        <v>0.26436437721066164</v>
      </c>
      <c r="Y47" s="232">
        <f t="shared" si="44"/>
        <v>0.2627651686205012</v>
      </c>
    </row>
    <row r="48" spans="3:25" ht="15" customHeight="1" x14ac:dyDescent="0.25">
      <c r="C48" s="1"/>
      <c r="D48" s="1"/>
      <c r="E48" s="2" t="s">
        <v>149</v>
      </c>
      <c r="F48" s="24" t="s">
        <v>7</v>
      </c>
      <c r="G48" s="37"/>
      <c r="H48" s="232" t="str">
        <f>IFERROR(H39/H19,"NA")</f>
        <v>NA</v>
      </c>
      <c r="I48" s="232" t="str">
        <f t="shared" ref="I48:Y48" si="45">IFERROR(I39/I19,"NA")</f>
        <v>NA</v>
      </c>
      <c r="J48" s="232" t="str">
        <f t="shared" si="45"/>
        <v>NA</v>
      </c>
      <c r="K48" s="232" t="str">
        <f t="shared" si="45"/>
        <v>NA</v>
      </c>
      <c r="L48" s="232" t="str">
        <f t="shared" si="45"/>
        <v>NA</v>
      </c>
      <c r="M48" s="232" t="str">
        <f t="shared" si="45"/>
        <v>NA</v>
      </c>
      <c r="N48" s="232" t="str">
        <f t="shared" si="45"/>
        <v>NA</v>
      </c>
      <c r="O48" s="232" t="str">
        <f t="shared" si="45"/>
        <v>NA</v>
      </c>
      <c r="P48" s="232" t="str">
        <f t="shared" si="45"/>
        <v>NA</v>
      </c>
      <c r="Q48" s="232" t="str">
        <f t="shared" si="45"/>
        <v>NA</v>
      </c>
      <c r="R48" s="232" t="str">
        <f t="shared" si="45"/>
        <v>NA</v>
      </c>
      <c r="S48" s="232" t="str">
        <f t="shared" si="45"/>
        <v>NA</v>
      </c>
      <c r="T48" s="232" t="str">
        <f t="shared" si="45"/>
        <v>NA</v>
      </c>
      <c r="U48" s="232" t="str">
        <f t="shared" si="45"/>
        <v>NA</v>
      </c>
      <c r="V48" s="232" t="str">
        <f t="shared" si="45"/>
        <v>NA</v>
      </c>
      <c r="W48" s="232" t="str">
        <f t="shared" si="45"/>
        <v>NA</v>
      </c>
      <c r="X48" s="232" t="str">
        <f t="shared" si="45"/>
        <v>NA</v>
      </c>
      <c r="Y48" s="232" t="str">
        <f t="shared" si="45"/>
        <v>NA</v>
      </c>
    </row>
    <row r="49" spans="3:26" ht="15" customHeight="1" x14ac:dyDescent="0.25">
      <c r="C49" s="1"/>
      <c r="D49" s="1"/>
      <c r="E49" s="2" t="s">
        <v>150</v>
      </c>
      <c r="F49" s="24" t="s">
        <v>7</v>
      </c>
      <c r="G49" s="37"/>
      <c r="H49" s="232" t="str">
        <f t="shared" ref="H49:Y49" si="46">IFERROR(H40/H20,"NA")</f>
        <v>NA</v>
      </c>
      <c r="I49" s="232" t="str">
        <f t="shared" si="46"/>
        <v>NA</v>
      </c>
      <c r="J49" s="232" t="str">
        <f t="shared" si="46"/>
        <v>NA</v>
      </c>
      <c r="K49" s="232" t="str">
        <f t="shared" si="46"/>
        <v>NA</v>
      </c>
      <c r="L49" s="232" t="str">
        <f t="shared" si="46"/>
        <v>NA</v>
      </c>
      <c r="M49" s="232" t="str">
        <f t="shared" si="46"/>
        <v>NA</v>
      </c>
      <c r="N49" s="232" t="str">
        <f t="shared" si="46"/>
        <v>NA</v>
      </c>
      <c r="O49" s="232" t="str">
        <f t="shared" si="46"/>
        <v>NA</v>
      </c>
      <c r="P49" s="232" t="str">
        <f t="shared" si="46"/>
        <v>NA</v>
      </c>
      <c r="Q49" s="232" t="str">
        <f t="shared" si="46"/>
        <v>NA</v>
      </c>
      <c r="R49" s="232" t="str">
        <f t="shared" si="46"/>
        <v>NA</v>
      </c>
      <c r="S49" s="232" t="str">
        <f t="shared" si="46"/>
        <v>NA</v>
      </c>
      <c r="T49" s="232" t="str">
        <f t="shared" si="46"/>
        <v>NA</v>
      </c>
      <c r="U49" s="232" t="str">
        <f t="shared" si="46"/>
        <v>NA</v>
      </c>
      <c r="V49" s="232" t="str">
        <f t="shared" si="46"/>
        <v>NA</v>
      </c>
      <c r="W49" s="232" t="str">
        <f t="shared" si="46"/>
        <v>NA</v>
      </c>
      <c r="X49" s="232" t="str">
        <f t="shared" si="46"/>
        <v>NA</v>
      </c>
      <c r="Y49" s="232" t="str">
        <f t="shared" si="46"/>
        <v>NA</v>
      </c>
    </row>
    <row r="50" spans="3:26" ht="15" customHeight="1" x14ac:dyDescent="0.25">
      <c r="C50" s="1"/>
      <c r="D50" s="1"/>
      <c r="E50" s="2" t="s">
        <v>151</v>
      </c>
      <c r="F50" s="24" t="s">
        <v>7</v>
      </c>
      <c r="G50" s="37"/>
      <c r="H50" s="232" t="str">
        <f t="shared" ref="H50:Y51" si="47">IFERROR(H41/H21,"NA")</f>
        <v>NA</v>
      </c>
      <c r="I50" s="232" t="str">
        <f t="shared" si="47"/>
        <v>NA</v>
      </c>
      <c r="J50" s="232" t="str">
        <f t="shared" si="47"/>
        <v>NA</v>
      </c>
      <c r="K50" s="232" t="str">
        <f t="shared" si="47"/>
        <v>NA</v>
      </c>
      <c r="L50" s="232" t="str">
        <f t="shared" si="47"/>
        <v>NA</v>
      </c>
      <c r="M50" s="232" t="str">
        <f t="shared" si="47"/>
        <v>NA</v>
      </c>
      <c r="N50" s="232" t="str">
        <f t="shared" si="47"/>
        <v>NA</v>
      </c>
      <c r="O50" s="232" t="str">
        <f t="shared" si="47"/>
        <v>NA</v>
      </c>
      <c r="P50" s="232" t="str">
        <f t="shared" si="47"/>
        <v>NA</v>
      </c>
      <c r="Q50" s="232" t="str">
        <f t="shared" si="47"/>
        <v>NA</v>
      </c>
      <c r="R50" s="232" t="str">
        <f t="shared" si="47"/>
        <v>NA</v>
      </c>
      <c r="S50" s="232" t="str">
        <f t="shared" si="47"/>
        <v>NA</v>
      </c>
      <c r="T50" s="232" t="str">
        <f t="shared" si="47"/>
        <v>NA</v>
      </c>
      <c r="U50" s="232" t="str">
        <f t="shared" si="47"/>
        <v>NA</v>
      </c>
      <c r="V50" s="232" t="str">
        <f t="shared" si="47"/>
        <v>NA</v>
      </c>
      <c r="W50" s="232" t="str">
        <f t="shared" si="47"/>
        <v>NA</v>
      </c>
      <c r="X50" s="232" t="str">
        <f t="shared" si="47"/>
        <v>NA</v>
      </c>
      <c r="Y50" s="232" t="str">
        <f t="shared" si="47"/>
        <v>NA</v>
      </c>
    </row>
    <row r="51" spans="3:26" ht="15" customHeight="1" x14ac:dyDescent="0.25">
      <c r="C51" s="1"/>
      <c r="D51" s="1"/>
      <c r="E51" s="1" t="s">
        <v>153</v>
      </c>
      <c r="F51" s="24" t="s">
        <v>7</v>
      </c>
      <c r="G51" s="101"/>
      <c r="H51" s="276">
        <f t="shared" si="47"/>
        <v>0.47337746621459204</v>
      </c>
      <c r="I51" s="276">
        <f t="shared" si="47"/>
        <v>0.53594291697743746</v>
      </c>
      <c r="J51" s="276">
        <f t="shared" si="47"/>
        <v>0.42469581092965525</v>
      </c>
      <c r="K51" s="276">
        <f t="shared" si="47"/>
        <v>0.35347574819999944</v>
      </c>
      <c r="L51" s="276">
        <f t="shared" si="47"/>
        <v>0.23434387076642421</v>
      </c>
      <c r="M51" s="276">
        <f t="shared" si="47"/>
        <v>0.29059025884129713</v>
      </c>
      <c r="N51" s="276">
        <f t="shared" si="47"/>
        <v>0.52853209861093731</v>
      </c>
      <c r="O51" s="276">
        <f t="shared" si="47"/>
        <v>0.66041768130901568</v>
      </c>
      <c r="P51" s="276">
        <f t="shared" si="47"/>
        <v>0.73479067228864081</v>
      </c>
      <c r="Q51" s="276">
        <f t="shared" si="47"/>
        <v>0.72727162979855264</v>
      </c>
      <c r="R51" s="276">
        <f t="shared" si="47"/>
        <v>0.72088941138942964</v>
      </c>
      <c r="S51" s="276">
        <f t="shared" si="47"/>
        <v>0.70900946720677871</v>
      </c>
      <c r="T51" s="276">
        <f t="shared" si="47"/>
        <v>0.69358088151349162</v>
      </c>
      <c r="U51" s="276">
        <f t="shared" si="47"/>
        <v>0.6990583294296433</v>
      </c>
      <c r="V51" s="276">
        <f t="shared" si="47"/>
        <v>0.70059363516031015</v>
      </c>
      <c r="W51" s="276">
        <f t="shared" si="47"/>
        <v>0.70993449169273304</v>
      </c>
      <c r="X51" s="276">
        <f t="shared" si="47"/>
        <v>0.71574761445812973</v>
      </c>
      <c r="Y51" s="276">
        <f t="shared" si="47"/>
        <v>0.71169526641689396</v>
      </c>
    </row>
    <row r="52" spans="3:26" ht="15" customHeight="1" x14ac:dyDescent="0.25">
      <c r="C52" s="1"/>
      <c r="D52" s="1"/>
      <c r="E52" s="1"/>
      <c r="F52" s="24"/>
      <c r="G52" s="101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</row>
    <row r="53" spans="3:26" ht="15" customHeight="1" x14ac:dyDescent="0.25">
      <c r="C53" s="90" t="s">
        <v>156</v>
      </c>
      <c r="D53" s="91"/>
      <c r="E53" s="91"/>
      <c r="F53" s="92"/>
      <c r="G53" s="92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</row>
    <row r="54" spans="3:26" ht="15" customHeight="1" x14ac:dyDescent="0.25">
      <c r="C54" s="1"/>
      <c r="D54" s="1"/>
      <c r="E54" s="1"/>
      <c r="F54" s="24"/>
      <c r="G54" s="101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</row>
    <row r="55" spans="3:26" ht="15" customHeight="1" x14ac:dyDescent="0.25">
      <c r="C55" s="1"/>
      <c r="D55" s="1"/>
      <c r="E55" s="1" t="s">
        <v>157</v>
      </c>
      <c r="F55" s="94" t="s">
        <v>25</v>
      </c>
      <c r="G55" s="94"/>
      <c r="H55" s="279">
        <v>87.2</v>
      </c>
      <c r="I55" s="279">
        <v>94.7</v>
      </c>
      <c r="J55" s="279">
        <v>96.4</v>
      </c>
      <c r="K55" s="279">
        <v>99.5</v>
      </c>
      <c r="L55" s="279">
        <v>87.2</v>
      </c>
      <c r="M55" s="279">
        <v>84</v>
      </c>
      <c r="N55" s="279">
        <v>24.6</v>
      </c>
      <c r="O55" s="279">
        <v>35.4</v>
      </c>
      <c r="P55" s="279">
        <v>37.9</v>
      </c>
      <c r="Q55" s="292">
        <f>P55*(1+Q56)</f>
        <v>39.795000000000002</v>
      </c>
      <c r="R55" s="292">
        <f t="shared" ref="R55:Y55" si="48">Q55*(1+R56)</f>
        <v>41.784750000000003</v>
      </c>
      <c r="S55" s="292">
        <f t="shared" si="48"/>
        <v>43.873987500000005</v>
      </c>
      <c r="T55" s="292">
        <f t="shared" si="48"/>
        <v>46.067686875000007</v>
      </c>
      <c r="U55" s="292">
        <f t="shared" si="48"/>
        <v>48.371071218750011</v>
      </c>
      <c r="V55" s="292">
        <f t="shared" si="48"/>
        <v>50.789624779687514</v>
      </c>
      <c r="W55" s="292">
        <f t="shared" si="48"/>
        <v>53.329106018671894</v>
      </c>
      <c r="X55" s="292">
        <f t="shared" si="48"/>
        <v>55.995561319605493</v>
      </c>
      <c r="Y55" s="292">
        <f t="shared" si="48"/>
        <v>58.79533938558577</v>
      </c>
    </row>
    <row r="56" spans="3:26" ht="15" customHeight="1" x14ac:dyDescent="0.25">
      <c r="C56" s="1"/>
      <c r="D56" s="1"/>
      <c r="E56" s="30" t="s">
        <v>132</v>
      </c>
      <c r="F56" s="24" t="s">
        <v>7</v>
      </c>
      <c r="G56" s="101"/>
      <c r="H56" s="104"/>
      <c r="I56" s="107">
        <f>IFERROR((I55/H55)-1,"NA")</f>
        <v>8.6009174311926673E-2</v>
      </c>
      <c r="J56" s="107">
        <f t="shared" ref="J56" si="49">IFERROR((J55/I55)-1,"NA")</f>
        <v>1.7951425554382228E-2</v>
      </c>
      <c r="K56" s="107">
        <f t="shared" ref="K56" si="50">IFERROR((K55/J55)-1,"NA")</f>
        <v>3.2157676348547604E-2</v>
      </c>
      <c r="L56" s="107">
        <f t="shared" ref="L56" si="51">IFERROR((L55/K55)-1,"NA")</f>
        <v>-0.12361809045226124</v>
      </c>
      <c r="M56" s="107">
        <f t="shared" ref="M56" si="52">IFERROR((M55/L55)-1,"NA")</f>
        <v>-3.669724770642202E-2</v>
      </c>
      <c r="N56" s="107">
        <f t="shared" ref="N56" si="53">IFERROR((N55/M55)-1,"NA")</f>
        <v>-0.70714285714285707</v>
      </c>
      <c r="O56" s="107">
        <f t="shared" ref="O56" si="54">IFERROR((O55/N55)-1,"NA")</f>
        <v>0.43902439024390238</v>
      </c>
      <c r="P56" s="107">
        <f t="shared" ref="P56" si="55">IFERROR((P55/O55)-1,"NA")</f>
        <v>7.0621468926553632E-2</v>
      </c>
      <c r="Q56" s="283">
        <v>0.05</v>
      </c>
      <c r="R56" s="283">
        <v>0.05</v>
      </c>
      <c r="S56" s="283">
        <v>0.05</v>
      </c>
      <c r="T56" s="283">
        <v>0.05</v>
      </c>
      <c r="U56" s="283">
        <v>0.05</v>
      </c>
      <c r="V56" s="283">
        <v>0.05</v>
      </c>
      <c r="W56" s="283">
        <v>0.05</v>
      </c>
      <c r="X56" s="283">
        <v>0.05</v>
      </c>
      <c r="Y56" s="283">
        <v>0.05</v>
      </c>
      <c r="Z56" s="284"/>
    </row>
    <row r="57" spans="3:26" ht="15" customHeight="1" x14ac:dyDescent="0.25">
      <c r="C57" s="1"/>
      <c r="D57" s="1"/>
      <c r="E57" s="30"/>
      <c r="F57" s="24"/>
      <c r="G57" s="101"/>
      <c r="H57" s="104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</row>
    <row r="58" spans="3:26" ht="15" customHeight="1" x14ac:dyDescent="0.25">
      <c r="C58" s="90" t="s">
        <v>274</v>
      </c>
      <c r="D58" s="91"/>
      <c r="E58" s="91"/>
      <c r="F58" s="92"/>
      <c r="G58" s="92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</row>
    <row r="59" spans="3:26" ht="15" customHeight="1" x14ac:dyDescent="0.25">
      <c r="C59" s="1"/>
      <c r="D59" s="2"/>
      <c r="E59" s="2"/>
      <c r="F59" s="24"/>
      <c r="G59" s="24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</row>
    <row r="60" spans="3:26" ht="15" customHeight="1" x14ac:dyDescent="0.25">
      <c r="C60" s="1"/>
      <c r="D60" s="1"/>
      <c r="E60" s="1" t="s">
        <v>155</v>
      </c>
      <c r="F60" s="94" t="s">
        <v>25</v>
      </c>
      <c r="G60" s="94"/>
      <c r="H60" s="95">
        <f t="shared" ref="H60:Y60" si="56">H42-H55</f>
        <v>80.199999999999974</v>
      </c>
      <c r="I60" s="95">
        <f>I42-I55</f>
        <v>125.90000000000002</v>
      </c>
      <c r="J60" s="95">
        <f t="shared" si="56"/>
        <v>56.200000000000017</v>
      </c>
      <c r="K60" s="95">
        <f t="shared" si="56"/>
        <v>22.400000000000006</v>
      </c>
      <c r="L60" s="95">
        <f t="shared" si="56"/>
        <v>-28.622000000000007</v>
      </c>
      <c r="M60" s="95">
        <f t="shared" si="56"/>
        <v>-14.731999999999999</v>
      </c>
      <c r="N60" s="95">
        <f t="shared" si="56"/>
        <v>59.87</v>
      </c>
      <c r="O60" s="95">
        <f t="shared" si="56"/>
        <v>55.452999999999996</v>
      </c>
      <c r="P60" s="95">
        <f t="shared" si="56"/>
        <v>71.401643934691123</v>
      </c>
      <c r="Q60" s="95">
        <f t="shared" si="56"/>
        <v>98.761580681104888</v>
      </c>
      <c r="R60" s="95">
        <f t="shared" si="56"/>
        <v>121.64011193610514</v>
      </c>
      <c r="S60" s="95">
        <f t="shared" si="56"/>
        <v>132.15534925440028</v>
      </c>
      <c r="T60" s="95">
        <f t="shared" si="56"/>
        <v>142.8156085226064</v>
      </c>
      <c r="U60" s="95">
        <f t="shared" si="56"/>
        <v>151.22348953427567</v>
      </c>
      <c r="V60" s="95">
        <f t="shared" si="56"/>
        <v>159.04941598060543</v>
      </c>
      <c r="W60" s="95">
        <f t="shared" si="56"/>
        <v>169.83471434911519</v>
      </c>
      <c r="X60" s="95">
        <f t="shared" si="56"/>
        <v>180.19184334923168</v>
      </c>
      <c r="Y60" s="95">
        <f t="shared" si="56"/>
        <v>181.89346868926009</v>
      </c>
    </row>
    <row r="61" spans="3:26" ht="15" customHeight="1" x14ac:dyDescent="0.25">
      <c r="C61" s="2"/>
      <c r="D61" s="2"/>
      <c r="E61" s="280" t="s">
        <v>132</v>
      </c>
      <c r="F61" s="105" t="s">
        <v>7</v>
      </c>
      <c r="G61" s="105"/>
      <c r="H61" s="73"/>
      <c r="I61" s="107">
        <f>IFERROR((I60/H60)-1,"NA")</f>
        <v>0.56982543640897831</v>
      </c>
      <c r="J61" s="107">
        <f t="shared" ref="J61" si="57">IFERROR((J60/I60)-1,"NA")</f>
        <v>-0.55361397934868939</v>
      </c>
      <c r="K61" s="107">
        <f t="shared" ref="K61" si="58">IFERROR((K60/J60)-1,"NA")</f>
        <v>-0.60142348754448394</v>
      </c>
      <c r="L61" s="107">
        <f t="shared" ref="L61" si="59">IFERROR((L60/K60)-1,"NA")</f>
        <v>-2.277767857142857</v>
      </c>
      <c r="M61" s="107">
        <f t="shared" ref="M61" si="60">IFERROR((M60/L60)-1,"NA")</f>
        <v>-0.48529103486828329</v>
      </c>
      <c r="N61" s="107">
        <f t="shared" ref="N61" si="61">IFERROR((N60/M60)-1,"NA")</f>
        <v>-5.063942438229704</v>
      </c>
      <c r="O61" s="107">
        <f t="shared" ref="O61" si="62">IFERROR((O60/N60)-1,"NA")</f>
        <v>-7.3776515784199082E-2</v>
      </c>
      <c r="P61" s="107">
        <f t="shared" ref="P61" si="63">IFERROR((P60/O60)-1,"NA")</f>
        <v>0.28760651244641644</v>
      </c>
      <c r="Q61" s="107">
        <f t="shared" ref="Q61" si="64">IFERROR((Q60/P60)-1,"NA")</f>
        <v>0.38318356887467542</v>
      </c>
      <c r="R61" s="107">
        <f t="shared" ref="R61" si="65">IFERROR((R60/Q60)-1,"NA")</f>
        <v>0.23165416245081816</v>
      </c>
      <c r="S61" s="107">
        <f t="shared" ref="S61" si="66">IFERROR((S60/R60)-1,"NA")</f>
        <v>8.6445475517307635E-2</v>
      </c>
      <c r="T61" s="107">
        <f t="shared" ref="T61" si="67">IFERROR((T60/S60)-1,"NA")</f>
        <v>8.0664606679560213E-2</v>
      </c>
      <c r="U61" s="107">
        <f t="shared" ref="U61" si="68">IFERROR((U60/T60)-1,"NA")</f>
        <v>5.8872283629547217E-2</v>
      </c>
      <c r="V61" s="107">
        <f t="shared" ref="V61" si="69">IFERROR((V60/U60)-1,"NA")</f>
        <v>5.1750733106552094E-2</v>
      </c>
      <c r="W61" s="107">
        <f t="shared" ref="W61" si="70">IFERROR((W60/V60)-1,"NA")</f>
        <v>6.7810990075090283E-2</v>
      </c>
      <c r="X61" s="107">
        <f t="shared" ref="X61" si="71">IFERROR((X60/W60)-1,"NA")</f>
        <v>6.098358065257603E-2</v>
      </c>
      <c r="Y61" s="107">
        <f t="shared" ref="Y61" si="72">IFERROR((Y60/X60)-1,"NA")</f>
        <v>9.4434093597148827E-3</v>
      </c>
    </row>
    <row r="63" spans="3:26" ht="15" customHeight="1" x14ac:dyDescent="0.25">
      <c r="C63" s="1"/>
      <c r="D63" s="1"/>
      <c r="E63" s="100" t="s">
        <v>89</v>
      </c>
      <c r="F63" s="94"/>
      <c r="G63" s="37"/>
      <c r="H63" s="97"/>
      <c r="I63" s="97"/>
      <c r="J63" s="97"/>
      <c r="K63" s="99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</row>
    <row r="64" spans="3:26" ht="15" customHeight="1" x14ac:dyDescent="0.25">
      <c r="C64" s="1"/>
      <c r="D64" s="1"/>
      <c r="E64" s="1" t="s">
        <v>153</v>
      </c>
      <c r="F64" s="24" t="s">
        <v>7</v>
      </c>
      <c r="G64" s="101"/>
      <c r="H64" s="276">
        <f t="shared" ref="H64:Y64" si="73">H60 / H22</f>
        <v>0.22679135478142337</v>
      </c>
      <c r="I64" s="276">
        <f t="shared" si="73"/>
        <v>0.30587132025140246</v>
      </c>
      <c r="J64" s="276">
        <f t="shared" si="73"/>
        <v>0.15640828685613781</v>
      </c>
      <c r="K64" s="276">
        <f t="shared" si="73"/>
        <v>6.4953705985889981E-2</v>
      </c>
      <c r="L64" s="276">
        <f t="shared" si="73"/>
        <v>-0.1145035724858581</v>
      </c>
      <c r="M64" s="276">
        <f t="shared" si="73"/>
        <v>-6.1803079246549479E-2</v>
      </c>
      <c r="N64" s="276">
        <f t="shared" si="73"/>
        <v>0.37460893505193343</v>
      </c>
      <c r="O64" s="276">
        <f t="shared" si="73"/>
        <v>0.40309226642630236</v>
      </c>
      <c r="P64" s="276">
        <f t="shared" si="73"/>
        <v>0.48000432619873845</v>
      </c>
      <c r="Q64" s="276">
        <f t="shared" si="73"/>
        <v>0.51839108175410864</v>
      </c>
      <c r="R64" s="276">
        <f t="shared" si="73"/>
        <v>0.53657116583183839</v>
      </c>
      <c r="S64" s="276">
        <f t="shared" si="73"/>
        <v>0.53229419306464476</v>
      </c>
      <c r="T64" s="276">
        <f t="shared" si="73"/>
        <v>0.52441998877922114</v>
      </c>
      <c r="U64" s="276">
        <f t="shared" si="73"/>
        <v>0.52964389192529315</v>
      </c>
      <c r="V64" s="276">
        <f t="shared" si="73"/>
        <v>0.53102133953836661</v>
      </c>
      <c r="W64" s="276">
        <f t="shared" si="73"/>
        <v>0.54028256643263528</v>
      </c>
      <c r="X64" s="276">
        <f t="shared" si="73"/>
        <v>0.54605740811140846</v>
      </c>
      <c r="Y64" s="276">
        <f t="shared" si="73"/>
        <v>0.53784270940442158</v>
      </c>
    </row>
    <row r="65" spans="3:25" ht="15" customHeight="1" x14ac:dyDescent="0.25">
      <c r="C65" s="1"/>
      <c r="D65" s="1"/>
      <c r="E65" s="30"/>
      <c r="F65" s="24"/>
      <c r="G65" s="101"/>
      <c r="H65" s="104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</row>
    <row r="66" spans="3:25" ht="15" customHeight="1" x14ac:dyDescent="0.25">
      <c r="C66" s="90" t="s">
        <v>158</v>
      </c>
      <c r="D66" s="91"/>
      <c r="E66" s="91"/>
      <c r="F66" s="92"/>
      <c r="G66" s="92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</row>
    <row r="67" spans="3:25" ht="15" customHeight="1" x14ac:dyDescent="0.25">
      <c r="C67" s="1"/>
      <c r="D67" s="1"/>
      <c r="E67" s="1"/>
      <c r="F67" s="24"/>
      <c r="G67" s="101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</row>
    <row r="68" spans="3:25" ht="15" customHeight="1" x14ac:dyDescent="0.25">
      <c r="C68" s="1"/>
      <c r="D68" s="1"/>
      <c r="E68" s="1" t="s">
        <v>159</v>
      </c>
      <c r="F68" s="94" t="s">
        <v>25</v>
      </c>
      <c r="G68" s="94"/>
      <c r="H68" s="95">
        <f>SUM(H42,H55)*'&gt;&gt; Dash'!$F$38</f>
        <v>71.287999999999997</v>
      </c>
      <c r="I68" s="95">
        <f>SUM(I42,I55)*'&gt;&gt; Dash'!$F$38</f>
        <v>88.284000000000006</v>
      </c>
      <c r="J68" s="95">
        <f>SUM(J42,J55)*'&gt;&gt; Dash'!$F$38</f>
        <v>69.720000000000013</v>
      </c>
      <c r="K68" s="95">
        <f>SUM(K42,K55)*'&gt;&gt; Dash'!$F$38</f>
        <v>61.992000000000004</v>
      </c>
      <c r="L68" s="95">
        <f>SUM(L42,L55)*'&gt;&gt; Dash'!$F$38</f>
        <v>40.817840000000004</v>
      </c>
      <c r="M68" s="95">
        <f>SUM(M42,M55)*'&gt;&gt; Dash'!$F$38</f>
        <v>42.915040000000005</v>
      </c>
      <c r="N68" s="95">
        <f>SUM(N42,N55)*'&gt;&gt; Dash'!$F$38</f>
        <v>30.5396</v>
      </c>
      <c r="O68" s="95">
        <f>SUM(O42,O55)*'&gt;&gt; Dash'!$F$38</f>
        <v>35.350839999999998</v>
      </c>
      <c r="P68" s="95">
        <f>SUM(P42,P55)*'&gt;&gt; Dash'!$F$38</f>
        <v>41.216460301713525</v>
      </c>
      <c r="Q68" s="95">
        <f>SUM(Q42,Q55)*'&gt;&gt; Dash'!$F$38</f>
        <v>49.938442590709379</v>
      </c>
      <c r="R68" s="95">
        <f>SUM(R42,R55)*'&gt;&gt; Dash'!$F$38</f>
        <v>57.458691342109447</v>
      </c>
      <c r="S68" s="95">
        <f>SUM(S42,S55)*'&gt;&gt; Dash'!$F$38</f>
        <v>61.572930791232082</v>
      </c>
      <c r="T68" s="95">
        <f>SUM(T42,T55)*'&gt;&gt; Dash'!$F$38</f>
        <v>65.786275036329812</v>
      </c>
      <c r="U68" s="95">
        <f>SUM(U42,U55)*'&gt;&gt; Dash'!$F$38</f>
        <v>69.430376952097205</v>
      </c>
      <c r="V68" s="95">
        <f>SUM(V42,V55)*'&gt;&gt; Dash'!$F$38</f>
        <v>72.976026351194548</v>
      </c>
      <c r="W68" s="95">
        <f>SUM(W42,W55)*'&gt;&gt; Dash'!$F$38</f>
        <v>77.418019388208521</v>
      </c>
      <c r="X68" s="95">
        <f>SUM(X42,X55)*'&gt;&gt; Dash'!$F$38</f>
        <v>81.811230476763953</v>
      </c>
      <c r="Y68" s="95">
        <f>SUM(Y42,Y55)*'&gt;&gt; Dash'!$F$38</f>
        <v>83.855561288920867</v>
      </c>
    </row>
    <row r="69" spans="3:25" ht="15" customHeight="1" x14ac:dyDescent="0.25">
      <c r="C69" s="1"/>
      <c r="D69" s="1"/>
      <c r="E69" s="30" t="s">
        <v>132</v>
      </c>
      <c r="F69" s="24" t="s">
        <v>7</v>
      </c>
      <c r="G69" s="101"/>
      <c r="H69" s="104"/>
      <c r="I69" s="107">
        <f>IFERROR((I68/H68)-1,"NA")</f>
        <v>0.23841319717203469</v>
      </c>
      <c r="J69" s="107">
        <f t="shared" ref="J69" si="74">IFERROR((J68/I68)-1,"NA")</f>
        <v>-0.21027592768791614</v>
      </c>
      <c r="K69" s="107">
        <f t="shared" ref="K69" si="75">IFERROR((K68/J68)-1,"NA")</f>
        <v>-0.11084337349397599</v>
      </c>
      <c r="L69" s="107">
        <f t="shared" ref="L69" si="76">IFERROR((L68/K68)-1,"NA")</f>
        <v>-0.34156278229448955</v>
      </c>
      <c r="M69" s="107">
        <f t="shared" ref="M69" si="77">IFERROR((M68/L68)-1,"NA")</f>
        <v>5.1379494848331042E-2</v>
      </c>
      <c r="N69" s="107">
        <f t="shared" ref="N69" si="78">IFERROR((N68/M68)-1,"NA")</f>
        <v>-0.28837069707962526</v>
      </c>
      <c r="O69" s="107">
        <f t="shared" ref="O69" si="79">IFERROR((O68/N68)-1,"NA")</f>
        <v>0.1575410286971668</v>
      </c>
      <c r="P69" s="107">
        <f t="shared" ref="P69" si="80">IFERROR((P68/O68)-1,"NA")</f>
        <v>0.16592591015414415</v>
      </c>
      <c r="Q69" s="107">
        <f t="shared" ref="Q69" si="81">IFERROR((Q68/P68)-1,"NA")</f>
        <v>0.21161405480114093</v>
      </c>
      <c r="R69" s="107">
        <f t="shared" ref="R69" si="82">IFERROR((R68/Q68)-1,"NA")</f>
        <v>0.15059037409386788</v>
      </c>
      <c r="S69" s="107">
        <f t="shared" ref="S69" si="83">IFERROR((S68/R68)-1,"NA")</f>
        <v>7.1603431143713703E-2</v>
      </c>
      <c r="T69" s="107">
        <f t="shared" ref="T69" si="84">IFERROR((T68/S68)-1,"NA")</f>
        <v>6.8428515436164794E-2</v>
      </c>
      <c r="U69" s="107">
        <f t="shared" ref="U69" si="85">IFERROR((U68/T68)-1,"NA")</f>
        <v>5.5393042298792272E-2</v>
      </c>
      <c r="V69" s="107">
        <f t="shared" ref="V69" si="86">IFERROR((V68/U68)-1,"NA")</f>
        <v>5.1067696226734238E-2</v>
      </c>
      <c r="W69" s="107">
        <f t="shared" ref="W69" si="87">IFERROR((W68/V68)-1,"NA")</f>
        <v>6.0869209507750321E-2</v>
      </c>
      <c r="X69" s="107">
        <f t="shared" ref="X69" si="88">IFERROR((X68/W68)-1,"NA")</f>
        <v>5.6746622081945919E-2</v>
      </c>
      <c r="Y69" s="107">
        <f t="shared" ref="Y69" si="89">IFERROR((Y68/X68)-1,"NA")</f>
        <v>2.4988388516385296E-2</v>
      </c>
    </row>
    <row r="70" spans="3:25" ht="15" customHeight="1" x14ac:dyDescent="0.25">
      <c r="C70" s="1"/>
      <c r="D70" s="1"/>
      <c r="E70" s="30"/>
      <c r="F70" s="24"/>
      <c r="G70" s="101"/>
      <c r="H70" s="104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</row>
    <row r="71" spans="3:25" ht="15" customHeight="1" x14ac:dyDescent="0.25">
      <c r="C71" s="90" t="s">
        <v>160</v>
      </c>
      <c r="D71" s="91"/>
      <c r="E71" s="91"/>
      <c r="F71" s="92"/>
      <c r="G71" s="92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</row>
    <row r="72" spans="3:25" ht="15" customHeight="1" x14ac:dyDescent="0.25">
      <c r="C72" s="1"/>
      <c r="D72" s="1"/>
      <c r="E72" s="1"/>
      <c r="F72" s="24"/>
      <c r="G72" s="101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</row>
    <row r="73" spans="3:25" ht="15" customHeight="1" x14ac:dyDescent="0.25">
      <c r="C73" s="1"/>
      <c r="D73" s="1"/>
      <c r="E73" s="2" t="s">
        <v>161</v>
      </c>
      <c r="F73" s="24" t="s">
        <v>25</v>
      </c>
      <c r="G73" s="101"/>
      <c r="H73" s="286">
        <f>'&gt;&gt; Fin Stmts'!H18</f>
        <v>15.1</v>
      </c>
      <c r="I73" s="286">
        <f>'&gt;&gt; Fin Stmts'!I18</f>
        <v>13.4</v>
      </c>
      <c r="J73" s="286">
        <f>'&gt;&gt; Fin Stmts'!J18</f>
        <v>13.5</v>
      </c>
      <c r="K73" s="286">
        <f>'&gt;&gt; Fin Stmts'!K18</f>
        <v>13.2</v>
      </c>
      <c r="L73" s="286">
        <f>'&gt;&gt; Fin Stmts'!L18</f>
        <v>-0.2</v>
      </c>
      <c r="M73" s="286">
        <f>'&gt;&gt; Fin Stmts'!M18</f>
        <v>-0.1</v>
      </c>
      <c r="N73" s="286">
        <f>'&gt;&gt; Fin Stmts'!N18</f>
        <v>0</v>
      </c>
      <c r="O73" s="286">
        <f>'&gt;&gt; Fin Stmts'!O18</f>
        <v>0</v>
      </c>
      <c r="P73" s="285">
        <f t="shared" ref="P73:Y73" si="90">O73*(1+P74)</f>
        <v>0</v>
      </c>
      <c r="Q73" s="285">
        <f t="shared" si="90"/>
        <v>0</v>
      </c>
      <c r="R73" s="285">
        <f t="shared" si="90"/>
        <v>0</v>
      </c>
      <c r="S73" s="285">
        <f t="shared" si="90"/>
        <v>0</v>
      </c>
      <c r="T73" s="285">
        <f t="shared" si="90"/>
        <v>0</v>
      </c>
      <c r="U73" s="285">
        <f t="shared" si="90"/>
        <v>0</v>
      </c>
      <c r="V73" s="285">
        <f t="shared" si="90"/>
        <v>0</v>
      </c>
      <c r="W73" s="285">
        <f t="shared" si="90"/>
        <v>0</v>
      </c>
      <c r="X73" s="285">
        <f t="shared" si="90"/>
        <v>0</v>
      </c>
      <c r="Y73" s="285">
        <f t="shared" si="90"/>
        <v>0</v>
      </c>
    </row>
    <row r="74" spans="3:25" ht="15" customHeight="1" x14ac:dyDescent="0.25">
      <c r="C74" s="1"/>
      <c r="D74" s="1"/>
      <c r="E74" s="30" t="s">
        <v>132</v>
      </c>
      <c r="F74" s="24" t="s">
        <v>7</v>
      </c>
      <c r="G74" s="101"/>
      <c r="H74" s="107"/>
      <c r="I74" s="107">
        <f>IFERROR((I73/H73)-1,"NA")</f>
        <v>-0.11258278145695355</v>
      </c>
      <c r="J74" s="107">
        <f t="shared" ref="J74:O74" si="91">IFERROR((J73/I73)-1,"NA")</f>
        <v>7.4626865671640896E-3</v>
      </c>
      <c r="K74" s="107">
        <f t="shared" si="91"/>
        <v>-2.2222222222222254E-2</v>
      </c>
      <c r="L74" s="107">
        <f t="shared" si="91"/>
        <v>-1.0151515151515151</v>
      </c>
      <c r="M74" s="107">
        <f t="shared" si="91"/>
        <v>-0.5</v>
      </c>
      <c r="N74" s="107">
        <f t="shared" si="91"/>
        <v>-1</v>
      </c>
      <c r="O74" s="107" t="str">
        <f t="shared" si="91"/>
        <v>NA</v>
      </c>
      <c r="P74" s="311">
        <v>0</v>
      </c>
      <c r="Q74" s="312">
        <v>0</v>
      </c>
      <c r="R74" s="312">
        <v>0</v>
      </c>
      <c r="S74" s="312">
        <v>0</v>
      </c>
      <c r="T74" s="312">
        <v>0</v>
      </c>
      <c r="U74" s="312">
        <v>0</v>
      </c>
      <c r="V74" s="312">
        <v>0</v>
      </c>
      <c r="W74" s="312">
        <v>0</v>
      </c>
      <c r="X74" s="312">
        <v>0</v>
      </c>
      <c r="Y74" s="313">
        <v>0</v>
      </c>
    </row>
    <row r="76" spans="3:25" ht="15" customHeight="1" x14ac:dyDescent="0.25">
      <c r="C76" s="90" t="s">
        <v>162</v>
      </c>
      <c r="D76" s="91"/>
      <c r="E76" s="91"/>
      <c r="F76" s="92"/>
      <c r="G76" s="92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</row>
    <row r="77" spans="3:25" ht="15" customHeight="1" x14ac:dyDescent="0.25">
      <c r="C77" s="1"/>
      <c r="D77" s="1"/>
      <c r="E77" s="1"/>
      <c r="F77" s="24"/>
      <c r="G77" s="101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</row>
    <row r="78" spans="3:25" ht="15" customHeight="1" x14ac:dyDescent="0.25">
      <c r="C78" s="1"/>
      <c r="D78" s="314"/>
      <c r="E78" s="1" t="s">
        <v>186</v>
      </c>
      <c r="F78" s="94" t="s">
        <v>25</v>
      </c>
      <c r="G78" s="101"/>
      <c r="H78" s="331">
        <f>'&gt;&gt; Fin Stmts'!H24</f>
        <v>41.333120000000001</v>
      </c>
      <c r="I78" s="331">
        <f>'&gt;&gt; Fin Stmts'!I24</f>
        <v>49.002079999999992</v>
      </c>
      <c r="J78" s="331">
        <f>'&gt;&gt; Fin Stmts'!J24</f>
        <v>50.484479999999962</v>
      </c>
      <c r="K78" s="331">
        <f>'&gt;&gt; Fin Stmts'!K24</f>
        <v>55.313080000000021</v>
      </c>
      <c r="L78" s="331">
        <f>'&gt;&gt; Fin Stmts'!L24</f>
        <v>49.137479999999954</v>
      </c>
      <c r="M78" s="331">
        <f>'&gt;&gt; Fin Stmts'!M24</f>
        <v>47.800600000000031</v>
      </c>
      <c r="N78" s="331">
        <f>'&gt;&gt; Fin Stmts'!N24</f>
        <v>-40.870399999999989</v>
      </c>
      <c r="O78" s="331">
        <f>'&gt;&gt; Fin Stmts'!O24</f>
        <v>10.918319999999987</v>
      </c>
      <c r="P78" s="331">
        <f>'&gt;&gt; Fin Stmts'!P24</f>
        <v>51.409183632977602</v>
      </c>
      <c r="Q78" s="331">
        <f>'&gt;&gt; Fin Stmts'!Q24</f>
        <v>71.10833809039552</v>
      </c>
      <c r="R78" s="331">
        <f>'&gt;&gt; Fin Stmts'!R24</f>
        <v>87.580880593995701</v>
      </c>
      <c r="S78" s="331">
        <f>'&gt;&gt; Fin Stmts'!S24</f>
        <v>95.1518514631682</v>
      </c>
      <c r="T78" s="331">
        <f>'&gt;&gt; Fin Stmts'!T24</f>
        <v>102.82723813627661</v>
      </c>
      <c r="U78" s="331">
        <f>'&gt;&gt; Fin Stmts'!U24</f>
        <v>108.88091246467849</v>
      </c>
      <c r="V78" s="331">
        <f>'&gt;&gt; Fin Stmts'!V24</f>
        <v>114.51557950603591</v>
      </c>
      <c r="W78" s="331">
        <f>'&gt;&gt; Fin Stmts'!W24</f>
        <v>122.28099433136293</v>
      </c>
      <c r="X78" s="331">
        <f>'&gt;&gt; Fin Stmts'!X24</f>
        <v>129.73812721144679</v>
      </c>
      <c r="Y78" s="331">
        <f>'&gt;&gt; Fin Stmts'!Y24</f>
        <v>130.96329745626727</v>
      </c>
    </row>
    <row r="79" spans="3:25" ht="15" customHeight="1" x14ac:dyDescent="0.25">
      <c r="C79" s="1"/>
      <c r="D79" s="1"/>
      <c r="E79" s="1"/>
      <c r="F79" s="94"/>
      <c r="G79" s="101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</row>
    <row r="80" spans="3:25" ht="15" customHeight="1" x14ac:dyDescent="0.25">
      <c r="C80" s="1"/>
      <c r="D80" s="1"/>
      <c r="E80" s="100" t="s">
        <v>89</v>
      </c>
      <c r="F80" s="94"/>
      <c r="G80" s="101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</row>
    <row r="81" spans="3:27" ht="15" customHeight="1" x14ac:dyDescent="0.25">
      <c r="C81" s="1"/>
      <c r="D81" s="1"/>
      <c r="E81" s="1" t="s">
        <v>153</v>
      </c>
      <c r="F81" s="24" t="s">
        <v>7</v>
      </c>
      <c r="G81" s="101"/>
      <c r="H81" s="276">
        <f t="shared" ref="H81:Y81" si="92">H78/H22</f>
        <v>0.11688272172248317</v>
      </c>
      <c r="I81" s="276">
        <f t="shared" si="92"/>
        <v>0.11904949090281843</v>
      </c>
      <c r="J81" s="276">
        <f t="shared" si="92"/>
        <v>0.14050161974418049</v>
      </c>
      <c r="K81" s="276">
        <f t="shared" si="92"/>
        <v>0.16039238997741126</v>
      </c>
      <c r="L81" s="276">
        <f t="shared" si="92"/>
        <v>0.19657665442500161</v>
      </c>
      <c r="M81" s="276">
        <f t="shared" si="92"/>
        <v>0.20053110710240396</v>
      </c>
      <c r="N81" s="276">
        <f t="shared" si="92"/>
        <v>-0.25572769365536224</v>
      </c>
      <c r="O81" s="276">
        <f t="shared" si="92"/>
        <v>7.9366136266164511E-2</v>
      </c>
      <c r="P81" s="276">
        <f t="shared" si="92"/>
        <v>0.34560311486309164</v>
      </c>
      <c r="Q81" s="276">
        <f t="shared" si="92"/>
        <v>0.37324157886295822</v>
      </c>
      <c r="R81" s="276">
        <f t="shared" si="92"/>
        <v>0.38633123939892361</v>
      </c>
      <c r="S81" s="276">
        <f t="shared" si="92"/>
        <v>0.3832518190065442</v>
      </c>
      <c r="T81" s="276">
        <f t="shared" si="92"/>
        <v>0.37758239192103926</v>
      </c>
      <c r="U81" s="276">
        <f t="shared" si="92"/>
        <v>0.38134360218621111</v>
      </c>
      <c r="V81" s="276">
        <f t="shared" si="92"/>
        <v>0.38233536446762395</v>
      </c>
      <c r="W81" s="276">
        <f t="shared" si="92"/>
        <v>0.38900344783149737</v>
      </c>
      <c r="X81" s="276">
        <f t="shared" si="92"/>
        <v>0.39316133384021401</v>
      </c>
      <c r="Y81" s="276">
        <f t="shared" si="92"/>
        <v>0.38724675077118353</v>
      </c>
      <c r="Z81" s="108"/>
      <c r="AA81" s="109"/>
    </row>
    <row r="82" spans="3:27" ht="15" customHeight="1" x14ac:dyDescent="0.25">
      <c r="D82" s="1"/>
      <c r="E82" s="1"/>
      <c r="F82" s="24"/>
      <c r="G82" s="101"/>
      <c r="Z82" s="109"/>
      <c r="AA82" s="109"/>
    </row>
    <row r="83" spans="3:27" ht="15" customHeight="1" x14ac:dyDescent="0.25">
      <c r="C83" s="90" t="s">
        <v>163</v>
      </c>
      <c r="D83" s="91"/>
      <c r="E83" s="91"/>
      <c r="F83" s="92"/>
      <c r="G83" s="92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109"/>
      <c r="AA83" s="109"/>
    </row>
    <row r="84" spans="3:27" ht="15" customHeight="1" x14ac:dyDescent="0.25">
      <c r="C84" s="1"/>
      <c r="D84" s="1"/>
      <c r="E84" s="1"/>
      <c r="F84" s="24"/>
      <c r="G84" s="101"/>
      <c r="O84" s="293"/>
      <c r="Q84" s="315"/>
      <c r="Z84" s="109"/>
      <c r="AA84" s="109"/>
    </row>
    <row r="85" spans="3:27" ht="15" customHeight="1" x14ac:dyDescent="0.25">
      <c r="C85" s="1"/>
      <c r="D85" s="1"/>
      <c r="E85" s="2" t="s">
        <v>278</v>
      </c>
      <c r="F85" s="24" t="s">
        <v>164</v>
      </c>
      <c r="G85" s="101"/>
      <c r="H85" s="316">
        <v>0.09</v>
      </c>
      <c r="I85" s="317">
        <v>0.18</v>
      </c>
      <c r="J85" s="317">
        <v>0.08</v>
      </c>
      <c r="K85" s="317">
        <v>0.02</v>
      </c>
      <c r="L85" s="317">
        <v>0</v>
      </c>
      <c r="M85" s="317">
        <v>0</v>
      </c>
      <c r="N85" s="317">
        <v>0.05</v>
      </c>
      <c r="O85" s="318">
        <v>0.19</v>
      </c>
      <c r="P85" s="110">
        <f>(P78*P87)/'&gt;&gt; Inputs'!$G$47</f>
        <v>6.7865826637703186E-2</v>
      </c>
      <c r="Q85" s="110">
        <f>(Q78*Q87)/'&gt;&gt; Inputs'!$G$47</f>
        <v>9.3870896293368325E-2</v>
      </c>
      <c r="R85" s="110">
        <f>(R78*R87)/'&gt;&gt; Inputs'!$G$47</f>
        <v>0.11561648015271617</v>
      </c>
      <c r="S85" s="110">
        <f>(S78*S87)/'&gt;&gt; Inputs'!$G$47</f>
        <v>0.12561100175715509</v>
      </c>
      <c r="T85" s="110">
        <f>(T78*T87)/'&gt;&gt; Inputs'!$G$47</f>
        <v>0.13574336380852156</v>
      </c>
      <c r="U85" s="110">
        <f>(U78*U87)/'&gt;&gt; Inputs'!$G$47</f>
        <v>0.14373488562348566</v>
      </c>
      <c r="V85" s="110">
        <f>(V78*V87)/'&gt;&gt; Inputs'!$G$47</f>
        <v>0.15117327132748742</v>
      </c>
      <c r="W85" s="110">
        <f>(W78*W87)/'&gt;&gt; Inputs'!$G$47</f>
        <v>0.16142448052909464</v>
      </c>
      <c r="X85" s="110">
        <f>(X78*X87)/'&gt;&gt; Inputs'!$G$47</f>
        <v>0.17126872335674087</v>
      </c>
      <c r="Y85" s="110">
        <f>(Y78*Y87)/'&gt;&gt; Inputs'!$G$47</f>
        <v>0.17288608402191435</v>
      </c>
      <c r="Z85" s="109"/>
      <c r="AA85" s="109"/>
    </row>
    <row r="86" spans="3:27" ht="15" customHeight="1" thickBot="1" x14ac:dyDescent="0.3">
      <c r="C86" s="1"/>
      <c r="D86" s="1"/>
      <c r="E86" s="30" t="s">
        <v>132</v>
      </c>
      <c r="F86" s="24" t="s">
        <v>7</v>
      </c>
      <c r="G86" s="101"/>
      <c r="H86" s="107"/>
      <c r="I86" s="107">
        <f>IFERROR((I85/H85-1),"NA")</f>
        <v>1</v>
      </c>
      <c r="J86" s="107">
        <f t="shared" ref="J86:P86" si="93">IFERROR((J85/I85-1),"NA")</f>
        <v>-0.55555555555555558</v>
      </c>
      <c r="K86" s="107">
        <f t="shared" si="93"/>
        <v>-0.75</v>
      </c>
      <c r="L86" s="107">
        <f t="shared" si="93"/>
        <v>-1</v>
      </c>
      <c r="M86" s="107" t="str">
        <f t="shared" si="93"/>
        <v>NA</v>
      </c>
      <c r="N86" s="107" t="str">
        <f t="shared" si="93"/>
        <v>NA</v>
      </c>
      <c r="O86" s="107">
        <f t="shared" si="93"/>
        <v>2.8</v>
      </c>
      <c r="P86" s="107">
        <f t="shared" si="93"/>
        <v>-0.64281143874893054</v>
      </c>
      <c r="Q86" s="107">
        <f t="shared" ref="Q86" si="94">IFERROR((Q85/P85-1),"NA")</f>
        <v>0.38318356887467564</v>
      </c>
      <c r="R86" s="107">
        <f t="shared" ref="R86" si="95">IFERROR((R85/Q85-1),"NA")</f>
        <v>0.23165416245081816</v>
      </c>
      <c r="S86" s="107">
        <f t="shared" ref="S86" si="96">IFERROR((S85/R85-1),"NA")</f>
        <v>8.6445475517307635E-2</v>
      </c>
      <c r="T86" s="107">
        <f t="shared" ref="T86" si="97">IFERROR((T85/S85-1),"NA")</f>
        <v>8.0664606679560213E-2</v>
      </c>
      <c r="U86" s="107">
        <f t="shared" ref="U86" si="98">IFERROR((U85/T85-1),"NA")</f>
        <v>5.8872283629547217E-2</v>
      </c>
      <c r="V86" s="107">
        <f t="shared" ref="V86:W86" si="99">IFERROR((V85/U85-1),"NA")</f>
        <v>5.1750733106551872E-2</v>
      </c>
      <c r="W86" s="107">
        <f t="shared" si="99"/>
        <v>6.7810990075090505E-2</v>
      </c>
      <c r="X86" s="107">
        <f t="shared" ref="X86" si="100">IFERROR((X85/W85-1),"NA")</f>
        <v>6.098358065257603E-2</v>
      </c>
      <c r="Y86" s="107">
        <f t="shared" ref="Y86" si="101">IFERROR((Y85/X85-1),"NA")</f>
        <v>9.4434093597148827E-3</v>
      </c>
      <c r="Z86" s="109"/>
      <c r="AA86" s="109"/>
    </row>
    <row r="87" spans="3:27" ht="15" customHeight="1" thickBot="1" x14ac:dyDescent="0.3">
      <c r="C87" s="1"/>
      <c r="D87" s="1"/>
      <c r="E87" s="2" t="s">
        <v>165</v>
      </c>
      <c r="F87" s="24" t="s">
        <v>7</v>
      </c>
      <c r="G87" s="101"/>
      <c r="H87" s="341">
        <v>0.59609999999999996</v>
      </c>
      <c r="I87" s="341">
        <v>0.71650000000000003</v>
      </c>
      <c r="J87" s="341">
        <v>0.79059999999999997</v>
      </c>
      <c r="K87" s="341">
        <v>1.5005999999999999</v>
      </c>
      <c r="L87" s="341">
        <v>0</v>
      </c>
      <c r="M87" s="341">
        <v>0</v>
      </c>
      <c r="N87" s="341">
        <v>1.5717000000000001</v>
      </c>
      <c r="O87" s="341">
        <v>3.5577999999999999</v>
      </c>
      <c r="P87" s="319">
        <v>0.5</v>
      </c>
      <c r="Q87" s="319">
        <v>0.5</v>
      </c>
      <c r="R87" s="319">
        <v>0.5</v>
      </c>
      <c r="S87" s="319">
        <v>0.5</v>
      </c>
      <c r="T87" s="319">
        <v>0.5</v>
      </c>
      <c r="U87" s="319">
        <v>0.5</v>
      </c>
      <c r="V87" s="319">
        <v>0.5</v>
      </c>
      <c r="W87" s="319">
        <v>0.5</v>
      </c>
      <c r="X87" s="319">
        <v>0.5</v>
      </c>
      <c r="Y87" s="319">
        <v>0.5</v>
      </c>
      <c r="Z87" s="340">
        <v>0</v>
      </c>
      <c r="AA87" s="18" t="s">
        <v>166</v>
      </c>
    </row>
    <row r="88" spans="3:27" ht="15" customHeight="1" x14ac:dyDescent="0.25">
      <c r="C88" s="1"/>
      <c r="D88" s="1"/>
      <c r="E88" s="1"/>
      <c r="F88" s="24"/>
      <c r="G88" s="101"/>
      <c r="O88" s="111"/>
      <c r="Q88" s="112"/>
      <c r="Z88" s="109"/>
      <c r="AA88" s="109"/>
    </row>
    <row r="89" spans="3:27" ht="15" customHeight="1" x14ac:dyDescent="0.25">
      <c r="C89" s="1"/>
      <c r="D89" s="1"/>
      <c r="E89" s="2" t="s">
        <v>167</v>
      </c>
      <c r="F89" s="24" t="s">
        <v>164</v>
      </c>
      <c r="G89" s="101"/>
      <c r="H89" s="330">
        <f>(H78*H87)/'&gt;&gt; Inputs'!$G$47</f>
        <v>6.5051563974922844E-2</v>
      </c>
      <c r="I89" s="330">
        <f>(I78*I87)/'&gt;&gt; Inputs'!$G$47</f>
        <v>9.269816588879172E-2</v>
      </c>
      <c r="J89" s="330">
        <f>(J78*J87)/'&gt;&gt; Inputs'!$G$47</f>
        <v>0.10537925621627239</v>
      </c>
      <c r="K89" s="330">
        <f>(K78*K87)/'&gt;&gt; Inputs'!$G$47</f>
        <v>0.21914583231162255</v>
      </c>
      <c r="L89" s="330">
        <f>(L78*L87)/'&gt;&gt; Inputs'!$G$47</f>
        <v>0</v>
      </c>
      <c r="M89" s="330">
        <f>(M78*M87)/'&gt;&gt; Inputs'!$G$47</f>
        <v>0</v>
      </c>
      <c r="N89" s="330">
        <f>(N78*N87)/'&gt;&gt; Inputs'!$G$47</f>
        <v>-0.16959731522803617</v>
      </c>
      <c r="O89" s="330">
        <f>(O78*O87)/'&gt;&gt; Inputs'!$G$47</f>
        <v>0.10255994542935871</v>
      </c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109"/>
      <c r="AA89" s="109"/>
    </row>
    <row r="90" spans="3:27" ht="15" customHeight="1" thickBot="1" x14ac:dyDescent="0.3">
      <c r="C90" s="1"/>
      <c r="D90" s="1"/>
      <c r="E90" s="2" t="s">
        <v>168</v>
      </c>
      <c r="F90" s="24" t="s">
        <v>164</v>
      </c>
      <c r="G90" s="101"/>
      <c r="H90" s="330">
        <f>H85-H89</f>
        <v>2.4948436025077153E-2</v>
      </c>
      <c r="I90" s="330">
        <f t="shared" ref="I90:O90" si="102">I85-I89</f>
        <v>8.7301834111208274E-2</v>
      </c>
      <c r="J90" s="330">
        <f t="shared" si="102"/>
        <v>-2.5379256216272392E-2</v>
      </c>
      <c r="K90" s="330">
        <f t="shared" si="102"/>
        <v>-0.19914583231162256</v>
      </c>
      <c r="L90" s="330">
        <f t="shared" si="102"/>
        <v>0</v>
      </c>
      <c r="M90" s="330">
        <f t="shared" si="102"/>
        <v>0</v>
      </c>
      <c r="N90" s="330">
        <f t="shared" si="102"/>
        <v>0.21959731522803616</v>
      </c>
      <c r="O90" s="330">
        <f t="shared" si="102"/>
        <v>8.7440054570641287E-2</v>
      </c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1"/>
      <c r="AA90" s="1"/>
    </row>
    <row r="91" spans="3:27" ht="15" customHeight="1" thickBot="1" x14ac:dyDescent="0.3">
      <c r="C91" s="1"/>
      <c r="D91" s="1"/>
      <c r="E91" s="1" t="s">
        <v>169</v>
      </c>
      <c r="F91" s="24" t="s">
        <v>164</v>
      </c>
      <c r="G91" s="101"/>
      <c r="H91" s="320"/>
      <c r="I91" s="210"/>
      <c r="J91" s="210"/>
      <c r="K91" s="210"/>
      <c r="L91" s="210"/>
      <c r="M91" s="210"/>
      <c r="N91" s="321"/>
      <c r="O91" s="322">
        <f t="shared" ref="O91:X91" si="103">O85+$Z$91</f>
        <v>0.21434531892588349</v>
      </c>
      <c r="P91" s="322">
        <f t="shared" si="103"/>
        <v>9.2211145563586672E-2</v>
      </c>
      <c r="Q91" s="322">
        <f t="shared" si="103"/>
        <v>0.11821621521925182</v>
      </c>
      <c r="R91" s="322">
        <f t="shared" si="103"/>
        <v>0.13996179907859965</v>
      </c>
      <c r="S91" s="322">
        <f t="shared" si="103"/>
        <v>0.14995632068303857</v>
      </c>
      <c r="T91" s="322">
        <f t="shared" si="103"/>
        <v>0.16008868273440505</v>
      </c>
      <c r="U91" s="322">
        <f t="shared" si="103"/>
        <v>0.16808020454936914</v>
      </c>
      <c r="V91" s="322">
        <f t="shared" si="103"/>
        <v>0.17551859025337091</v>
      </c>
      <c r="W91" s="322">
        <f t="shared" si="103"/>
        <v>0.18576979945497812</v>
      </c>
      <c r="X91" s="322">
        <f t="shared" si="103"/>
        <v>0.19561404228262436</v>
      </c>
      <c r="Y91" s="323">
        <f>Y85+$Z$91</f>
        <v>0.19723140294779784</v>
      </c>
      <c r="Z91" s="113">
        <f>AVERAGE(H90:O90)</f>
        <v>2.4345318925883493E-2</v>
      </c>
      <c r="AA91" s="18" t="s">
        <v>170</v>
      </c>
    </row>
    <row r="92" spans="3:27" ht="15" customHeight="1" x14ac:dyDescent="0.25">
      <c r="C92" s="1"/>
      <c r="D92" s="1"/>
      <c r="E92" s="18" t="s">
        <v>132</v>
      </c>
      <c r="F92" s="24" t="s">
        <v>7</v>
      </c>
      <c r="G92" s="101"/>
      <c r="H92" s="209"/>
      <c r="I92" s="209"/>
      <c r="J92" s="209"/>
      <c r="K92" s="209"/>
      <c r="L92" s="209"/>
      <c r="M92" s="209"/>
      <c r="N92" s="209"/>
      <c r="O92" s="209"/>
      <c r="P92" s="107">
        <f t="shared" ref="P92:Y92" si="104">P91/O91-1</f>
        <v>-0.56980098270552149</v>
      </c>
      <c r="Q92" s="107">
        <f t="shared" si="104"/>
        <v>0.28201655555545235</v>
      </c>
      <c r="R92" s="107">
        <f t="shared" si="104"/>
        <v>0.18394755591707113</v>
      </c>
      <c r="S92" s="107">
        <f t="shared" si="104"/>
        <v>7.140892493691231E-2</v>
      </c>
      <c r="T92" s="107">
        <f t="shared" si="104"/>
        <v>6.7568756056526347E-2</v>
      </c>
      <c r="U92" s="107">
        <f t="shared" si="104"/>
        <v>4.9919342694713986E-2</v>
      </c>
      <c r="V92" s="107">
        <f t="shared" si="104"/>
        <v>4.4254977699155207E-2</v>
      </c>
      <c r="W92" s="107">
        <f t="shared" si="104"/>
        <v>5.8405261726458768E-2</v>
      </c>
      <c r="X92" s="107">
        <f t="shared" si="104"/>
        <v>5.2991621116714516E-2</v>
      </c>
      <c r="Y92" s="107">
        <f t="shared" si="104"/>
        <v>8.2681214819777527E-3</v>
      </c>
      <c r="Z92" s="114"/>
      <c r="AA92" s="109"/>
    </row>
    <row r="93" spans="3:27" ht="15" customHeight="1" x14ac:dyDescent="0.25">
      <c r="C93" s="1"/>
      <c r="D93" s="1"/>
      <c r="E93" s="18"/>
      <c r="F93" s="24"/>
      <c r="G93" s="101"/>
      <c r="H93" s="209"/>
      <c r="I93" s="209"/>
      <c r="J93" s="209"/>
      <c r="K93" s="209"/>
      <c r="L93" s="209"/>
      <c r="M93" s="209"/>
      <c r="N93" s="209"/>
      <c r="O93" s="209"/>
      <c r="P93" s="1"/>
      <c r="Q93" s="107"/>
      <c r="R93" s="107"/>
      <c r="S93" s="107"/>
      <c r="T93" s="107"/>
      <c r="U93" s="107"/>
      <c r="V93" s="107"/>
      <c r="W93" s="107"/>
      <c r="X93" s="107"/>
      <c r="Y93" s="107"/>
      <c r="Z93" s="114"/>
      <c r="AA93" s="109"/>
    </row>
    <row r="94" spans="3:27" ht="15" customHeight="1" x14ac:dyDescent="0.25">
      <c r="C94" s="90" t="s">
        <v>171</v>
      </c>
      <c r="D94" s="91"/>
      <c r="E94" s="91"/>
      <c r="F94" s="92"/>
      <c r="G94" s="92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109"/>
      <c r="AA94" s="109"/>
    </row>
    <row r="95" spans="3:27" ht="15" customHeight="1" x14ac:dyDescent="0.25">
      <c r="C95" s="1"/>
      <c r="D95" s="1"/>
      <c r="E95" s="1"/>
      <c r="F95" s="24"/>
      <c r="G95" s="101"/>
      <c r="H95" s="209"/>
      <c r="I95" s="209"/>
      <c r="J95" s="209"/>
      <c r="K95" s="209"/>
      <c r="L95" s="209"/>
      <c r="M95" s="209"/>
      <c r="N95" s="209"/>
      <c r="O95" s="209"/>
      <c r="P95" s="1"/>
      <c r="Q95" s="1"/>
      <c r="R95" s="1"/>
      <c r="S95" s="1"/>
      <c r="T95" s="1"/>
      <c r="U95" s="1"/>
      <c r="V95" s="1"/>
      <c r="W95" s="1"/>
      <c r="X95" s="1"/>
      <c r="Y95" s="1"/>
      <c r="Z95" s="109"/>
      <c r="AA95" s="109"/>
    </row>
    <row r="96" spans="3:27" ht="15" customHeight="1" x14ac:dyDescent="0.25">
      <c r="C96" s="1"/>
      <c r="D96" s="1"/>
      <c r="E96" s="2" t="s">
        <v>277</v>
      </c>
      <c r="F96" s="24" t="s">
        <v>273</v>
      </c>
      <c r="G96" s="101"/>
      <c r="H96" s="210"/>
      <c r="I96" s="210"/>
      <c r="J96" s="210"/>
      <c r="K96" s="210"/>
      <c r="L96" s="210"/>
      <c r="M96" s="210"/>
      <c r="N96" s="210"/>
      <c r="O96" s="115"/>
      <c r="P96" s="332">
        <f>'&gt;&gt; Fin Stmts'!P25</f>
        <v>13.573165327540638</v>
      </c>
      <c r="Q96" s="332">
        <f>'&gt;&gt; Fin Stmts'!Q25</f>
        <v>18.774179258673666</v>
      </c>
      <c r="R96" s="332">
        <f>'&gt;&gt; Fin Stmts'!R25</f>
        <v>23.123296030543234</v>
      </c>
      <c r="S96" s="332">
        <f>'&gt;&gt; Fin Stmts'!S25</f>
        <v>25.122200351431019</v>
      </c>
      <c r="T96" s="332">
        <f>'&gt;&gt; Fin Stmts'!T25</f>
        <v>27.148672761704312</v>
      </c>
      <c r="U96" s="332">
        <f>'&gt;&gt; Fin Stmts'!U25</f>
        <v>28.746977124697132</v>
      </c>
      <c r="V96" s="332">
        <f>'&gt;&gt; Fin Stmts'!V25</f>
        <v>30.234654265497486</v>
      </c>
      <c r="W96" s="332">
        <f>'&gt;&gt; Fin Stmts'!W25</f>
        <v>32.28489610581893</v>
      </c>
      <c r="X96" s="332">
        <f>'&gt;&gt; Fin Stmts'!X25</f>
        <v>34.253744671348173</v>
      </c>
      <c r="Y96" s="332">
        <f>'&gt;&gt; Fin Stmts'!Y25</f>
        <v>34.577216804382871</v>
      </c>
      <c r="Z96" s="109"/>
      <c r="AA96" s="109"/>
    </row>
    <row r="97" spans="3:25" ht="15" customHeight="1" x14ac:dyDescent="0.25">
      <c r="C97" s="1"/>
      <c r="D97" s="1"/>
      <c r="E97" s="18" t="s">
        <v>132</v>
      </c>
      <c r="F97" s="24" t="s">
        <v>7</v>
      </c>
      <c r="G97" s="101"/>
      <c r="H97" s="209"/>
      <c r="I97" s="209"/>
      <c r="J97" s="209"/>
      <c r="K97" s="209"/>
      <c r="L97" s="209"/>
      <c r="M97" s="209"/>
      <c r="N97" s="209"/>
      <c r="O97" s="209"/>
      <c r="P97" s="107"/>
      <c r="Q97" s="107">
        <f t="shared" ref="Q97:Y97" si="105">Q96/P96-1</f>
        <v>0.38318356887467564</v>
      </c>
      <c r="R97" s="107">
        <f t="shared" si="105"/>
        <v>0.23165416245081794</v>
      </c>
      <c r="S97" s="107">
        <f t="shared" si="105"/>
        <v>8.6445475517307857E-2</v>
      </c>
      <c r="T97" s="107">
        <f t="shared" si="105"/>
        <v>8.0664606679560213E-2</v>
      </c>
      <c r="U97" s="107">
        <f t="shared" si="105"/>
        <v>5.8872283629547217E-2</v>
      </c>
      <c r="V97" s="107">
        <f t="shared" si="105"/>
        <v>5.1750733106551872E-2</v>
      </c>
      <c r="W97" s="107">
        <f t="shared" si="105"/>
        <v>6.7810990075090505E-2</v>
      </c>
      <c r="X97" s="107">
        <f t="shared" si="105"/>
        <v>6.0983580652575808E-2</v>
      </c>
      <c r="Y97" s="107">
        <f t="shared" si="105"/>
        <v>9.4434093597151048E-3</v>
      </c>
    </row>
    <row r="98" spans="3:25" ht="15" customHeight="1" x14ac:dyDescent="0.25">
      <c r="C98" s="1"/>
      <c r="D98" s="1"/>
      <c r="E98" s="1"/>
      <c r="F98" s="24"/>
      <c r="G98" s="101"/>
      <c r="H98" s="209"/>
      <c r="I98" s="209"/>
      <c r="J98" s="209"/>
      <c r="K98" s="209"/>
      <c r="L98" s="209"/>
      <c r="M98" s="209"/>
      <c r="N98" s="209"/>
      <c r="O98" s="209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3:25" ht="15" customHeight="1" x14ac:dyDescent="0.25">
      <c r="C99" s="116" t="s">
        <v>267</v>
      </c>
      <c r="D99" s="117"/>
      <c r="E99" s="117"/>
      <c r="F99" s="118"/>
      <c r="G99" s="118"/>
      <c r="H99" s="117"/>
      <c r="I99" s="117"/>
      <c r="J99" s="117"/>
      <c r="K99" s="119"/>
      <c r="L99" s="119"/>
      <c r="M99" s="119"/>
      <c r="N99" s="120"/>
      <c r="O99" s="119"/>
      <c r="P99" s="119"/>
      <c r="Q99" s="119"/>
      <c r="R99" s="119"/>
      <c r="S99" s="119"/>
      <c r="T99" s="119"/>
      <c r="U99" s="119"/>
      <c r="V99" s="119"/>
      <c r="W99" s="119"/>
      <c r="X99" s="119"/>
      <c r="Y99" s="119"/>
    </row>
    <row r="100" spans="3:25" ht="15" customHeight="1" x14ac:dyDescent="0.25">
      <c r="C100" s="1"/>
      <c r="D100" s="2"/>
      <c r="E100" s="2"/>
      <c r="F100" s="24"/>
      <c r="G100" s="24"/>
      <c r="H100" s="121"/>
      <c r="I100" s="121"/>
      <c r="J100" s="121"/>
      <c r="K100" s="121"/>
      <c r="L100" s="121"/>
      <c r="M100" s="121"/>
      <c r="N100" s="121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</row>
    <row r="101" spans="3:25" ht="15" customHeight="1" x14ac:dyDescent="0.25">
      <c r="C101" s="1"/>
      <c r="D101" s="2"/>
      <c r="E101" s="122" t="s">
        <v>172</v>
      </c>
      <c r="F101" s="24" t="s">
        <v>25</v>
      </c>
      <c r="G101" s="24"/>
      <c r="H101" s="123">
        <f>43.313+3.628</f>
        <v>46.941000000000003</v>
      </c>
      <c r="I101" s="123">
        <f>45.897+3.758</f>
        <v>49.655000000000001</v>
      </c>
      <c r="J101" s="123">
        <f>50.613+4.194</f>
        <v>54.807000000000002</v>
      </c>
      <c r="K101" s="123">
        <f>42.998+4.027</f>
        <v>47.024999999999999</v>
      </c>
      <c r="L101" s="123">
        <v>49.542999999999999</v>
      </c>
      <c r="M101" s="123">
        <v>51.265999999999998</v>
      </c>
      <c r="N101" s="123">
        <v>90.409000000000006</v>
      </c>
      <c r="O101" s="123">
        <v>130.703</v>
      </c>
      <c r="P101" s="124">
        <f>O101*(1+P103)</f>
        <v>143.77330000000001</v>
      </c>
      <c r="Q101" s="124">
        <f t="shared" ref="Q101:Y101" si="106">P101*(1+Q103)</f>
        <v>186.90529000000001</v>
      </c>
      <c r="R101" s="124">
        <f t="shared" si="106"/>
        <v>224.286348</v>
      </c>
      <c r="S101" s="124">
        <f t="shared" si="106"/>
        <v>246.71498280000003</v>
      </c>
      <c r="T101" s="124">
        <f t="shared" si="106"/>
        <v>271.38648108000007</v>
      </c>
      <c r="U101" s="124">
        <f t="shared" si="106"/>
        <v>284.95580513400006</v>
      </c>
      <c r="V101" s="124">
        <f t="shared" si="106"/>
        <v>299.20359539070006</v>
      </c>
      <c r="W101" s="124">
        <f t="shared" si="106"/>
        <v>314.16377516023505</v>
      </c>
      <c r="X101" s="124">
        <f t="shared" si="106"/>
        <v>329.87196391824682</v>
      </c>
      <c r="Y101" s="124">
        <f t="shared" si="106"/>
        <v>338.11876301620293</v>
      </c>
    </row>
    <row r="102" spans="3:25" ht="15" customHeight="1" x14ac:dyDescent="0.25">
      <c r="C102" s="1"/>
      <c r="D102" s="1"/>
      <c r="F102" s="94"/>
      <c r="G102" s="3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</row>
    <row r="103" spans="3:25" ht="15" customHeight="1" x14ac:dyDescent="0.25">
      <c r="C103" s="1"/>
      <c r="D103" s="1"/>
      <c r="E103" s="18" t="s">
        <v>173</v>
      </c>
      <c r="F103" s="24" t="s">
        <v>7</v>
      </c>
      <c r="G103" s="37"/>
      <c r="H103" s="232"/>
      <c r="I103" s="232">
        <f>IFERROR((I101/H101-1),"NA")</f>
        <v>5.7817259964636492E-2</v>
      </c>
      <c r="J103" s="232">
        <f t="shared" ref="J103:N103" si="107">IFERROR((J101/I101-1),"NA")</f>
        <v>0.10375591581915211</v>
      </c>
      <c r="K103" s="232">
        <f t="shared" si="107"/>
        <v>-0.14198916196836175</v>
      </c>
      <c r="L103" s="232">
        <f t="shared" si="107"/>
        <v>5.3545986177565119E-2</v>
      </c>
      <c r="M103" s="232">
        <f t="shared" si="107"/>
        <v>3.477786972932595E-2</v>
      </c>
      <c r="N103" s="232">
        <f t="shared" si="107"/>
        <v>0.76352748410252436</v>
      </c>
      <c r="O103" s="232">
        <f>IFERROR((O101/N101-1),"NA")</f>
        <v>0.44568571712993177</v>
      </c>
      <c r="P103" s="125">
        <v>0.1</v>
      </c>
      <c r="Q103" s="125">
        <v>0.3</v>
      </c>
      <c r="R103" s="125">
        <v>0.2</v>
      </c>
      <c r="S103" s="125">
        <v>0.1</v>
      </c>
      <c r="T103" s="125">
        <v>0.1</v>
      </c>
      <c r="U103" s="125">
        <v>0.05</v>
      </c>
      <c r="V103" s="125">
        <v>0.05</v>
      </c>
      <c r="W103" s="125">
        <v>0.05</v>
      </c>
      <c r="X103" s="125">
        <v>0.05</v>
      </c>
      <c r="Y103" s="125">
        <v>2.5000000000000001E-2</v>
      </c>
    </row>
    <row r="104" spans="3:25" ht="15" customHeight="1" x14ac:dyDescent="0.25">
      <c r="C104" s="1"/>
      <c r="D104" s="1"/>
    </row>
    <row r="105" spans="3:25" ht="15" customHeight="1" x14ac:dyDescent="0.25">
      <c r="C105" s="1"/>
      <c r="D105" s="1"/>
    </row>
    <row r="106" spans="3:25" ht="15" customHeight="1" x14ac:dyDescent="0.25">
      <c r="C106" s="1"/>
      <c r="D106" s="2"/>
      <c r="E106" s="122" t="s">
        <v>174</v>
      </c>
      <c r="F106" s="24" t="s">
        <v>25</v>
      </c>
      <c r="G106" s="24"/>
      <c r="H106" s="126">
        <v>41.8</v>
      </c>
      <c r="I106" s="126">
        <v>41.2</v>
      </c>
      <c r="J106" s="126">
        <v>47.2</v>
      </c>
      <c r="K106" s="126">
        <v>41.5</v>
      </c>
      <c r="L106" s="126">
        <v>32.665999999999997</v>
      </c>
      <c r="M106" s="126">
        <v>35.429000000000002</v>
      </c>
      <c r="N106" s="126">
        <v>57.451999999999998</v>
      </c>
      <c r="O106" s="126">
        <v>87.242999999999995</v>
      </c>
      <c r="P106" s="127">
        <f t="shared" ref="P106:Y106" si="108">P101*P108</f>
        <v>107.91806629620193</v>
      </c>
      <c r="Q106" s="127">
        <f t="shared" si="108"/>
        <v>137.59205351326247</v>
      </c>
      <c r="R106" s="127">
        <f t="shared" si="108"/>
        <v>162.81543169167909</v>
      </c>
      <c r="S106" s="127">
        <f t="shared" si="108"/>
        <v>175.64814062155421</v>
      </c>
      <c r="T106" s="127">
        <f t="shared" si="108"/>
        <v>188.65530172777693</v>
      </c>
      <c r="U106" s="127">
        <f t="shared" si="108"/>
        <v>199.4419571273923</v>
      </c>
      <c r="V106" s="127">
        <f t="shared" si="108"/>
        <v>209.74878877230967</v>
      </c>
      <c r="W106" s="127">
        <f t="shared" si="108"/>
        <v>223.11332133764427</v>
      </c>
      <c r="X106" s="127">
        <f t="shared" si="108"/>
        <v>236.15699447638505</v>
      </c>
      <c r="Y106" s="127">
        <f t="shared" si="108"/>
        <v>240.66987314716917</v>
      </c>
    </row>
    <row r="107" spans="3:25" ht="15" customHeight="1" x14ac:dyDescent="0.25">
      <c r="C107" s="1"/>
      <c r="D107" s="2"/>
      <c r="E107" s="128" t="s">
        <v>175</v>
      </c>
      <c r="F107" s="24" t="s">
        <v>7</v>
      </c>
      <c r="G107" s="24"/>
      <c r="H107" s="129"/>
      <c r="I107" s="294">
        <f>IFERROR((I106/H106-1),"NA")</f>
        <v>-1.4354066985645786E-2</v>
      </c>
      <c r="J107" s="294">
        <f t="shared" ref="J107:O107" si="109">IFERROR((J106/I106-1),"NA")</f>
        <v>0.14563106796116498</v>
      </c>
      <c r="K107" s="294">
        <f t="shared" si="109"/>
        <v>-0.12076271186440679</v>
      </c>
      <c r="L107" s="294">
        <f t="shared" si="109"/>
        <v>-0.2128674698795181</v>
      </c>
      <c r="M107" s="294">
        <f t="shared" si="109"/>
        <v>8.4583358844058321E-2</v>
      </c>
      <c r="N107" s="294">
        <f t="shared" si="109"/>
        <v>0.62160941601512865</v>
      </c>
      <c r="O107" s="294">
        <f t="shared" si="109"/>
        <v>0.51853721367402339</v>
      </c>
      <c r="P107" s="294">
        <f t="shared" ref="P107" si="110">IFERROR((P106/O106-1),"NA")</f>
        <v>0.23698252348270854</v>
      </c>
      <c r="Q107" s="294">
        <f t="shared" ref="Q107" si="111">IFERROR((Q106/P106-1),"NA")</f>
        <v>0.27496774391430034</v>
      </c>
      <c r="R107" s="294">
        <f t="shared" ref="R107" si="112">IFERROR((R106/Q106-1),"NA")</f>
        <v>0.18332002128295399</v>
      </c>
      <c r="S107" s="294">
        <f t="shared" ref="S107" si="113">IFERROR((S106/R106-1),"NA")</f>
        <v>7.8817522372057525E-2</v>
      </c>
      <c r="T107" s="294">
        <f t="shared" ref="T107" si="114">IFERROR((T106/S106-1),"NA")</f>
        <v>7.4052370040440962E-2</v>
      </c>
      <c r="U107" s="294">
        <f t="shared" ref="U107" si="115">IFERROR((U106/T106-1),"NA")</f>
        <v>5.7176529367725548E-2</v>
      </c>
      <c r="V107" s="294">
        <f t="shared" ref="V107" si="116">IFERROR((V106/U106-1),"NA")</f>
        <v>5.1678351904328457E-2</v>
      </c>
      <c r="W107" s="294">
        <f t="shared" ref="W107" si="117">IFERROR((W106/V106-1),"NA")</f>
        <v>6.3716852161860738E-2</v>
      </c>
      <c r="X107" s="294">
        <f t="shared" ref="X107" si="118">IFERROR((X106/W106-1),"NA")</f>
        <v>5.8462099262111655E-2</v>
      </c>
      <c r="Y107" s="294">
        <f t="shared" ref="Y107" si="119">IFERROR((Y106/X106-1),"NA")</f>
        <v>1.9109654917442542E-2</v>
      </c>
    </row>
    <row r="108" spans="3:25" ht="15" customHeight="1" x14ac:dyDescent="0.25">
      <c r="C108" s="1"/>
      <c r="D108" s="2"/>
      <c r="E108" s="128" t="s">
        <v>176</v>
      </c>
      <c r="F108" s="24" t="s">
        <v>7</v>
      </c>
      <c r="G108" s="24"/>
      <c r="H108" s="107">
        <f>IFERROR(H106/H101,"NA")</f>
        <v>0.89047953814362701</v>
      </c>
      <c r="I108" s="107">
        <f t="shared" ref="I108:O108" si="120">IFERROR(I106/I101,"NA")</f>
        <v>0.82972510321216397</v>
      </c>
      <c r="J108" s="107">
        <f t="shared" si="120"/>
        <v>0.86120386082069811</v>
      </c>
      <c r="K108" s="107">
        <f t="shared" si="120"/>
        <v>0.88250930356193513</v>
      </c>
      <c r="L108" s="107">
        <f t="shared" si="120"/>
        <v>0.65934642633671758</v>
      </c>
      <c r="M108" s="107">
        <f t="shared" si="120"/>
        <v>0.69108180860609381</v>
      </c>
      <c r="N108" s="107">
        <f t="shared" si="120"/>
        <v>0.63546770786094298</v>
      </c>
      <c r="O108" s="107">
        <f t="shared" si="120"/>
        <v>0.66749041720541991</v>
      </c>
      <c r="P108" s="295">
        <f>HARMEAN(H108:O108)</f>
        <v>0.75061270970480554</v>
      </c>
      <c r="Q108" s="295">
        <f t="shared" ref="Q108:Y108" si="121">HARMEAN(I108:P108)</f>
        <v>0.73615922541979661</v>
      </c>
      <c r="R108" s="295">
        <f t="shared" si="121"/>
        <v>0.72592662524283058</v>
      </c>
      <c r="S108" s="295">
        <f t="shared" si="121"/>
        <v>0.71194760297125415</v>
      </c>
      <c r="T108" s="295">
        <f t="shared" si="121"/>
        <v>0.69515364574171468</v>
      </c>
      <c r="U108" s="295">
        <f t="shared" si="121"/>
        <v>0.69990487484052133</v>
      </c>
      <c r="V108" s="295">
        <f t="shared" si="121"/>
        <v>0.70102362405912833</v>
      </c>
      <c r="W108" s="295">
        <f t="shared" si="121"/>
        <v>0.71018156445264347</v>
      </c>
      <c r="X108" s="295">
        <f t="shared" si="121"/>
        <v>0.71590501863599587</v>
      </c>
      <c r="Y108" s="295">
        <f t="shared" si="121"/>
        <v>0.71179094292272704</v>
      </c>
    </row>
    <row r="109" spans="3:25" ht="15" customHeight="1" x14ac:dyDescent="0.25">
      <c r="C109" s="252"/>
      <c r="D109" s="252"/>
      <c r="E109" s="252"/>
      <c r="F109" s="252"/>
      <c r="G109" s="252"/>
      <c r="H109" s="252"/>
      <c r="I109" s="252"/>
      <c r="J109" s="252"/>
      <c r="K109" s="252"/>
      <c r="L109" s="252"/>
      <c r="M109" s="252"/>
      <c r="N109" s="252"/>
      <c r="O109" s="252"/>
      <c r="P109" s="252"/>
      <c r="Q109" s="252"/>
      <c r="R109" s="252"/>
      <c r="S109" s="252"/>
      <c r="T109" s="252"/>
      <c r="U109" s="252"/>
      <c r="V109" s="252"/>
      <c r="W109" s="252"/>
      <c r="X109" s="252"/>
      <c r="Y109" s="252"/>
    </row>
    <row r="111" spans="3:25" ht="15" customHeight="1" x14ac:dyDescent="0.25">
      <c r="C111" s="116" t="s">
        <v>268</v>
      </c>
      <c r="D111" s="117"/>
      <c r="E111" s="117"/>
      <c r="F111" s="118"/>
      <c r="G111" s="118"/>
      <c r="H111" s="117"/>
      <c r="I111" s="117"/>
      <c r="J111" s="117"/>
      <c r="K111" s="119"/>
      <c r="L111" s="119"/>
      <c r="M111" s="119"/>
      <c r="N111" s="120"/>
      <c r="O111" s="119"/>
      <c r="P111" s="119"/>
      <c r="Q111" s="119"/>
      <c r="R111" s="119"/>
      <c r="S111" s="119"/>
      <c r="T111" s="119"/>
      <c r="U111" s="119"/>
      <c r="V111" s="119"/>
      <c r="W111" s="119"/>
      <c r="X111" s="119"/>
      <c r="Y111" s="119"/>
    </row>
    <row r="112" spans="3:25" ht="15" customHeight="1" x14ac:dyDescent="0.25">
      <c r="C112" s="1"/>
      <c r="D112" s="2"/>
      <c r="E112" s="2"/>
      <c r="F112" s="24"/>
      <c r="G112" s="24"/>
      <c r="H112" s="121"/>
      <c r="I112" s="121"/>
      <c r="J112" s="121"/>
      <c r="K112" s="121"/>
      <c r="L112" s="121"/>
      <c r="M112" s="121"/>
      <c r="N112" s="121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</row>
    <row r="113" spans="3:25" ht="15" customHeight="1" x14ac:dyDescent="0.25">
      <c r="C113" s="1"/>
      <c r="D113" s="2"/>
      <c r="E113" s="122" t="s">
        <v>172</v>
      </c>
      <c r="F113" s="24" t="s">
        <v>25</v>
      </c>
      <c r="G113" s="24"/>
      <c r="H113" s="123">
        <v>306.68799999999999</v>
      </c>
      <c r="I113" s="123">
        <v>361.95600000000002</v>
      </c>
      <c r="J113" s="123">
        <v>304.50900000000001</v>
      </c>
      <c r="K113" s="123">
        <v>297.83600000000001</v>
      </c>
      <c r="L113" s="123">
        <v>200.423</v>
      </c>
      <c r="M113" s="123">
        <v>187.10400000000001</v>
      </c>
      <c r="N113" s="123">
        <v>69.411000000000001</v>
      </c>
      <c r="O113" s="123">
        <v>6.8659999999999997</v>
      </c>
      <c r="P113" s="124">
        <f>O113*(1+P115)</f>
        <v>4.9787841741921142</v>
      </c>
      <c r="Q113" s="124">
        <f t="shared" ref="Q113:Y113" si="122">P113*(1+Q115)</f>
        <v>3.6102959296804329</v>
      </c>
      <c r="R113" s="124">
        <f t="shared" si="122"/>
        <v>2.4125871683262194</v>
      </c>
      <c r="S113" s="124">
        <f t="shared" si="122"/>
        <v>1.5600331146496573</v>
      </c>
      <c r="T113" s="124">
        <f t="shared" si="122"/>
        <v>0.94411572860330173</v>
      </c>
      <c r="U113" s="124">
        <f t="shared" si="122"/>
        <v>0.56337452569078694</v>
      </c>
      <c r="V113" s="124">
        <f t="shared" si="122"/>
        <v>0.31245818046531687</v>
      </c>
      <c r="W113" s="124">
        <f t="shared" si="122"/>
        <v>0.18046783560278079</v>
      </c>
      <c r="X113" s="124">
        <f t="shared" si="122"/>
        <v>0.11503135472704158</v>
      </c>
      <c r="Y113" s="124">
        <f t="shared" si="122"/>
        <v>7.2060264973896643E-2</v>
      </c>
    </row>
    <row r="114" spans="3:25" ht="15" customHeight="1" x14ac:dyDescent="0.25">
      <c r="C114" s="1"/>
      <c r="D114" s="1"/>
      <c r="F114" s="94"/>
      <c r="G114" s="3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</row>
    <row r="115" spans="3:25" ht="15" customHeight="1" x14ac:dyDescent="0.25">
      <c r="C115" s="1"/>
      <c r="D115" s="1"/>
      <c r="E115" s="18" t="s">
        <v>173</v>
      </c>
      <c r="F115" s="24" t="s">
        <v>7</v>
      </c>
      <c r="G115" s="37"/>
      <c r="H115" s="232"/>
      <c r="I115" s="232">
        <f>IFERROR((I113/H113-1),"NA")</f>
        <v>0.18020920283806352</v>
      </c>
      <c r="J115" s="232">
        <f t="shared" ref="J115:N115" si="123">IFERROR((J113/I113-1),"NA")</f>
        <v>-0.15871266120743954</v>
      </c>
      <c r="K115" s="232">
        <f t="shared" si="123"/>
        <v>-2.1913966418069752E-2</v>
      </c>
      <c r="L115" s="232">
        <f t="shared" si="123"/>
        <v>-0.32706925959252742</v>
      </c>
      <c r="M115" s="232">
        <f t="shared" si="123"/>
        <v>-6.6454448840701841E-2</v>
      </c>
      <c r="N115" s="232">
        <f t="shared" si="123"/>
        <v>-0.6290244997434582</v>
      </c>
      <c r="O115" s="232">
        <f>IFERROR((O113/N113-1),"NA")</f>
        <v>-0.90108196107245253</v>
      </c>
      <c r="P115" s="125">
        <f>AVERAGE(H115:O115)</f>
        <v>-0.27486394200522651</v>
      </c>
      <c r="Q115" s="125">
        <f t="shared" ref="Q115:Y115" si="124">AVERAGE(I115:P115)</f>
        <v>-0.27486394200522651</v>
      </c>
      <c r="R115" s="125">
        <f t="shared" si="124"/>
        <v>-0.3317480851106378</v>
      </c>
      <c r="S115" s="125">
        <f t="shared" si="124"/>
        <v>-0.35337751309853754</v>
      </c>
      <c r="T115" s="125">
        <f t="shared" si="124"/>
        <v>-0.39481045643359602</v>
      </c>
      <c r="U115" s="125">
        <f t="shared" si="124"/>
        <v>-0.4032781060387296</v>
      </c>
      <c r="V115" s="125">
        <f t="shared" si="124"/>
        <v>-0.44538106318848308</v>
      </c>
      <c r="W115" s="125">
        <f t="shared" si="124"/>
        <v>-0.42242563361911123</v>
      </c>
      <c r="X115" s="125">
        <f t="shared" si="124"/>
        <v>-0.36259359268744351</v>
      </c>
      <c r="Y115" s="125">
        <f t="shared" si="124"/>
        <v>-0.37355979902272063</v>
      </c>
    </row>
    <row r="116" spans="3:25" ht="15" customHeight="1" x14ac:dyDescent="0.25">
      <c r="C116" s="1"/>
      <c r="D116" s="1"/>
    </row>
    <row r="117" spans="3:25" ht="15" customHeight="1" x14ac:dyDescent="0.25">
      <c r="C117" s="1"/>
      <c r="D117" s="1"/>
    </row>
    <row r="118" spans="3:25" ht="15" customHeight="1" x14ac:dyDescent="0.25">
      <c r="C118" s="1"/>
      <c r="D118" s="2"/>
      <c r="E118" s="122" t="s">
        <v>174</v>
      </c>
      <c r="F118" s="24" t="s">
        <v>25</v>
      </c>
      <c r="G118" s="24"/>
      <c r="H118" s="126">
        <v>125.6</v>
      </c>
      <c r="I118" s="126">
        <v>179.4</v>
      </c>
      <c r="J118" s="126">
        <v>105.4</v>
      </c>
      <c r="K118" s="126">
        <v>80.400000000000006</v>
      </c>
      <c r="L118" s="126">
        <v>25.911999999999999</v>
      </c>
      <c r="M118" s="126">
        <v>33.838999999999999</v>
      </c>
      <c r="N118" s="126">
        <v>27.018000000000001</v>
      </c>
      <c r="O118" s="126">
        <v>3.61</v>
      </c>
      <c r="P118" s="127">
        <f t="shared" ref="P118:Y118" si="125">P113*P120</f>
        <v>1.3835776384892033</v>
      </c>
      <c r="Q118" s="127">
        <f t="shared" si="125"/>
        <v>0.9645271678424221</v>
      </c>
      <c r="R118" s="127">
        <f t="shared" si="125"/>
        <v>0.60943024442605676</v>
      </c>
      <c r="S118" s="127">
        <f t="shared" si="125"/>
        <v>0.38119613284608161</v>
      </c>
      <c r="T118" s="127">
        <f t="shared" si="125"/>
        <v>0.22799366982948646</v>
      </c>
      <c r="U118" s="127">
        <f t="shared" si="125"/>
        <v>0.15260362563338567</v>
      </c>
      <c r="V118" s="127">
        <f t="shared" si="125"/>
        <v>9.0251987983284765E-2</v>
      </c>
      <c r="W118" s="127">
        <f t="shared" si="125"/>
        <v>5.0499030142816412E-2</v>
      </c>
      <c r="X118" s="127">
        <f t="shared" si="125"/>
        <v>3.0410192452113047E-2</v>
      </c>
      <c r="Y118" s="127">
        <f t="shared" si="125"/>
        <v>1.8934927676703947E-2</v>
      </c>
    </row>
    <row r="119" spans="3:25" ht="15" customHeight="1" x14ac:dyDescent="0.25">
      <c r="C119" s="1"/>
      <c r="D119" s="2"/>
      <c r="E119" s="128" t="s">
        <v>175</v>
      </c>
      <c r="F119" s="24" t="s">
        <v>7</v>
      </c>
      <c r="G119" s="24"/>
      <c r="H119" s="129"/>
      <c r="I119" s="294">
        <v>0</v>
      </c>
      <c r="J119" s="294">
        <f t="shared" ref="J119" si="126">IFERROR((J118/I118-1),"NA")</f>
        <v>-0.41248606465997772</v>
      </c>
      <c r="K119" s="294">
        <f t="shared" ref="K119" si="127">IFERROR((K118/J118-1),"NA")</f>
        <v>-0.23719165085388993</v>
      </c>
      <c r="L119" s="294">
        <f t="shared" ref="L119" si="128">IFERROR((L118/K118-1),"NA")</f>
        <v>-0.67771144278606976</v>
      </c>
      <c r="M119" s="294">
        <f t="shared" ref="M119" si="129">IFERROR((M118/L118-1),"NA")</f>
        <v>0.30592003704847182</v>
      </c>
      <c r="N119" s="294">
        <f t="shared" ref="N119" si="130">IFERROR((N118/M118-1),"NA")</f>
        <v>-0.20157215047725996</v>
      </c>
      <c r="O119" s="294">
        <f t="shared" ref="O119" si="131">IFERROR((O118/N118-1),"NA")</f>
        <v>-0.86638537271448668</v>
      </c>
      <c r="P119" s="294">
        <f t="shared" ref="P119" si="132">IFERROR((P118/O118-1),"NA")</f>
        <v>-0.61673749626337848</v>
      </c>
      <c r="Q119" s="294">
        <f t="shared" ref="Q119" si="133">IFERROR((Q118/P118-1),"NA")</f>
        <v>-0.30287456156371761</v>
      </c>
      <c r="R119" s="294">
        <f t="shared" ref="R119" si="134">IFERROR((R118/Q118-1),"NA")</f>
        <v>-0.36815647630817039</v>
      </c>
      <c r="S119" s="294">
        <f t="shared" ref="S119" si="135">IFERROR((S118/R118-1),"NA")</f>
        <v>-0.37450407764865568</v>
      </c>
      <c r="T119" s="294">
        <f t="shared" ref="T119" si="136">IFERROR((T118/S118-1),"NA")</f>
        <v>-0.4018993106586809</v>
      </c>
      <c r="U119" s="294">
        <f t="shared" ref="U119" si="137">IFERROR((U118/T118-1),"NA")</f>
        <v>-0.33066726919428968</v>
      </c>
      <c r="V119" s="294">
        <f t="shared" ref="V119" si="138">IFERROR((V118/U118-1),"NA")</f>
        <v>-0.40858555877233371</v>
      </c>
      <c r="W119" s="294">
        <f t="shared" ref="W119" si="139">IFERROR((W118/V118-1),"NA")</f>
        <v>-0.44046628477403571</v>
      </c>
      <c r="X119" s="294">
        <f t="shared" ref="X119" si="140">IFERROR((X118/W118-1),"NA")</f>
        <v>-0.39780640606146456</v>
      </c>
      <c r="Y119" s="294">
        <f t="shared" ref="Y119" si="141">IFERROR((Y118/X118-1),"NA")</f>
        <v>-0.37734929805127704</v>
      </c>
    </row>
    <row r="120" spans="3:25" ht="15" customHeight="1" x14ac:dyDescent="0.25">
      <c r="C120" s="1"/>
      <c r="D120" s="2"/>
      <c r="E120" s="128" t="s">
        <v>176</v>
      </c>
      <c r="F120" s="24" t="s">
        <v>7</v>
      </c>
      <c r="G120" s="24"/>
      <c r="H120" s="107">
        <f>IFERROR(H118/H113,"NA")</f>
        <v>0.40953672787979967</v>
      </c>
      <c r="I120" s="107">
        <f t="shared" ref="I120:O120" si="142">IFERROR(I118/I113,"NA")</f>
        <v>0.49564035407618606</v>
      </c>
      <c r="J120" s="107">
        <f t="shared" si="142"/>
        <v>0.3461309846342801</v>
      </c>
      <c r="K120" s="107">
        <f t="shared" si="142"/>
        <v>0.26994721927503729</v>
      </c>
      <c r="L120" s="107">
        <f t="shared" si="142"/>
        <v>0.12928655892786756</v>
      </c>
      <c r="M120" s="107">
        <f t="shared" si="142"/>
        <v>0.18085663588164869</v>
      </c>
      <c r="N120" s="107">
        <f t="shared" si="142"/>
        <v>0.38924666119203011</v>
      </c>
      <c r="O120" s="107">
        <f t="shared" si="142"/>
        <v>0.52577920186425864</v>
      </c>
      <c r="P120" s="295">
        <f>HARMEAN(H120:O120)</f>
        <v>0.27789468072568352</v>
      </c>
      <c r="Q120" s="295">
        <f t="shared" ref="Q120:Y120" si="143">HARMEAN(I120:P120)</f>
        <v>0.2671601405062099</v>
      </c>
      <c r="R120" s="295">
        <f t="shared" si="143"/>
        <v>0.25260444572821844</v>
      </c>
      <c r="S120" s="295">
        <f t="shared" si="143"/>
        <v>0.24435130848596653</v>
      </c>
      <c r="T120" s="295">
        <f t="shared" si="143"/>
        <v>0.24148911295734252</v>
      </c>
      <c r="U120" s="295">
        <f t="shared" si="143"/>
        <v>0.27087420299359349</v>
      </c>
      <c r="V120" s="295">
        <f t="shared" si="143"/>
        <v>0.28884501551177283</v>
      </c>
      <c r="W120" s="295">
        <f t="shared" si="143"/>
        <v>0.27982288353015677</v>
      </c>
      <c r="X120" s="295">
        <f t="shared" si="143"/>
        <v>0.26436437721066164</v>
      </c>
      <c r="Y120" s="295">
        <f t="shared" si="143"/>
        <v>0.2627651686205012</v>
      </c>
    </row>
    <row r="121" spans="3:25" ht="15" customHeight="1" x14ac:dyDescent="0.25">
      <c r="C121" s="252"/>
      <c r="D121" s="252"/>
      <c r="E121" s="252"/>
      <c r="F121" s="252"/>
      <c r="G121" s="252"/>
      <c r="H121" s="252"/>
      <c r="I121" s="252"/>
      <c r="J121" s="252"/>
      <c r="K121" s="252"/>
      <c r="L121" s="252"/>
      <c r="M121" s="252"/>
      <c r="N121" s="252"/>
      <c r="O121" s="252"/>
      <c r="P121" s="252"/>
      <c r="Q121" s="252"/>
      <c r="R121" s="252"/>
      <c r="S121" s="252"/>
      <c r="T121" s="252"/>
      <c r="U121" s="252"/>
      <c r="V121" s="252"/>
      <c r="W121" s="252"/>
      <c r="X121" s="252"/>
      <c r="Y121" s="252"/>
    </row>
    <row r="123" spans="3:25" ht="15" customHeight="1" x14ac:dyDescent="0.25">
      <c r="C123" s="116" t="s">
        <v>149</v>
      </c>
      <c r="D123" s="117"/>
      <c r="E123" s="117"/>
      <c r="F123" s="118"/>
      <c r="G123" s="118"/>
      <c r="H123" s="117"/>
      <c r="I123" s="117"/>
      <c r="J123" s="117"/>
      <c r="K123" s="119"/>
      <c r="L123" s="119"/>
      <c r="M123" s="119"/>
      <c r="N123" s="120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</row>
    <row r="124" spans="3:25" ht="15" customHeight="1" x14ac:dyDescent="0.25">
      <c r="C124" s="1"/>
      <c r="D124" s="2"/>
      <c r="E124" s="2"/>
      <c r="F124" s="24"/>
      <c r="G124" s="24"/>
      <c r="H124" s="121"/>
      <c r="I124" s="121"/>
      <c r="J124" s="121"/>
      <c r="K124" s="121"/>
      <c r="L124" s="121"/>
      <c r="M124" s="121"/>
      <c r="N124" s="121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</row>
    <row r="125" spans="3:25" ht="15" customHeight="1" x14ac:dyDescent="0.25">
      <c r="C125" s="1"/>
      <c r="D125" s="2"/>
      <c r="E125" s="122" t="s">
        <v>172</v>
      </c>
      <c r="F125" s="24" t="s">
        <v>25</v>
      </c>
      <c r="G125" s="24"/>
      <c r="H125" s="123">
        <v>0</v>
      </c>
      <c r="I125" s="123">
        <v>0</v>
      </c>
      <c r="J125" s="123">
        <v>0</v>
      </c>
      <c r="K125" s="123">
        <v>0</v>
      </c>
      <c r="L125" s="123">
        <v>0</v>
      </c>
      <c r="M125" s="123">
        <v>0</v>
      </c>
      <c r="N125" s="123">
        <v>0</v>
      </c>
      <c r="O125" s="123">
        <v>0</v>
      </c>
      <c r="P125" s="124">
        <f>O125*(1+P127)</f>
        <v>0</v>
      </c>
      <c r="Q125" s="124">
        <f t="shared" ref="Q125:Y125" si="144">P125*(1+Q127)</f>
        <v>0</v>
      </c>
      <c r="R125" s="124">
        <f t="shared" si="144"/>
        <v>0</v>
      </c>
      <c r="S125" s="124">
        <f t="shared" si="144"/>
        <v>0</v>
      </c>
      <c r="T125" s="124">
        <f t="shared" si="144"/>
        <v>0</v>
      </c>
      <c r="U125" s="124">
        <f t="shared" si="144"/>
        <v>0</v>
      </c>
      <c r="V125" s="124">
        <f t="shared" si="144"/>
        <v>0</v>
      </c>
      <c r="W125" s="124">
        <f t="shared" si="144"/>
        <v>0</v>
      </c>
      <c r="X125" s="124">
        <f t="shared" si="144"/>
        <v>0</v>
      </c>
      <c r="Y125" s="124">
        <f t="shared" si="144"/>
        <v>0</v>
      </c>
    </row>
    <row r="126" spans="3:25" ht="15" customHeight="1" x14ac:dyDescent="0.25">
      <c r="C126" s="1"/>
      <c r="D126" s="1"/>
      <c r="F126" s="94"/>
      <c r="G126" s="3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</row>
    <row r="127" spans="3:25" ht="15" customHeight="1" x14ac:dyDescent="0.25">
      <c r="C127" s="1"/>
      <c r="D127" s="1"/>
      <c r="E127" s="18" t="s">
        <v>173</v>
      </c>
      <c r="F127" s="24" t="s">
        <v>7</v>
      </c>
      <c r="G127" s="37"/>
      <c r="H127" s="232"/>
      <c r="I127" s="232" t="str">
        <f>IFERROR((I125/H125-1),"NA")</f>
        <v>NA</v>
      </c>
      <c r="J127" s="232" t="str">
        <f t="shared" ref="J127:N127" si="145">IFERROR((J125/I125-1),"NA")</f>
        <v>NA</v>
      </c>
      <c r="K127" s="232" t="str">
        <f t="shared" si="145"/>
        <v>NA</v>
      </c>
      <c r="L127" s="232" t="str">
        <f t="shared" si="145"/>
        <v>NA</v>
      </c>
      <c r="M127" s="232" t="str">
        <f t="shared" si="145"/>
        <v>NA</v>
      </c>
      <c r="N127" s="232" t="str">
        <f t="shared" si="145"/>
        <v>NA</v>
      </c>
      <c r="O127" s="232" t="str">
        <f>IFERROR((O125/N125-1),"NA")</f>
        <v>NA</v>
      </c>
      <c r="P127" s="125">
        <v>0</v>
      </c>
      <c r="Q127" s="125">
        <v>0</v>
      </c>
      <c r="R127" s="125">
        <v>0</v>
      </c>
      <c r="S127" s="125">
        <v>0</v>
      </c>
      <c r="T127" s="125">
        <v>0</v>
      </c>
      <c r="U127" s="125">
        <v>0</v>
      </c>
      <c r="V127" s="125">
        <v>0</v>
      </c>
      <c r="W127" s="125">
        <v>0</v>
      </c>
      <c r="X127" s="125">
        <v>0</v>
      </c>
      <c r="Y127" s="125">
        <v>0</v>
      </c>
    </row>
    <row r="128" spans="3:25" ht="15" customHeight="1" x14ac:dyDescent="0.25">
      <c r="C128" s="1"/>
      <c r="D128" s="1"/>
    </row>
    <row r="129" spans="3:25" ht="15" customHeight="1" x14ac:dyDescent="0.25">
      <c r="C129" s="1"/>
      <c r="D129" s="1"/>
    </row>
    <row r="130" spans="3:25" ht="15" customHeight="1" x14ac:dyDescent="0.25">
      <c r="C130" s="1"/>
      <c r="D130" s="2"/>
      <c r="E130" s="122" t="s">
        <v>174</v>
      </c>
      <c r="F130" s="24" t="s">
        <v>25</v>
      </c>
      <c r="G130" s="24"/>
      <c r="H130" s="126">
        <v>0</v>
      </c>
      <c r="I130" s="126">
        <v>0</v>
      </c>
      <c r="J130" s="126">
        <v>0</v>
      </c>
      <c r="K130" s="126">
        <v>0</v>
      </c>
      <c r="L130" s="126">
        <v>0</v>
      </c>
      <c r="M130" s="126">
        <v>0</v>
      </c>
      <c r="N130" s="126">
        <v>0</v>
      </c>
      <c r="O130" s="126">
        <v>0</v>
      </c>
      <c r="P130" s="127">
        <f t="shared" ref="P130:Y130" si="146">P125*P132</f>
        <v>0</v>
      </c>
      <c r="Q130" s="127">
        <f t="shared" si="146"/>
        <v>0</v>
      </c>
      <c r="R130" s="127">
        <f t="shared" si="146"/>
        <v>0</v>
      </c>
      <c r="S130" s="127">
        <f t="shared" si="146"/>
        <v>0</v>
      </c>
      <c r="T130" s="127">
        <f t="shared" si="146"/>
        <v>0</v>
      </c>
      <c r="U130" s="127">
        <f t="shared" si="146"/>
        <v>0</v>
      </c>
      <c r="V130" s="127">
        <f t="shared" si="146"/>
        <v>0</v>
      </c>
      <c r="W130" s="127">
        <f t="shared" si="146"/>
        <v>0</v>
      </c>
      <c r="X130" s="127">
        <f t="shared" si="146"/>
        <v>0</v>
      </c>
      <c r="Y130" s="127">
        <f t="shared" si="146"/>
        <v>0</v>
      </c>
    </row>
    <row r="131" spans="3:25" ht="15" customHeight="1" x14ac:dyDescent="0.25">
      <c r="C131" s="1"/>
      <c r="D131" s="2"/>
      <c r="E131" s="128" t="s">
        <v>175</v>
      </c>
      <c r="F131" s="24" t="s">
        <v>7</v>
      </c>
      <c r="G131" s="24"/>
      <c r="H131" s="129"/>
      <c r="I131" s="294" t="str">
        <f>IFERROR((I130/H130-1),"NA")</f>
        <v>NA</v>
      </c>
      <c r="J131" s="294" t="str">
        <f t="shared" ref="J131" si="147">IFERROR((J130/I130-1),"NA")</f>
        <v>NA</v>
      </c>
      <c r="K131" s="294" t="str">
        <f t="shared" ref="K131" si="148">IFERROR((K130/J130-1),"NA")</f>
        <v>NA</v>
      </c>
      <c r="L131" s="294" t="str">
        <f t="shared" ref="L131" si="149">IFERROR((L130/K130-1),"NA")</f>
        <v>NA</v>
      </c>
      <c r="M131" s="294" t="str">
        <f t="shared" ref="M131" si="150">IFERROR((M130/L130-1),"NA")</f>
        <v>NA</v>
      </c>
      <c r="N131" s="294" t="str">
        <f t="shared" ref="N131" si="151">IFERROR((N130/M130-1),"NA")</f>
        <v>NA</v>
      </c>
      <c r="O131" s="294" t="str">
        <f t="shared" ref="O131" si="152">IFERROR((O130/N130-1),"NA")</f>
        <v>NA</v>
      </c>
      <c r="P131" s="294" t="str">
        <f t="shared" ref="P131" si="153">IFERROR((P130/O130-1),"NA")</f>
        <v>NA</v>
      </c>
      <c r="Q131" s="294" t="str">
        <f t="shared" ref="Q131" si="154">IFERROR((Q130/P130-1),"NA")</f>
        <v>NA</v>
      </c>
      <c r="R131" s="294" t="str">
        <f t="shared" ref="R131" si="155">IFERROR((R130/Q130-1),"NA")</f>
        <v>NA</v>
      </c>
      <c r="S131" s="294" t="str">
        <f t="shared" ref="S131" si="156">IFERROR((S130/R130-1),"NA")</f>
        <v>NA</v>
      </c>
      <c r="T131" s="294" t="str">
        <f t="shared" ref="T131" si="157">IFERROR((T130/S130-1),"NA")</f>
        <v>NA</v>
      </c>
      <c r="U131" s="294" t="str">
        <f t="shared" ref="U131" si="158">IFERROR((U130/T130-1),"NA")</f>
        <v>NA</v>
      </c>
      <c r="V131" s="294" t="str">
        <f t="shared" ref="V131" si="159">IFERROR((V130/U130-1),"NA")</f>
        <v>NA</v>
      </c>
      <c r="W131" s="294" t="str">
        <f t="shared" ref="W131" si="160">IFERROR((W130/V130-1),"NA")</f>
        <v>NA</v>
      </c>
      <c r="X131" s="294" t="str">
        <f t="shared" ref="X131" si="161">IFERROR((X130/W130-1),"NA")</f>
        <v>NA</v>
      </c>
      <c r="Y131" s="294" t="str">
        <f t="shared" ref="Y131" si="162">IFERROR((Y130/X130-1),"NA")</f>
        <v>NA</v>
      </c>
    </row>
    <row r="132" spans="3:25" ht="15" customHeight="1" x14ac:dyDescent="0.25">
      <c r="C132" s="1"/>
      <c r="D132" s="2"/>
      <c r="E132" s="128" t="s">
        <v>176</v>
      </c>
      <c r="F132" s="24" t="s">
        <v>7</v>
      </c>
      <c r="G132" s="24"/>
      <c r="H132" s="107" t="str">
        <f>IFERROR(H130/H125,"NA")</f>
        <v>NA</v>
      </c>
      <c r="I132" s="107" t="str">
        <f t="shared" ref="I132:O132" si="163">IFERROR(I130/I125,"NA")</f>
        <v>NA</v>
      </c>
      <c r="J132" s="107" t="str">
        <f t="shared" si="163"/>
        <v>NA</v>
      </c>
      <c r="K132" s="107" t="str">
        <f t="shared" si="163"/>
        <v>NA</v>
      </c>
      <c r="L132" s="107" t="str">
        <f t="shared" si="163"/>
        <v>NA</v>
      </c>
      <c r="M132" s="107" t="str">
        <f t="shared" si="163"/>
        <v>NA</v>
      </c>
      <c r="N132" s="107" t="str">
        <f t="shared" si="163"/>
        <v>NA</v>
      </c>
      <c r="O132" s="107" t="str">
        <f t="shared" si="163"/>
        <v>NA</v>
      </c>
      <c r="P132" s="295">
        <v>0</v>
      </c>
      <c r="Q132" s="296">
        <v>0</v>
      </c>
      <c r="R132" s="296">
        <v>0</v>
      </c>
      <c r="S132" s="296">
        <v>0</v>
      </c>
      <c r="T132" s="296">
        <v>0</v>
      </c>
      <c r="U132" s="296">
        <v>0</v>
      </c>
      <c r="V132" s="296">
        <v>0</v>
      </c>
      <c r="W132" s="296">
        <v>0</v>
      </c>
      <c r="X132" s="296">
        <v>0</v>
      </c>
      <c r="Y132" s="297">
        <v>0</v>
      </c>
    </row>
    <row r="133" spans="3:25" ht="15" customHeight="1" x14ac:dyDescent="0.25">
      <c r="C133" s="252"/>
      <c r="D133" s="252"/>
      <c r="E133" s="252"/>
      <c r="F133" s="252"/>
      <c r="G133" s="252"/>
      <c r="H133" s="252"/>
      <c r="I133" s="252"/>
      <c r="J133" s="252"/>
      <c r="K133" s="252"/>
      <c r="L133" s="252"/>
      <c r="M133" s="252"/>
      <c r="N133" s="252"/>
      <c r="O133" s="252"/>
      <c r="P133" s="252"/>
      <c r="Q133" s="252"/>
      <c r="R133" s="252"/>
      <c r="S133" s="252"/>
      <c r="T133" s="252"/>
      <c r="U133" s="252"/>
      <c r="V133" s="252"/>
      <c r="W133" s="252"/>
      <c r="X133" s="252"/>
      <c r="Y133" s="252"/>
    </row>
    <row r="135" spans="3:25" ht="15" customHeight="1" x14ac:dyDescent="0.25">
      <c r="C135" s="116" t="s">
        <v>150</v>
      </c>
      <c r="D135" s="117"/>
      <c r="E135" s="117"/>
      <c r="F135" s="118"/>
      <c r="G135" s="118"/>
      <c r="H135" s="117"/>
      <c r="I135" s="117"/>
      <c r="J135" s="117"/>
      <c r="K135" s="119"/>
      <c r="L135" s="119"/>
      <c r="M135" s="119"/>
      <c r="N135" s="120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</row>
    <row r="136" spans="3:25" ht="15" customHeight="1" x14ac:dyDescent="0.25">
      <c r="C136" s="1"/>
      <c r="D136" s="2"/>
      <c r="E136" s="2"/>
      <c r="F136" s="24"/>
      <c r="G136" s="24"/>
      <c r="H136" s="121"/>
      <c r="I136" s="121"/>
      <c r="J136" s="121"/>
      <c r="K136" s="121"/>
      <c r="L136" s="121"/>
      <c r="M136" s="121"/>
      <c r="N136" s="121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</row>
    <row r="137" spans="3:25" ht="15" customHeight="1" x14ac:dyDescent="0.25">
      <c r="C137" s="1"/>
      <c r="D137" s="2"/>
      <c r="E137" s="122" t="s">
        <v>172</v>
      </c>
      <c r="F137" s="24" t="s">
        <v>25</v>
      </c>
      <c r="G137" s="24"/>
      <c r="H137" s="123">
        <v>0</v>
      </c>
      <c r="I137" s="123">
        <v>0</v>
      </c>
      <c r="J137" s="123">
        <v>0</v>
      </c>
      <c r="K137" s="123">
        <v>0</v>
      </c>
      <c r="L137" s="123">
        <v>0</v>
      </c>
      <c r="M137" s="123">
        <v>0</v>
      </c>
      <c r="N137" s="123">
        <v>0</v>
      </c>
      <c r="O137" s="123">
        <v>0</v>
      </c>
      <c r="P137" s="124">
        <f>O137*(1+P139)</f>
        <v>0</v>
      </c>
      <c r="Q137" s="124">
        <f t="shared" ref="Q137:Y137" si="164">P137*(1+Q139)</f>
        <v>0</v>
      </c>
      <c r="R137" s="124">
        <f t="shared" si="164"/>
        <v>0</v>
      </c>
      <c r="S137" s="124">
        <f t="shared" si="164"/>
        <v>0</v>
      </c>
      <c r="T137" s="124">
        <f t="shared" si="164"/>
        <v>0</v>
      </c>
      <c r="U137" s="124">
        <f t="shared" si="164"/>
        <v>0</v>
      </c>
      <c r="V137" s="124">
        <f t="shared" si="164"/>
        <v>0</v>
      </c>
      <c r="W137" s="124">
        <f t="shared" si="164"/>
        <v>0</v>
      </c>
      <c r="X137" s="124">
        <f t="shared" si="164"/>
        <v>0</v>
      </c>
      <c r="Y137" s="124">
        <f t="shared" si="164"/>
        <v>0</v>
      </c>
    </row>
    <row r="138" spans="3:25" ht="15" customHeight="1" x14ac:dyDescent="0.25">
      <c r="C138" s="1"/>
      <c r="D138" s="1"/>
      <c r="F138" s="94"/>
      <c r="G138" s="3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</row>
    <row r="139" spans="3:25" ht="15" customHeight="1" x14ac:dyDescent="0.25">
      <c r="C139" s="1"/>
      <c r="D139" s="1"/>
      <c r="E139" s="18" t="s">
        <v>173</v>
      </c>
      <c r="F139" s="24" t="s">
        <v>7</v>
      </c>
      <c r="G139" s="37"/>
      <c r="H139" s="232"/>
      <c r="I139" s="232" t="str">
        <f>IFERROR((I137/H137-1),"NA")</f>
        <v>NA</v>
      </c>
      <c r="J139" s="232" t="str">
        <f t="shared" ref="J139:N139" si="165">IFERROR((J137/I137-1),"NA")</f>
        <v>NA</v>
      </c>
      <c r="K139" s="232" t="str">
        <f t="shared" si="165"/>
        <v>NA</v>
      </c>
      <c r="L139" s="232" t="str">
        <f t="shared" si="165"/>
        <v>NA</v>
      </c>
      <c r="M139" s="232" t="str">
        <f t="shared" si="165"/>
        <v>NA</v>
      </c>
      <c r="N139" s="232" t="str">
        <f t="shared" si="165"/>
        <v>NA</v>
      </c>
      <c r="O139" s="232" t="str">
        <f>IFERROR((O137/N137-1),"NA")</f>
        <v>NA</v>
      </c>
      <c r="P139" s="125">
        <v>0</v>
      </c>
      <c r="Q139" s="125">
        <v>0</v>
      </c>
      <c r="R139" s="125">
        <v>0</v>
      </c>
      <c r="S139" s="125">
        <v>0</v>
      </c>
      <c r="T139" s="125">
        <v>0</v>
      </c>
      <c r="U139" s="125">
        <v>0</v>
      </c>
      <c r="V139" s="125">
        <v>0</v>
      </c>
      <c r="W139" s="125">
        <v>0</v>
      </c>
      <c r="X139" s="125">
        <v>0</v>
      </c>
      <c r="Y139" s="125">
        <v>0</v>
      </c>
    </row>
    <row r="140" spans="3:25" ht="15" customHeight="1" x14ac:dyDescent="0.25">
      <c r="C140" s="1"/>
      <c r="D140" s="1"/>
    </row>
    <row r="141" spans="3:25" ht="15" customHeight="1" x14ac:dyDescent="0.25">
      <c r="C141" s="1"/>
      <c r="D141" s="1"/>
    </row>
    <row r="142" spans="3:25" ht="15" customHeight="1" x14ac:dyDescent="0.25">
      <c r="C142" s="1"/>
      <c r="D142" s="2"/>
      <c r="E142" s="122" t="s">
        <v>174</v>
      </c>
      <c r="F142" s="24" t="s">
        <v>25</v>
      </c>
      <c r="G142" s="24"/>
      <c r="H142" s="123">
        <v>0</v>
      </c>
      <c r="I142" s="123">
        <v>0</v>
      </c>
      <c r="J142" s="123">
        <v>0</v>
      </c>
      <c r="K142" s="123">
        <v>0</v>
      </c>
      <c r="L142" s="123">
        <v>0</v>
      </c>
      <c r="M142" s="123">
        <v>0</v>
      </c>
      <c r="N142" s="123">
        <v>0</v>
      </c>
      <c r="O142" s="123">
        <v>0</v>
      </c>
      <c r="P142" s="127">
        <f t="shared" ref="P142:Y142" si="166">P137*P144</f>
        <v>0</v>
      </c>
      <c r="Q142" s="127">
        <f t="shared" si="166"/>
        <v>0</v>
      </c>
      <c r="R142" s="127">
        <f t="shared" si="166"/>
        <v>0</v>
      </c>
      <c r="S142" s="127">
        <f t="shared" si="166"/>
        <v>0</v>
      </c>
      <c r="T142" s="127">
        <f t="shared" si="166"/>
        <v>0</v>
      </c>
      <c r="U142" s="127">
        <f t="shared" si="166"/>
        <v>0</v>
      </c>
      <c r="V142" s="127">
        <f t="shared" si="166"/>
        <v>0</v>
      </c>
      <c r="W142" s="127">
        <f t="shared" si="166"/>
        <v>0</v>
      </c>
      <c r="X142" s="127">
        <f t="shared" si="166"/>
        <v>0</v>
      </c>
      <c r="Y142" s="127">
        <f t="shared" si="166"/>
        <v>0</v>
      </c>
    </row>
    <row r="143" spans="3:25" ht="15" customHeight="1" x14ac:dyDescent="0.25">
      <c r="C143" s="1"/>
      <c r="D143" s="2"/>
      <c r="E143" s="128" t="s">
        <v>175</v>
      </c>
      <c r="F143" s="24" t="s">
        <v>7</v>
      </c>
      <c r="G143" s="24"/>
      <c r="H143" s="129"/>
      <c r="I143" s="294" t="str">
        <f>IFERROR((I142/H142-1),"NA")</f>
        <v>NA</v>
      </c>
      <c r="J143" s="294" t="str">
        <f t="shared" ref="J143" si="167">IFERROR((J142/I142-1),"NA")</f>
        <v>NA</v>
      </c>
      <c r="K143" s="294" t="str">
        <f t="shared" ref="K143" si="168">IFERROR((K142/J142-1),"NA")</f>
        <v>NA</v>
      </c>
      <c r="L143" s="294" t="str">
        <f t="shared" ref="L143" si="169">IFERROR((L142/K142-1),"NA")</f>
        <v>NA</v>
      </c>
      <c r="M143" s="294" t="str">
        <f t="shared" ref="M143" si="170">IFERROR((M142/L142-1),"NA")</f>
        <v>NA</v>
      </c>
      <c r="N143" s="294" t="str">
        <f t="shared" ref="N143" si="171">IFERROR((N142/M142-1),"NA")</f>
        <v>NA</v>
      </c>
      <c r="O143" s="294" t="str">
        <f t="shared" ref="O143" si="172">IFERROR((O142/N142-1),"NA")</f>
        <v>NA</v>
      </c>
      <c r="P143" s="294" t="str">
        <f t="shared" ref="P143" si="173">IFERROR((P142/O142-1),"NA")</f>
        <v>NA</v>
      </c>
      <c r="Q143" s="294" t="str">
        <f t="shared" ref="Q143" si="174">IFERROR((Q142/P142-1),"NA")</f>
        <v>NA</v>
      </c>
      <c r="R143" s="294" t="str">
        <f t="shared" ref="R143" si="175">IFERROR((R142/Q142-1),"NA")</f>
        <v>NA</v>
      </c>
      <c r="S143" s="294" t="str">
        <f t="shared" ref="S143" si="176">IFERROR((S142/R142-1),"NA")</f>
        <v>NA</v>
      </c>
      <c r="T143" s="294" t="str">
        <f t="shared" ref="T143" si="177">IFERROR((T142/S142-1),"NA")</f>
        <v>NA</v>
      </c>
      <c r="U143" s="294" t="str">
        <f t="shared" ref="U143" si="178">IFERROR((U142/T142-1),"NA")</f>
        <v>NA</v>
      </c>
      <c r="V143" s="294" t="str">
        <f t="shared" ref="V143" si="179">IFERROR((V142/U142-1),"NA")</f>
        <v>NA</v>
      </c>
      <c r="W143" s="294" t="str">
        <f t="shared" ref="W143" si="180">IFERROR((W142/V142-1),"NA")</f>
        <v>NA</v>
      </c>
      <c r="X143" s="294" t="str">
        <f t="shared" ref="X143" si="181">IFERROR((X142/W142-1),"NA")</f>
        <v>NA</v>
      </c>
      <c r="Y143" s="294" t="str">
        <f t="shared" ref="Y143" si="182">IFERROR((Y142/X142-1),"NA")</f>
        <v>NA</v>
      </c>
    </row>
    <row r="144" spans="3:25" ht="15" customHeight="1" x14ac:dyDescent="0.25">
      <c r="C144" s="1"/>
      <c r="D144" s="2"/>
      <c r="E144" s="128" t="s">
        <v>176</v>
      </c>
      <c r="F144" s="24" t="s">
        <v>7</v>
      </c>
      <c r="G144" s="24"/>
      <c r="H144" s="107" t="str">
        <f>IFERROR(H142/H137,"NA")</f>
        <v>NA</v>
      </c>
      <c r="I144" s="107" t="str">
        <f t="shared" ref="I144:O144" si="183">IFERROR(I142/I137,"NA")</f>
        <v>NA</v>
      </c>
      <c r="J144" s="107" t="str">
        <f t="shared" si="183"/>
        <v>NA</v>
      </c>
      <c r="K144" s="107" t="str">
        <f t="shared" si="183"/>
        <v>NA</v>
      </c>
      <c r="L144" s="107" t="str">
        <f t="shared" si="183"/>
        <v>NA</v>
      </c>
      <c r="M144" s="107" t="str">
        <f t="shared" si="183"/>
        <v>NA</v>
      </c>
      <c r="N144" s="107" t="str">
        <f t="shared" si="183"/>
        <v>NA</v>
      </c>
      <c r="O144" s="107" t="str">
        <f t="shared" si="183"/>
        <v>NA</v>
      </c>
      <c r="P144" s="295">
        <v>0</v>
      </c>
      <c r="Q144" s="296">
        <v>0</v>
      </c>
      <c r="R144" s="296">
        <v>0</v>
      </c>
      <c r="S144" s="296">
        <v>0</v>
      </c>
      <c r="T144" s="296">
        <v>0</v>
      </c>
      <c r="U144" s="296">
        <v>0</v>
      </c>
      <c r="V144" s="296">
        <v>0</v>
      </c>
      <c r="W144" s="296">
        <v>0</v>
      </c>
      <c r="X144" s="296">
        <v>0</v>
      </c>
      <c r="Y144" s="297">
        <v>0</v>
      </c>
    </row>
    <row r="145" spans="1:27" ht="15" customHeight="1" x14ac:dyDescent="0.25">
      <c r="C145" s="130"/>
      <c r="D145" s="131"/>
      <c r="E145" s="131"/>
      <c r="F145" s="132"/>
      <c r="G145" s="132"/>
      <c r="H145" s="131"/>
      <c r="I145" s="131"/>
      <c r="J145" s="131"/>
      <c r="K145" s="133"/>
      <c r="L145" s="133"/>
      <c r="M145" s="133"/>
      <c r="N145" s="134"/>
      <c r="O145" s="134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</row>
    <row r="147" spans="1:27" ht="15" customHeight="1" x14ac:dyDescent="0.25">
      <c r="C147" s="116" t="s">
        <v>151</v>
      </c>
      <c r="D147" s="117"/>
      <c r="E147" s="117"/>
      <c r="F147" s="118"/>
      <c r="G147" s="118"/>
      <c r="H147" s="117"/>
      <c r="I147" s="117"/>
      <c r="J147" s="117"/>
      <c r="K147" s="119"/>
      <c r="L147" s="119"/>
      <c r="M147" s="119"/>
      <c r="N147" s="120"/>
      <c r="O147" s="119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</row>
    <row r="149" spans="1:27" ht="15" customHeight="1" x14ac:dyDescent="0.25">
      <c r="E149" s="122" t="s">
        <v>172</v>
      </c>
      <c r="F149" s="24" t="s">
        <v>25</v>
      </c>
      <c r="G149" s="24"/>
      <c r="H149" s="123">
        <v>0</v>
      </c>
      <c r="I149" s="123">
        <v>0</v>
      </c>
      <c r="J149" s="123">
        <v>0</v>
      </c>
      <c r="K149" s="123">
        <v>0</v>
      </c>
      <c r="L149" s="123">
        <v>0</v>
      </c>
      <c r="M149" s="123">
        <v>0</v>
      </c>
      <c r="N149" s="123">
        <v>0</v>
      </c>
      <c r="O149" s="123">
        <v>0</v>
      </c>
      <c r="P149" s="124">
        <f>O149*(1+P151)</f>
        <v>0</v>
      </c>
      <c r="Q149" s="124">
        <f t="shared" ref="Q149:Y149" si="184">P149*(1+Q151)</f>
        <v>0</v>
      </c>
      <c r="R149" s="124">
        <f t="shared" si="184"/>
        <v>0</v>
      </c>
      <c r="S149" s="124">
        <f t="shared" si="184"/>
        <v>0</v>
      </c>
      <c r="T149" s="124">
        <f t="shared" si="184"/>
        <v>0</v>
      </c>
      <c r="U149" s="124">
        <f t="shared" si="184"/>
        <v>0</v>
      </c>
      <c r="V149" s="124">
        <f t="shared" si="184"/>
        <v>0</v>
      </c>
      <c r="W149" s="124">
        <f t="shared" si="184"/>
        <v>0</v>
      </c>
      <c r="X149" s="124">
        <f t="shared" si="184"/>
        <v>0</v>
      </c>
      <c r="Y149" s="124">
        <f t="shared" si="184"/>
        <v>0</v>
      </c>
    </row>
    <row r="150" spans="1:27" ht="15" customHeight="1" x14ac:dyDescent="0.25">
      <c r="F150" s="94"/>
      <c r="G150" s="3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</row>
    <row r="151" spans="1:27" ht="15" customHeight="1" x14ac:dyDescent="0.25">
      <c r="E151" s="18" t="s">
        <v>173</v>
      </c>
      <c r="F151" s="24" t="s">
        <v>7</v>
      </c>
      <c r="G151" s="37"/>
      <c r="H151" s="232"/>
      <c r="I151" s="232" t="str">
        <f>IFERROR((I149/H149-1),"NA")</f>
        <v>NA</v>
      </c>
      <c r="J151" s="232" t="str">
        <f t="shared" ref="J151:N151" si="185">IFERROR((J149/I149-1),"NA")</f>
        <v>NA</v>
      </c>
      <c r="K151" s="232" t="str">
        <f t="shared" si="185"/>
        <v>NA</v>
      </c>
      <c r="L151" s="232" t="str">
        <f t="shared" si="185"/>
        <v>NA</v>
      </c>
      <c r="M151" s="232" t="str">
        <f t="shared" si="185"/>
        <v>NA</v>
      </c>
      <c r="N151" s="232" t="str">
        <f t="shared" si="185"/>
        <v>NA</v>
      </c>
      <c r="O151" s="232" t="str">
        <f>IFERROR((O149/N149-1),"NA")</f>
        <v>NA</v>
      </c>
      <c r="P151" s="125">
        <v>0</v>
      </c>
      <c r="Q151" s="125">
        <v>0</v>
      </c>
      <c r="R151" s="125">
        <v>0</v>
      </c>
      <c r="S151" s="125">
        <v>0</v>
      </c>
      <c r="T151" s="125">
        <v>0</v>
      </c>
      <c r="U151" s="125">
        <v>0</v>
      </c>
      <c r="V151" s="125">
        <v>0</v>
      </c>
      <c r="W151" s="125">
        <v>0</v>
      </c>
      <c r="X151" s="125">
        <v>0</v>
      </c>
      <c r="Y151" s="125">
        <v>0</v>
      </c>
    </row>
    <row r="154" spans="1:27" ht="15" customHeight="1" x14ac:dyDescent="0.25">
      <c r="E154" s="122" t="s">
        <v>174</v>
      </c>
      <c r="F154" s="24" t="s">
        <v>25</v>
      </c>
      <c r="G154" s="24"/>
      <c r="H154" s="123">
        <v>0</v>
      </c>
      <c r="I154" s="123">
        <v>0</v>
      </c>
      <c r="J154" s="123">
        <v>0</v>
      </c>
      <c r="K154" s="123">
        <v>0</v>
      </c>
      <c r="L154" s="123">
        <v>0</v>
      </c>
      <c r="M154" s="123">
        <v>0</v>
      </c>
      <c r="N154" s="123">
        <v>0</v>
      </c>
      <c r="O154" s="123">
        <v>0</v>
      </c>
      <c r="P154" s="127">
        <f t="shared" ref="P154:Y154" si="186">P149*P156</f>
        <v>0</v>
      </c>
      <c r="Q154" s="127">
        <f t="shared" si="186"/>
        <v>0</v>
      </c>
      <c r="R154" s="127">
        <f t="shared" si="186"/>
        <v>0</v>
      </c>
      <c r="S154" s="127">
        <f t="shared" si="186"/>
        <v>0</v>
      </c>
      <c r="T154" s="127">
        <f t="shared" si="186"/>
        <v>0</v>
      </c>
      <c r="U154" s="127">
        <f t="shared" si="186"/>
        <v>0</v>
      </c>
      <c r="V154" s="127">
        <f t="shared" si="186"/>
        <v>0</v>
      </c>
      <c r="W154" s="127">
        <f t="shared" si="186"/>
        <v>0</v>
      </c>
      <c r="X154" s="127">
        <f t="shared" si="186"/>
        <v>0</v>
      </c>
      <c r="Y154" s="127">
        <f t="shared" si="186"/>
        <v>0</v>
      </c>
    </row>
    <row r="155" spans="1:27" ht="15" customHeight="1" x14ac:dyDescent="0.25">
      <c r="E155" s="128" t="s">
        <v>175</v>
      </c>
      <c r="F155" s="24" t="s">
        <v>7</v>
      </c>
      <c r="G155" s="24"/>
      <c r="H155" s="129"/>
      <c r="I155" s="294" t="str">
        <f>IFERROR((I154/H154-1),"NA")</f>
        <v>NA</v>
      </c>
      <c r="J155" s="294" t="str">
        <f t="shared" ref="J155" si="187">IFERROR((J154/I154-1),"NA")</f>
        <v>NA</v>
      </c>
      <c r="K155" s="294" t="str">
        <f t="shared" ref="K155" si="188">IFERROR((K154/J154-1),"NA")</f>
        <v>NA</v>
      </c>
      <c r="L155" s="294" t="str">
        <f t="shared" ref="L155" si="189">IFERROR((L154/K154-1),"NA")</f>
        <v>NA</v>
      </c>
      <c r="M155" s="294" t="str">
        <f t="shared" ref="M155" si="190">IFERROR((M154/L154-1),"NA")</f>
        <v>NA</v>
      </c>
      <c r="N155" s="294" t="str">
        <f t="shared" ref="N155" si="191">IFERROR((N154/M154-1),"NA")</f>
        <v>NA</v>
      </c>
      <c r="O155" s="294" t="str">
        <f t="shared" ref="O155" si="192">IFERROR((O154/N154-1),"NA")</f>
        <v>NA</v>
      </c>
      <c r="P155" s="294" t="str">
        <f t="shared" ref="P155" si="193">IFERROR((P154/O154-1),"NA")</f>
        <v>NA</v>
      </c>
      <c r="Q155" s="294" t="str">
        <f t="shared" ref="Q155" si="194">IFERROR((Q154/P154-1),"NA")</f>
        <v>NA</v>
      </c>
      <c r="R155" s="294" t="str">
        <f t="shared" ref="R155" si="195">IFERROR((R154/Q154-1),"NA")</f>
        <v>NA</v>
      </c>
      <c r="S155" s="294" t="str">
        <f t="shared" ref="S155" si="196">IFERROR((S154/R154-1),"NA")</f>
        <v>NA</v>
      </c>
      <c r="T155" s="294" t="str">
        <f t="shared" ref="T155" si="197">IFERROR((T154/S154-1),"NA")</f>
        <v>NA</v>
      </c>
      <c r="U155" s="294" t="str">
        <f t="shared" ref="U155" si="198">IFERROR((U154/T154-1),"NA")</f>
        <v>NA</v>
      </c>
      <c r="V155" s="294" t="str">
        <f t="shared" ref="V155" si="199">IFERROR((V154/U154-1),"NA")</f>
        <v>NA</v>
      </c>
      <c r="W155" s="294" t="str">
        <f t="shared" ref="W155" si="200">IFERROR((W154/V154-1),"NA")</f>
        <v>NA</v>
      </c>
      <c r="X155" s="294" t="str">
        <f t="shared" ref="X155" si="201">IFERROR((X154/W154-1),"NA")</f>
        <v>NA</v>
      </c>
      <c r="Y155" s="294" t="str">
        <f t="shared" ref="Y155" si="202">IFERROR((Y154/X154-1),"NA")</f>
        <v>NA</v>
      </c>
    </row>
    <row r="156" spans="1:27" ht="15" customHeight="1" x14ac:dyDescent="0.25">
      <c r="E156" s="128" t="s">
        <v>176</v>
      </c>
      <c r="F156" s="24" t="s">
        <v>7</v>
      </c>
      <c r="G156" s="24"/>
      <c r="H156" s="107" t="str">
        <f>IFERROR(H154/H149,"NA")</f>
        <v>NA</v>
      </c>
      <c r="I156" s="107" t="str">
        <f t="shared" ref="I156:O156" si="203">IFERROR(I154/I149,"NA")</f>
        <v>NA</v>
      </c>
      <c r="J156" s="107" t="str">
        <f t="shared" si="203"/>
        <v>NA</v>
      </c>
      <c r="K156" s="107" t="str">
        <f t="shared" si="203"/>
        <v>NA</v>
      </c>
      <c r="L156" s="107" t="str">
        <f t="shared" si="203"/>
        <v>NA</v>
      </c>
      <c r="M156" s="107" t="str">
        <f t="shared" si="203"/>
        <v>NA</v>
      </c>
      <c r="N156" s="107" t="str">
        <f t="shared" si="203"/>
        <v>NA</v>
      </c>
      <c r="O156" s="107" t="str">
        <f t="shared" si="203"/>
        <v>NA</v>
      </c>
      <c r="P156" s="295">
        <v>0</v>
      </c>
      <c r="Q156" s="296">
        <v>0</v>
      </c>
      <c r="R156" s="296">
        <v>0</v>
      </c>
      <c r="S156" s="296">
        <v>0</v>
      </c>
      <c r="T156" s="296">
        <v>0</v>
      </c>
      <c r="U156" s="296">
        <v>0</v>
      </c>
      <c r="V156" s="296">
        <v>0</v>
      </c>
      <c r="W156" s="296">
        <v>0</v>
      </c>
      <c r="X156" s="296">
        <v>0</v>
      </c>
      <c r="Y156" s="297">
        <v>0</v>
      </c>
    </row>
    <row r="159" spans="1:27" ht="15" customHeight="1" x14ac:dyDescent="0.25">
      <c r="A159" s="41"/>
      <c r="B159" s="41" t="s">
        <v>45</v>
      </c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</row>
    <row r="162" ht="12.75" customHeight="1" x14ac:dyDescent="0.25"/>
  </sheetData>
  <mergeCells count="1">
    <mergeCell ref="H2:O2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5AF5-CC59-42A7-A3DA-96B23DCB2631}">
  <sheetPr>
    <tabColor theme="2" tint="-0.249977111117893"/>
  </sheetPr>
  <dimension ref="A2:AA522"/>
  <sheetViews>
    <sheetView showGridLines="0" zoomScaleNormal="100" workbookViewId="0">
      <pane ySplit="9" topLeftCell="A10" activePane="bottomLeft" state="frozen"/>
      <selection pane="bottomLeft" activeCell="H29" sqref="H29"/>
    </sheetView>
  </sheetViews>
  <sheetFormatPr defaultColWidth="14.42578125" defaultRowHeight="15" customHeight="1" x14ac:dyDescent="0.25"/>
  <cols>
    <col min="1" max="2" width="2.7109375" customWidth="1"/>
    <col min="3" max="3" width="1.42578125" customWidth="1"/>
    <col min="4" max="4" width="3.42578125" customWidth="1"/>
    <col min="5" max="5" width="38.5703125" customWidth="1"/>
    <col min="6" max="7" width="11.140625" customWidth="1"/>
    <col min="8" max="25" width="10.42578125" customWidth="1"/>
    <col min="26" max="37" width="9.140625" customWidth="1"/>
  </cols>
  <sheetData>
    <row r="2" spans="3:25" x14ac:dyDescent="0.25">
      <c r="C2" s="1" t="s">
        <v>177</v>
      </c>
      <c r="E2" s="2"/>
      <c r="F2" s="2"/>
      <c r="G2" s="2"/>
      <c r="H2" s="357" t="s">
        <v>90</v>
      </c>
      <c r="I2" s="358"/>
      <c r="J2" s="358"/>
      <c r="K2" s="358"/>
      <c r="L2" s="358"/>
      <c r="M2" s="358"/>
      <c r="N2" s="358"/>
      <c r="O2" s="358"/>
      <c r="P2" s="2"/>
      <c r="Q2" s="2"/>
      <c r="R2" s="2"/>
      <c r="S2" s="2"/>
      <c r="T2" s="2"/>
      <c r="U2" s="2"/>
      <c r="V2" s="2"/>
      <c r="W2" s="2"/>
      <c r="X2" s="2"/>
      <c r="Y2" s="2"/>
    </row>
    <row r="3" spans="3:25" ht="9" customHeight="1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 x14ac:dyDescent="0.25">
      <c r="C4" s="3"/>
      <c r="D4" s="4" t="s">
        <v>91</v>
      </c>
      <c r="E4" s="3"/>
      <c r="F4" s="5" t="s">
        <v>92</v>
      </c>
      <c r="G4" s="5"/>
      <c r="H4" s="6">
        <f t="shared" ref="H4:M4" si="0">EOMONTH(I4,-12)</f>
        <v>42735</v>
      </c>
      <c r="I4" s="6">
        <f t="shared" si="0"/>
        <v>43100</v>
      </c>
      <c r="J4" s="6">
        <f t="shared" si="0"/>
        <v>43465</v>
      </c>
      <c r="K4" s="6">
        <f t="shared" si="0"/>
        <v>43830</v>
      </c>
      <c r="L4" s="6">
        <f t="shared" si="0"/>
        <v>44196</v>
      </c>
      <c r="M4" s="6">
        <f t="shared" si="0"/>
        <v>44561</v>
      </c>
      <c r="N4" s="6">
        <f>EOMONTH(O4,-12)</f>
        <v>44926</v>
      </c>
      <c r="O4" s="6">
        <f>EOMONTH('&gt;&gt; Inputs'!$G$17,0)</f>
        <v>45291</v>
      </c>
      <c r="P4" s="6">
        <f>EOMONTH(O4,12)</f>
        <v>45657</v>
      </c>
      <c r="Q4" s="6">
        <f t="shared" ref="Q4:Y4" si="1">EOMONTH(P4,12)</f>
        <v>46022</v>
      </c>
      <c r="R4" s="6">
        <f t="shared" si="1"/>
        <v>46387</v>
      </c>
      <c r="S4" s="6">
        <f t="shared" si="1"/>
        <v>46752</v>
      </c>
      <c r="T4" s="6">
        <f t="shared" si="1"/>
        <v>47118</v>
      </c>
      <c r="U4" s="6">
        <f t="shared" si="1"/>
        <v>47483</v>
      </c>
      <c r="V4" s="6">
        <f t="shared" si="1"/>
        <v>47848</v>
      </c>
      <c r="W4" s="6">
        <f t="shared" si="1"/>
        <v>48213</v>
      </c>
      <c r="X4" s="6">
        <f t="shared" si="1"/>
        <v>48579</v>
      </c>
      <c r="Y4" s="6">
        <f t="shared" si="1"/>
        <v>48944</v>
      </c>
    </row>
    <row r="5" spans="3:25" ht="12.75" customHeight="1" x14ac:dyDescent="0.25">
      <c r="C5" s="7"/>
      <c r="D5" s="7"/>
      <c r="E5" s="7" t="s">
        <v>93</v>
      </c>
      <c r="F5" s="8" t="s">
        <v>94</v>
      </c>
      <c r="G5" s="8"/>
      <c r="H5" s="11">
        <f t="shared" ref="H5:L5" si="2">I5-1</f>
        <v>-5</v>
      </c>
      <c r="I5" s="11">
        <f t="shared" si="2"/>
        <v>-4</v>
      </c>
      <c r="J5" s="11">
        <f t="shared" si="2"/>
        <v>-3</v>
      </c>
      <c r="K5" s="11">
        <f t="shared" si="2"/>
        <v>-2</v>
      </c>
      <c r="L5" s="11">
        <f t="shared" si="2"/>
        <v>-1</v>
      </c>
      <c r="M5" s="11">
        <v>0</v>
      </c>
      <c r="N5" s="11">
        <v>0</v>
      </c>
      <c r="O5" s="11">
        <f t="shared" ref="O5:Y5" si="3">N5 + 1</f>
        <v>1</v>
      </c>
      <c r="P5" s="11">
        <f t="shared" si="3"/>
        <v>2</v>
      </c>
      <c r="Q5" s="11">
        <f t="shared" si="3"/>
        <v>3</v>
      </c>
      <c r="R5" s="11">
        <f t="shared" si="3"/>
        <v>4</v>
      </c>
      <c r="S5" s="11">
        <f t="shared" si="3"/>
        <v>5</v>
      </c>
      <c r="T5" s="11">
        <f t="shared" si="3"/>
        <v>6</v>
      </c>
      <c r="U5" s="11">
        <f t="shared" si="3"/>
        <v>7</v>
      </c>
      <c r="V5" s="11">
        <f t="shared" si="3"/>
        <v>8</v>
      </c>
      <c r="W5" s="11">
        <f t="shared" si="3"/>
        <v>9</v>
      </c>
      <c r="X5" s="11">
        <f t="shared" si="3"/>
        <v>10</v>
      </c>
      <c r="Y5" s="11">
        <f t="shared" si="3"/>
        <v>11</v>
      </c>
    </row>
    <row r="6" spans="3:25" ht="12.75" customHeight="1" x14ac:dyDescent="0.25">
      <c r="C6" s="7"/>
      <c r="D6" s="7"/>
      <c r="E6" s="7" t="s">
        <v>95</v>
      </c>
      <c r="F6" s="10" t="s">
        <v>96</v>
      </c>
      <c r="G6" s="10"/>
      <c r="H6" s="11">
        <v>0</v>
      </c>
      <c r="I6" s="11">
        <v>0</v>
      </c>
      <c r="J6" s="11">
        <v>0</v>
      </c>
      <c r="K6" s="11">
        <v>0.5</v>
      </c>
      <c r="L6" s="11">
        <f t="shared" ref="L6:Y6" si="4">K6 + 1</f>
        <v>1.5</v>
      </c>
      <c r="M6" s="11">
        <f t="shared" si="4"/>
        <v>2.5</v>
      </c>
      <c r="N6" s="11">
        <f t="shared" si="4"/>
        <v>3.5</v>
      </c>
      <c r="O6" s="11">
        <f t="shared" si="4"/>
        <v>4.5</v>
      </c>
      <c r="P6" s="11">
        <f t="shared" si="4"/>
        <v>5.5</v>
      </c>
      <c r="Q6" s="11">
        <f t="shared" si="4"/>
        <v>6.5</v>
      </c>
      <c r="R6" s="11">
        <f t="shared" si="4"/>
        <v>7.5</v>
      </c>
      <c r="S6" s="11">
        <f t="shared" si="4"/>
        <v>8.5</v>
      </c>
      <c r="T6" s="11">
        <f t="shared" si="4"/>
        <v>9.5</v>
      </c>
      <c r="U6" s="11">
        <f t="shared" si="4"/>
        <v>10.5</v>
      </c>
      <c r="V6" s="11">
        <f t="shared" si="4"/>
        <v>11.5</v>
      </c>
      <c r="W6" s="11">
        <f t="shared" si="4"/>
        <v>12.5</v>
      </c>
      <c r="X6" s="11">
        <f t="shared" si="4"/>
        <v>13.5</v>
      </c>
      <c r="Y6" s="11">
        <f t="shared" si="4"/>
        <v>14.5</v>
      </c>
    </row>
    <row r="7" spans="3:25" ht="12.75" customHeight="1" x14ac:dyDescent="0.25">
      <c r="C7" s="7"/>
      <c r="D7" s="7"/>
      <c r="E7" s="7" t="s">
        <v>97</v>
      </c>
      <c r="F7" s="10" t="s">
        <v>5</v>
      </c>
      <c r="G7" s="10"/>
      <c r="H7" s="12">
        <f>EOMONTH( H8, -12 ) + 1</f>
        <v>42370</v>
      </c>
      <c r="I7" s="60">
        <f t="shared" ref="I7:Y7" si="5">H8 + 1</f>
        <v>42736</v>
      </c>
      <c r="J7" s="60">
        <f t="shared" si="5"/>
        <v>43101</v>
      </c>
      <c r="K7" s="60">
        <f t="shared" si="5"/>
        <v>43466</v>
      </c>
      <c r="L7" s="60">
        <f t="shared" si="5"/>
        <v>43831</v>
      </c>
      <c r="M7" s="60">
        <f t="shared" si="5"/>
        <v>44197</v>
      </c>
      <c r="N7" s="60">
        <f t="shared" si="5"/>
        <v>44562</v>
      </c>
      <c r="O7" s="60">
        <f t="shared" si="5"/>
        <v>44927</v>
      </c>
      <c r="P7" s="60">
        <f t="shared" si="5"/>
        <v>45292</v>
      </c>
      <c r="Q7" s="60">
        <f t="shared" si="5"/>
        <v>45658</v>
      </c>
      <c r="R7" s="60">
        <f t="shared" si="5"/>
        <v>46023</v>
      </c>
      <c r="S7" s="60">
        <f t="shared" si="5"/>
        <v>46388</v>
      </c>
      <c r="T7" s="60">
        <f t="shared" si="5"/>
        <v>46753</v>
      </c>
      <c r="U7" s="60">
        <f t="shared" si="5"/>
        <v>47119</v>
      </c>
      <c r="V7" s="60">
        <f t="shared" si="5"/>
        <v>47484</v>
      </c>
      <c r="W7" s="60">
        <f t="shared" si="5"/>
        <v>47849</v>
      </c>
      <c r="X7" s="60">
        <f t="shared" si="5"/>
        <v>48214</v>
      </c>
      <c r="Y7" s="60">
        <f t="shared" si="5"/>
        <v>48580</v>
      </c>
    </row>
    <row r="8" spans="3:25" ht="12.75" customHeight="1" x14ac:dyDescent="0.25">
      <c r="C8" s="7"/>
      <c r="D8" s="7"/>
      <c r="E8" s="7" t="s">
        <v>98</v>
      </c>
      <c r="F8" s="10" t="s">
        <v>5</v>
      </c>
      <c r="G8" s="10"/>
      <c r="H8" s="12">
        <f>'&gt;&gt; Inputs'!G18</f>
        <v>42735</v>
      </c>
      <c r="I8" s="12">
        <f t="shared" ref="I8:Y8" si="6">EOMONTH( I7, 11 )</f>
        <v>43100</v>
      </c>
      <c r="J8" s="12">
        <f t="shared" si="6"/>
        <v>43465</v>
      </c>
      <c r="K8" s="12">
        <f t="shared" si="6"/>
        <v>43830</v>
      </c>
      <c r="L8" s="12">
        <f t="shared" si="6"/>
        <v>44196</v>
      </c>
      <c r="M8" s="12">
        <f t="shared" si="6"/>
        <v>44561</v>
      </c>
      <c r="N8" s="12">
        <f t="shared" si="6"/>
        <v>44926</v>
      </c>
      <c r="O8" s="12">
        <f t="shared" si="6"/>
        <v>45291</v>
      </c>
      <c r="P8" s="12">
        <f t="shared" si="6"/>
        <v>45657</v>
      </c>
      <c r="Q8" s="12">
        <f t="shared" si="6"/>
        <v>46022</v>
      </c>
      <c r="R8" s="12">
        <f t="shared" si="6"/>
        <v>46387</v>
      </c>
      <c r="S8" s="12">
        <f t="shared" si="6"/>
        <v>46752</v>
      </c>
      <c r="T8" s="12">
        <f t="shared" si="6"/>
        <v>47118</v>
      </c>
      <c r="U8" s="12">
        <f t="shared" si="6"/>
        <v>47483</v>
      </c>
      <c r="V8" s="12">
        <f t="shared" si="6"/>
        <v>47848</v>
      </c>
      <c r="W8" s="12">
        <f t="shared" si="6"/>
        <v>48213</v>
      </c>
      <c r="X8" s="12">
        <f t="shared" si="6"/>
        <v>48579</v>
      </c>
      <c r="Y8" s="12">
        <f t="shared" si="6"/>
        <v>48944</v>
      </c>
    </row>
    <row r="9" spans="3:25" ht="12.75" customHeight="1" x14ac:dyDescent="0.25">
      <c r="C9" s="7"/>
      <c r="D9" s="7"/>
      <c r="E9" s="7" t="s">
        <v>99</v>
      </c>
      <c r="F9" s="10" t="s">
        <v>10</v>
      </c>
      <c r="G9" s="10"/>
      <c r="H9" s="13" t="str">
        <f ca="1">IF( H8 &gt; '&gt;&gt; Inputs'!$G20, "Forecast", "Actual" )</f>
        <v>Actual</v>
      </c>
      <c r="I9" s="13" t="str">
        <f ca="1">IF( I8 &gt; '&gt;&gt; Inputs'!$G20, "Forecast", "Actual" )</f>
        <v>Actual</v>
      </c>
      <c r="J9" s="13" t="str">
        <f ca="1">IF( J8 &gt; '&gt;&gt; Inputs'!$G20, "Forecast", "Actual" )</f>
        <v>Actual</v>
      </c>
      <c r="K9" s="13" t="str">
        <f ca="1">IF( K8 &gt; '&gt;&gt; Inputs'!$G20, "Forecast", "Actual" )</f>
        <v>Actual</v>
      </c>
      <c r="L9" s="13" t="str">
        <f ca="1">IF( L8 &gt; '&gt;&gt; Inputs'!$G20, "Forecast", "Actual" )</f>
        <v>Actual</v>
      </c>
      <c r="M9" s="13" t="str">
        <f ca="1">IF( M8 &gt; '&gt;&gt; Inputs'!$G20, "Forecast", "Actual" )</f>
        <v>Actual</v>
      </c>
      <c r="N9" s="13" t="str">
        <f ca="1">IF( N8 &gt; '&gt;&gt; Inputs'!$G20, "Forecast", "Actual" )</f>
        <v>Actual</v>
      </c>
      <c r="O9" s="13" t="str">
        <f ca="1">IF( O8 &gt; '&gt;&gt; Inputs'!$G20, "Forecast", "Actual" )</f>
        <v>Actual</v>
      </c>
      <c r="P9" s="13" t="str">
        <f ca="1">IF( P8 &gt; '&gt;&gt; Inputs'!$G20, "Forecast", "Actual" )</f>
        <v>Forecast</v>
      </c>
      <c r="Q9" s="13" t="str">
        <f ca="1">IF( Q8 &gt; '&gt;&gt; Inputs'!$G20, "Forecast", "Actual" )</f>
        <v>Forecast</v>
      </c>
      <c r="R9" s="13" t="str">
        <f ca="1">IF( R8 &gt; '&gt;&gt; Inputs'!$G20, "Forecast", "Actual" )</f>
        <v>Forecast</v>
      </c>
      <c r="S9" s="13" t="str">
        <f ca="1">IF( S8 &gt; '&gt;&gt; Inputs'!$G20, "Forecast", "Actual" )</f>
        <v>Forecast</v>
      </c>
      <c r="T9" s="13" t="str">
        <f ca="1">IF( T8 &gt; '&gt;&gt; Inputs'!$G20, "Forecast", "Actual" )</f>
        <v>Forecast</v>
      </c>
      <c r="U9" s="13" t="str">
        <f ca="1">IF( U8 &gt; '&gt;&gt; Inputs'!$G20, "Forecast", "Actual" )</f>
        <v>Forecast</v>
      </c>
      <c r="V9" s="13" t="str">
        <f ca="1">IF( V8 &gt; '&gt;&gt; Inputs'!$G20, "Forecast", "Actual" )</f>
        <v>Forecast</v>
      </c>
      <c r="W9" s="13" t="str">
        <f ca="1">IF( W8 &gt; '&gt;&gt; Inputs'!$G20, "Forecast", "Actual" )</f>
        <v>Forecast</v>
      </c>
      <c r="X9" s="13" t="str">
        <f ca="1">IF( X8 &gt; '&gt;&gt; Inputs'!$G20, "Forecast", "Actual" )</f>
        <v>Forecast</v>
      </c>
      <c r="Y9" s="13" t="str">
        <f ca="1">IF( Y8 &gt; '&gt;&gt; Inputs'!$G20, "Forecast", "Actual" )</f>
        <v>Forecast</v>
      </c>
    </row>
    <row r="10" spans="3:25" ht="15" customHeight="1" x14ac:dyDescent="0.25">
      <c r="C10" s="2"/>
      <c r="D10" s="2"/>
      <c r="E10" s="2"/>
      <c r="F10" s="24"/>
      <c r="G10" s="24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</row>
    <row r="11" spans="3:25" ht="15" customHeight="1" x14ac:dyDescent="0.25">
      <c r="C11" s="259" t="s">
        <v>178</v>
      </c>
      <c r="D11" s="80"/>
      <c r="E11" s="80"/>
      <c r="F11" s="79"/>
      <c r="G11" s="79"/>
      <c r="H11" s="215"/>
      <c r="I11" s="215"/>
      <c r="J11" s="215"/>
      <c r="K11" s="215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  <c r="W11" s="215"/>
      <c r="X11" s="215"/>
      <c r="Y11" s="215"/>
    </row>
    <row r="13" spans="3:25" ht="15" customHeight="1" x14ac:dyDescent="0.25">
      <c r="C13" s="2"/>
      <c r="D13" s="2"/>
      <c r="E13" s="2" t="s">
        <v>270</v>
      </c>
      <c r="F13" s="24" t="s">
        <v>25</v>
      </c>
      <c r="G13" s="24"/>
      <c r="H13" s="27">
        <f>'&gt;&gt; Segments'!H22</f>
        <v>353.62900000000002</v>
      </c>
      <c r="I13" s="27">
        <f>'&gt;&gt; Segments'!I22</f>
        <v>411.61099999999999</v>
      </c>
      <c r="J13" s="27">
        <f>'&gt;&gt; Segments'!J22</f>
        <v>359.31600000000003</v>
      </c>
      <c r="K13" s="27">
        <f>'&gt;&gt; Segments'!K22</f>
        <v>344.86099999999999</v>
      </c>
      <c r="L13" s="27">
        <f>'&gt;&gt; Segments'!L22</f>
        <v>249.96600000000001</v>
      </c>
      <c r="M13" s="27">
        <f>'&gt;&gt; Segments'!M22</f>
        <v>238.37</v>
      </c>
      <c r="N13" s="27">
        <f>'&gt;&gt; Segments'!N22</f>
        <v>159.82</v>
      </c>
      <c r="O13" s="27">
        <f>'&gt;&gt; Segments'!O22</f>
        <v>137.56900000000002</v>
      </c>
      <c r="P13" s="27">
        <f>'&gt;&gt; Segments'!P22</f>
        <v>148.75208417419213</v>
      </c>
      <c r="Q13" s="27">
        <f>'&gt;&gt; Segments'!Q22</f>
        <v>190.51558592968044</v>
      </c>
      <c r="R13" s="27">
        <f>'&gt;&gt; Segments'!R22</f>
        <v>226.69893516832622</v>
      </c>
      <c r="S13" s="27">
        <f>'&gt;&gt; Segments'!S22</f>
        <v>248.27501591464969</v>
      </c>
      <c r="T13" s="27">
        <f>'&gt;&gt; Segments'!T22</f>
        <v>272.33059680860339</v>
      </c>
      <c r="U13" s="27">
        <f>'&gt;&gt; Segments'!U22</f>
        <v>285.51917965969085</v>
      </c>
      <c r="V13" s="27">
        <f>'&gt;&gt; Segments'!V22</f>
        <v>299.5160535711654</v>
      </c>
      <c r="W13" s="27">
        <f>'&gt;&gt; Segments'!W22</f>
        <v>314.34424299583782</v>
      </c>
      <c r="X13" s="27">
        <f>'&gt;&gt; Segments'!X22</f>
        <v>329.98699527297384</v>
      </c>
      <c r="Y13" s="27">
        <f>'&gt;&gt; Segments'!Y22</f>
        <v>338.19082328117685</v>
      </c>
    </row>
    <row r="14" spans="3:25" ht="15" customHeight="1" x14ac:dyDescent="0.25">
      <c r="C14" s="2"/>
      <c r="D14" s="2"/>
      <c r="E14" s="2" t="s">
        <v>179</v>
      </c>
      <c r="F14" s="24" t="s">
        <v>25</v>
      </c>
      <c r="G14" s="24"/>
      <c r="H14" s="175">
        <v>-274.10000000000002</v>
      </c>
      <c r="I14" s="176">
        <v>-290.39999999999998</v>
      </c>
      <c r="J14" s="176">
        <v>-306.39999999999998</v>
      </c>
      <c r="K14" s="176">
        <v>-330.1</v>
      </c>
      <c r="L14" s="176">
        <v>-506.2</v>
      </c>
      <c r="M14" s="176">
        <v>-988.2</v>
      </c>
      <c r="N14" s="176">
        <v>-55.4</v>
      </c>
      <c r="O14" s="177">
        <v>-79</v>
      </c>
      <c r="P14" s="27">
        <f>P15-P13</f>
        <v>-39.450440239501006</v>
      </c>
      <c r="Q14" s="27">
        <f t="shared" ref="Q14:Y14" si="7">Q15-Q13</f>
        <v>-51.959005248575551</v>
      </c>
      <c r="R14" s="27">
        <f t="shared" si="7"/>
        <v>-63.27407323222107</v>
      </c>
      <c r="S14" s="27">
        <f t="shared" si="7"/>
        <v>-72.245679160249409</v>
      </c>
      <c r="T14" s="27">
        <f t="shared" si="7"/>
        <v>-83.447301410996971</v>
      </c>
      <c r="U14" s="27">
        <f t="shared" si="7"/>
        <v>-85.92461890666516</v>
      </c>
      <c r="V14" s="27">
        <f t="shared" si="7"/>
        <v>-89.677012810872441</v>
      </c>
      <c r="W14" s="27">
        <f t="shared" si="7"/>
        <v>-91.180422628050735</v>
      </c>
      <c r="X14" s="27">
        <f t="shared" si="7"/>
        <v>-93.799590604136682</v>
      </c>
      <c r="Y14" s="27">
        <f t="shared" si="7"/>
        <v>-97.502015206330981</v>
      </c>
    </row>
    <row r="15" spans="3:25" ht="15" customHeight="1" x14ac:dyDescent="0.25">
      <c r="C15" s="1"/>
      <c r="D15" s="1"/>
      <c r="E15" s="1" t="s">
        <v>88</v>
      </c>
      <c r="F15" s="24" t="s">
        <v>25</v>
      </c>
      <c r="G15" s="94"/>
      <c r="H15" s="70">
        <f t="shared" ref="H15:O15" si="8">SUM(H13:H14)</f>
        <v>79.528999999999996</v>
      </c>
      <c r="I15" s="70">
        <f t="shared" si="8"/>
        <v>121.21100000000001</v>
      </c>
      <c r="J15" s="70">
        <f t="shared" si="8"/>
        <v>52.916000000000054</v>
      </c>
      <c r="K15" s="70">
        <f t="shared" si="8"/>
        <v>14.760999999999967</v>
      </c>
      <c r="L15" s="70">
        <f t="shared" si="8"/>
        <v>-256.23399999999998</v>
      </c>
      <c r="M15" s="70">
        <f t="shared" si="8"/>
        <v>-749.83</v>
      </c>
      <c r="N15" s="70">
        <f t="shared" si="8"/>
        <v>104.41999999999999</v>
      </c>
      <c r="O15" s="70">
        <f t="shared" si="8"/>
        <v>58.569000000000017</v>
      </c>
      <c r="P15" s="70">
        <f>'&gt;&gt; Segments'!P42</f>
        <v>109.30164393469113</v>
      </c>
      <c r="Q15" s="70">
        <f>'&gt;&gt; Segments'!Q42</f>
        <v>138.55658068110489</v>
      </c>
      <c r="R15" s="70">
        <f>'&gt;&gt; Segments'!R42</f>
        <v>163.42486193610515</v>
      </c>
      <c r="S15" s="70">
        <f>'&gt;&gt; Segments'!S42</f>
        <v>176.02933675440028</v>
      </c>
      <c r="T15" s="70">
        <f>'&gt;&gt; Segments'!T42</f>
        <v>188.88329539760642</v>
      </c>
      <c r="U15" s="70">
        <f>'&gt;&gt; Segments'!U42</f>
        <v>199.59456075302569</v>
      </c>
      <c r="V15" s="70">
        <f>'&gt;&gt; Segments'!V42</f>
        <v>209.83904076029296</v>
      </c>
      <c r="W15" s="70">
        <f>'&gt;&gt; Segments'!W42</f>
        <v>223.16382036778708</v>
      </c>
      <c r="X15" s="70">
        <f>'&gt;&gt; Segments'!X42</f>
        <v>236.18740466883716</v>
      </c>
      <c r="Y15" s="70">
        <f>'&gt;&gt; Segments'!Y42</f>
        <v>240.68880807484587</v>
      </c>
    </row>
    <row r="16" spans="3:25" ht="15" customHeight="1" x14ac:dyDescent="0.25">
      <c r="C16" s="2"/>
      <c r="D16" s="2"/>
      <c r="E16" s="2" t="s">
        <v>156</v>
      </c>
      <c r="F16" s="24" t="s">
        <v>25</v>
      </c>
      <c r="G16" s="24"/>
      <c r="H16" s="27">
        <f>'&gt;&gt; Segments'!H55</f>
        <v>87.2</v>
      </c>
      <c r="I16" s="27">
        <f>'&gt;&gt; Segments'!I55</f>
        <v>94.7</v>
      </c>
      <c r="J16" s="27">
        <f>'&gt;&gt; Segments'!J55</f>
        <v>96.4</v>
      </c>
      <c r="K16" s="27">
        <f>'&gt;&gt; Segments'!K55</f>
        <v>99.5</v>
      </c>
      <c r="L16" s="27">
        <f>'&gt;&gt; Segments'!L55</f>
        <v>87.2</v>
      </c>
      <c r="M16" s="27">
        <f>'&gt;&gt; Segments'!M55</f>
        <v>84</v>
      </c>
      <c r="N16" s="27">
        <f>'&gt;&gt; Segments'!N55</f>
        <v>24.6</v>
      </c>
      <c r="O16" s="27">
        <f>'&gt;&gt; Segments'!O55</f>
        <v>35.4</v>
      </c>
      <c r="P16" s="27">
        <f>'&gt;&gt; Segments'!P55</f>
        <v>37.9</v>
      </c>
      <c r="Q16" s="27">
        <f>'&gt;&gt; Segments'!Q55</f>
        <v>39.795000000000002</v>
      </c>
      <c r="R16" s="27">
        <f>'&gt;&gt; Segments'!R55</f>
        <v>41.784750000000003</v>
      </c>
      <c r="S16" s="27">
        <f>'&gt;&gt; Segments'!S55</f>
        <v>43.873987500000005</v>
      </c>
      <c r="T16" s="27">
        <f>'&gt;&gt; Segments'!T55</f>
        <v>46.067686875000007</v>
      </c>
      <c r="U16" s="27">
        <f>'&gt;&gt; Segments'!U55</f>
        <v>48.371071218750011</v>
      </c>
      <c r="V16" s="27">
        <f>'&gt;&gt; Segments'!V55</f>
        <v>50.789624779687514</v>
      </c>
      <c r="W16" s="27">
        <f>'&gt;&gt; Segments'!W55</f>
        <v>53.329106018671894</v>
      </c>
      <c r="X16" s="27">
        <f>'&gt;&gt; Segments'!X55</f>
        <v>55.995561319605493</v>
      </c>
      <c r="Y16" s="27">
        <f>'&gt;&gt; Segments'!Y55</f>
        <v>58.79533938558577</v>
      </c>
    </row>
    <row r="17" spans="3:25" ht="15" customHeight="1" x14ac:dyDescent="0.25">
      <c r="C17" s="1"/>
      <c r="D17" s="1"/>
      <c r="E17" s="1" t="s">
        <v>105</v>
      </c>
      <c r="F17" s="94" t="s">
        <v>25</v>
      </c>
      <c r="G17" s="94"/>
      <c r="H17" s="97">
        <f>H15-H16</f>
        <v>-7.6710000000000065</v>
      </c>
      <c r="I17" s="97">
        <f t="shared" ref="I17:Y17" si="9">I15-I16</f>
        <v>26.51100000000001</v>
      </c>
      <c r="J17" s="97">
        <f t="shared" si="9"/>
        <v>-43.483999999999952</v>
      </c>
      <c r="K17" s="97">
        <f t="shared" si="9"/>
        <v>-84.739000000000033</v>
      </c>
      <c r="L17" s="97">
        <f t="shared" si="9"/>
        <v>-343.43399999999997</v>
      </c>
      <c r="M17" s="97">
        <f t="shared" si="9"/>
        <v>-833.83</v>
      </c>
      <c r="N17" s="97">
        <f t="shared" si="9"/>
        <v>79.819999999999993</v>
      </c>
      <c r="O17" s="97">
        <f t="shared" si="9"/>
        <v>23.169000000000018</v>
      </c>
      <c r="P17" s="97">
        <f t="shared" si="9"/>
        <v>71.401643934691123</v>
      </c>
      <c r="Q17" s="97">
        <f t="shared" si="9"/>
        <v>98.761580681104888</v>
      </c>
      <c r="R17" s="97">
        <f t="shared" si="9"/>
        <v>121.64011193610514</v>
      </c>
      <c r="S17" s="97">
        <f t="shared" si="9"/>
        <v>132.15534925440028</v>
      </c>
      <c r="T17" s="97">
        <f t="shared" si="9"/>
        <v>142.8156085226064</v>
      </c>
      <c r="U17" s="97">
        <f t="shared" si="9"/>
        <v>151.22348953427567</v>
      </c>
      <c r="V17" s="97">
        <f t="shared" si="9"/>
        <v>159.04941598060543</v>
      </c>
      <c r="W17" s="97">
        <f t="shared" si="9"/>
        <v>169.83471434911519</v>
      </c>
      <c r="X17" s="97">
        <f t="shared" si="9"/>
        <v>180.19184334923168</v>
      </c>
      <c r="Y17" s="97">
        <f t="shared" si="9"/>
        <v>181.89346868926009</v>
      </c>
    </row>
    <row r="18" spans="3:25" ht="15" customHeight="1" x14ac:dyDescent="0.25">
      <c r="C18" s="2"/>
      <c r="D18" s="2"/>
      <c r="E18" s="2" t="s">
        <v>180</v>
      </c>
      <c r="F18" s="24" t="s">
        <v>25</v>
      </c>
      <c r="G18" s="24"/>
      <c r="H18" s="175">
        <v>15.1</v>
      </c>
      <c r="I18" s="176">
        <v>13.4</v>
      </c>
      <c r="J18" s="176">
        <v>13.5</v>
      </c>
      <c r="K18" s="176">
        <v>13.2</v>
      </c>
      <c r="L18" s="176">
        <v>-0.2</v>
      </c>
      <c r="M18" s="176">
        <v>-0.1</v>
      </c>
      <c r="N18" s="176">
        <v>0</v>
      </c>
      <c r="O18" s="177">
        <v>0</v>
      </c>
      <c r="P18" s="27">
        <f>'&gt;&gt; Segments'!P73</f>
        <v>0</v>
      </c>
      <c r="Q18" s="27">
        <f>'&gt;&gt; Segments'!Q73</f>
        <v>0</v>
      </c>
      <c r="R18" s="27">
        <f>'&gt;&gt; Segments'!R73</f>
        <v>0</v>
      </c>
      <c r="S18" s="27">
        <f>'&gt;&gt; Segments'!S73</f>
        <v>0</v>
      </c>
      <c r="T18" s="27">
        <f>'&gt;&gt; Segments'!T73</f>
        <v>0</v>
      </c>
      <c r="U18" s="27">
        <f>'&gt;&gt; Segments'!U73</f>
        <v>0</v>
      </c>
      <c r="V18" s="27">
        <f>'&gt;&gt; Segments'!V73</f>
        <v>0</v>
      </c>
      <c r="W18" s="27">
        <f>'&gt;&gt; Segments'!W73</f>
        <v>0</v>
      </c>
      <c r="X18" s="27">
        <f>'&gt;&gt; Segments'!X73</f>
        <v>0</v>
      </c>
      <c r="Y18" s="27">
        <f>'&gt;&gt; Segments'!Y73</f>
        <v>0</v>
      </c>
    </row>
    <row r="19" spans="3:25" ht="15" customHeight="1" x14ac:dyDescent="0.25">
      <c r="C19" s="2"/>
      <c r="D19" s="2"/>
      <c r="E19" s="2" t="s">
        <v>181</v>
      </c>
      <c r="F19" s="24" t="s">
        <v>25</v>
      </c>
      <c r="G19" s="24"/>
      <c r="H19" s="175">
        <v>1.1000000000000001</v>
      </c>
      <c r="I19" s="176">
        <v>1.1000000000000001</v>
      </c>
      <c r="J19" s="176">
        <v>1</v>
      </c>
      <c r="K19" s="176">
        <v>0.5</v>
      </c>
      <c r="L19" s="176">
        <v>0</v>
      </c>
      <c r="M19" s="176">
        <v>0</v>
      </c>
      <c r="N19" s="176">
        <v>0</v>
      </c>
      <c r="O19" s="177">
        <v>0</v>
      </c>
      <c r="P19" s="72">
        <f>O19</f>
        <v>0</v>
      </c>
      <c r="Q19" s="72">
        <f t="shared" ref="Q19:Y19" si="10">P19</f>
        <v>0</v>
      </c>
      <c r="R19" s="72">
        <f t="shared" si="10"/>
        <v>0</v>
      </c>
      <c r="S19" s="72">
        <f t="shared" si="10"/>
        <v>0</v>
      </c>
      <c r="T19" s="72">
        <f t="shared" si="10"/>
        <v>0</v>
      </c>
      <c r="U19" s="72">
        <f t="shared" si="10"/>
        <v>0</v>
      </c>
      <c r="V19" s="72">
        <f t="shared" si="10"/>
        <v>0</v>
      </c>
      <c r="W19" s="72">
        <f t="shared" si="10"/>
        <v>0</v>
      </c>
      <c r="X19" s="72">
        <f t="shared" si="10"/>
        <v>0</v>
      </c>
      <c r="Y19" s="72">
        <f t="shared" si="10"/>
        <v>0</v>
      </c>
    </row>
    <row r="20" spans="3:25" ht="15" customHeight="1" x14ac:dyDescent="0.25">
      <c r="C20" s="2"/>
      <c r="D20" s="2"/>
      <c r="E20" s="2" t="s">
        <v>182</v>
      </c>
      <c r="F20" s="24" t="s">
        <v>25</v>
      </c>
      <c r="G20" s="24"/>
      <c r="H20" s="175"/>
      <c r="I20" s="176"/>
      <c r="J20" s="176"/>
      <c r="K20" s="176"/>
      <c r="L20" s="176"/>
      <c r="M20" s="176"/>
      <c r="N20" s="176"/>
      <c r="O20" s="179"/>
      <c r="P20" s="85"/>
      <c r="Q20" s="85"/>
      <c r="R20" s="85"/>
      <c r="S20" s="85"/>
      <c r="T20" s="85"/>
      <c r="U20" s="85"/>
      <c r="V20" s="85"/>
      <c r="W20" s="85"/>
      <c r="X20" s="85"/>
      <c r="Y20" s="85"/>
    </row>
    <row r="21" spans="3:25" ht="15" customHeight="1" x14ac:dyDescent="0.25">
      <c r="C21" s="1"/>
      <c r="D21" s="1"/>
      <c r="E21" s="1" t="s">
        <v>183</v>
      </c>
      <c r="F21" s="94" t="s">
        <v>25</v>
      </c>
      <c r="G21" s="94"/>
      <c r="H21" s="97">
        <f t="shared" ref="H21:Y21" si="11">SUM(H17:H20)</f>
        <v>8.5289999999999928</v>
      </c>
      <c r="I21" s="97">
        <f t="shared" si="11"/>
        <v>41.01100000000001</v>
      </c>
      <c r="J21" s="97">
        <f t="shared" si="11"/>
        <v>-28.983999999999952</v>
      </c>
      <c r="K21" s="97">
        <f t="shared" si="11"/>
        <v>-71.03900000000003</v>
      </c>
      <c r="L21" s="97">
        <f t="shared" si="11"/>
        <v>-343.63399999999996</v>
      </c>
      <c r="M21" s="97">
        <f t="shared" si="11"/>
        <v>-833.93000000000006</v>
      </c>
      <c r="N21" s="97">
        <f t="shared" si="11"/>
        <v>79.819999999999993</v>
      </c>
      <c r="O21" s="97">
        <f>SUM(O17:O20)</f>
        <v>23.169000000000018</v>
      </c>
      <c r="P21" s="97">
        <f t="shared" si="11"/>
        <v>71.401643934691123</v>
      </c>
      <c r="Q21" s="97">
        <f t="shared" si="11"/>
        <v>98.761580681104888</v>
      </c>
      <c r="R21" s="97">
        <f t="shared" si="11"/>
        <v>121.64011193610514</v>
      </c>
      <c r="S21" s="97">
        <f t="shared" si="11"/>
        <v>132.15534925440028</v>
      </c>
      <c r="T21" s="97">
        <f t="shared" si="11"/>
        <v>142.8156085226064</v>
      </c>
      <c r="U21" s="97">
        <f t="shared" si="11"/>
        <v>151.22348953427567</v>
      </c>
      <c r="V21" s="97">
        <f t="shared" si="11"/>
        <v>159.04941598060543</v>
      </c>
      <c r="W21" s="97">
        <f t="shared" si="11"/>
        <v>169.83471434911519</v>
      </c>
      <c r="X21" s="97">
        <f t="shared" si="11"/>
        <v>180.19184334923168</v>
      </c>
      <c r="Y21" s="97">
        <f t="shared" si="11"/>
        <v>181.89346868926009</v>
      </c>
    </row>
    <row r="22" spans="3:25" ht="15" customHeight="1" x14ac:dyDescent="0.25">
      <c r="C22" s="2"/>
      <c r="D22" s="2"/>
      <c r="E22" s="2" t="s">
        <v>184</v>
      </c>
      <c r="F22" s="24" t="s">
        <v>25</v>
      </c>
      <c r="G22" s="24"/>
      <c r="H22" s="300">
        <v>-17</v>
      </c>
      <c r="I22" s="301">
        <v>-31.9</v>
      </c>
      <c r="J22" s="301">
        <v>-12.2</v>
      </c>
      <c r="K22" s="301">
        <v>-0.7</v>
      </c>
      <c r="L22" s="303">
        <v>73.099999999999994</v>
      </c>
      <c r="M22" s="301">
        <v>212.4</v>
      </c>
      <c r="N22" s="301">
        <v>-6.5</v>
      </c>
      <c r="O22" s="302">
        <v>-6.5</v>
      </c>
      <c r="P22" s="97">
        <f>-P21*'&gt;&gt; Inputs'!$G$46</f>
        <v>-19.992460301713518</v>
      </c>
      <c r="Q22" s="97">
        <f>-Q21*'&gt;&gt; Inputs'!$G$46</f>
        <v>-27.653242590709372</v>
      </c>
      <c r="R22" s="97">
        <f>-R21*'&gt;&gt; Inputs'!$G$46</f>
        <v>-34.059231342109442</v>
      </c>
      <c r="S22" s="97">
        <f>-S21*'&gt;&gt; Inputs'!$G$46</f>
        <v>-37.003497791232078</v>
      </c>
      <c r="T22" s="97">
        <f>-T21*'&gt;&gt; Inputs'!$G$46</f>
        <v>-39.988370386329798</v>
      </c>
      <c r="U22" s="97">
        <f>-U21*'&gt;&gt; Inputs'!$G$46</f>
        <v>-42.342577069597191</v>
      </c>
      <c r="V22" s="97">
        <f>-V21*'&gt;&gt; Inputs'!$G$46</f>
        <v>-44.533836474569526</v>
      </c>
      <c r="W22" s="97">
        <f>-W21*'&gt;&gt; Inputs'!$G$46</f>
        <v>-47.553720017752255</v>
      </c>
      <c r="X22" s="97">
        <f>-X21*'&gt;&gt; Inputs'!$G$46</f>
        <v>-50.453716137784873</v>
      </c>
      <c r="Y22" s="97">
        <f>-Y21*'&gt;&gt; Inputs'!$G$46</f>
        <v>-50.930171232992826</v>
      </c>
    </row>
    <row r="23" spans="3:25" ht="15" customHeight="1" x14ac:dyDescent="0.25">
      <c r="C23" s="1"/>
      <c r="D23" s="1"/>
      <c r="E23" s="1" t="s">
        <v>185</v>
      </c>
      <c r="F23" s="94" t="s">
        <v>25</v>
      </c>
      <c r="G23" s="94"/>
      <c r="H23" s="304">
        <v>47.473999999999997</v>
      </c>
      <c r="I23" s="305">
        <v>78.53</v>
      </c>
      <c r="J23" s="305">
        <v>29.616</v>
      </c>
      <c r="K23" s="305">
        <v>4.165</v>
      </c>
      <c r="L23" s="303">
        <v>-198.279</v>
      </c>
      <c r="M23" s="305">
        <v>-552.62900000000002</v>
      </c>
      <c r="N23" s="305">
        <v>16.600000000000001</v>
      </c>
      <c r="O23" s="306">
        <v>27.6</v>
      </c>
    </row>
    <row r="24" spans="3:25" ht="15" customHeight="1" x14ac:dyDescent="0.25">
      <c r="C24" s="1"/>
      <c r="D24" s="1"/>
      <c r="E24" s="1" t="s">
        <v>186</v>
      </c>
      <c r="F24" s="94" t="s">
        <v>25</v>
      </c>
      <c r="G24" s="37"/>
      <c r="H24" s="97">
        <f>H23-(H21 * (1-'&gt;&gt; Inputs'!$G$46))</f>
        <v>41.333120000000001</v>
      </c>
      <c r="I24" s="97">
        <f>I23-(I21 * (1-'&gt;&gt; Inputs'!$G$46))</f>
        <v>49.002079999999992</v>
      </c>
      <c r="J24" s="97">
        <f>J23-(J21 * (1-'&gt;&gt; Inputs'!$G$46))</f>
        <v>50.484479999999962</v>
      </c>
      <c r="K24" s="97">
        <f>K23-(K21 * (1-'&gt;&gt; Inputs'!$G$46))</f>
        <v>55.313080000000021</v>
      </c>
      <c r="L24" s="97">
        <f>L23-(L21 * (1-'&gt;&gt; Inputs'!$G$46))</f>
        <v>49.137479999999954</v>
      </c>
      <c r="M24" s="97">
        <f>M23-(M21 * (1-'&gt;&gt; Inputs'!$G$46))</f>
        <v>47.800600000000031</v>
      </c>
      <c r="N24" s="97">
        <f>N23-(N21 * (1-'&gt;&gt; Inputs'!$G$46))</f>
        <v>-40.870399999999989</v>
      </c>
      <c r="O24" s="97">
        <f>O23-(O21 * (1-'&gt;&gt; Inputs'!$G$46))</f>
        <v>10.918319999999987</v>
      </c>
      <c r="P24" s="97">
        <f t="shared" ref="P24:Y24" si="12">SUM(P21:P22)</f>
        <v>51.409183632977602</v>
      </c>
      <c r="Q24" s="97">
        <f t="shared" si="12"/>
        <v>71.10833809039552</v>
      </c>
      <c r="R24" s="97">
        <f t="shared" si="12"/>
        <v>87.580880593995701</v>
      </c>
      <c r="S24" s="97">
        <f t="shared" si="12"/>
        <v>95.1518514631682</v>
      </c>
      <c r="T24" s="97">
        <f t="shared" si="12"/>
        <v>102.82723813627661</v>
      </c>
      <c r="U24" s="97">
        <f t="shared" si="12"/>
        <v>108.88091246467849</v>
      </c>
      <c r="V24" s="97">
        <f t="shared" si="12"/>
        <v>114.51557950603591</v>
      </c>
      <c r="W24" s="97">
        <f t="shared" si="12"/>
        <v>122.28099433136293</v>
      </c>
      <c r="X24" s="97">
        <f t="shared" si="12"/>
        <v>129.73812721144679</v>
      </c>
      <c r="Y24" s="97">
        <f t="shared" si="12"/>
        <v>130.96329745626727</v>
      </c>
    </row>
    <row r="25" spans="3:25" ht="15" customHeight="1" x14ac:dyDescent="0.25">
      <c r="C25" s="2"/>
      <c r="D25" s="2"/>
      <c r="E25" s="2" t="s">
        <v>187</v>
      </c>
      <c r="F25" s="136" t="s">
        <v>273</v>
      </c>
      <c r="G25" s="24"/>
      <c r="H25" s="50">
        <f>( H24 / '&gt;&gt; Inputs'!$G$47) * 100</f>
        <v>10.912860925167395</v>
      </c>
      <c r="I25" s="50">
        <f>( I24 / '&gt;&gt; Inputs'!$G$47) * 100</f>
        <v>12.937636551122361</v>
      </c>
      <c r="J25" s="50">
        <f>( J24 / '&gt;&gt; Inputs'!$G$47) * 100</f>
        <v>13.329023047846242</v>
      </c>
      <c r="K25" s="50">
        <f>( K24 / '&gt;&gt; Inputs'!$G$47) * 100</f>
        <v>14.603880601867422</v>
      </c>
      <c r="L25" s="50">
        <f>( L24 / '&gt;&gt; Inputs'!$G$47) * 100</f>
        <v>12.973385155855496</v>
      </c>
      <c r="M25" s="50">
        <f>( M24 / '&gt;&gt; Inputs'!$G$47) * 100</f>
        <v>12.620419168443053</v>
      </c>
      <c r="N25" s="50">
        <f>( N24 / '&gt;&gt; Inputs'!$G$47) * 100</f>
        <v>-10.790692576702689</v>
      </c>
      <c r="O25" s="50">
        <f>( O24 / '&gt;&gt; Inputs'!$G$47) * 100</f>
        <v>2.8826787742244848</v>
      </c>
      <c r="P25" s="50">
        <f>( P24 / '&gt;&gt; Inputs'!$G$47) * 100</f>
        <v>13.573165327540638</v>
      </c>
      <c r="Q25" s="50">
        <f>( Q24 / '&gt;&gt; Inputs'!$G$47) * 100</f>
        <v>18.774179258673666</v>
      </c>
      <c r="R25" s="50">
        <f>( R24 / '&gt;&gt; Inputs'!$G$47) * 100</f>
        <v>23.123296030543234</v>
      </c>
      <c r="S25" s="50">
        <f>( S24 / '&gt;&gt; Inputs'!$G$47) * 100</f>
        <v>25.122200351431019</v>
      </c>
      <c r="T25" s="50">
        <f>( T24 / '&gt;&gt; Inputs'!$G$47) * 100</f>
        <v>27.148672761704312</v>
      </c>
      <c r="U25" s="50">
        <f>( U24 / '&gt;&gt; Inputs'!$G$47) * 100</f>
        <v>28.746977124697132</v>
      </c>
      <c r="V25" s="50">
        <f>( V24 / '&gt;&gt; Inputs'!$G$47) * 100</f>
        <v>30.234654265497486</v>
      </c>
      <c r="W25" s="50">
        <f>( W24 / '&gt;&gt; Inputs'!$G$47) * 100</f>
        <v>32.28489610581893</v>
      </c>
      <c r="X25" s="50">
        <f>( X24 / '&gt;&gt; Inputs'!$G$47) * 100</f>
        <v>34.253744671348173</v>
      </c>
      <c r="Y25" s="50">
        <f>( Y24 / '&gt;&gt; Inputs'!$G$47) * 100</f>
        <v>34.577216804382871</v>
      </c>
    </row>
    <row r="26" spans="3:25" ht="15" customHeight="1" x14ac:dyDescent="0.25">
      <c r="C26" s="2"/>
      <c r="D26" s="2"/>
      <c r="E26" s="2"/>
      <c r="F26" s="24"/>
      <c r="G26" s="24"/>
      <c r="H26" s="2"/>
      <c r="I26" s="2"/>
      <c r="J26" s="2"/>
      <c r="K26" s="62"/>
      <c r="L26" s="62"/>
      <c r="M26" s="62"/>
      <c r="N26" s="102"/>
      <c r="O26" s="62"/>
      <c r="P26" s="326"/>
      <c r="Q26" s="62"/>
      <c r="R26" s="62"/>
      <c r="S26" s="62"/>
      <c r="T26" s="62"/>
      <c r="U26" s="62"/>
      <c r="V26" s="62"/>
      <c r="W26" s="62"/>
      <c r="X26" s="62"/>
      <c r="Y26" s="62"/>
    </row>
    <row r="27" spans="3:25" ht="15" customHeight="1" x14ac:dyDescent="0.25">
      <c r="C27" s="130" t="s">
        <v>188</v>
      </c>
      <c r="D27" s="131"/>
      <c r="E27" s="131"/>
      <c r="F27" s="132"/>
      <c r="G27" s="132"/>
      <c r="H27" s="131"/>
      <c r="I27" s="131"/>
      <c r="J27" s="131"/>
      <c r="K27" s="133"/>
      <c r="L27" s="133"/>
      <c r="M27" s="133"/>
      <c r="N27" s="134"/>
      <c r="O27" s="80"/>
      <c r="P27" s="133"/>
      <c r="Q27" s="133"/>
      <c r="R27" s="133"/>
      <c r="S27" s="133"/>
      <c r="T27" s="133"/>
      <c r="U27" s="133"/>
      <c r="V27" s="133"/>
      <c r="W27" s="133"/>
      <c r="X27" s="133"/>
      <c r="Y27" s="133"/>
    </row>
    <row r="28" spans="3:25" ht="15" customHeight="1" x14ac:dyDescent="0.25">
      <c r="P28" s="161"/>
      <c r="Q28" s="161"/>
      <c r="R28" s="161"/>
      <c r="S28" s="161"/>
      <c r="T28" s="161"/>
      <c r="U28" s="161"/>
      <c r="V28" s="161"/>
      <c r="W28" s="161"/>
      <c r="X28" s="161"/>
      <c r="Y28" s="161"/>
    </row>
    <row r="29" spans="3:25" ht="15" customHeight="1" x14ac:dyDescent="0.25">
      <c r="E29" s="2" t="s">
        <v>189</v>
      </c>
      <c r="F29" s="24" t="s">
        <v>25</v>
      </c>
      <c r="G29" s="24"/>
      <c r="H29" s="175">
        <v>1.7</v>
      </c>
      <c r="I29" s="176">
        <v>17.600000000000001</v>
      </c>
      <c r="J29" s="176">
        <v>0.8</v>
      </c>
      <c r="K29" s="176">
        <v>5.3</v>
      </c>
      <c r="L29" s="176">
        <v>43.3</v>
      </c>
      <c r="M29" s="176">
        <v>16.100000000000001</v>
      </c>
      <c r="N29" s="176">
        <v>2.4</v>
      </c>
      <c r="O29" s="177">
        <v>4.9000000000000004</v>
      </c>
      <c r="P29" s="72">
        <f>O29*(1+P30)</f>
        <v>3.9220684209608541</v>
      </c>
      <c r="Q29" s="72">
        <f t="shared" ref="Q29:Y29" si="13">P29*(1+Q30)</f>
        <v>4.3891868540123165</v>
      </c>
      <c r="R29" s="72">
        <f t="shared" si="13"/>
        <v>4.7397618368587411</v>
      </c>
      <c r="S29" s="72">
        <f t="shared" si="13"/>
        <v>4.9049755692175845</v>
      </c>
      <c r="T29" s="72">
        <f t="shared" si="13"/>
        <v>5.0684137777405578</v>
      </c>
      <c r="U29" s="72">
        <f t="shared" si="13"/>
        <v>5.226045254495137</v>
      </c>
      <c r="V29" s="72">
        <f t="shared" si="13"/>
        <v>5.3769765828104035</v>
      </c>
      <c r="W29" s="72">
        <f t="shared" si="13"/>
        <v>5.5203292025756054</v>
      </c>
      <c r="X29" s="72">
        <f t="shared" si="13"/>
        <v>5.6552477074160254</v>
      </c>
      <c r="Y29" s="72">
        <f t="shared" si="13"/>
        <v>5.7809081613143567</v>
      </c>
    </row>
    <row r="30" spans="3:25" ht="15" customHeight="1" x14ac:dyDescent="0.25">
      <c r="E30" s="137" t="s">
        <v>132</v>
      </c>
      <c r="F30" s="24" t="s">
        <v>7</v>
      </c>
      <c r="G30" s="24"/>
      <c r="H30" s="72"/>
      <c r="I30" s="180">
        <f>IFERROR((I29/H29-1),"NA")</f>
        <v>9.3529411764705888</v>
      </c>
      <c r="J30" s="180">
        <f t="shared" ref="J30:O30" si="14">IFERROR((J29/I29-1),"NA")</f>
        <v>-0.95454545454545459</v>
      </c>
      <c r="K30" s="180">
        <f t="shared" si="14"/>
        <v>5.6249999999999991</v>
      </c>
      <c r="L30" s="180">
        <f t="shared" si="14"/>
        <v>7.1698113207547163</v>
      </c>
      <c r="M30" s="180">
        <f t="shared" si="14"/>
        <v>-0.62817551963048501</v>
      </c>
      <c r="N30" s="180">
        <f t="shared" si="14"/>
        <v>-0.85093167701863359</v>
      </c>
      <c r="O30" s="180">
        <f t="shared" si="14"/>
        <v>1.041666666666667</v>
      </c>
      <c r="P30" s="178">
        <f>F117</f>
        <v>-0.19957787327329513</v>
      </c>
      <c r="Q30" s="324">
        <f t="shared" ref="Q30:Y30" si="15">G117</f>
        <v>0.11910002144659809</v>
      </c>
      <c r="R30" s="324">
        <f t="shared" si="15"/>
        <v>7.9872421591245607E-2</v>
      </c>
      <c r="S30" s="324">
        <f t="shared" si="15"/>
        <v>3.4856969199182075E-2</v>
      </c>
      <c r="T30" s="324">
        <f t="shared" si="15"/>
        <v>3.3320901647027688E-2</v>
      </c>
      <c r="U30" s="324">
        <f t="shared" si="15"/>
        <v>3.1100751372523074E-2</v>
      </c>
      <c r="V30" s="324">
        <f t="shared" si="15"/>
        <v>2.888060109801846E-2</v>
      </c>
      <c r="W30" s="324">
        <f t="shared" si="15"/>
        <v>2.666045082351385E-2</v>
      </c>
      <c r="X30" s="324">
        <f t="shared" si="15"/>
        <v>2.4440300549009236E-2</v>
      </c>
      <c r="Y30" s="325">
        <f t="shared" si="15"/>
        <v>2.2220150274504621E-2</v>
      </c>
    </row>
    <row r="31" spans="3:25" ht="15" customHeight="1" x14ac:dyDescent="0.25">
      <c r="E31" s="2" t="s">
        <v>190</v>
      </c>
      <c r="F31" s="24" t="s">
        <v>25</v>
      </c>
      <c r="G31" s="24"/>
      <c r="H31" s="175">
        <v>33.700000000000003</v>
      </c>
      <c r="I31" s="176">
        <v>21.2</v>
      </c>
      <c r="J31" s="176">
        <v>23.8</v>
      </c>
      <c r="K31" s="176">
        <v>11.9</v>
      </c>
      <c r="L31" s="176">
        <v>18.7</v>
      </c>
      <c r="M31" s="176">
        <v>20.6</v>
      </c>
      <c r="N31" s="176">
        <v>19</v>
      </c>
      <c r="O31" s="177">
        <v>17.8</v>
      </c>
      <c r="P31" s="72">
        <f>O31*(1+P32)</f>
        <v>14.247513855735347</v>
      </c>
      <c r="Q31" s="72">
        <f t="shared" ref="Q31:Y31" si="16">P31*(1+Q32)</f>
        <v>15.94439306151413</v>
      </c>
      <c r="R31" s="72">
        <f t="shared" si="16"/>
        <v>17.21791034613992</v>
      </c>
      <c r="S31" s="72">
        <f t="shared" si="16"/>
        <v>17.818074516749597</v>
      </c>
      <c r="T31" s="72">
        <f t="shared" si="16"/>
        <v>18.41178882526162</v>
      </c>
      <c r="U31" s="72">
        <f t="shared" si="16"/>
        <v>18.98440929183948</v>
      </c>
      <c r="V31" s="72">
        <f t="shared" si="16"/>
        <v>19.532690443678611</v>
      </c>
      <c r="W31" s="72">
        <f t="shared" si="16"/>
        <v>20.053440776703223</v>
      </c>
      <c r="X31" s="72">
        <f t="shared" si="16"/>
        <v>20.543552896327608</v>
      </c>
      <c r="Y31" s="72">
        <f t="shared" si="16"/>
        <v>21.000033728856241</v>
      </c>
    </row>
    <row r="32" spans="3:25" ht="15" customHeight="1" x14ac:dyDescent="0.25">
      <c r="E32" s="137" t="s">
        <v>132</v>
      </c>
      <c r="F32" s="24" t="s">
        <v>7</v>
      </c>
      <c r="G32" s="24"/>
      <c r="H32" s="72"/>
      <c r="I32" s="180">
        <f>IFERROR((I31/H31-1),"NA")</f>
        <v>-0.37091988130563802</v>
      </c>
      <c r="J32" s="180">
        <f t="shared" ref="J32:O32" si="17">IFERROR((J31/I31-1),"NA")</f>
        <v>0.12264150943396235</v>
      </c>
      <c r="K32" s="180">
        <f t="shared" si="17"/>
        <v>-0.5</v>
      </c>
      <c r="L32" s="180">
        <f t="shared" si="17"/>
        <v>0.5714285714285714</v>
      </c>
      <c r="M32" s="180">
        <f t="shared" si="17"/>
        <v>0.10160427807486649</v>
      </c>
      <c r="N32" s="180">
        <f t="shared" si="17"/>
        <v>-7.7669902912621436E-2</v>
      </c>
      <c r="O32" s="180">
        <f t="shared" si="17"/>
        <v>-6.315789473684208E-2</v>
      </c>
      <c r="P32" s="178">
        <f>F117</f>
        <v>-0.19957787327329513</v>
      </c>
      <c r="Q32" s="324">
        <f t="shared" ref="Q32:Y32" si="18">G117</f>
        <v>0.11910002144659809</v>
      </c>
      <c r="R32" s="324">
        <f t="shared" si="18"/>
        <v>7.9872421591245607E-2</v>
      </c>
      <c r="S32" s="324">
        <f t="shared" si="18"/>
        <v>3.4856969199182075E-2</v>
      </c>
      <c r="T32" s="324">
        <f t="shared" si="18"/>
        <v>3.3320901647027688E-2</v>
      </c>
      <c r="U32" s="324">
        <f t="shared" si="18"/>
        <v>3.1100751372523074E-2</v>
      </c>
      <c r="V32" s="324">
        <f t="shared" si="18"/>
        <v>2.888060109801846E-2</v>
      </c>
      <c r="W32" s="324">
        <f t="shared" si="18"/>
        <v>2.666045082351385E-2</v>
      </c>
      <c r="X32" s="324">
        <f t="shared" si="18"/>
        <v>2.4440300549009236E-2</v>
      </c>
      <c r="Y32" s="325">
        <f t="shared" si="18"/>
        <v>2.2220150274504621E-2</v>
      </c>
    </row>
    <row r="33" spans="5:25" ht="15" customHeight="1" x14ac:dyDescent="0.25">
      <c r="E33" s="2" t="s">
        <v>191</v>
      </c>
      <c r="F33" s="24" t="s">
        <v>25</v>
      </c>
      <c r="G33" s="24"/>
      <c r="H33" s="175">
        <v>2.2999999999999998</v>
      </c>
      <c r="I33" s="176">
        <v>2.2000000000000002</v>
      </c>
      <c r="J33" s="176">
        <v>3</v>
      </c>
      <c r="K33" s="176">
        <v>3.3</v>
      </c>
      <c r="L33" s="176">
        <v>4.4000000000000004</v>
      </c>
      <c r="M33" s="176">
        <v>2</v>
      </c>
      <c r="N33" s="176">
        <v>5.0999999999999996</v>
      </c>
      <c r="O33" s="177">
        <v>5.5</v>
      </c>
      <c r="P33" s="72">
        <f>O33*(1+P34)</f>
        <v>4.4023216969968768</v>
      </c>
      <c r="Q33" s="72">
        <f t="shared" ref="Q33:Y33" si="19">P33*(1+Q34)</f>
        <v>4.9266383055240288</v>
      </c>
      <c r="R33" s="72">
        <f t="shared" si="19"/>
        <v>5.320140837290424</v>
      </c>
      <c r="S33" s="72">
        <f t="shared" si="19"/>
        <v>5.5055848225911665</v>
      </c>
      <c r="T33" s="72">
        <f t="shared" si="19"/>
        <v>5.6890358729740953</v>
      </c>
      <c r="U33" s="72">
        <f t="shared" si="19"/>
        <v>5.8659691632088267</v>
      </c>
      <c r="V33" s="72">
        <f t="shared" si="19"/>
        <v>6.0353818786647384</v>
      </c>
      <c r="W33" s="72">
        <f t="shared" si="19"/>
        <v>6.1962878804420054</v>
      </c>
      <c r="X33" s="72">
        <f t="shared" si="19"/>
        <v>6.3477270185281913</v>
      </c>
      <c r="Y33" s="72">
        <f t="shared" si="19"/>
        <v>6.48877446678142</v>
      </c>
    </row>
    <row r="34" spans="5:25" ht="15" customHeight="1" x14ac:dyDescent="0.25">
      <c r="E34" s="137" t="s">
        <v>132</v>
      </c>
      <c r="F34" s="24" t="s">
        <v>7</v>
      </c>
      <c r="G34" s="24"/>
      <c r="H34" s="72"/>
      <c r="I34" s="180">
        <f>IFERROR((I33/H33-1),"NA")</f>
        <v>-4.3478260869565077E-2</v>
      </c>
      <c r="J34" s="180">
        <f t="shared" ref="J34:O34" si="20">IFERROR((J33/I33-1),"NA")</f>
        <v>0.36363636363636354</v>
      </c>
      <c r="K34" s="180">
        <f t="shared" si="20"/>
        <v>9.9999999999999867E-2</v>
      </c>
      <c r="L34" s="180">
        <f t="shared" si="20"/>
        <v>0.33333333333333348</v>
      </c>
      <c r="M34" s="180">
        <f t="shared" si="20"/>
        <v>-0.54545454545454541</v>
      </c>
      <c r="N34" s="180">
        <f t="shared" si="20"/>
        <v>1.5499999999999998</v>
      </c>
      <c r="O34" s="180">
        <f t="shared" si="20"/>
        <v>7.8431372549019773E-2</v>
      </c>
      <c r="P34" s="178">
        <f>F117</f>
        <v>-0.19957787327329513</v>
      </c>
      <c r="Q34" s="324">
        <f t="shared" ref="Q34:X34" si="21">G117</f>
        <v>0.11910002144659809</v>
      </c>
      <c r="R34" s="324">
        <f t="shared" si="21"/>
        <v>7.9872421591245607E-2</v>
      </c>
      <c r="S34" s="324">
        <f t="shared" si="21"/>
        <v>3.4856969199182075E-2</v>
      </c>
      <c r="T34" s="324">
        <f t="shared" si="21"/>
        <v>3.3320901647027688E-2</v>
      </c>
      <c r="U34" s="324">
        <f t="shared" si="21"/>
        <v>3.1100751372523074E-2</v>
      </c>
      <c r="V34" s="324">
        <f t="shared" si="21"/>
        <v>2.888060109801846E-2</v>
      </c>
      <c r="W34" s="324">
        <f t="shared" si="21"/>
        <v>2.666045082351385E-2</v>
      </c>
      <c r="X34" s="324">
        <f t="shared" si="21"/>
        <v>2.4440300549009236E-2</v>
      </c>
      <c r="Y34" s="325">
        <f>O117</f>
        <v>2.2220150274504621E-2</v>
      </c>
    </row>
    <row r="35" spans="5:25" ht="15" customHeight="1" x14ac:dyDescent="0.25">
      <c r="E35" s="2" t="s">
        <v>192</v>
      </c>
      <c r="F35" s="24" t="s">
        <v>25</v>
      </c>
      <c r="G35" s="24"/>
      <c r="H35" s="175">
        <v>108.9</v>
      </c>
      <c r="I35" s="176">
        <v>136.69999999999999</v>
      </c>
      <c r="J35" s="176">
        <v>136.6</v>
      </c>
      <c r="K35" s="176">
        <v>143.5</v>
      </c>
      <c r="L35" s="176">
        <v>151.6</v>
      </c>
      <c r="M35" s="176">
        <v>125.2</v>
      </c>
      <c r="N35" s="176">
        <v>4.0999999999999996</v>
      </c>
      <c r="O35" s="177">
        <v>8.6</v>
      </c>
      <c r="P35" s="72">
        <f>O35*(1+P36)</f>
        <v>6.8836302898496617</v>
      </c>
      <c r="Q35" s="72">
        <f t="shared" ref="Q35:Y35" si="22">P35*(1+Q36)</f>
        <v>7.7034708050012082</v>
      </c>
      <c r="R35" s="72">
        <f t="shared" si="22"/>
        <v>8.3187656728541164</v>
      </c>
      <c r="S35" s="72">
        <f t="shared" si="22"/>
        <v>8.6087326316880048</v>
      </c>
      <c r="T35" s="72">
        <f t="shared" si="22"/>
        <v>8.8955833650140388</v>
      </c>
      <c r="U35" s="72">
        <f t="shared" si="22"/>
        <v>9.1722426915628912</v>
      </c>
      <c r="V35" s="72">
        <f t="shared" si="22"/>
        <v>9.4371425739121353</v>
      </c>
      <c r="W35" s="72">
        <f t="shared" si="22"/>
        <v>9.6887410494184074</v>
      </c>
      <c r="X35" s="72">
        <f t="shared" si="22"/>
        <v>9.9255367926077174</v>
      </c>
      <c r="Y35" s="72">
        <f t="shared" si="22"/>
        <v>10.146083711694585</v>
      </c>
    </row>
    <row r="36" spans="5:25" ht="15" customHeight="1" x14ac:dyDescent="0.25">
      <c r="E36" s="137" t="s">
        <v>132</v>
      </c>
      <c r="F36" s="24" t="s">
        <v>7</v>
      </c>
      <c r="G36" s="24"/>
      <c r="H36" s="72"/>
      <c r="I36" s="180">
        <f>IFERROR((I35/H35-1),"NA")</f>
        <v>0.25528007346189141</v>
      </c>
      <c r="J36" s="180">
        <f t="shared" ref="J36:O36" si="23">IFERROR((J35/I35-1),"NA")</f>
        <v>-7.3152889539129795E-4</v>
      </c>
      <c r="K36" s="180">
        <f t="shared" si="23"/>
        <v>5.051244509516839E-2</v>
      </c>
      <c r="L36" s="180">
        <f t="shared" si="23"/>
        <v>5.6445993031358777E-2</v>
      </c>
      <c r="M36" s="180">
        <f t="shared" si="23"/>
        <v>-0.1741424802110817</v>
      </c>
      <c r="N36" s="180">
        <f t="shared" si="23"/>
        <v>-0.96725239616613423</v>
      </c>
      <c r="O36" s="180">
        <f t="shared" si="23"/>
        <v>1.0975609756097562</v>
      </c>
      <c r="P36" s="178">
        <f>F117</f>
        <v>-0.19957787327329513</v>
      </c>
      <c r="Q36" s="324">
        <f t="shared" ref="Q36:Y36" si="24">G117</f>
        <v>0.11910002144659809</v>
      </c>
      <c r="R36" s="324">
        <f t="shared" si="24"/>
        <v>7.9872421591245607E-2</v>
      </c>
      <c r="S36" s="324">
        <f t="shared" si="24"/>
        <v>3.4856969199182075E-2</v>
      </c>
      <c r="T36" s="324">
        <f t="shared" si="24"/>
        <v>3.3320901647027688E-2</v>
      </c>
      <c r="U36" s="324">
        <f t="shared" si="24"/>
        <v>3.1100751372523074E-2</v>
      </c>
      <c r="V36" s="324">
        <f t="shared" si="24"/>
        <v>2.888060109801846E-2</v>
      </c>
      <c r="W36" s="324">
        <f t="shared" si="24"/>
        <v>2.666045082351385E-2</v>
      </c>
      <c r="X36" s="324">
        <f t="shared" si="24"/>
        <v>2.4440300549009236E-2</v>
      </c>
      <c r="Y36" s="325">
        <f t="shared" si="24"/>
        <v>2.2220150274504621E-2</v>
      </c>
    </row>
    <row r="37" spans="5:25" ht="15" customHeight="1" x14ac:dyDescent="0.25">
      <c r="E37" s="1" t="s">
        <v>193</v>
      </c>
      <c r="F37" s="24" t="s">
        <v>25</v>
      </c>
      <c r="G37" s="24"/>
      <c r="H37" s="72">
        <f>H29+H31+H33+H35</f>
        <v>146.60000000000002</v>
      </c>
      <c r="I37" s="72">
        <f t="shared" ref="I37:Y37" si="25">I29+I31+I33+I35</f>
        <v>177.7</v>
      </c>
      <c r="J37" s="72">
        <f t="shared" si="25"/>
        <v>164.2</v>
      </c>
      <c r="K37" s="72">
        <f t="shared" si="25"/>
        <v>164</v>
      </c>
      <c r="L37" s="72">
        <f t="shared" si="25"/>
        <v>218</v>
      </c>
      <c r="M37" s="72">
        <f t="shared" si="25"/>
        <v>163.9</v>
      </c>
      <c r="N37" s="72">
        <f t="shared" si="25"/>
        <v>30.6</v>
      </c>
      <c r="O37" s="72">
        <f t="shared" si="25"/>
        <v>36.800000000000004</v>
      </c>
      <c r="P37" s="73">
        <f t="shared" si="25"/>
        <v>29.455534263542738</v>
      </c>
      <c r="Q37" s="73">
        <f t="shared" si="25"/>
        <v>32.963689026051682</v>
      </c>
      <c r="R37" s="73">
        <f t="shared" si="25"/>
        <v>35.596578693143201</v>
      </c>
      <c r="S37" s="73">
        <f t="shared" si="25"/>
        <v>36.837367540246355</v>
      </c>
      <c r="T37" s="73">
        <f t="shared" si="25"/>
        <v>38.064821840990312</v>
      </c>
      <c r="U37" s="73">
        <f t="shared" si="25"/>
        <v>39.248666401106334</v>
      </c>
      <c r="V37" s="73">
        <f t="shared" si="25"/>
        <v>40.382191479065888</v>
      </c>
      <c r="W37" s="73">
        <f t="shared" si="25"/>
        <v>41.458798909139247</v>
      </c>
      <c r="X37" s="73">
        <f t="shared" si="25"/>
        <v>42.47206441487954</v>
      </c>
      <c r="Y37" s="73">
        <f t="shared" si="25"/>
        <v>43.415800068646604</v>
      </c>
    </row>
    <row r="38" spans="5:25" ht="15" customHeight="1" x14ac:dyDescent="0.25">
      <c r="E38" s="1"/>
      <c r="F38" s="24"/>
      <c r="G38" s="24"/>
      <c r="H38" s="72"/>
      <c r="I38" s="72"/>
      <c r="J38" s="72"/>
      <c r="K38" s="72"/>
      <c r="L38" s="72"/>
      <c r="M38" s="72"/>
      <c r="N38" s="72"/>
      <c r="O38" s="72"/>
      <c r="P38" s="73"/>
      <c r="Q38" s="73"/>
      <c r="R38" s="73"/>
      <c r="S38" s="73"/>
      <c r="T38" s="73"/>
      <c r="U38" s="73"/>
      <c r="V38" s="73"/>
      <c r="W38" s="73"/>
      <c r="X38" s="73"/>
      <c r="Y38" s="73"/>
    </row>
    <row r="39" spans="5:25" ht="15" customHeight="1" x14ac:dyDescent="0.25">
      <c r="E39" s="1"/>
      <c r="F39" s="24"/>
      <c r="G39" s="24"/>
      <c r="H39" s="72"/>
      <c r="I39" s="72"/>
      <c r="J39" s="72"/>
      <c r="K39" s="72"/>
      <c r="L39" s="72"/>
      <c r="M39" s="72"/>
      <c r="N39" s="72"/>
      <c r="O39" s="72"/>
      <c r="P39" s="106"/>
      <c r="Q39" s="106"/>
      <c r="R39" s="106"/>
      <c r="S39" s="106"/>
      <c r="T39" s="106"/>
      <c r="U39" s="106"/>
      <c r="V39" s="106"/>
      <c r="W39" s="106"/>
      <c r="X39" s="106"/>
      <c r="Y39" s="106"/>
    </row>
    <row r="40" spans="5:25" ht="15" customHeight="1" x14ac:dyDescent="0.25">
      <c r="E40" s="2" t="s">
        <v>194</v>
      </c>
      <c r="F40" s="24" t="s">
        <v>25</v>
      </c>
      <c r="G40" s="24"/>
      <c r="H40" s="175">
        <v>1121.0999999999999</v>
      </c>
      <c r="I40" s="176">
        <v>1128.9000000000001</v>
      </c>
      <c r="J40" s="176">
        <v>1191.9000000000001</v>
      </c>
      <c r="K40" s="176">
        <v>1175.3</v>
      </c>
      <c r="L40" s="176">
        <v>890.5</v>
      </c>
      <c r="M40" s="176">
        <v>869.8</v>
      </c>
      <c r="N40" s="176">
        <v>876.6</v>
      </c>
      <c r="O40" s="177">
        <v>906.7</v>
      </c>
      <c r="P40" s="72">
        <f t="shared" ref="P40:Y40" si="26">O40-P81</f>
        <v>972.95500000000004</v>
      </c>
      <c r="Q40" s="72">
        <f t="shared" si="26"/>
        <v>1042.5227500000001</v>
      </c>
      <c r="R40" s="72">
        <f t="shared" si="26"/>
        <v>1115.5688875000001</v>
      </c>
      <c r="S40" s="72">
        <f t="shared" si="26"/>
        <v>1192.2673318750001</v>
      </c>
      <c r="T40" s="72">
        <f t="shared" si="26"/>
        <v>1272.8006984687502</v>
      </c>
      <c r="U40" s="72">
        <f t="shared" si="26"/>
        <v>1357.3607333921877</v>
      </c>
      <c r="V40" s="72">
        <f t="shared" si="26"/>
        <v>1446.1487700617972</v>
      </c>
      <c r="W40" s="72">
        <f t="shared" si="26"/>
        <v>1539.3762085648871</v>
      </c>
      <c r="X40" s="72">
        <f t="shared" si="26"/>
        <v>1637.2650189931314</v>
      </c>
      <c r="Y40" s="72">
        <f t="shared" si="26"/>
        <v>1740.048269942788</v>
      </c>
    </row>
    <row r="41" spans="5:25" ht="15" customHeight="1" x14ac:dyDescent="0.25">
      <c r="E41" s="137" t="s">
        <v>132</v>
      </c>
      <c r="F41" s="24" t="s">
        <v>7</v>
      </c>
      <c r="G41" s="24"/>
      <c r="H41" s="72"/>
      <c r="I41" s="180">
        <f>IFERROR((I40/H40-1),"NA")</f>
        <v>6.9574525020070777E-3</v>
      </c>
      <c r="J41" s="180">
        <f t="shared" ref="J41:O41" si="27">IFERROR((J40/I40-1),"NA")</f>
        <v>5.5806537337230955E-2</v>
      </c>
      <c r="K41" s="180">
        <f t="shared" si="27"/>
        <v>-1.3927342897894213E-2</v>
      </c>
      <c r="L41" s="180">
        <f t="shared" si="27"/>
        <v>-0.24232110950395636</v>
      </c>
      <c r="M41" s="180">
        <f t="shared" si="27"/>
        <v>-2.3245367770915237E-2</v>
      </c>
      <c r="N41" s="180">
        <f t="shared" si="27"/>
        <v>7.8178891699240971E-3</v>
      </c>
      <c r="O41" s="181">
        <f t="shared" si="27"/>
        <v>3.4337211955281832E-2</v>
      </c>
      <c r="P41" s="181">
        <f>IFERROR((P40/O40-1),"NA")</f>
        <v>7.3072681151428176E-2</v>
      </c>
      <c r="Q41" s="181">
        <f t="shared" ref="Q41:Y41" si="28">IFERROR((Q40/P40-1),"NA")</f>
        <v>7.1501508291750504E-2</v>
      </c>
      <c r="R41" s="181">
        <f t="shared" si="28"/>
        <v>7.0066708376387954E-2</v>
      </c>
      <c r="S41" s="181">
        <f t="shared" si="28"/>
        <v>6.8752763934535555E-2</v>
      </c>
      <c r="T41" s="181">
        <f t="shared" si="28"/>
        <v>6.7546400409294494E-2</v>
      </c>
      <c r="U41" s="181">
        <f t="shared" si="28"/>
        <v>6.6436194625889122E-2</v>
      </c>
      <c r="V41" s="181">
        <f t="shared" si="28"/>
        <v>6.5412262551399092E-2</v>
      </c>
      <c r="W41" s="181">
        <f t="shared" si="28"/>
        <v>6.4466008223418081E-2</v>
      </c>
      <c r="X41" s="181">
        <f t="shared" si="28"/>
        <v>6.3589920309021108E-2</v>
      </c>
      <c r="Y41" s="181">
        <f t="shared" si="28"/>
        <v>6.277740607495863E-2</v>
      </c>
    </row>
    <row r="42" spans="5:25" ht="15" customHeight="1" x14ac:dyDescent="0.25">
      <c r="E42" s="2" t="s">
        <v>195</v>
      </c>
      <c r="F42" s="24" t="s">
        <v>25</v>
      </c>
      <c r="G42" s="24"/>
      <c r="H42" s="175">
        <v>4.4000000000000004</v>
      </c>
      <c r="I42" s="176">
        <v>8.1</v>
      </c>
      <c r="J42" s="176">
        <v>14.3</v>
      </c>
      <c r="K42" s="176">
        <v>22.1</v>
      </c>
      <c r="L42" s="176">
        <v>10</v>
      </c>
      <c r="M42" s="176">
        <v>27.1</v>
      </c>
      <c r="N42" s="176">
        <v>5.9</v>
      </c>
      <c r="O42" s="177">
        <v>1.8</v>
      </c>
      <c r="P42" s="72">
        <f t="shared" ref="P42:Y42" si="29">O42-P80</f>
        <v>1.8</v>
      </c>
      <c r="Q42" s="72">
        <f t="shared" si="29"/>
        <v>1.8</v>
      </c>
      <c r="R42" s="72">
        <f t="shared" si="29"/>
        <v>1.8</v>
      </c>
      <c r="S42" s="72">
        <f t="shared" si="29"/>
        <v>1.8</v>
      </c>
      <c r="T42" s="72">
        <f t="shared" si="29"/>
        <v>1.8</v>
      </c>
      <c r="U42" s="72">
        <f t="shared" si="29"/>
        <v>1.8</v>
      </c>
      <c r="V42" s="72">
        <f t="shared" si="29"/>
        <v>1.8</v>
      </c>
      <c r="W42" s="72">
        <f t="shared" si="29"/>
        <v>1.8</v>
      </c>
      <c r="X42" s="72">
        <f t="shared" si="29"/>
        <v>1.8</v>
      </c>
      <c r="Y42" s="72">
        <f t="shared" si="29"/>
        <v>1.8</v>
      </c>
    </row>
    <row r="43" spans="5:25" ht="15" customHeight="1" x14ac:dyDescent="0.25">
      <c r="E43" s="137" t="s">
        <v>132</v>
      </c>
      <c r="F43" s="24" t="s">
        <v>7</v>
      </c>
      <c r="G43" s="24"/>
      <c r="H43" s="72"/>
      <c r="I43" s="180">
        <f>IFERROR((I42/H42-1),"NA")</f>
        <v>0.84090909090909061</v>
      </c>
      <c r="J43" s="180">
        <f t="shared" ref="J43:O43" si="30">IFERROR((J42/I42-1),"NA")</f>
        <v>0.76543209876543217</v>
      </c>
      <c r="K43" s="180">
        <f t="shared" si="30"/>
        <v>0.54545454545454541</v>
      </c>
      <c r="L43" s="180">
        <f t="shared" si="30"/>
        <v>-0.54751131221719462</v>
      </c>
      <c r="M43" s="180">
        <f t="shared" si="30"/>
        <v>1.71</v>
      </c>
      <c r="N43" s="180">
        <f t="shared" si="30"/>
        <v>-0.78228782287822884</v>
      </c>
      <c r="O43" s="181">
        <f t="shared" si="30"/>
        <v>-0.69491525423728817</v>
      </c>
      <c r="P43" s="181">
        <f>IFERROR((P42/O42-1),"NA")</f>
        <v>0</v>
      </c>
      <c r="Q43" s="181">
        <f t="shared" ref="Q43:Y43" si="31">IFERROR((Q42/P42-1),"NA")</f>
        <v>0</v>
      </c>
      <c r="R43" s="181">
        <f t="shared" si="31"/>
        <v>0</v>
      </c>
      <c r="S43" s="181">
        <f t="shared" si="31"/>
        <v>0</v>
      </c>
      <c r="T43" s="181">
        <f t="shared" si="31"/>
        <v>0</v>
      </c>
      <c r="U43" s="181">
        <f t="shared" si="31"/>
        <v>0</v>
      </c>
      <c r="V43" s="181">
        <f t="shared" si="31"/>
        <v>0</v>
      </c>
      <c r="W43" s="181">
        <f t="shared" si="31"/>
        <v>0</v>
      </c>
      <c r="X43" s="181">
        <f t="shared" si="31"/>
        <v>0</v>
      </c>
      <c r="Y43" s="181">
        <f t="shared" si="31"/>
        <v>0</v>
      </c>
    </row>
    <row r="44" spans="5:25" ht="15" customHeight="1" x14ac:dyDescent="0.25">
      <c r="E44" s="2" t="s">
        <v>196</v>
      </c>
      <c r="F44" s="24" t="s">
        <v>25</v>
      </c>
      <c r="G44" s="24"/>
      <c r="H44" s="175"/>
      <c r="I44" s="176"/>
      <c r="J44" s="176"/>
      <c r="K44" s="176"/>
      <c r="L44" s="176"/>
      <c r="M44" s="176"/>
      <c r="N44" s="176"/>
      <c r="O44" s="177"/>
      <c r="P44" s="33">
        <f>O44</f>
        <v>0</v>
      </c>
      <c r="Q44" s="33">
        <f t="shared" ref="Q44:Y44" si="32">P44</f>
        <v>0</v>
      </c>
      <c r="R44" s="33">
        <f t="shared" si="32"/>
        <v>0</v>
      </c>
      <c r="S44" s="33">
        <f t="shared" si="32"/>
        <v>0</v>
      </c>
      <c r="T44" s="33">
        <f t="shared" si="32"/>
        <v>0</v>
      </c>
      <c r="U44" s="33">
        <f t="shared" si="32"/>
        <v>0</v>
      </c>
      <c r="V44" s="33">
        <f t="shared" si="32"/>
        <v>0</v>
      </c>
      <c r="W44" s="33">
        <f t="shared" si="32"/>
        <v>0</v>
      </c>
      <c r="X44" s="33">
        <f t="shared" si="32"/>
        <v>0</v>
      </c>
      <c r="Y44" s="33">
        <f t="shared" si="32"/>
        <v>0</v>
      </c>
    </row>
    <row r="45" spans="5:25" ht="15" customHeight="1" x14ac:dyDescent="0.25">
      <c r="E45" s="137" t="s">
        <v>132</v>
      </c>
      <c r="F45" s="24" t="s">
        <v>7</v>
      </c>
      <c r="G45" s="24"/>
      <c r="H45" s="72"/>
      <c r="I45" s="180" t="str">
        <f>IFERROR((I44/H44-1),"NA")</f>
        <v>NA</v>
      </c>
      <c r="J45" s="180" t="str">
        <f t="shared" ref="J45:O45" si="33">IFERROR((J44/I44-1),"NA")</f>
        <v>NA</v>
      </c>
      <c r="K45" s="180" t="str">
        <f t="shared" si="33"/>
        <v>NA</v>
      </c>
      <c r="L45" s="180" t="str">
        <f t="shared" si="33"/>
        <v>NA</v>
      </c>
      <c r="M45" s="180" t="str">
        <f t="shared" si="33"/>
        <v>NA</v>
      </c>
      <c r="N45" s="180" t="str">
        <f t="shared" si="33"/>
        <v>NA</v>
      </c>
      <c r="O45" s="181" t="str">
        <f t="shared" si="33"/>
        <v>NA</v>
      </c>
      <c r="P45" s="181" t="str">
        <f>IFERROR((P44/O44-1),"NA")</f>
        <v>NA</v>
      </c>
      <c r="Q45" s="181" t="str">
        <f t="shared" ref="Q45:Y45" si="34">IFERROR((Q44/P44-1),"NA")</f>
        <v>NA</v>
      </c>
      <c r="R45" s="181" t="str">
        <f t="shared" si="34"/>
        <v>NA</v>
      </c>
      <c r="S45" s="181" t="str">
        <f t="shared" si="34"/>
        <v>NA</v>
      </c>
      <c r="T45" s="181" t="str">
        <f t="shared" si="34"/>
        <v>NA</v>
      </c>
      <c r="U45" s="181" t="str">
        <f t="shared" si="34"/>
        <v>NA</v>
      </c>
      <c r="V45" s="181" t="str">
        <f t="shared" si="34"/>
        <v>NA</v>
      </c>
      <c r="W45" s="181" t="str">
        <f t="shared" si="34"/>
        <v>NA</v>
      </c>
      <c r="X45" s="181" t="str">
        <f t="shared" si="34"/>
        <v>NA</v>
      </c>
      <c r="Y45" s="181" t="str">
        <f t="shared" si="34"/>
        <v>NA</v>
      </c>
    </row>
    <row r="46" spans="5:25" ht="15" customHeight="1" x14ac:dyDescent="0.25">
      <c r="E46" s="2" t="s">
        <v>197</v>
      </c>
      <c r="F46" s="24" t="s">
        <v>25</v>
      </c>
      <c r="G46" s="24"/>
      <c r="H46" s="175">
        <v>17.5</v>
      </c>
      <c r="I46" s="176">
        <v>18</v>
      </c>
      <c r="J46" s="176">
        <v>20</v>
      </c>
      <c r="K46" s="176">
        <v>19.399999999999999</v>
      </c>
      <c r="L46" s="176">
        <v>14.2</v>
      </c>
      <c r="M46" s="176">
        <v>3.7</v>
      </c>
      <c r="N46" s="176">
        <v>19.7</v>
      </c>
      <c r="O46" s="177">
        <v>18.100000000000001</v>
      </c>
      <c r="P46" s="33">
        <f>O46</f>
        <v>18.100000000000001</v>
      </c>
      <c r="Q46" s="33">
        <f t="shared" ref="Q46:Y46" si="35">P46</f>
        <v>18.100000000000001</v>
      </c>
      <c r="R46" s="33">
        <f t="shared" si="35"/>
        <v>18.100000000000001</v>
      </c>
      <c r="S46" s="33">
        <f t="shared" si="35"/>
        <v>18.100000000000001</v>
      </c>
      <c r="T46" s="33">
        <f t="shared" si="35"/>
        <v>18.100000000000001</v>
      </c>
      <c r="U46" s="33">
        <f t="shared" si="35"/>
        <v>18.100000000000001</v>
      </c>
      <c r="V46" s="33">
        <f t="shared" si="35"/>
        <v>18.100000000000001</v>
      </c>
      <c r="W46" s="33">
        <f t="shared" si="35"/>
        <v>18.100000000000001</v>
      </c>
      <c r="X46" s="33">
        <f t="shared" si="35"/>
        <v>18.100000000000001</v>
      </c>
      <c r="Y46" s="33">
        <f t="shared" si="35"/>
        <v>18.100000000000001</v>
      </c>
    </row>
    <row r="47" spans="5:25" ht="15" customHeight="1" x14ac:dyDescent="0.25">
      <c r="E47" s="137" t="s">
        <v>132</v>
      </c>
      <c r="F47" s="24" t="s">
        <v>7</v>
      </c>
      <c r="G47" s="24"/>
      <c r="H47" s="72"/>
      <c r="I47" s="180">
        <f>IFERROR((I46/H46-1),"NA")</f>
        <v>2.857142857142847E-2</v>
      </c>
      <c r="J47" s="180">
        <f t="shared" ref="J47:O47" si="36">IFERROR((J46/I46-1),"NA")</f>
        <v>0.11111111111111116</v>
      </c>
      <c r="K47" s="180">
        <f t="shared" si="36"/>
        <v>-3.0000000000000027E-2</v>
      </c>
      <c r="L47" s="180">
        <f t="shared" si="36"/>
        <v>-0.268041237113402</v>
      </c>
      <c r="M47" s="180">
        <f t="shared" si="36"/>
        <v>-0.73943661971830976</v>
      </c>
      <c r="N47" s="180">
        <f t="shared" si="36"/>
        <v>4.3243243243243237</v>
      </c>
      <c r="O47" s="180">
        <f t="shared" si="36"/>
        <v>-8.1218274111675037E-2</v>
      </c>
      <c r="P47" s="180">
        <f>IFERROR((P46/O46-1),"NA")</f>
        <v>0</v>
      </c>
      <c r="Q47" s="180">
        <f t="shared" ref="Q47:Y47" si="37">IFERROR((Q46/P46-1),"NA")</f>
        <v>0</v>
      </c>
      <c r="R47" s="180">
        <f t="shared" si="37"/>
        <v>0</v>
      </c>
      <c r="S47" s="180">
        <f t="shared" si="37"/>
        <v>0</v>
      </c>
      <c r="T47" s="180">
        <f t="shared" si="37"/>
        <v>0</v>
      </c>
      <c r="U47" s="180">
        <f t="shared" si="37"/>
        <v>0</v>
      </c>
      <c r="V47" s="180">
        <f t="shared" si="37"/>
        <v>0</v>
      </c>
      <c r="W47" s="180">
        <f t="shared" si="37"/>
        <v>0</v>
      </c>
      <c r="X47" s="180">
        <f t="shared" si="37"/>
        <v>0</v>
      </c>
      <c r="Y47" s="180">
        <f t="shared" si="37"/>
        <v>0</v>
      </c>
    </row>
    <row r="48" spans="5:25" ht="15" customHeight="1" x14ac:dyDescent="0.25">
      <c r="E48" s="1" t="s">
        <v>198</v>
      </c>
      <c r="F48" s="24" t="s">
        <v>25</v>
      </c>
      <c r="G48" s="24"/>
      <c r="H48" s="72">
        <f>H40+H42+H44+H46</f>
        <v>1143</v>
      </c>
      <c r="I48" s="72">
        <f t="shared" ref="I48:Y48" si="38">I40+I42+I44+I46</f>
        <v>1155</v>
      </c>
      <c r="J48" s="72">
        <f t="shared" si="38"/>
        <v>1226.2</v>
      </c>
      <c r="K48" s="72">
        <f t="shared" si="38"/>
        <v>1216.8</v>
      </c>
      <c r="L48" s="72">
        <f t="shared" si="38"/>
        <v>914.7</v>
      </c>
      <c r="M48" s="72">
        <f t="shared" si="38"/>
        <v>900.6</v>
      </c>
      <c r="N48" s="72">
        <f t="shared" si="38"/>
        <v>902.2</v>
      </c>
      <c r="O48" s="72">
        <f t="shared" si="38"/>
        <v>926.6</v>
      </c>
      <c r="P48" s="73">
        <f t="shared" si="38"/>
        <v>992.85500000000002</v>
      </c>
      <c r="Q48" s="73">
        <f t="shared" si="38"/>
        <v>1062.42275</v>
      </c>
      <c r="R48" s="73">
        <f t="shared" si="38"/>
        <v>1135.4688874999999</v>
      </c>
      <c r="S48" s="73">
        <f t="shared" si="38"/>
        <v>1212.1673318749999</v>
      </c>
      <c r="T48" s="73">
        <f t="shared" si="38"/>
        <v>1292.70069846875</v>
      </c>
      <c r="U48" s="73">
        <f t="shared" si="38"/>
        <v>1377.2607333921876</v>
      </c>
      <c r="V48" s="73">
        <f t="shared" si="38"/>
        <v>1466.0487700617971</v>
      </c>
      <c r="W48" s="73">
        <f t="shared" si="38"/>
        <v>1559.2762085648869</v>
      </c>
      <c r="X48" s="73">
        <f t="shared" si="38"/>
        <v>1657.1650189931313</v>
      </c>
      <c r="Y48" s="73">
        <f t="shared" si="38"/>
        <v>1759.9482699427879</v>
      </c>
    </row>
    <row r="49" spans="5:25" ht="15" customHeight="1" x14ac:dyDescent="0.25">
      <c r="E49" s="1" t="s">
        <v>199</v>
      </c>
      <c r="F49" s="24" t="s">
        <v>25</v>
      </c>
      <c r="G49" s="24"/>
      <c r="H49" s="72">
        <f>SUM(H48,H37)</f>
        <v>1289.5999999999999</v>
      </c>
      <c r="I49" s="72">
        <f t="shared" ref="I49:Y49" si="39">SUM(I48,I37)</f>
        <v>1332.7</v>
      </c>
      <c r="J49" s="72">
        <f t="shared" si="39"/>
        <v>1390.4</v>
      </c>
      <c r="K49" s="72">
        <f t="shared" si="39"/>
        <v>1380.8</v>
      </c>
      <c r="L49" s="72">
        <f t="shared" si="39"/>
        <v>1132.7</v>
      </c>
      <c r="M49" s="72">
        <f t="shared" si="39"/>
        <v>1064.5</v>
      </c>
      <c r="N49" s="72">
        <f t="shared" si="39"/>
        <v>932.80000000000007</v>
      </c>
      <c r="O49" s="72">
        <f t="shared" si="39"/>
        <v>963.4</v>
      </c>
      <c r="P49" s="73">
        <f t="shared" si="39"/>
        <v>1022.3105342635428</v>
      </c>
      <c r="Q49" s="73">
        <f t="shared" si="39"/>
        <v>1095.3864390260517</v>
      </c>
      <c r="R49" s="73">
        <f t="shared" si="39"/>
        <v>1171.065466193143</v>
      </c>
      <c r="S49" s="73">
        <f t="shared" si="39"/>
        <v>1249.0046994152463</v>
      </c>
      <c r="T49" s="73">
        <f t="shared" si="39"/>
        <v>1330.7655203097404</v>
      </c>
      <c r="U49" s="73">
        <f t="shared" si="39"/>
        <v>1416.5093997932941</v>
      </c>
      <c r="V49" s="73">
        <f t="shared" si="39"/>
        <v>1506.4309615408629</v>
      </c>
      <c r="W49" s="73">
        <f t="shared" si="39"/>
        <v>1600.7350074740261</v>
      </c>
      <c r="X49" s="73">
        <f t="shared" si="39"/>
        <v>1699.6370834080108</v>
      </c>
      <c r="Y49" s="73">
        <f t="shared" si="39"/>
        <v>1803.3640700114345</v>
      </c>
    </row>
    <row r="50" spans="5:25" ht="15" customHeight="1" x14ac:dyDescent="0.25">
      <c r="E50" s="2"/>
      <c r="F50" s="24"/>
      <c r="G50" s="24"/>
      <c r="H50" s="50"/>
      <c r="I50" s="50"/>
      <c r="J50" s="50"/>
      <c r="K50" s="85"/>
      <c r="L50" s="85"/>
      <c r="M50" s="85"/>
      <c r="N50" s="85"/>
      <c r="O50" s="85"/>
      <c r="P50" s="277"/>
      <c r="Q50" s="277"/>
      <c r="R50" s="277"/>
      <c r="S50" s="277"/>
      <c r="T50" s="277"/>
      <c r="U50" s="277"/>
      <c r="V50" s="277"/>
      <c r="W50" s="277"/>
      <c r="X50" s="277"/>
      <c r="Y50" s="277"/>
    </row>
    <row r="51" spans="5:25" ht="15" customHeight="1" x14ac:dyDescent="0.25">
      <c r="E51" s="2" t="s">
        <v>200</v>
      </c>
      <c r="F51" s="24" t="s">
        <v>25</v>
      </c>
      <c r="G51" s="24"/>
      <c r="H51" s="175">
        <v>-154.5</v>
      </c>
      <c r="I51" s="176">
        <v>-191</v>
      </c>
      <c r="J51" s="176">
        <v>-155.5</v>
      </c>
      <c r="K51" s="176">
        <v>-169.3</v>
      </c>
      <c r="L51" s="176">
        <v>-170.5</v>
      </c>
      <c r="M51" s="176">
        <v>-147.30000000000001</v>
      </c>
      <c r="N51" s="176">
        <v>-20.2</v>
      </c>
      <c r="O51" s="177">
        <v>-20.117000000000001</v>
      </c>
      <c r="P51" s="72">
        <f>O51*(1+P52)</f>
        <v>-20.117000000000001</v>
      </c>
      <c r="Q51" s="72">
        <f t="shared" ref="Q51:Y51" si="40">P51*(1+Q52)</f>
        <v>-20.117000000000001</v>
      </c>
      <c r="R51" s="72">
        <f t="shared" si="40"/>
        <v>-20.117000000000001</v>
      </c>
      <c r="S51" s="72">
        <f t="shared" si="40"/>
        <v>-20.117000000000001</v>
      </c>
      <c r="T51" s="72">
        <f t="shared" si="40"/>
        <v>-20.117000000000001</v>
      </c>
      <c r="U51" s="72">
        <f t="shared" si="40"/>
        <v>-20.117000000000001</v>
      </c>
      <c r="V51" s="72">
        <f t="shared" si="40"/>
        <v>-20.117000000000001</v>
      </c>
      <c r="W51" s="72">
        <f t="shared" si="40"/>
        <v>-20.117000000000001</v>
      </c>
      <c r="X51" s="72">
        <f t="shared" si="40"/>
        <v>-20.117000000000001</v>
      </c>
      <c r="Y51" s="72">
        <f t="shared" si="40"/>
        <v>-20.117000000000001</v>
      </c>
    </row>
    <row r="52" spans="5:25" ht="15" customHeight="1" x14ac:dyDescent="0.25">
      <c r="E52" s="137" t="s">
        <v>132</v>
      </c>
      <c r="F52" s="24" t="s">
        <v>7</v>
      </c>
      <c r="G52" s="24"/>
      <c r="H52" s="72"/>
      <c r="I52" s="180">
        <f>IFERROR((I51/H51-1),"NA")</f>
        <v>0.2362459546925566</v>
      </c>
      <c r="J52" s="180">
        <f t="shared" ref="J52:N52" si="41">IFERROR((J51/I51-1),"NA")</f>
        <v>-0.18586387434554974</v>
      </c>
      <c r="K52" s="180">
        <f t="shared" si="41"/>
        <v>8.8745980707395589E-2</v>
      </c>
      <c r="L52" s="180">
        <f t="shared" si="41"/>
        <v>7.0880094506791114E-3</v>
      </c>
      <c r="M52" s="180">
        <f t="shared" si="41"/>
        <v>-0.13607038123167148</v>
      </c>
      <c r="N52" s="180">
        <f t="shared" si="41"/>
        <v>-0.86286490156143925</v>
      </c>
      <c r="O52" s="180">
        <f>IFERROR((O51/N51-1),"NA")</f>
        <v>-4.1089108910890015E-3</v>
      </c>
      <c r="P52" s="178">
        <v>0</v>
      </c>
      <c r="Q52" s="324">
        <v>0</v>
      </c>
      <c r="R52" s="324">
        <v>0</v>
      </c>
      <c r="S52" s="324">
        <v>0</v>
      </c>
      <c r="T52" s="324">
        <v>0</v>
      </c>
      <c r="U52" s="324">
        <v>0</v>
      </c>
      <c r="V52" s="324">
        <v>0</v>
      </c>
      <c r="W52" s="324">
        <v>0</v>
      </c>
      <c r="X52" s="324">
        <v>0</v>
      </c>
      <c r="Y52" s="325">
        <v>0</v>
      </c>
    </row>
    <row r="53" spans="5:25" ht="15" customHeight="1" x14ac:dyDescent="0.25">
      <c r="E53" s="2" t="s">
        <v>201</v>
      </c>
      <c r="F53" s="24" t="s">
        <v>25</v>
      </c>
      <c r="G53" s="24"/>
      <c r="H53" s="175">
        <v>-69.5</v>
      </c>
      <c r="I53" s="176">
        <v>0</v>
      </c>
      <c r="J53" s="176">
        <v>-50</v>
      </c>
      <c r="K53" s="176">
        <v>0</v>
      </c>
      <c r="L53" s="176">
        <v>0</v>
      </c>
      <c r="M53" s="176">
        <v>0</v>
      </c>
      <c r="N53" s="176">
        <v>0</v>
      </c>
      <c r="O53" s="177">
        <v>-55.8</v>
      </c>
      <c r="P53" s="72">
        <f>O53*(1+P54)</f>
        <v>-55.8</v>
      </c>
      <c r="Q53" s="72">
        <f t="shared" ref="Q53:Y53" si="42">P53*(1+Q54)</f>
        <v>-55.8</v>
      </c>
      <c r="R53" s="72">
        <f t="shared" si="42"/>
        <v>-55.8</v>
      </c>
      <c r="S53" s="72">
        <f t="shared" si="42"/>
        <v>-55.8</v>
      </c>
      <c r="T53" s="72">
        <f t="shared" si="42"/>
        <v>-55.8</v>
      </c>
      <c r="U53" s="72">
        <f t="shared" si="42"/>
        <v>-55.8</v>
      </c>
      <c r="V53" s="72">
        <f t="shared" si="42"/>
        <v>-55.8</v>
      </c>
      <c r="W53" s="72">
        <f t="shared" si="42"/>
        <v>-55.8</v>
      </c>
      <c r="X53" s="72">
        <f t="shared" si="42"/>
        <v>-55.8</v>
      </c>
      <c r="Y53" s="72">
        <f t="shared" si="42"/>
        <v>-55.8</v>
      </c>
    </row>
    <row r="54" spans="5:25" ht="15" customHeight="1" x14ac:dyDescent="0.25">
      <c r="E54" s="137" t="s">
        <v>132</v>
      </c>
      <c r="F54" s="24" t="s">
        <v>7</v>
      </c>
      <c r="G54" s="24"/>
      <c r="H54" s="72"/>
      <c r="I54" s="180">
        <f>IFERROR((I53/H53-1),"NA")</f>
        <v>-1</v>
      </c>
      <c r="J54" s="180" t="str">
        <f t="shared" ref="J54:N54" si="43">IFERROR((J53/I53-1),"NA")</f>
        <v>NA</v>
      </c>
      <c r="K54" s="180">
        <f t="shared" si="43"/>
        <v>-1</v>
      </c>
      <c r="L54" s="180" t="str">
        <f t="shared" si="43"/>
        <v>NA</v>
      </c>
      <c r="M54" s="180" t="str">
        <f t="shared" si="43"/>
        <v>NA</v>
      </c>
      <c r="N54" s="180" t="str">
        <f t="shared" si="43"/>
        <v>NA</v>
      </c>
      <c r="O54" s="180" t="str">
        <f>IFERROR((O53/N53-1),"NA")</f>
        <v>NA</v>
      </c>
      <c r="P54" s="178">
        <v>0</v>
      </c>
      <c r="Q54" s="324">
        <v>0</v>
      </c>
      <c r="R54" s="324">
        <v>0</v>
      </c>
      <c r="S54" s="324">
        <v>0</v>
      </c>
      <c r="T54" s="324">
        <v>0</v>
      </c>
      <c r="U54" s="324">
        <v>0</v>
      </c>
      <c r="V54" s="324">
        <v>0</v>
      </c>
      <c r="W54" s="324">
        <v>0</v>
      </c>
      <c r="X54" s="324">
        <v>0</v>
      </c>
      <c r="Y54" s="325">
        <v>0</v>
      </c>
    </row>
    <row r="55" spans="5:25" ht="15" customHeight="1" x14ac:dyDescent="0.25">
      <c r="E55" s="2" t="s">
        <v>202</v>
      </c>
      <c r="F55" s="24" t="s">
        <v>25</v>
      </c>
      <c r="G55" s="24"/>
      <c r="H55" s="175">
        <v>0</v>
      </c>
      <c r="I55" s="176">
        <v>-0.2</v>
      </c>
      <c r="J55" s="176">
        <v>-0.2</v>
      </c>
      <c r="K55" s="176">
        <v>-0.2</v>
      </c>
      <c r="L55" s="176">
        <v>-0.2</v>
      </c>
      <c r="M55" s="176">
        <v>-0.8</v>
      </c>
      <c r="N55" s="176">
        <v>-0.1</v>
      </c>
      <c r="O55" s="177">
        <v>-0.1</v>
      </c>
      <c r="P55" s="72">
        <f>O55*(1+P56)</f>
        <v>-0.1</v>
      </c>
      <c r="Q55" s="72">
        <f t="shared" ref="Q55" si="44">P55*(1+Q56)</f>
        <v>-0.1</v>
      </c>
      <c r="R55" s="72">
        <f t="shared" ref="R55" si="45">Q55*(1+R56)</f>
        <v>-0.1</v>
      </c>
      <c r="S55" s="72">
        <f t="shared" ref="S55" si="46">R55*(1+S56)</f>
        <v>-0.1</v>
      </c>
      <c r="T55" s="72">
        <f t="shared" ref="T55" si="47">S55*(1+T56)</f>
        <v>-0.1</v>
      </c>
      <c r="U55" s="72">
        <f t="shared" ref="U55" si="48">T55*(1+U56)</f>
        <v>-0.1</v>
      </c>
      <c r="V55" s="72">
        <f t="shared" ref="V55" si="49">U55*(1+V56)</f>
        <v>-0.1</v>
      </c>
      <c r="W55" s="72">
        <f t="shared" ref="W55" si="50">V55*(1+W56)</f>
        <v>-0.1</v>
      </c>
      <c r="X55" s="72">
        <f t="shared" ref="X55" si="51">W55*(1+X56)</f>
        <v>-0.1</v>
      </c>
      <c r="Y55" s="72">
        <f t="shared" ref="Y55" si="52">X55*(1+Y56)</f>
        <v>-0.1</v>
      </c>
    </row>
    <row r="56" spans="5:25" ht="15" customHeight="1" x14ac:dyDescent="0.25">
      <c r="E56" s="137" t="s">
        <v>132</v>
      </c>
      <c r="F56" s="24" t="s">
        <v>7</v>
      </c>
      <c r="G56" s="24"/>
      <c r="H56" s="72"/>
      <c r="I56" s="180" t="str">
        <f>IFERROR((I55/H55-1),"NA")</f>
        <v>NA</v>
      </c>
      <c r="J56" s="180">
        <f t="shared" ref="J56:N56" si="53">IFERROR((J55/I55-1),"NA")</f>
        <v>0</v>
      </c>
      <c r="K56" s="180">
        <f t="shared" si="53"/>
        <v>0</v>
      </c>
      <c r="L56" s="180">
        <f t="shared" si="53"/>
        <v>0</v>
      </c>
      <c r="M56" s="180">
        <f t="shared" si="53"/>
        <v>3</v>
      </c>
      <c r="N56" s="180">
        <f t="shared" si="53"/>
        <v>-0.875</v>
      </c>
      <c r="O56" s="180">
        <f>IFERROR((O55/N55-1),"NA")</f>
        <v>0</v>
      </c>
      <c r="P56" s="178">
        <v>0</v>
      </c>
      <c r="Q56" s="324">
        <v>0</v>
      </c>
      <c r="R56" s="324">
        <v>0</v>
      </c>
      <c r="S56" s="324">
        <v>0</v>
      </c>
      <c r="T56" s="324">
        <v>0</v>
      </c>
      <c r="U56" s="324">
        <v>0</v>
      </c>
      <c r="V56" s="324">
        <v>0</v>
      </c>
      <c r="W56" s="324">
        <v>0</v>
      </c>
      <c r="X56" s="324">
        <v>0</v>
      </c>
      <c r="Y56" s="325">
        <v>0</v>
      </c>
    </row>
    <row r="57" spans="5:25" ht="15" customHeight="1" x14ac:dyDescent="0.25">
      <c r="E57" s="2" t="s">
        <v>203</v>
      </c>
      <c r="F57" s="24" t="s">
        <v>25</v>
      </c>
      <c r="G57" s="24"/>
      <c r="H57" s="175">
        <v>-0.3</v>
      </c>
      <c r="I57" s="176">
        <v>-4.0999999999999996</v>
      </c>
      <c r="J57" s="176">
        <v>-8.3000000000000007</v>
      </c>
      <c r="K57" s="176">
        <v>-13.6</v>
      </c>
      <c r="L57" s="176">
        <v>-4.2</v>
      </c>
      <c r="M57" s="176">
        <v>-105.3</v>
      </c>
      <c r="N57" s="176">
        <v>-35.6</v>
      </c>
      <c r="O57" s="177">
        <v>-21.4</v>
      </c>
      <c r="P57" s="72">
        <f>O57*(1+P58)</f>
        <v>-21.4</v>
      </c>
      <c r="Q57" s="72">
        <f t="shared" ref="Q57" si="54">P57*(1+Q58)</f>
        <v>-21.4</v>
      </c>
      <c r="R57" s="72">
        <f t="shared" ref="R57" si="55">Q57*(1+R58)</f>
        <v>-21.4</v>
      </c>
      <c r="S57" s="72">
        <f t="shared" ref="S57" si="56">R57*(1+S58)</f>
        <v>-21.4</v>
      </c>
      <c r="T57" s="72">
        <f t="shared" ref="T57" si="57">S57*(1+T58)</f>
        <v>-21.4</v>
      </c>
      <c r="U57" s="72">
        <f t="shared" ref="U57" si="58">T57*(1+U58)</f>
        <v>-21.4</v>
      </c>
      <c r="V57" s="72">
        <f t="shared" ref="V57" si="59">U57*(1+V58)</f>
        <v>-21.4</v>
      </c>
      <c r="W57" s="72">
        <f t="shared" ref="W57" si="60">V57*(1+W58)</f>
        <v>-21.4</v>
      </c>
      <c r="X57" s="72">
        <f t="shared" ref="X57" si="61">W57*(1+X58)</f>
        <v>-21.4</v>
      </c>
      <c r="Y57" s="72">
        <f t="shared" ref="Y57" si="62">X57*(1+Y58)</f>
        <v>-21.4</v>
      </c>
    </row>
    <row r="58" spans="5:25" ht="15" customHeight="1" x14ac:dyDescent="0.25">
      <c r="E58" s="137" t="s">
        <v>132</v>
      </c>
      <c r="F58" s="24" t="s">
        <v>7</v>
      </c>
      <c r="G58" s="24"/>
      <c r="H58" s="72"/>
      <c r="I58" s="180">
        <f>IFERROR((I57/H57-1),"NA")</f>
        <v>12.666666666666666</v>
      </c>
      <c r="J58" s="180">
        <f t="shared" ref="J58:N58" si="63">IFERROR((J57/I57-1),"NA")</f>
        <v>1.0243902439024395</v>
      </c>
      <c r="K58" s="180">
        <f t="shared" si="63"/>
        <v>0.6385542168674696</v>
      </c>
      <c r="L58" s="180">
        <f t="shared" si="63"/>
        <v>-0.69117647058823528</v>
      </c>
      <c r="M58" s="180">
        <f t="shared" si="63"/>
        <v>24.071428571428569</v>
      </c>
      <c r="N58" s="180">
        <f t="shared" si="63"/>
        <v>-0.66191832858499522</v>
      </c>
      <c r="O58" s="180">
        <f>IFERROR((O57/N57-1),"NA")</f>
        <v>-0.39887640449438211</v>
      </c>
      <c r="P58" s="178">
        <v>0</v>
      </c>
      <c r="Q58" s="324">
        <v>0</v>
      </c>
      <c r="R58" s="324">
        <v>0</v>
      </c>
      <c r="S58" s="324">
        <v>0</v>
      </c>
      <c r="T58" s="324">
        <v>0</v>
      </c>
      <c r="U58" s="324">
        <v>0</v>
      </c>
      <c r="V58" s="324">
        <v>0</v>
      </c>
      <c r="W58" s="324">
        <v>0</v>
      </c>
      <c r="X58" s="324">
        <v>0</v>
      </c>
      <c r="Y58" s="325">
        <v>0</v>
      </c>
    </row>
    <row r="59" spans="5:25" ht="15" customHeight="1" x14ac:dyDescent="0.25">
      <c r="E59" s="1" t="s">
        <v>204</v>
      </c>
      <c r="F59" s="24" t="s">
        <v>25</v>
      </c>
      <c r="G59" s="24"/>
      <c r="H59" s="70">
        <f t="shared" ref="H59:O59" si="64">H51+H53+H55+H57</f>
        <v>-224.3</v>
      </c>
      <c r="I59" s="70">
        <f t="shared" si="64"/>
        <v>-195.29999999999998</v>
      </c>
      <c r="J59" s="70">
        <f t="shared" si="64"/>
        <v>-214</v>
      </c>
      <c r="K59" s="70">
        <f t="shared" si="64"/>
        <v>-183.1</v>
      </c>
      <c r="L59" s="70">
        <f t="shared" si="64"/>
        <v>-174.89999999999998</v>
      </c>
      <c r="M59" s="70">
        <f t="shared" si="64"/>
        <v>-253.40000000000003</v>
      </c>
      <c r="N59" s="70">
        <f t="shared" si="64"/>
        <v>-55.900000000000006</v>
      </c>
      <c r="O59" s="70">
        <f t="shared" si="64"/>
        <v>-97.417000000000002</v>
      </c>
      <c r="P59" s="73">
        <f t="shared" ref="P59:Y59" si="65">P51+P53+P55+P57</f>
        <v>-97.417000000000002</v>
      </c>
      <c r="Q59" s="73">
        <f t="shared" si="65"/>
        <v>-97.417000000000002</v>
      </c>
      <c r="R59" s="73">
        <f t="shared" si="65"/>
        <v>-97.417000000000002</v>
      </c>
      <c r="S59" s="73">
        <f t="shared" si="65"/>
        <v>-97.417000000000002</v>
      </c>
      <c r="T59" s="73">
        <f t="shared" si="65"/>
        <v>-97.417000000000002</v>
      </c>
      <c r="U59" s="73">
        <f t="shared" si="65"/>
        <v>-97.417000000000002</v>
      </c>
      <c r="V59" s="73">
        <f t="shared" si="65"/>
        <v>-97.417000000000002</v>
      </c>
      <c r="W59" s="73">
        <f t="shared" si="65"/>
        <v>-97.417000000000002</v>
      </c>
      <c r="X59" s="73">
        <f t="shared" si="65"/>
        <v>-97.417000000000002</v>
      </c>
      <c r="Y59" s="73">
        <f t="shared" si="65"/>
        <v>-97.417000000000002</v>
      </c>
    </row>
    <row r="60" spans="5:25" ht="15" customHeight="1" x14ac:dyDescent="0.25">
      <c r="E60" s="1"/>
      <c r="F60" s="24"/>
      <c r="G60" s="24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</row>
    <row r="62" spans="5:25" ht="15" customHeight="1" x14ac:dyDescent="0.25">
      <c r="E62" s="2" t="s">
        <v>205</v>
      </c>
      <c r="F62" s="24" t="s">
        <v>25</v>
      </c>
      <c r="G62" s="24"/>
      <c r="H62" s="175">
        <v>0</v>
      </c>
      <c r="I62" s="176">
        <v>-2.5</v>
      </c>
      <c r="J62" s="176">
        <v>-2.2999999999999998</v>
      </c>
      <c r="K62" s="176">
        <v>-3.2</v>
      </c>
      <c r="L62" s="176">
        <v>-3.9</v>
      </c>
      <c r="M62" s="176">
        <v>-1.6</v>
      </c>
      <c r="N62" s="176">
        <v>-0.6</v>
      </c>
      <c r="O62" s="177">
        <v>-0.6</v>
      </c>
      <c r="P62" s="72">
        <f>O62*(1+P63)</f>
        <v>-0.6</v>
      </c>
      <c r="Q62" s="72">
        <f t="shared" ref="Q62" si="66">P62*(1+Q63)</f>
        <v>-0.6</v>
      </c>
      <c r="R62" s="72">
        <f t="shared" ref="R62" si="67">Q62*(1+R63)</f>
        <v>-0.6</v>
      </c>
      <c r="S62" s="72">
        <f t="shared" ref="S62" si="68">R62*(1+S63)</f>
        <v>-0.6</v>
      </c>
      <c r="T62" s="72">
        <f t="shared" ref="T62" si="69">S62*(1+T63)</f>
        <v>-0.6</v>
      </c>
      <c r="U62" s="72">
        <f t="shared" ref="U62" si="70">T62*(1+U63)</f>
        <v>-0.6</v>
      </c>
      <c r="V62" s="72">
        <f t="shared" ref="V62" si="71">U62*(1+V63)</f>
        <v>-0.6</v>
      </c>
      <c r="W62" s="72">
        <f t="shared" ref="W62" si="72">V62*(1+W63)</f>
        <v>-0.6</v>
      </c>
      <c r="X62" s="72">
        <f t="shared" ref="X62" si="73">W62*(1+X63)</f>
        <v>-0.6</v>
      </c>
      <c r="Y62" s="72">
        <f t="shared" ref="Y62" si="74">X62*(1+Y63)</f>
        <v>-0.6</v>
      </c>
    </row>
    <row r="63" spans="5:25" ht="15" customHeight="1" x14ac:dyDescent="0.25">
      <c r="E63" s="137" t="s">
        <v>132</v>
      </c>
      <c r="F63" s="24" t="s">
        <v>7</v>
      </c>
      <c r="G63" s="24"/>
      <c r="H63" s="72"/>
      <c r="I63" s="180" t="str">
        <f>IFERROR((I62/H62-1),"NA")</f>
        <v>NA</v>
      </c>
      <c r="J63" s="180">
        <f t="shared" ref="J63:N63" si="75">IFERROR((J62/I62-1),"NA")</f>
        <v>-8.0000000000000071E-2</v>
      </c>
      <c r="K63" s="180">
        <f t="shared" si="75"/>
        <v>0.39130434782608714</v>
      </c>
      <c r="L63" s="180">
        <f t="shared" si="75"/>
        <v>0.21875</v>
      </c>
      <c r="M63" s="180">
        <f t="shared" si="75"/>
        <v>-0.58974358974358965</v>
      </c>
      <c r="N63" s="180">
        <f t="shared" si="75"/>
        <v>-0.625</v>
      </c>
      <c r="O63" s="180">
        <f>IFERROR((O62/N62-1),"NA")</f>
        <v>0</v>
      </c>
      <c r="P63" s="178">
        <v>0</v>
      </c>
      <c r="Q63" s="324">
        <v>0</v>
      </c>
      <c r="R63" s="324">
        <v>0</v>
      </c>
      <c r="S63" s="324">
        <v>0</v>
      </c>
      <c r="T63" s="324">
        <v>0</v>
      </c>
      <c r="U63" s="324">
        <v>0</v>
      </c>
      <c r="V63" s="324">
        <v>0</v>
      </c>
      <c r="W63" s="324">
        <v>0</v>
      </c>
      <c r="X63" s="324">
        <v>0</v>
      </c>
      <c r="Y63" s="325">
        <v>0</v>
      </c>
    </row>
    <row r="64" spans="5:25" ht="15" customHeight="1" x14ac:dyDescent="0.25">
      <c r="E64" s="2" t="s">
        <v>206</v>
      </c>
      <c r="F64" s="24" t="s">
        <v>25</v>
      </c>
      <c r="G64" s="24"/>
      <c r="H64" s="175">
        <v>-150</v>
      </c>
      <c r="I64" s="176">
        <v>-170</v>
      </c>
      <c r="J64" s="176">
        <v>-208.6</v>
      </c>
      <c r="K64" s="176">
        <v>-246.6</v>
      </c>
      <c r="L64" s="176">
        <v>-274.60000000000002</v>
      </c>
      <c r="M64" s="176">
        <v>-199.7</v>
      </c>
      <c r="N64" s="176">
        <v>-259.60000000000002</v>
      </c>
      <c r="O64" s="177">
        <v>-264.8</v>
      </c>
      <c r="P64" s="72">
        <f>O64*(1+P65)</f>
        <v>-291.40572504476722</v>
      </c>
      <c r="Q64" s="72">
        <f t="shared" ref="Q64:Y64" si="76">P64*(1+Q65)</f>
        <v>-319.08879363752334</v>
      </c>
      <c r="R64" s="72">
        <f t="shared" si="76"/>
        <v>-340.97390636972341</v>
      </c>
      <c r="S64" s="72">
        <f t="shared" si="76"/>
        <v>-354.67803671207281</v>
      </c>
      <c r="T64" s="72">
        <f t="shared" si="76"/>
        <v>-360.26071190179965</v>
      </c>
      <c r="U64" s="72">
        <f t="shared" si="76"/>
        <v>-417.89895677072832</v>
      </c>
      <c r="V64" s="72">
        <f t="shared" si="76"/>
        <v>-426.26981414826218</v>
      </c>
      <c r="W64" s="72">
        <f t="shared" si="76"/>
        <v>-451.95376594700639</v>
      </c>
      <c r="X64" s="72">
        <f t="shared" si="76"/>
        <v>-484.41971077227015</v>
      </c>
      <c r="Y64" s="72">
        <f t="shared" si="76"/>
        <v>-518.82444070426777</v>
      </c>
    </row>
    <row r="65" spans="3:26" ht="15" customHeight="1" x14ac:dyDescent="0.25">
      <c r="E65" s="137" t="s">
        <v>132</v>
      </c>
      <c r="F65" s="24" t="s">
        <v>7</v>
      </c>
      <c r="G65" s="24"/>
      <c r="H65" s="72"/>
      <c r="I65" s="180">
        <f>IFERROR((I64/H64-1),"NA")</f>
        <v>0.1333333333333333</v>
      </c>
      <c r="J65" s="180">
        <f t="shared" ref="J65:N65" si="77">IFERROR((J64/I64-1),"NA")</f>
        <v>0.22705882352941176</v>
      </c>
      <c r="K65" s="180">
        <f t="shared" si="77"/>
        <v>0.18216682646212856</v>
      </c>
      <c r="L65" s="180">
        <f t="shared" si="77"/>
        <v>0.11354420113544217</v>
      </c>
      <c r="M65" s="180">
        <f t="shared" si="77"/>
        <v>-0.2727603787327022</v>
      </c>
      <c r="N65" s="180">
        <f t="shared" si="77"/>
        <v>0.29994992488733119</v>
      </c>
      <c r="O65" s="180">
        <f>IFERROR((O64/N64-1),"NA")</f>
        <v>2.003081664098616E-2</v>
      </c>
      <c r="P65" s="178">
        <f>AVERAGE(I65:$O$65)</f>
        <v>0.10047479246513299</v>
      </c>
      <c r="Q65" s="324">
        <f>AVERAGE(J65:$O$65)</f>
        <v>9.499836898709961E-2</v>
      </c>
      <c r="R65" s="324">
        <f>AVERAGE(K65:$O$65)</f>
        <v>6.8586278078637181E-2</v>
      </c>
      <c r="S65" s="324">
        <f>AVERAGE(L65:$O$65)</f>
        <v>4.0191140982764328E-2</v>
      </c>
      <c r="T65" s="324">
        <f>AVERAGE(M65:$O$65)</f>
        <v>1.5740120931871715E-2</v>
      </c>
      <c r="U65" s="324">
        <f>AVERAGE(N65:$O$65)</f>
        <v>0.15999037076415867</v>
      </c>
      <c r="V65" s="324">
        <f>AVERAGE(O65:$O$65)</f>
        <v>2.003081664098616E-2</v>
      </c>
      <c r="W65" s="324">
        <f>AVERAGE($O65:P$65)</f>
        <v>6.0252804553059577E-2</v>
      </c>
      <c r="X65" s="324">
        <f>AVERAGE($O65:Q$65)</f>
        <v>7.183465936440625E-2</v>
      </c>
      <c r="Y65" s="325">
        <f>AVERAGE($O65:R$65)</f>
        <v>7.1022564042963976E-2</v>
      </c>
    </row>
    <row r="66" spans="3:26" ht="15" customHeight="1" x14ac:dyDescent="0.25">
      <c r="E66" s="2" t="s">
        <v>207</v>
      </c>
      <c r="F66" s="24" t="s">
        <v>25</v>
      </c>
      <c r="G66" s="24"/>
      <c r="H66" s="175">
        <v>-163</v>
      </c>
      <c r="I66" s="176">
        <v>-172.2</v>
      </c>
      <c r="J66" s="176">
        <v>-195.8</v>
      </c>
      <c r="K66" s="176">
        <v>-191.4</v>
      </c>
      <c r="L66" s="176">
        <v>-150.5</v>
      </c>
      <c r="M66" s="176">
        <v>-207.4</v>
      </c>
      <c r="N66" s="176">
        <v>-112.4</v>
      </c>
      <c r="O66" s="177">
        <v>-110.9</v>
      </c>
      <c r="P66" s="72">
        <f>O66*(1+P67)</f>
        <v>-110.9</v>
      </c>
      <c r="Q66" s="72">
        <f t="shared" ref="Q66" si="78">P66*(1+Q67)</f>
        <v>-110.9</v>
      </c>
      <c r="R66" s="72">
        <f t="shared" ref="R66" si="79">Q66*(1+R67)</f>
        <v>-110.9</v>
      </c>
      <c r="S66" s="72">
        <f t="shared" ref="S66" si="80">R66*(1+S67)</f>
        <v>-110.9</v>
      </c>
      <c r="T66" s="72">
        <f t="shared" ref="T66" si="81">S66*(1+T67)</f>
        <v>-110.9</v>
      </c>
      <c r="U66" s="72">
        <f t="shared" ref="U66" si="82">T66*(1+U67)</f>
        <v>-110.9</v>
      </c>
      <c r="V66" s="72">
        <f t="shared" ref="V66" si="83">U66*(1+V67)</f>
        <v>-110.9</v>
      </c>
      <c r="W66" s="72">
        <f t="shared" ref="W66" si="84">V66*(1+W67)</f>
        <v>-110.9</v>
      </c>
      <c r="X66" s="72">
        <f t="shared" ref="X66" si="85">W66*(1+X67)</f>
        <v>-110.9</v>
      </c>
      <c r="Y66" s="72">
        <f t="shared" ref="Y66" si="86">X66*(1+Y67)</f>
        <v>-110.9</v>
      </c>
      <c r="Z66" s="139"/>
    </row>
    <row r="67" spans="3:26" ht="15" customHeight="1" x14ac:dyDescent="0.25">
      <c r="E67" s="137" t="s">
        <v>132</v>
      </c>
      <c r="F67" s="24" t="s">
        <v>7</v>
      </c>
      <c r="G67" s="24"/>
      <c r="H67" s="72"/>
      <c r="I67" s="180">
        <f>IFERROR((I66/H66-1),"NA")</f>
        <v>5.6441717791410939E-2</v>
      </c>
      <c r="J67" s="180">
        <f t="shared" ref="J67:N67" si="87">IFERROR((J66/I66-1),"NA")</f>
        <v>0.13704994192799091</v>
      </c>
      <c r="K67" s="180">
        <f t="shared" si="87"/>
        <v>-2.2471910112359605E-2</v>
      </c>
      <c r="L67" s="180">
        <f t="shared" si="87"/>
        <v>-0.21368861024033436</v>
      </c>
      <c r="M67" s="180">
        <f t="shared" si="87"/>
        <v>0.37807308970099673</v>
      </c>
      <c r="N67" s="180">
        <f t="shared" si="87"/>
        <v>-0.45805207328833175</v>
      </c>
      <c r="O67" s="180">
        <f>IFERROR((O66/N66-1),"NA")</f>
        <v>-1.3345195729537407E-2</v>
      </c>
      <c r="P67" s="178">
        <v>0</v>
      </c>
      <c r="Q67" s="324">
        <v>0</v>
      </c>
      <c r="R67" s="324">
        <v>0</v>
      </c>
      <c r="S67" s="324">
        <v>0</v>
      </c>
      <c r="T67" s="324">
        <v>0</v>
      </c>
      <c r="U67" s="324">
        <v>0</v>
      </c>
      <c r="V67" s="324">
        <v>0</v>
      </c>
      <c r="W67" s="324">
        <v>0</v>
      </c>
      <c r="X67" s="324">
        <v>0</v>
      </c>
      <c r="Y67" s="325">
        <v>0</v>
      </c>
    </row>
    <row r="68" spans="3:26" ht="15" customHeight="1" x14ac:dyDescent="0.25">
      <c r="E68" s="1" t="s">
        <v>236</v>
      </c>
      <c r="F68" s="24" t="s">
        <v>25</v>
      </c>
      <c r="G68" s="24"/>
      <c r="H68" s="70">
        <f>H62+H64+H66</f>
        <v>-313</v>
      </c>
      <c r="I68" s="70">
        <f t="shared" ref="I68:Y68" si="88">I62+I64+I66</f>
        <v>-344.7</v>
      </c>
      <c r="J68" s="70">
        <f t="shared" si="88"/>
        <v>-406.70000000000005</v>
      </c>
      <c r="K68" s="70">
        <f t="shared" si="88"/>
        <v>-441.2</v>
      </c>
      <c r="L68" s="70">
        <f t="shared" si="88"/>
        <v>-429</v>
      </c>
      <c r="M68" s="70">
        <f t="shared" si="88"/>
        <v>-408.7</v>
      </c>
      <c r="N68" s="70">
        <f t="shared" si="88"/>
        <v>-372.6</v>
      </c>
      <c r="O68" s="70">
        <f t="shared" si="88"/>
        <v>-376.30000000000007</v>
      </c>
      <c r="P68" s="70">
        <f t="shared" si="88"/>
        <v>-402.90572504476722</v>
      </c>
      <c r="Q68" s="70">
        <f t="shared" si="88"/>
        <v>-430.58879363752339</v>
      </c>
      <c r="R68" s="70">
        <f t="shared" si="88"/>
        <v>-452.47390636972341</v>
      </c>
      <c r="S68" s="70">
        <f t="shared" si="88"/>
        <v>-466.17803671207287</v>
      </c>
      <c r="T68" s="70">
        <f t="shared" si="88"/>
        <v>-471.76071190179971</v>
      </c>
      <c r="U68" s="70">
        <f t="shared" si="88"/>
        <v>-529.39895677072832</v>
      </c>
      <c r="V68" s="70">
        <f t="shared" si="88"/>
        <v>-537.76981414826218</v>
      </c>
      <c r="W68" s="70">
        <f t="shared" si="88"/>
        <v>-563.45376594700645</v>
      </c>
      <c r="X68" s="70">
        <f t="shared" si="88"/>
        <v>-595.91971077227015</v>
      </c>
      <c r="Y68" s="70">
        <f t="shared" si="88"/>
        <v>-630.32444070426777</v>
      </c>
    </row>
    <row r="69" spans="3:26" ht="15" customHeight="1" x14ac:dyDescent="0.25">
      <c r="E69" s="1" t="s">
        <v>208</v>
      </c>
      <c r="F69" s="24" t="s">
        <v>25</v>
      </c>
      <c r="G69" s="24"/>
      <c r="H69" s="97">
        <f t="shared" ref="H69:Y69" si="89">SUM(H59,H68)</f>
        <v>-537.29999999999995</v>
      </c>
      <c r="I69" s="97">
        <f t="shared" si="89"/>
        <v>-540</v>
      </c>
      <c r="J69" s="97">
        <f t="shared" si="89"/>
        <v>-620.70000000000005</v>
      </c>
      <c r="K69" s="97">
        <f t="shared" si="89"/>
        <v>-624.29999999999995</v>
      </c>
      <c r="L69" s="97">
        <f t="shared" si="89"/>
        <v>-603.9</v>
      </c>
      <c r="M69" s="97">
        <f t="shared" si="89"/>
        <v>-662.1</v>
      </c>
      <c r="N69" s="97">
        <f t="shared" si="89"/>
        <v>-428.5</v>
      </c>
      <c r="O69" s="97">
        <f t="shared" si="89"/>
        <v>-473.7170000000001</v>
      </c>
      <c r="P69" s="97">
        <f t="shared" si="89"/>
        <v>-500.32272504476725</v>
      </c>
      <c r="Q69" s="97">
        <f t="shared" si="89"/>
        <v>-528.00579363752342</v>
      </c>
      <c r="R69" s="97">
        <f t="shared" si="89"/>
        <v>-549.89090636972344</v>
      </c>
      <c r="S69" s="97">
        <f t="shared" si="89"/>
        <v>-563.5950367120729</v>
      </c>
      <c r="T69" s="97">
        <f t="shared" si="89"/>
        <v>-569.17771190179974</v>
      </c>
      <c r="U69" s="97">
        <f t="shared" si="89"/>
        <v>-626.81595677072835</v>
      </c>
      <c r="V69" s="97">
        <f t="shared" si="89"/>
        <v>-635.18681414826221</v>
      </c>
      <c r="W69" s="97">
        <f t="shared" si="89"/>
        <v>-660.87076594700648</v>
      </c>
      <c r="X69" s="97">
        <f t="shared" si="89"/>
        <v>-693.33671077227018</v>
      </c>
      <c r="Y69" s="97">
        <f t="shared" si="89"/>
        <v>-727.7414407042678</v>
      </c>
    </row>
    <row r="70" spans="3:26" ht="15" customHeight="1" x14ac:dyDescent="0.25">
      <c r="E70" s="2"/>
      <c r="F70" s="24"/>
      <c r="G70" s="24"/>
      <c r="H70" s="50"/>
      <c r="I70" s="50"/>
      <c r="J70" s="50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</row>
    <row r="71" spans="3:26" ht="15" customHeight="1" x14ac:dyDescent="0.25">
      <c r="E71" s="1" t="s">
        <v>234</v>
      </c>
      <c r="F71" s="24" t="s">
        <v>25</v>
      </c>
      <c r="G71" s="24"/>
      <c r="H71" s="97">
        <f t="shared" ref="H71:O71" si="90">SUM(H49,H69)</f>
        <v>752.3</v>
      </c>
      <c r="I71" s="97">
        <f t="shared" si="90"/>
        <v>792.7</v>
      </c>
      <c r="J71" s="97">
        <f t="shared" si="90"/>
        <v>769.7</v>
      </c>
      <c r="K71" s="97">
        <f t="shared" si="90"/>
        <v>756.5</v>
      </c>
      <c r="L71" s="97">
        <f t="shared" si="90"/>
        <v>528.80000000000007</v>
      </c>
      <c r="M71" s="97">
        <f t="shared" si="90"/>
        <v>402.4</v>
      </c>
      <c r="N71" s="97">
        <f t="shared" si="90"/>
        <v>504.30000000000007</v>
      </c>
      <c r="O71" s="97">
        <f t="shared" si="90"/>
        <v>489.68299999999988</v>
      </c>
      <c r="P71" s="97">
        <f>SUM(P49,P69)</f>
        <v>521.98780921877551</v>
      </c>
      <c r="Q71" s="97">
        <f t="shared" ref="Q71:Y71" si="91">SUM(Q49,Q69)</f>
        <v>567.38064538852825</v>
      </c>
      <c r="R71" s="97">
        <f t="shared" si="91"/>
        <v>621.1745598234196</v>
      </c>
      <c r="S71" s="97">
        <f t="shared" si="91"/>
        <v>685.40966270317335</v>
      </c>
      <c r="T71" s="97">
        <f t="shared" si="91"/>
        <v>761.58780840794066</v>
      </c>
      <c r="U71" s="97">
        <f t="shared" si="91"/>
        <v>789.6934430225657</v>
      </c>
      <c r="V71" s="97">
        <f t="shared" si="91"/>
        <v>871.24414739260067</v>
      </c>
      <c r="W71" s="97">
        <f t="shared" si="91"/>
        <v>939.86424152701966</v>
      </c>
      <c r="X71" s="97">
        <f t="shared" si="91"/>
        <v>1006.3003726357406</v>
      </c>
      <c r="Y71" s="97">
        <f t="shared" si="91"/>
        <v>1075.6226293071668</v>
      </c>
    </row>
    <row r="72" spans="3:26" ht="15" customHeight="1" x14ac:dyDescent="0.25">
      <c r="C72" s="2"/>
      <c r="D72" s="2"/>
      <c r="E72" s="140"/>
      <c r="F72" s="24"/>
      <c r="G72" s="24"/>
      <c r="H72" s="141"/>
      <c r="I72" s="141"/>
      <c r="J72" s="141"/>
      <c r="K72" s="141"/>
      <c r="L72" s="141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</row>
    <row r="73" spans="3:26" ht="15" customHeight="1" x14ac:dyDescent="0.25">
      <c r="C73" s="2"/>
      <c r="D73" s="2"/>
      <c r="E73" s="1" t="s">
        <v>20</v>
      </c>
      <c r="F73" s="24" t="s">
        <v>25</v>
      </c>
      <c r="G73" s="24"/>
      <c r="H73" s="27">
        <f t="shared" ref="H73:Y73" si="92">H29+H64+H53+H62+H55</f>
        <v>-217.8</v>
      </c>
      <c r="I73" s="27">
        <f t="shared" si="92"/>
        <v>-155.1</v>
      </c>
      <c r="J73" s="27">
        <f t="shared" si="92"/>
        <v>-260.29999999999995</v>
      </c>
      <c r="K73" s="27">
        <f t="shared" si="92"/>
        <v>-244.69999999999996</v>
      </c>
      <c r="L73" s="27">
        <f t="shared" si="92"/>
        <v>-235.4</v>
      </c>
      <c r="M73" s="27">
        <f t="shared" si="92"/>
        <v>-186</v>
      </c>
      <c r="N73" s="27">
        <f t="shared" si="92"/>
        <v>-257.90000000000009</v>
      </c>
      <c r="O73" s="27">
        <f t="shared" si="92"/>
        <v>-316.40000000000009</v>
      </c>
      <c r="P73" s="27">
        <f t="shared" si="92"/>
        <v>-343.98365662380644</v>
      </c>
      <c r="Q73" s="27">
        <f t="shared" si="92"/>
        <v>-371.19960678351106</v>
      </c>
      <c r="R73" s="27">
        <f t="shared" si="92"/>
        <v>-392.73414453286472</v>
      </c>
      <c r="S73" s="27">
        <f t="shared" si="92"/>
        <v>-406.27306114285528</v>
      </c>
      <c r="T73" s="27">
        <f t="shared" si="92"/>
        <v>-411.69229812405916</v>
      </c>
      <c r="U73" s="27">
        <f t="shared" si="92"/>
        <v>-469.17291151623323</v>
      </c>
      <c r="V73" s="27">
        <f t="shared" si="92"/>
        <v>-477.39283756545183</v>
      </c>
      <c r="W73" s="27">
        <f t="shared" si="92"/>
        <v>-502.93343674443082</v>
      </c>
      <c r="X73" s="27">
        <f t="shared" si="92"/>
        <v>-535.26446306485411</v>
      </c>
      <c r="Y73" s="27">
        <f t="shared" si="92"/>
        <v>-569.54353254295347</v>
      </c>
    </row>
    <row r="74" spans="3:26" ht="15" customHeight="1" x14ac:dyDescent="0.25">
      <c r="C74" s="2"/>
      <c r="D74" s="2"/>
      <c r="E74" s="1" t="s">
        <v>257</v>
      </c>
      <c r="F74" s="24" t="s">
        <v>25</v>
      </c>
      <c r="G74" s="24"/>
      <c r="H74" s="27">
        <f t="shared" ref="H74:Y74" si="93">H31+H33+H51</f>
        <v>-118.5</v>
      </c>
      <c r="I74" s="27">
        <f t="shared" si="93"/>
        <v>-167.6</v>
      </c>
      <c r="J74" s="27">
        <f t="shared" si="93"/>
        <v>-128.69999999999999</v>
      </c>
      <c r="K74" s="27">
        <f t="shared" si="93"/>
        <v>-154.10000000000002</v>
      </c>
      <c r="L74" s="27">
        <f t="shared" si="93"/>
        <v>-147.4</v>
      </c>
      <c r="M74" s="27">
        <f t="shared" si="93"/>
        <v>-124.70000000000002</v>
      </c>
      <c r="N74" s="27">
        <f t="shared" si="93"/>
        <v>3.9000000000000021</v>
      </c>
      <c r="O74" s="27">
        <f t="shared" si="93"/>
        <v>3.1829999999999998</v>
      </c>
      <c r="P74" s="27">
        <f t="shared" si="93"/>
        <v>-1.4671644472677769</v>
      </c>
      <c r="Q74" s="27">
        <f t="shared" si="93"/>
        <v>0.75403136703815932</v>
      </c>
      <c r="R74" s="27">
        <f t="shared" si="93"/>
        <v>2.4210511834303432</v>
      </c>
      <c r="S74" s="27">
        <f t="shared" si="93"/>
        <v>3.2066593393407636</v>
      </c>
      <c r="T74" s="27">
        <f t="shared" si="93"/>
        <v>3.9838246982357148</v>
      </c>
      <c r="U74" s="27">
        <f t="shared" si="93"/>
        <v>4.7333784550483067</v>
      </c>
      <c r="V74" s="27">
        <f t="shared" si="93"/>
        <v>5.4510723223433466</v>
      </c>
      <c r="W74" s="27">
        <f t="shared" si="93"/>
        <v>6.1327286571452255</v>
      </c>
      <c r="X74" s="27">
        <f t="shared" si="93"/>
        <v>6.7742799148557999</v>
      </c>
      <c r="Y74" s="27">
        <f t="shared" si="93"/>
        <v>7.3718081956376587</v>
      </c>
    </row>
    <row r="75" spans="3:26" ht="15" customHeight="1" x14ac:dyDescent="0.25">
      <c r="C75" s="2"/>
      <c r="D75" s="2"/>
      <c r="E75" s="2" t="s">
        <v>258</v>
      </c>
      <c r="F75" s="24"/>
      <c r="G75" s="24"/>
      <c r="H75" s="27"/>
      <c r="I75" s="27">
        <f t="shared" ref="I75:Y75" si="94">H74-I74</f>
        <v>49.099999999999994</v>
      </c>
      <c r="J75" s="27">
        <f t="shared" si="94"/>
        <v>-38.900000000000006</v>
      </c>
      <c r="K75" s="27">
        <f t="shared" si="94"/>
        <v>25.400000000000034</v>
      </c>
      <c r="L75" s="27">
        <f t="shared" si="94"/>
        <v>-6.7000000000000171</v>
      </c>
      <c r="M75" s="27">
        <f t="shared" si="94"/>
        <v>-22.699999999999989</v>
      </c>
      <c r="N75" s="27">
        <f t="shared" si="94"/>
        <v>-128.60000000000002</v>
      </c>
      <c r="O75" s="27">
        <f t="shared" si="94"/>
        <v>0.7170000000000023</v>
      </c>
      <c r="P75" s="27">
        <f>O74-P74</f>
        <v>4.6501644472677768</v>
      </c>
      <c r="Q75" s="27">
        <f t="shared" si="94"/>
        <v>-2.2211958143059363</v>
      </c>
      <c r="R75" s="27">
        <f t="shared" si="94"/>
        <v>-1.6670198163921839</v>
      </c>
      <c r="S75" s="27">
        <f t="shared" si="94"/>
        <v>-0.78560815591042044</v>
      </c>
      <c r="T75" s="27">
        <f t="shared" si="94"/>
        <v>-0.7771653588949512</v>
      </c>
      <c r="U75" s="27">
        <f t="shared" si="94"/>
        <v>-0.74955375681259184</v>
      </c>
      <c r="V75" s="27">
        <f t="shared" si="94"/>
        <v>-0.71769386729503992</v>
      </c>
      <c r="W75" s="27">
        <f t="shared" si="94"/>
        <v>-0.68165633480187893</v>
      </c>
      <c r="X75" s="27">
        <f t="shared" si="94"/>
        <v>-0.64155125771057442</v>
      </c>
      <c r="Y75" s="27">
        <f t="shared" si="94"/>
        <v>-0.59752828078185871</v>
      </c>
    </row>
    <row r="76" spans="3:26" ht="15" customHeight="1" x14ac:dyDescent="0.25">
      <c r="C76" s="2"/>
      <c r="D76" s="2"/>
      <c r="E76" s="2"/>
      <c r="F76" s="24"/>
      <c r="G76" s="24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spans="3:26" ht="15" customHeight="1" x14ac:dyDescent="0.25">
      <c r="C77" s="130" t="s">
        <v>217</v>
      </c>
      <c r="D77" s="131"/>
      <c r="E77" s="131"/>
      <c r="F77" s="132"/>
      <c r="G77" s="132"/>
      <c r="H77" s="142"/>
      <c r="I77" s="142"/>
      <c r="J77" s="142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</row>
    <row r="78" spans="3:26" ht="15" customHeight="1" x14ac:dyDescent="0.25">
      <c r="C78" s="2"/>
      <c r="D78" s="2"/>
      <c r="E78" s="2"/>
      <c r="F78" s="24"/>
      <c r="G78" s="24"/>
      <c r="H78" s="50"/>
      <c r="I78" s="50"/>
      <c r="J78" s="50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</row>
    <row r="79" spans="3:26" ht="15" customHeight="1" x14ac:dyDescent="0.25">
      <c r="E79" s="2" t="s">
        <v>209</v>
      </c>
      <c r="F79" s="24" t="s">
        <v>25</v>
      </c>
      <c r="G79" s="24"/>
      <c r="H79" s="175"/>
      <c r="I79" s="176"/>
      <c r="J79" s="176"/>
      <c r="K79" s="176"/>
      <c r="L79" s="176"/>
      <c r="M79" s="176"/>
      <c r="N79" s="176"/>
      <c r="O79" s="177">
        <v>7.3</v>
      </c>
      <c r="P79" s="308"/>
      <c r="Q79" s="309"/>
      <c r="R79" s="309"/>
      <c r="S79" s="309"/>
      <c r="T79" s="309"/>
      <c r="U79" s="309"/>
      <c r="V79" s="309"/>
      <c r="W79" s="309"/>
      <c r="X79" s="309"/>
      <c r="Y79" s="179"/>
    </row>
    <row r="80" spans="3:26" ht="15" customHeight="1" thickBot="1" x14ac:dyDescent="0.3">
      <c r="E80" s="2" t="s">
        <v>210</v>
      </c>
      <c r="F80" s="24" t="s">
        <v>25</v>
      </c>
      <c r="G80" s="24"/>
      <c r="H80" s="175"/>
      <c r="I80" s="176"/>
      <c r="J80" s="176"/>
      <c r="K80" s="176"/>
      <c r="L80" s="176">
        <v>13.3</v>
      </c>
      <c r="M80" s="176">
        <v>1.9</v>
      </c>
      <c r="N80" s="176">
        <v>2.4</v>
      </c>
      <c r="O80" s="177">
        <v>5.0999999999999996</v>
      </c>
      <c r="P80" s="175"/>
      <c r="Q80" s="176"/>
      <c r="R80" s="176"/>
      <c r="S80" s="176"/>
      <c r="T80" s="176"/>
      <c r="U80" s="176"/>
      <c r="V80" s="176"/>
      <c r="W80" s="176"/>
      <c r="X80" s="176"/>
      <c r="Y80" s="177"/>
    </row>
    <row r="81" spans="3:27" ht="15" customHeight="1" thickBot="1" x14ac:dyDescent="0.3">
      <c r="E81" s="2" t="s">
        <v>211</v>
      </c>
      <c r="F81" s="24" t="s">
        <v>25</v>
      </c>
      <c r="G81" s="24"/>
      <c r="H81" s="175">
        <v>-81.2</v>
      </c>
      <c r="I81" s="176">
        <v>-94.6</v>
      </c>
      <c r="J81" s="176">
        <v>-162.30000000000001</v>
      </c>
      <c r="K81" s="176">
        <v>-77.7</v>
      </c>
      <c r="L81" s="176">
        <v>-33.9</v>
      </c>
      <c r="M81" s="176">
        <v>-33.4</v>
      </c>
      <c r="N81" s="176">
        <v>-59.1</v>
      </c>
      <c r="O81" s="177">
        <v>-63.1</v>
      </c>
      <c r="P81" s="33">
        <f>O81*(1+$Z$81)</f>
        <v>-66.25500000000001</v>
      </c>
      <c r="Q81" s="33">
        <f t="shared" ref="Q81:Y81" si="95">P81*(1+$Z$81)</f>
        <v>-69.567750000000018</v>
      </c>
      <c r="R81" s="33">
        <f t="shared" si="95"/>
        <v>-73.046137500000029</v>
      </c>
      <c r="S81" s="33">
        <f t="shared" si="95"/>
        <v>-76.698444375000037</v>
      </c>
      <c r="T81" s="33">
        <f t="shared" si="95"/>
        <v>-80.533366593750046</v>
      </c>
      <c r="U81" s="33">
        <f t="shared" si="95"/>
        <v>-84.560034923437556</v>
      </c>
      <c r="V81" s="33">
        <f t="shared" si="95"/>
        <v>-88.78803666960944</v>
      </c>
      <c r="W81" s="33">
        <f t="shared" si="95"/>
        <v>-93.227438503089914</v>
      </c>
      <c r="X81" s="33">
        <f t="shared" si="95"/>
        <v>-97.888810428244412</v>
      </c>
      <c r="Y81" s="33">
        <f t="shared" si="95"/>
        <v>-102.78325094965663</v>
      </c>
      <c r="Z81" s="138">
        <v>0.05</v>
      </c>
      <c r="AA81" s="18" t="s">
        <v>166</v>
      </c>
    </row>
    <row r="82" spans="3:27" ht="15" customHeight="1" x14ac:dyDescent="0.25">
      <c r="E82" s="1" t="s">
        <v>266</v>
      </c>
      <c r="F82" s="24" t="s">
        <v>25</v>
      </c>
      <c r="G82" s="24"/>
      <c r="H82" s="72">
        <f>SUM(H79:H81)</f>
        <v>-81.2</v>
      </c>
      <c r="I82" s="72">
        <f t="shared" ref="I82:O82" si="96">SUM(I79:I81)</f>
        <v>-94.6</v>
      </c>
      <c r="J82" s="72">
        <f t="shared" si="96"/>
        <v>-162.30000000000001</v>
      </c>
      <c r="K82" s="72">
        <f t="shared" si="96"/>
        <v>-77.7</v>
      </c>
      <c r="L82" s="72">
        <f t="shared" si="96"/>
        <v>-20.599999999999998</v>
      </c>
      <c r="M82" s="72">
        <f t="shared" si="96"/>
        <v>-31.5</v>
      </c>
      <c r="N82" s="72">
        <f t="shared" si="96"/>
        <v>-56.7</v>
      </c>
      <c r="O82" s="72">
        <f t="shared" si="96"/>
        <v>-50.7</v>
      </c>
      <c r="P82" s="33">
        <f>AVERAGE(H81:O81)</f>
        <v>-75.662499999999994</v>
      </c>
      <c r="Q82" s="33">
        <f t="shared" ref="Q82:Y82" si="97">AVERAGE(I81:P81)</f>
        <v>-73.794374999999988</v>
      </c>
      <c r="R82" s="33">
        <f t="shared" si="97"/>
        <v>-70.665343750000005</v>
      </c>
      <c r="S82" s="33">
        <f t="shared" si="97"/>
        <v>-59.508610937500002</v>
      </c>
      <c r="T82" s="33">
        <f t="shared" si="97"/>
        <v>-59.383416484375019</v>
      </c>
      <c r="U82" s="33">
        <f t="shared" si="97"/>
        <v>-65.212587308593783</v>
      </c>
      <c r="V82" s="33">
        <f t="shared" si="97"/>
        <v>-71.607591674023453</v>
      </c>
      <c r="W82" s="33">
        <f t="shared" si="97"/>
        <v>-75.318596257724636</v>
      </c>
      <c r="X82" s="33">
        <f t="shared" si="97"/>
        <v>-79.084526070610892</v>
      </c>
      <c r="Y82" s="33">
        <f t="shared" si="97"/>
        <v>-83.038752374141424</v>
      </c>
      <c r="Z82" s="287"/>
      <c r="AA82" s="18"/>
    </row>
    <row r="83" spans="3:27" ht="15" customHeight="1" x14ac:dyDescent="0.25">
      <c r="E83" s="2"/>
      <c r="F83" s="24"/>
      <c r="G83" s="24"/>
      <c r="H83" s="135"/>
      <c r="I83" s="135"/>
      <c r="J83" s="135"/>
      <c r="K83" s="135"/>
      <c r="L83" s="135"/>
      <c r="M83" s="135"/>
      <c r="N83" s="135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AA83" s="86"/>
    </row>
    <row r="84" spans="3:27" ht="15" customHeight="1" x14ac:dyDescent="0.25">
      <c r="E84" s="2" t="s">
        <v>212</v>
      </c>
      <c r="F84" s="24" t="s">
        <v>25</v>
      </c>
      <c r="G84" s="24"/>
      <c r="H84" s="291">
        <f>(H64+H53)-H29</f>
        <v>-221.2</v>
      </c>
      <c r="I84" s="291">
        <f t="shared" ref="I84:O84" si="98">(I64+I53)-I29</f>
        <v>-187.6</v>
      </c>
      <c r="J84" s="291">
        <f t="shared" si="98"/>
        <v>-259.40000000000003</v>
      </c>
      <c r="K84" s="291">
        <f t="shared" si="98"/>
        <v>-251.9</v>
      </c>
      <c r="L84" s="291">
        <f t="shared" si="98"/>
        <v>-317.90000000000003</v>
      </c>
      <c r="M84" s="291">
        <f t="shared" si="98"/>
        <v>-215.79999999999998</v>
      </c>
      <c r="N84" s="291">
        <f t="shared" si="98"/>
        <v>-262</v>
      </c>
      <c r="O84" s="291">
        <f t="shared" si="98"/>
        <v>-325.5</v>
      </c>
      <c r="P84" s="144"/>
      <c r="Q84" s="144"/>
      <c r="R84" s="27"/>
      <c r="S84" s="144"/>
      <c r="T84" s="144"/>
      <c r="U84" s="144"/>
      <c r="V84" s="144"/>
      <c r="W84" s="144"/>
      <c r="X84" s="144"/>
      <c r="Y84" s="144"/>
    </row>
    <row r="85" spans="3:27" ht="15" customHeight="1" x14ac:dyDescent="0.25">
      <c r="E85" s="2" t="s">
        <v>213</v>
      </c>
      <c r="F85" s="24" t="s">
        <v>25</v>
      </c>
      <c r="G85" s="24"/>
      <c r="H85" s="288">
        <v>-71.900000000000006</v>
      </c>
      <c r="I85" s="289">
        <v>-37.5</v>
      </c>
      <c r="J85" s="289">
        <v>-46.9</v>
      </c>
      <c r="K85" s="289">
        <v>-20.3</v>
      </c>
      <c r="L85" s="289">
        <v>0</v>
      </c>
      <c r="M85" s="289">
        <v>0</v>
      </c>
      <c r="N85" s="289">
        <v>0</v>
      </c>
      <c r="O85" s="290">
        <v>-42.4</v>
      </c>
      <c r="P85" s="33"/>
      <c r="Q85" s="33"/>
      <c r="R85" s="33"/>
      <c r="S85" s="33"/>
      <c r="T85" s="33"/>
      <c r="U85" s="33"/>
      <c r="V85" s="33"/>
      <c r="W85" s="33"/>
      <c r="X85" s="33"/>
      <c r="Y85" s="33"/>
    </row>
    <row r="86" spans="3:27" ht="15" customHeight="1" x14ac:dyDescent="0.25">
      <c r="E86" s="2"/>
      <c r="F86" s="24"/>
      <c r="G86" s="24"/>
      <c r="H86" s="50"/>
      <c r="I86" s="50"/>
      <c r="J86" s="50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</row>
    <row r="87" spans="3:27" ht="15" customHeight="1" x14ac:dyDescent="0.25">
      <c r="C87" s="130" t="s">
        <v>261</v>
      </c>
      <c r="D87" s="131"/>
      <c r="E87" s="131"/>
      <c r="F87" s="132"/>
      <c r="G87" s="132"/>
      <c r="H87" s="142"/>
      <c r="I87" s="142"/>
      <c r="J87" s="142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</row>
    <row r="89" spans="3:27" ht="15" customHeight="1" x14ac:dyDescent="0.25">
      <c r="E89" s="149" t="s">
        <v>220</v>
      </c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</row>
    <row r="90" spans="3:27" ht="15" customHeight="1" x14ac:dyDescent="0.25">
      <c r="E90" s="343"/>
      <c r="F90" s="342"/>
      <c r="G90" s="342"/>
      <c r="H90" s="342">
        <f t="shared" ref="H90:N90" si="99">EOMONTH(I90,-12)</f>
        <v>42978</v>
      </c>
      <c r="I90" s="342">
        <f t="shared" si="99"/>
        <v>43343</v>
      </c>
      <c r="J90" s="342">
        <f t="shared" si="99"/>
        <v>43708</v>
      </c>
      <c r="K90" s="342">
        <f t="shared" si="99"/>
        <v>44074</v>
      </c>
      <c r="L90" s="342">
        <f t="shared" si="99"/>
        <v>44439</v>
      </c>
      <c r="M90" s="342">
        <f t="shared" si="99"/>
        <v>44804</v>
      </c>
      <c r="N90" s="342">
        <f t="shared" si="99"/>
        <v>45169</v>
      </c>
      <c r="O90" s="345">
        <v>45526</v>
      </c>
      <c r="P90" s="163" t="s">
        <v>219</v>
      </c>
      <c r="Q90" s="87"/>
      <c r="R90" s="87"/>
    </row>
    <row r="91" spans="3:27" ht="15" customHeight="1" x14ac:dyDescent="0.25">
      <c r="E91" s="150" t="s">
        <v>221</v>
      </c>
      <c r="H91" s="147">
        <f>(H24+H85)/H24</f>
        <v>-0.73952510722636</v>
      </c>
      <c r="I91" s="147">
        <f t="shared" ref="I91:O91" si="100">(I24+I85)/I24</f>
        <v>0.23472636263603491</v>
      </c>
      <c r="J91" s="147">
        <f t="shared" si="100"/>
        <v>7.1001622676909154E-2</v>
      </c>
      <c r="K91" s="147">
        <f t="shared" si="100"/>
        <v>0.63299819861775919</v>
      </c>
      <c r="L91" s="147">
        <f t="shared" si="100"/>
        <v>1</v>
      </c>
      <c r="M91" s="147">
        <f t="shared" si="100"/>
        <v>1</v>
      </c>
      <c r="N91" s="147">
        <f t="shared" si="100"/>
        <v>1</v>
      </c>
      <c r="O91" s="147">
        <f t="shared" si="100"/>
        <v>-2.8833813260648204</v>
      </c>
      <c r="P91" s="151">
        <f>AVERAGE(H91:O91)</f>
        <v>3.9477468829940354E-2</v>
      </c>
      <c r="Q91" s="87"/>
      <c r="R91" s="87"/>
    </row>
    <row r="92" spans="3:27" ht="15" customHeight="1" x14ac:dyDescent="0.25">
      <c r="E92" s="150" t="s">
        <v>222</v>
      </c>
      <c r="H92" s="147">
        <f t="shared" ref="H92:O92" si="101">(H24/H13)</f>
        <v>0.11688272172248317</v>
      </c>
      <c r="I92" s="147">
        <f t="shared" si="101"/>
        <v>0.11904949090281843</v>
      </c>
      <c r="J92" s="147">
        <f t="shared" si="101"/>
        <v>0.14050161974418049</v>
      </c>
      <c r="K92" s="147">
        <f t="shared" si="101"/>
        <v>0.16039238997741126</v>
      </c>
      <c r="L92" s="147">
        <f t="shared" si="101"/>
        <v>0.19657665442500161</v>
      </c>
      <c r="M92" s="147">
        <f t="shared" si="101"/>
        <v>0.20053110710240396</v>
      </c>
      <c r="N92" s="147">
        <f t="shared" si="101"/>
        <v>-0.25572769365536224</v>
      </c>
      <c r="O92" s="147">
        <f t="shared" si="101"/>
        <v>7.9366136266164511E-2</v>
      </c>
      <c r="P92" s="151">
        <f>AVERAGE(H92:O92)</f>
        <v>9.4696553310637657E-2</v>
      </c>
      <c r="Q92" s="87"/>
      <c r="R92" s="87"/>
    </row>
    <row r="93" spans="3:27" ht="15" customHeight="1" x14ac:dyDescent="0.25">
      <c r="E93" s="150" t="s">
        <v>223</v>
      </c>
      <c r="H93" s="147">
        <f t="shared" ref="H93:O93" si="102">H13/H49</f>
        <v>0.27421603598014893</v>
      </c>
      <c r="I93" s="147">
        <f t="shared" si="102"/>
        <v>0.30885495610414948</v>
      </c>
      <c r="J93" s="147">
        <f t="shared" si="102"/>
        <v>0.25842635212888376</v>
      </c>
      <c r="K93" s="147">
        <f t="shared" si="102"/>
        <v>0.2497544901506373</v>
      </c>
      <c r="L93" s="147">
        <f t="shared" si="102"/>
        <v>0.22068155734086695</v>
      </c>
      <c r="M93" s="147">
        <f t="shared" si="102"/>
        <v>0.22392672616251763</v>
      </c>
      <c r="N93" s="147">
        <f t="shared" si="102"/>
        <v>0.17133361921097767</v>
      </c>
      <c r="O93" s="147">
        <f t="shared" si="102"/>
        <v>0.14279530828316381</v>
      </c>
      <c r="P93" s="151">
        <f>AVERAGE(H93:O93)</f>
        <v>0.23124863067016821</v>
      </c>
      <c r="Q93" s="87"/>
      <c r="R93" s="87"/>
    </row>
    <row r="94" spans="3:27" ht="15" customHeight="1" x14ac:dyDescent="0.25">
      <c r="E94" s="150" t="s">
        <v>224</v>
      </c>
      <c r="H94" s="147">
        <f t="shared" ref="H94:O94" si="103">H49/H71</f>
        <v>1.7142097567459791</v>
      </c>
      <c r="I94" s="147">
        <f t="shared" si="103"/>
        <v>1.681216096884067</v>
      </c>
      <c r="J94" s="147">
        <f t="shared" si="103"/>
        <v>1.8064180849681695</v>
      </c>
      <c r="K94" s="147">
        <f t="shared" si="103"/>
        <v>1.8252478519497686</v>
      </c>
      <c r="L94" s="147">
        <f t="shared" si="103"/>
        <v>2.142019667170953</v>
      </c>
      <c r="M94" s="147">
        <f t="shared" si="103"/>
        <v>2.6453777335984099</v>
      </c>
      <c r="N94" s="147">
        <f t="shared" si="103"/>
        <v>1.849692643267896</v>
      </c>
      <c r="O94" s="147">
        <f t="shared" si="103"/>
        <v>1.9673952332427309</v>
      </c>
      <c r="P94" s="151">
        <f>AVERAGE(H94:O94)</f>
        <v>1.9539471334784968</v>
      </c>
      <c r="Q94" s="87"/>
      <c r="R94" s="87"/>
    </row>
    <row r="95" spans="3:27" ht="15" customHeight="1" x14ac:dyDescent="0.25">
      <c r="E95" s="87"/>
      <c r="K95" s="153"/>
      <c r="L95" s="87"/>
      <c r="M95" s="87"/>
      <c r="N95" s="87"/>
      <c r="O95" s="87"/>
      <c r="P95" s="87"/>
      <c r="Q95" s="87"/>
      <c r="R95" s="87"/>
    </row>
    <row r="96" spans="3:27" ht="15" customHeight="1" x14ac:dyDescent="0.25">
      <c r="E96" s="87" t="s">
        <v>225</v>
      </c>
      <c r="F96" s="154"/>
      <c r="G96" s="154"/>
      <c r="H96" s="171">
        <f t="shared" ref="H96:O96" si="104">H91*H92*H93*H94</f>
        <v>-4.0631237538216153E-2</v>
      </c>
      <c r="I96" s="171">
        <f t="shared" si="104"/>
        <v>1.451000378453386E-2</v>
      </c>
      <c r="J96" s="171">
        <f t="shared" si="104"/>
        <v>4.6569832402234158E-3</v>
      </c>
      <c r="K96" s="171">
        <f t="shared" si="104"/>
        <v>4.6282987442167897E-2</v>
      </c>
      <c r="L96" s="171">
        <f t="shared" si="104"/>
        <v>9.2922617246595965E-2</v>
      </c>
      <c r="M96" s="171">
        <f t="shared" si="104"/>
        <v>0.11878876739562634</v>
      </c>
      <c r="N96" s="171">
        <f t="shared" si="104"/>
        <v>-8.1043823121158001E-2</v>
      </c>
      <c r="O96" s="171">
        <f t="shared" si="104"/>
        <v>-6.4289918171551844E-2</v>
      </c>
      <c r="P96" s="171">
        <f>AVERAGE(H96:O96)</f>
        <v>1.1399547534777689E-2</v>
      </c>
      <c r="Q96" s="87"/>
      <c r="R96" s="87"/>
    </row>
    <row r="97" spans="5:18" ht="15" customHeight="1" x14ac:dyDescent="0.25">
      <c r="E97" s="87"/>
      <c r="F97" s="87"/>
      <c r="G97" s="87"/>
      <c r="H97" s="156"/>
      <c r="I97" s="87"/>
      <c r="J97" s="87"/>
      <c r="K97" s="156"/>
      <c r="L97" s="87"/>
      <c r="M97" s="87"/>
      <c r="N97" s="87"/>
      <c r="O97" s="87"/>
      <c r="P97" s="87"/>
      <c r="Q97" s="87"/>
      <c r="R97" s="87"/>
    </row>
    <row r="98" spans="5:18" ht="15" customHeight="1" x14ac:dyDescent="0.25">
      <c r="E98" s="149" t="s">
        <v>226</v>
      </c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</row>
    <row r="99" spans="5:18" ht="15" customHeight="1" x14ac:dyDescent="0.25">
      <c r="E99" s="343"/>
      <c r="F99" s="343"/>
      <c r="G99" s="343"/>
      <c r="H99" s="342">
        <f t="shared" ref="H99:N99" si="105">EOMONTH(I99,-12)</f>
        <v>42978</v>
      </c>
      <c r="I99" s="342">
        <f t="shared" si="105"/>
        <v>43343</v>
      </c>
      <c r="J99" s="342">
        <f t="shared" si="105"/>
        <v>43708</v>
      </c>
      <c r="K99" s="342">
        <f t="shared" si="105"/>
        <v>44074</v>
      </c>
      <c r="L99" s="342">
        <f t="shared" si="105"/>
        <v>44439</v>
      </c>
      <c r="M99" s="342">
        <f t="shared" si="105"/>
        <v>44804</v>
      </c>
      <c r="N99" s="342">
        <f t="shared" si="105"/>
        <v>45169</v>
      </c>
      <c r="O99" s="345">
        <v>45526</v>
      </c>
      <c r="P99" s="163" t="s">
        <v>219</v>
      </c>
      <c r="Q99" s="87"/>
      <c r="R99" s="87"/>
    </row>
    <row r="100" spans="5:18" ht="15" customHeight="1" x14ac:dyDescent="0.25">
      <c r="E100" s="150" t="s">
        <v>185</v>
      </c>
      <c r="H100" s="76">
        <f>H23</f>
        <v>47.473999999999997</v>
      </c>
      <c r="I100" s="76">
        <f t="shared" ref="I100:O100" si="106">I23</f>
        <v>78.53</v>
      </c>
      <c r="J100" s="76">
        <f t="shared" si="106"/>
        <v>29.616</v>
      </c>
      <c r="K100" s="76">
        <f t="shared" si="106"/>
        <v>4.165</v>
      </c>
      <c r="L100" s="76">
        <f t="shared" si="106"/>
        <v>-198.279</v>
      </c>
      <c r="M100" s="76">
        <f t="shared" si="106"/>
        <v>-552.62900000000002</v>
      </c>
      <c r="N100" s="76">
        <f t="shared" si="106"/>
        <v>16.600000000000001</v>
      </c>
      <c r="O100" s="76">
        <f t="shared" si="106"/>
        <v>27.6</v>
      </c>
      <c r="P100" s="76">
        <f>AVERAGE(H100:O100)</f>
        <v>-68.365375</v>
      </c>
      <c r="Q100" s="87"/>
      <c r="R100" s="87"/>
    </row>
    <row r="101" spans="5:18" ht="15" customHeight="1" x14ac:dyDescent="0.25">
      <c r="E101" s="150" t="s">
        <v>227</v>
      </c>
      <c r="H101" s="76">
        <f>H71</f>
        <v>752.3</v>
      </c>
      <c r="I101" s="76">
        <f t="shared" ref="I101:O101" si="107">I71</f>
        <v>792.7</v>
      </c>
      <c r="J101" s="76">
        <f t="shared" si="107"/>
        <v>769.7</v>
      </c>
      <c r="K101" s="76">
        <f t="shared" si="107"/>
        <v>756.5</v>
      </c>
      <c r="L101" s="76">
        <f t="shared" si="107"/>
        <v>528.80000000000007</v>
      </c>
      <c r="M101" s="76">
        <f t="shared" si="107"/>
        <v>402.4</v>
      </c>
      <c r="N101" s="76">
        <f t="shared" si="107"/>
        <v>504.30000000000007</v>
      </c>
      <c r="O101" s="76">
        <f t="shared" si="107"/>
        <v>489.68299999999988</v>
      </c>
      <c r="P101" s="76">
        <f>AVERAGE(H101:O101)</f>
        <v>624.54787499999998</v>
      </c>
      <c r="Q101" s="87"/>
      <c r="R101" s="87"/>
    </row>
    <row r="102" spans="5:18" ht="15" customHeight="1" x14ac:dyDescent="0.25">
      <c r="E102" s="150" t="s">
        <v>216</v>
      </c>
      <c r="H102" s="148">
        <f>'&gt;&gt; Segments'!H87</f>
        <v>0.59609999999999996</v>
      </c>
      <c r="I102" s="148">
        <f>'&gt;&gt; Segments'!I87</f>
        <v>0.71650000000000003</v>
      </c>
      <c r="J102" s="148">
        <f>'&gt;&gt; Segments'!J87</f>
        <v>0.79059999999999997</v>
      </c>
      <c r="K102" s="148">
        <f>'&gt;&gt; Segments'!K87</f>
        <v>1.5005999999999999</v>
      </c>
      <c r="L102" s="148">
        <f>'&gt;&gt; Segments'!L87</f>
        <v>0</v>
      </c>
      <c r="M102" s="148">
        <f>'&gt;&gt; Segments'!M87</f>
        <v>0</v>
      </c>
      <c r="N102" s="148">
        <f>'&gt;&gt; Segments'!N87</f>
        <v>1.5717000000000001</v>
      </c>
      <c r="O102" s="148">
        <f>'&gt;&gt; Segments'!O87</f>
        <v>3.5577999999999999</v>
      </c>
      <c r="P102" s="151">
        <f>AVERAGE(H102:O102)</f>
        <v>1.0916625</v>
      </c>
      <c r="Q102" s="87"/>
      <c r="R102" s="87"/>
    </row>
    <row r="103" spans="5:18" ht="15" customHeight="1" x14ac:dyDescent="0.25">
      <c r="E103" s="87"/>
      <c r="K103" s="152"/>
      <c r="L103" s="152"/>
      <c r="M103" s="152"/>
      <c r="N103" s="152"/>
      <c r="O103" s="152"/>
      <c r="P103" s="173"/>
      <c r="Q103" s="87"/>
      <c r="R103" s="87"/>
    </row>
    <row r="104" spans="5:18" ht="15" customHeight="1" x14ac:dyDescent="0.25">
      <c r="E104" s="87" t="s">
        <v>228</v>
      </c>
      <c r="K104" s="154"/>
      <c r="L104" s="154"/>
      <c r="M104" s="154"/>
      <c r="N104" s="154"/>
      <c r="O104" s="172"/>
      <c r="P104" s="171">
        <f>(P100/P101)*(1-P102)</f>
        <v>1.0033724293654027E-2</v>
      </c>
      <c r="Q104" s="87"/>
      <c r="R104" s="87"/>
    </row>
    <row r="105" spans="5:18" ht="15" customHeight="1" x14ac:dyDescent="0.25">
      <c r="E105" s="87"/>
      <c r="F105" s="157"/>
      <c r="G105" s="157"/>
      <c r="H105" s="157"/>
      <c r="I105" s="157"/>
      <c r="J105" s="157"/>
      <c r="K105" s="155"/>
      <c r="L105" s="87"/>
      <c r="M105" s="87"/>
      <c r="N105" s="87"/>
      <c r="O105" s="87"/>
      <c r="P105" s="87"/>
      <c r="Q105" s="87"/>
      <c r="R105" s="87"/>
    </row>
    <row r="106" spans="5:18" ht="15" customHeight="1" x14ac:dyDescent="0.25">
      <c r="E106" s="149" t="s">
        <v>238</v>
      </c>
      <c r="F106" s="157"/>
      <c r="R106" s="87"/>
    </row>
    <row r="107" spans="5:18" ht="15" customHeight="1" x14ac:dyDescent="0.25">
      <c r="E107" s="343"/>
      <c r="F107" s="342">
        <f>EOMONTH(N4,12)</f>
        <v>45291</v>
      </c>
      <c r="G107" s="344">
        <f>EOMONTH(O4,12)</f>
        <v>45657</v>
      </c>
      <c r="H107" s="163">
        <f t="shared" ref="H107:P107" si="108">EOMONTH(G107,12)</f>
        <v>46022</v>
      </c>
      <c r="I107" s="163">
        <f t="shared" si="108"/>
        <v>46387</v>
      </c>
      <c r="J107" s="163">
        <f t="shared" si="108"/>
        <v>46752</v>
      </c>
      <c r="K107" s="163">
        <f t="shared" si="108"/>
        <v>47118</v>
      </c>
      <c r="L107" s="163">
        <f t="shared" si="108"/>
        <v>47483</v>
      </c>
      <c r="M107" s="163">
        <f t="shared" si="108"/>
        <v>47848</v>
      </c>
      <c r="N107" s="163">
        <f t="shared" si="108"/>
        <v>48213</v>
      </c>
      <c r="O107" s="163">
        <f t="shared" si="108"/>
        <v>48579</v>
      </c>
      <c r="P107" s="163">
        <f t="shared" si="108"/>
        <v>48944</v>
      </c>
      <c r="R107" s="87"/>
    </row>
    <row r="108" spans="5:18" ht="15" customHeight="1" x14ac:dyDescent="0.25">
      <c r="E108" s="150" t="s">
        <v>230</v>
      </c>
      <c r="F108" s="158">
        <f>'&gt;&gt; Segments'!O85</f>
        <v>0.19</v>
      </c>
      <c r="G108" s="158">
        <f>'&gt;&gt; Segments'!P91</f>
        <v>9.2211145563586672E-2</v>
      </c>
      <c r="H108" s="158">
        <f>'&gt;&gt; Segments'!Q91</f>
        <v>0.11821621521925182</v>
      </c>
      <c r="I108" s="158">
        <f>'&gt;&gt; Segments'!R91</f>
        <v>0.13996179907859965</v>
      </c>
      <c r="J108" s="158">
        <f>'&gt;&gt; Segments'!S91</f>
        <v>0.14995632068303857</v>
      </c>
      <c r="K108" s="158">
        <f>'&gt;&gt; Segments'!T91</f>
        <v>0.16008868273440505</v>
      </c>
      <c r="L108" s="158">
        <f>'&gt;&gt; Segments'!U91</f>
        <v>0.16808020454936914</v>
      </c>
      <c r="M108" s="158">
        <f>'&gt;&gt; Segments'!V91</f>
        <v>0.17551859025337091</v>
      </c>
      <c r="N108" s="158">
        <f>'&gt;&gt; Segments'!W91</f>
        <v>0.18576979945497812</v>
      </c>
      <c r="O108" s="158">
        <f>'&gt;&gt; Segments'!X91</f>
        <v>0.19561404228262436</v>
      </c>
      <c r="P108" s="158">
        <f>'&gt;&gt; Segments'!Y91</f>
        <v>0.19723140294779784</v>
      </c>
      <c r="R108" s="87"/>
    </row>
    <row r="109" spans="5:18" ht="15" customHeight="1" x14ac:dyDescent="0.25">
      <c r="E109" s="87"/>
      <c r="F109" s="152"/>
      <c r="G109" s="153"/>
      <c r="H109" s="153"/>
      <c r="I109" s="153"/>
      <c r="J109" s="87"/>
      <c r="K109" s="87"/>
      <c r="L109" s="87"/>
      <c r="M109" s="87"/>
      <c r="N109" s="87"/>
      <c r="O109" s="87"/>
      <c r="P109" s="87"/>
      <c r="R109" s="87"/>
    </row>
    <row r="110" spans="5:18" ht="15" customHeight="1" x14ac:dyDescent="0.25">
      <c r="E110" s="87" t="s">
        <v>239</v>
      </c>
      <c r="F110" s="154"/>
      <c r="G110" s="154">
        <f t="shared" ref="G110:P110" si="109">G108/F108-1</f>
        <v>-0.51467818124428066</v>
      </c>
      <c r="H110" s="154">
        <f t="shared" si="109"/>
        <v>0.28201655555545235</v>
      </c>
      <c r="I110" s="154">
        <f t="shared" si="109"/>
        <v>0.18394755591707113</v>
      </c>
      <c r="J110" s="154">
        <f t="shared" si="109"/>
        <v>7.140892493691231E-2</v>
      </c>
      <c r="K110" s="154">
        <f t="shared" si="109"/>
        <v>6.7568756056526347E-2</v>
      </c>
      <c r="L110" s="154">
        <f t="shared" si="109"/>
        <v>4.9919342694713986E-2</v>
      </c>
      <c r="M110" s="154">
        <f t="shared" si="109"/>
        <v>4.4254977699155207E-2</v>
      </c>
      <c r="N110" s="154">
        <f t="shared" si="109"/>
        <v>5.8405261726458768E-2</v>
      </c>
      <c r="O110" s="154">
        <f t="shared" si="109"/>
        <v>5.2991621116714516E-2</v>
      </c>
      <c r="P110" s="154">
        <f t="shared" si="109"/>
        <v>8.2681214819777527E-3</v>
      </c>
      <c r="R110" s="87"/>
    </row>
    <row r="111" spans="5:18" ht="15" customHeight="1" x14ac:dyDescent="0.25">
      <c r="E111" s="87"/>
      <c r="F111" s="87"/>
    </row>
    <row r="112" spans="5:18" ht="15" customHeight="1" x14ac:dyDescent="0.25">
      <c r="E112" s="174" t="s">
        <v>240</v>
      </c>
      <c r="F112" s="355" t="s">
        <v>229</v>
      </c>
      <c r="G112" s="355"/>
      <c r="H112" s="355"/>
      <c r="I112" s="355"/>
      <c r="J112" s="359"/>
      <c r="K112" s="360" t="s">
        <v>231</v>
      </c>
      <c r="L112" s="360"/>
      <c r="M112" s="360"/>
      <c r="N112" s="360"/>
      <c r="O112" s="361"/>
      <c r="P112" s="165" t="s">
        <v>87</v>
      </c>
      <c r="Q112" s="255" t="s">
        <v>232</v>
      </c>
    </row>
    <row r="113" spans="1:27" ht="15" customHeight="1" x14ac:dyDescent="0.25">
      <c r="E113" s="162"/>
      <c r="F113" s="164">
        <f>EOMONTH('&gt;&gt; Inputs'!$G$17,12)</f>
        <v>45657</v>
      </c>
      <c r="G113" s="167">
        <f t="shared" ref="G113:P113" si="110">EOMONTH(F113,12)</f>
        <v>46022</v>
      </c>
      <c r="H113" s="167">
        <f t="shared" si="110"/>
        <v>46387</v>
      </c>
      <c r="I113" s="167">
        <f t="shared" si="110"/>
        <v>46752</v>
      </c>
      <c r="J113" s="168">
        <f t="shared" si="110"/>
        <v>47118</v>
      </c>
      <c r="K113" s="169">
        <f t="shared" si="110"/>
        <v>47483</v>
      </c>
      <c r="L113" s="169">
        <f t="shared" si="110"/>
        <v>47848</v>
      </c>
      <c r="M113" s="169">
        <f t="shared" si="110"/>
        <v>48213</v>
      </c>
      <c r="N113" s="169">
        <f t="shared" si="110"/>
        <v>48579</v>
      </c>
      <c r="O113" s="170">
        <f t="shared" si="110"/>
        <v>48944</v>
      </c>
      <c r="P113" s="254">
        <f t="shared" si="110"/>
        <v>49309</v>
      </c>
      <c r="Q113" s="253"/>
    </row>
    <row r="114" spans="1:27" ht="15" customHeight="1" x14ac:dyDescent="0.25">
      <c r="E114" s="87" t="s">
        <v>233</v>
      </c>
      <c r="F114" s="166">
        <f t="shared" ref="F114:J114" si="111">$P$96</f>
        <v>1.1399547534777689E-2</v>
      </c>
      <c r="G114" s="139">
        <f t="shared" si="111"/>
        <v>1.1399547534777689E-2</v>
      </c>
      <c r="H114" s="139">
        <f t="shared" si="111"/>
        <v>1.1399547534777689E-2</v>
      </c>
      <c r="I114" s="139">
        <f t="shared" si="111"/>
        <v>1.1399547534777689E-2</v>
      </c>
      <c r="J114" s="139">
        <f t="shared" si="111"/>
        <v>1.1399547534777689E-2</v>
      </c>
      <c r="K114" s="139">
        <f>J114-(($J$114-$P$114)/6)</f>
        <v>1.2832956278981407E-2</v>
      </c>
      <c r="L114" s="139">
        <f t="shared" ref="L114:O114" si="112">K114-(($J$114-$P$114)/6)</f>
        <v>1.4266365023185125E-2</v>
      </c>
      <c r="M114" s="139">
        <f t="shared" si="112"/>
        <v>1.5699773767388844E-2</v>
      </c>
      <c r="N114" s="139">
        <f t="shared" si="112"/>
        <v>1.7133182511592564E-2</v>
      </c>
      <c r="O114" s="139">
        <f t="shared" si="112"/>
        <v>1.8566591255796284E-2</v>
      </c>
      <c r="P114" s="260">
        <f>'&gt;&gt; Dash'!F$41</f>
        <v>0.02</v>
      </c>
      <c r="Q114" s="256">
        <v>0.2</v>
      </c>
    </row>
    <row r="115" spans="1:27" ht="15" customHeight="1" x14ac:dyDescent="0.25">
      <c r="E115" s="87" t="s">
        <v>228</v>
      </c>
      <c r="F115" s="139">
        <f t="shared" ref="F115:J115" si="113">$P$104</f>
        <v>1.0033724293654027E-2</v>
      </c>
      <c r="G115" s="139">
        <f t="shared" si="113"/>
        <v>1.0033724293654027E-2</v>
      </c>
      <c r="H115" s="139">
        <f t="shared" si="113"/>
        <v>1.0033724293654027E-2</v>
      </c>
      <c r="I115" s="139">
        <f t="shared" si="113"/>
        <v>1.0033724293654027E-2</v>
      </c>
      <c r="J115" s="139">
        <f t="shared" si="113"/>
        <v>1.0033724293654027E-2</v>
      </c>
      <c r="K115" s="139">
        <f>J115-(($J$115-$P$115)/6)</f>
        <v>1.1694770244711689E-2</v>
      </c>
      <c r="L115" s="139">
        <f t="shared" ref="L115:O115" si="114">K115-(($J$115-$P$115)/6)</f>
        <v>1.3355816195769352E-2</v>
      </c>
      <c r="M115" s="139">
        <f t="shared" si="114"/>
        <v>1.5016862146827015E-2</v>
      </c>
      <c r="N115" s="139">
        <f t="shared" si="114"/>
        <v>1.6677908097884678E-2</v>
      </c>
      <c r="O115" s="139">
        <f t="shared" si="114"/>
        <v>1.8338954048942341E-2</v>
      </c>
      <c r="P115" s="261">
        <f>'&gt;&gt; Dash'!F$41</f>
        <v>0.02</v>
      </c>
      <c r="Q115" s="257">
        <v>0.4</v>
      </c>
    </row>
    <row r="116" spans="1:27" ht="15" customHeight="1" x14ac:dyDescent="0.25">
      <c r="E116" s="87" t="s">
        <v>276</v>
      </c>
      <c r="F116" s="159">
        <f t="shared" ref="F116:J116" si="115">G110</f>
        <v>-0.51467818124428066</v>
      </c>
      <c r="G116" s="159">
        <f t="shared" si="115"/>
        <v>0.28201655555545235</v>
      </c>
      <c r="H116" s="159">
        <f t="shared" si="115"/>
        <v>0.18394755591707113</v>
      </c>
      <c r="I116" s="159">
        <f t="shared" si="115"/>
        <v>7.140892493691231E-2</v>
      </c>
      <c r="J116" s="159">
        <f t="shared" si="115"/>
        <v>6.7568756056526347E-2</v>
      </c>
      <c r="K116" s="139">
        <f>J116-(($J$116-$P$116)/6)</f>
        <v>5.9640630047105292E-2</v>
      </c>
      <c r="L116" s="139">
        <f t="shared" ref="L116:O116" si="116">K116-(($J$116-$P$116)/6)</f>
        <v>5.1712504037684237E-2</v>
      </c>
      <c r="M116" s="139">
        <f t="shared" si="116"/>
        <v>4.3784378028263182E-2</v>
      </c>
      <c r="N116" s="139">
        <f t="shared" si="116"/>
        <v>3.5856252018842127E-2</v>
      </c>
      <c r="O116" s="139">
        <f t="shared" si="116"/>
        <v>2.7928126009421073E-2</v>
      </c>
      <c r="P116" s="262">
        <f>'&gt;&gt; Dash'!F$41</f>
        <v>0.02</v>
      </c>
      <c r="Q116" s="258">
        <v>0.4</v>
      </c>
    </row>
    <row r="117" spans="1:27" ht="15" customHeight="1" x14ac:dyDescent="0.25">
      <c r="E117" s="233" t="s">
        <v>235</v>
      </c>
      <c r="F117" s="234">
        <f t="shared" ref="F117:P117" si="117">SUMPRODUCT(F114:F116,$Q$114:$Q$116)</f>
        <v>-0.19957787327329513</v>
      </c>
      <c r="G117" s="234">
        <f t="shared" si="117"/>
        <v>0.11910002144659809</v>
      </c>
      <c r="H117" s="234">
        <f t="shared" si="117"/>
        <v>7.9872421591245607E-2</v>
      </c>
      <c r="I117" s="234">
        <f t="shared" si="117"/>
        <v>3.4856969199182075E-2</v>
      </c>
      <c r="J117" s="234">
        <f t="shared" si="117"/>
        <v>3.3320901647027688E-2</v>
      </c>
      <c r="K117" s="234">
        <f t="shared" si="117"/>
        <v>3.1100751372523074E-2</v>
      </c>
      <c r="L117" s="234">
        <f t="shared" si="117"/>
        <v>2.888060109801846E-2</v>
      </c>
      <c r="M117" s="234">
        <f t="shared" si="117"/>
        <v>2.666045082351385E-2</v>
      </c>
      <c r="N117" s="234">
        <f t="shared" si="117"/>
        <v>2.4440300549009236E-2</v>
      </c>
      <c r="O117" s="234">
        <f t="shared" si="117"/>
        <v>2.2220150274504621E-2</v>
      </c>
      <c r="P117" s="235">
        <f t="shared" si="117"/>
        <v>0.02</v>
      </c>
      <c r="Q117" s="86"/>
    </row>
    <row r="118" spans="1:27" ht="15" customHeight="1" x14ac:dyDescent="0.25">
      <c r="S118" s="160"/>
    </row>
    <row r="121" spans="1:27" ht="15" customHeight="1" x14ac:dyDescent="0.25">
      <c r="A121" s="41"/>
      <c r="B121" s="41" t="s">
        <v>45</v>
      </c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</row>
    <row r="304" spans="2:2" ht="11.25" customHeight="1" x14ac:dyDescent="0.25">
      <c r="B304" s="146" t="s">
        <v>218</v>
      </c>
    </row>
    <row r="522" spans="12:12" ht="15.75" customHeight="1" x14ac:dyDescent="0.25">
      <c r="L522" s="145" t="s">
        <v>214</v>
      </c>
    </row>
  </sheetData>
  <mergeCells count="3">
    <mergeCell ref="F112:J112"/>
    <mergeCell ref="K112:O112"/>
    <mergeCell ref="H2:O2"/>
  </mergeCells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0c0cbaa-2f71-4f30-8f62-ec494b66520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53473414789142A69876F4AE4B0A5B" ma:contentTypeVersion="13" ma:contentTypeDescription="Create a new document." ma:contentTypeScope="" ma:versionID="3c04502f2862d9cffd401d7e2bedcecb">
  <xsd:schema xmlns:xsd="http://www.w3.org/2001/XMLSchema" xmlns:xs="http://www.w3.org/2001/XMLSchema" xmlns:p="http://schemas.microsoft.com/office/2006/metadata/properties" xmlns:ns3="90c0cbaa-2f71-4f30-8f62-ec494b665205" xmlns:ns4="f7f772ff-77b1-47cf-a645-d65c77c3854c" targetNamespace="http://schemas.microsoft.com/office/2006/metadata/properties" ma:root="true" ma:fieldsID="2c8262acd911a0266d935b19c1474f28" ns3:_="" ns4:_="">
    <xsd:import namespace="90c0cbaa-2f71-4f30-8f62-ec494b665205"/>
    <xsd:import namespace="f7f772ff-77b1-47cf-a645-d65c77c385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0cbaa-2f71-4f30-8f62-ec494b6652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772ff-77b1-47cf-a645-d65c77c38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04A65E-1B8F-44A1-808A-68BECA34C80C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f7f772ff-77b1-47cf-a645-d65c77c3854c"/>
    <ds:schemaRef ds:uri="http://schemas.openxmlformats.org/package/2006/metadata/core-properties"/>
    <ds:schemaRef ds:uri="90c0cbaa-2f71-4f30-8f62-ec494b665205"/>
  </ds:schemaRefs>
</ds:datastoreItem>
</file>

<file path=customXml/itemProps2.xml><?xml version="1.0" encoding="utf-8"?>
<ds:datastoreItem xmlns:ds="http://schemas.openxmlformats.org/officeDocument/2006/customXml" ds:itemID="{CED6DA37-3821-4F74-AE67-CF7B5FF547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B9A6E3-1F79-44EC-913F-D92D1E656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c0cbaa-2f71-4f30-8f62-ec494b665205"/>
    <ds:schemaRef ds:uri="f7f772ff-77b1-47cf-a645-d65c77c385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&gt;&gt; Model</vt:lpstr>
      <vt:lpstr>&gt;&gt; Inputs</vt:lpstr>
      <vt:lpstr>&gt;&gt; Dash</vt:lpstr>
      <vt:lpstr>&gt;&gt; DCF</vt:lpstr>
      <vt:lpstr>&gt;&gt; DDM</vt:lpstr>
      <vt:lpstr>&gt;&gt; Summary</vt:lpstr>
      <vt:lpstr>&gt;&gt; Segments</vt:lpstr>
      <vt:lpstr>&gt;&gt; Fin Stmts</vt:lpstr>
      <vt:lpstr>DiY</vt:lpstr>
      <vt:lpstr>kt</vt:lpstr>
      <vt:lpstr>Millions</vt:lpstr>
      <vt:lpstr>MiY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Waller</dc:creator>
  <cp:lastModifiedBy>Cameron Waller</cp:lastModifiedBy>
  <dcterms:created xsi:type="dcterms:W3CDTF">2024-11-11T04:01:01Z</dcterms:created>
  <dcterms:modified xsi:type="dcterms:W3CDTF">2024-11-21T20:35:25Z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0x0101006953473414789142A69876F4AE4B0A5B</vt:lpwstr>
  </property>
</Properties>
</file>