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22602AA8-E847-DF44-A16D-C83BF342BF0F}" xr6:coauthVersionLast="47" xr6:coauthVersionMax="47" xr10:uidLastSave="{00000000-0000-0000-0000-000000000000}"/>
  <bookViews>
    <workbookView xWindow="0" yWindow="500" windowWidth="25600" windowHeight="14320" activeTab="3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&gt;&gt; DDM" sheetId="5" r:id="rId5"/>
    <sheet name="&gt;&gt; Summary" sheetId="7" r:id="rId6"/>
    <sheet name="&gt;&gt; Segments" sheetId="8" r:id="rId7"/>
    <sheet name="&gt;&gt; Fin Stmts" sheetId="9" r:id="rId8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3" i="3" l="1"/>
  <c r="F48" i="3"/>
  <c r="F47" i="3"/>
  <c r="F42" i="3"/>
  <c r="F54" i="3"/>
  <c r="F50" i="3"/>
  <c r="F51" i="3" s="1"/>
  <c r="P103" i="8"/>
  <c r="I44" i="8"/>
  <c r="J44" i="8"/>
  <c r="K44" i="8"/>
  <c r="L44" i="8"/>
  <c r="M44" i="8"/>
  <c r="N44" i="8"/>
  <c r="O44" i="8"/>
  <c r="H44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H43" i="8"/>
  <c r="I22" i="8"/>
  <c r="J22" i="8"/>
  <c r="K22" i="8"/>
  <c r="L22" i="8"/>
  <c r="M22" i="8"/>
  <c r="N22" i="8"/>
  <c r="O22" i="8"/>
  <c r="H22" i="8"/>
  <c r="H122" i="8"/>
  <c r="I122" i="8"/>
  <c r="J122" i="8"/>
  <c r="K122" i="8"/>
  <c r="L122" i="8"/>
  <c r="M122" i="8"/>
  <c r="N122" i="8"/>
  <c r="O122" i="8"/>
  <c r="O169" i="8"/>
  <c r="N169" i="8"/>
  <c r="M169" i="8"/>
  <c r="L169" i="8"/>
  <c r="K169" i="8"/>
  <c r="J169" i="8"/>
  <c r="I169" i="8"/>
  <c r="H169" i="8"/>
  <c r="O168" i="8"/>
  <c r="N168" i="8"/>
  <c r="M168" i="8"/>
  <c r="L168" i="8"/>
  <c r="K168" i="8"/>
  <c r="J168" i="8"/>
  <c r="I168" i="8"/>
  <c r="O164" i="8"/>
  <c r="N164" i="8"/>
  <c r="M164" i="8"/>
  <c r="L164" i="8"/>
  <c r="K164" i="8"/>
  <c r="J164" i="8"/>
  <c r="I164" i="8"/>
  <c r="P162" i="8"/>
  <c r="P168" i="8" s="1"/>
  <c r="E28" i="3"/>
  <c r="F49" i="3" l="1"/>
  <c r="P22" i="8"/>
  <c r="Q162" i="8"/>
  <c r="Q22" i="8" s="1"/>
  <c r="I100" i="9"/>
  <c r="J100" i="9"/>
  <c r="K100" i="9"/>
  <c r="L100" i="9"/>
  <c r="M100" i="9"/>
  <c r="N100" i="9"/>
  <c r="O100" i="9"/>
  <c r="H100" i="9"/>
  <c r="F108" i="9"/>
  <c r="O101" i="9"/>
  <c r="P58" i="8"/>
  <c r="O58" i="8"/>
  <c r="N58" i="8"/>
  <c r="M58" i="8"/>
  <c r="L58" i="8"/>
  <c r="K58" i="8"/>
  <c r="J58" i="8"/>
  <c r="I58" i="8"/>
  <c r="H75" i="8"/>
  <c r="I75" i="8"/>
  <c r="I76" i="8" s="1"/>
  <c r="J75" i="8"/>
  <c r="K75" i="8"/>
  <c r="L75" i="8"/>
  <c r="M75" i="8"/>
  <c r="M76" i="8" s="1"/>
  <c r="N75" i="8"/>
  <c r="O75" i="8"/>
  <c r="P75" i="8" s="1"/>
  <c r="Q75" i="8" s="1"/>
  <c r="R75" i="8" s="1"/>
  <c r="S75" i="8" s="1"/>
  <c r="T75" i="8" s="1"/>
  <c r="U75" i="8" s="1"/>
  <c r="V75" i="8" s="1"/>
  <c r="W75" i="8" s="1"/>
  <c r="X75" i="8" s="1"/>
  <c r="Y75" i="8" s="1"/>
  <c r="P82" i="9"/>
  <c r="O110" i="8"/>
  <c r="N110" i="8"/>
  <c r="M110" i="8"/>
  <c r="L110" i="8"/>
  <c r="O158" i="8"/>
  <c r="N158" i="8"/>
  <c r="M158" i="8"/>
  <c r="L158" i="8"/>
  <c r="K158" i="8"/>
  <c r="J158" i="8"/>
  <c r="I158" i="8"/>
  <c r="H158" i="8"/>
  <c r="O134" i="8"/>
  <c r="N134" i="8"/>
  <c r="M134" i="8"/>
  <c r="L134" i="8"/>
  <c r="K134" i="8"/>
  <c r="J134" i="8"/>
  <c r="I134" i="8"/>
  <c r="H134" i="8"/>
  <c r="I146" i="8"/>
  <c r="J146" i="8"/>
  <c r="K146" i="8"/>
  <c r="L146" i="8"/>
  <c r="M146" i="8"/>
  <c r="N146" i="8"/>
  <c r="O146" i="8"/>
  <c r="H146" i="8"/>
  <c r="J88" i="8"/>
  <c r="K88" i="8"/>
  <c r="L88" i="8"/>
  <c r="M88" i="8"/>
  <c r="N88" i="8"/>
  <c r="O88" i="8"/>
  <c r="I88" i="8"/>
  <c r="E104" i="4"/>
  <c r="E103" i="4"/>
  <c r="E84" i="4"/>
  <c r="E83" i="4"/>
  <c r="I59" i="9"/>
  <c r="J59" i="9"/>
  <c r="K59" i="9"/>
  <c r="L59" i="9"/>
  <c r="M59" i="9"/>
  <c r="N59" i="9"/>
  <c r="O59" i="9"/>
  <c r="P134" i="8" l="1"/>
  <c r="Q134" i="8" s="1"/>
  <c r="R134" i="8" s="1"/>
  <c r="Q167" i="8"/>
  <c r="Q168" i="8" s="1"/>
  <c r="R162" i="8"/>
  <c r="R22" i="8" s="1"/>
  <c r="L76" i="8"/>
  <c r="O76" i="8"/>
  <c r="K76" i="8"/>
  <c r="P122" i="8"/>
  <c r="Q122" i="8" s="1"/>
  <c r="R122" i="8" s="1"/>
  <c r="S122" i="8" s="1"/>
  <c r="N76" i="8"/>
  <c r="J76" i="8"/>
  <c r="O105" i="8"/>
  <c r="N105" i="8"/>
  <c r="M105" i="8"/>
  <c r="O117" i="8"/>
  <c r="N117" i="8"/>
  <c r="M117" i="8"/>
  <c r="L117" i="8"/>
  <c r="K117" i="8"/>
  <c r="J117" i="8"/>
  <c r="I117" i="8"/>
  <c r="O129" i="8"/>
  <c r="N129" i="8"/>
  <c r="M129" i="8"/>
  <c r="L129" i="8"/>
  <c r="K129" i="8"/>
  <c r="J129" i="8"/>
  <c r="I129" i="8"/>
  <c r="O141" i="8"/>
  <c r="N141" i="8"/>
  <c r="M141" i="8"/>
  <c r="L141" i="8"/>
  <c r="K141" i="8"/>
  <c r="J141" i="8"/>
  <c r="I141" i="8"/>
  <c r="O153" i="8"/>
  <c r="J153" i="8"/>
  <c r="K153" i="8"/>
  <c r="L153" i="8"/>
  <c r="M153" i="8"/>
  <c r="N153" i="8"/>
  <c r="I153" i="8"/>
  <c r="O157" i="8"/>
  <c r="N157" i="8"/>
  <c r="M157" i="8"/>
  <c r="L157" i="8"/>
  <c r="K157" i="8"/>
  <c r="J157" i="8"/>
  <c r="I157" i="8"/>
  <c r="O145" i="8"/>
  <c r="N145" i="8"/>
  <c r="M145" i="8"/>
  <c r="L145" i="8"/>
  <c r="K145" i="8"/>
  <c r="J145" i="8"/>
  <c r="I145" i="8"/>
  <c r="O133" i="8"/>
  <c r="N133" i="8"/>
  <c r="M133" i="8"/>
  <c r="L133" i="8"/>
  <c r="K133" i="8"/>
  <c r="J133" i="8"/>
  <c r="I133" i="8"/>
  <c r="O121" i="8"/>
  <c r="N121" i="8"/>
  <c r="M121" i="8"/>
  <c r="L121" i="8"/>
  <c r="K121" i="8"/>
  <c r="J121" i="8"/>
  <c r="J109" i="8"/>
  <c r="K109" i="8"/>
  <c r="L109" i="8"/>
  <c r="M109" i="8"/>
  <c r="N109" i="8"/>
  <c r="O109" i="8"/>
  <c r="I109" i="8"/>
  <c r="H110" i="8"/>
  <c r="I110" i="8"/>
  <c r="J110" i="8"/>
  <c r="K110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Q129" i="8" l="1"/>
  <c r="S134" i="8"/>
  <c r="T134" i="8" s="1"/>
  <c r="U134" i="8" s="1"/>
  <c r="R167" i="8"/>
  <c r="R168" i="8" s="1"/>
  <c r="S162" i="8"/>
  <c r="S22" i="8" s="1"/>
  <c r="T122" i="8"/>
  <c r="P110" i="8"/>
  <c r="Q110" i="8" s="1"/>
  <c r="I105" i="8"/>
  <c r="J105" i="8"/>
  <c r="K105" i="8"/>
  <c r="L105" i="8"/>
  <c r="P117" i="8"/>
  <c r="Q117" i="8" s="1"/>
  <c r="R117" i="8" s="1"/>
  <c r="V134" i="8" l="1"/>
  <c r="W134" i="8" s="1"/>
  <c r="X134" i="8" s="1"/>
  <c r="Y134" i="8" s="1"/>
  <c r="S167" i="8"/>
  <c r="S168" i="8" s="1"/>
  <c r="T162" i="8"/>
  <c r="T22" i="8" s="1"/>
  <c r="U122" i="8"/>
  <c r="V122" i="8" s="1"/>
  <c r="W122" i="8" s="1"/>
  <c r="X122" i="8" s="1"/>
  <c r="R110" i="8"/>
  <c r="S110" i="8" s="1"/>
  <c r="S117" i="8"/>
  <c r="T117" i="8" s="1"/>
  <c r="T167" i="8" l="1"/>
  <c r="T168" i="8" s="1"/>
  <c r="U162" i="8"/>
  <c r="U22" i="8" s="1"/>
  <c r="Y122" i="8"/>
  <c r="T110" i="8"/>
  <c r="U110" i="8" s="1"/>
  <c r="V110" i="8" s="1"/>
  <c r="W110" i="8" s="1"/>
  <c r="U117" i="8"/>
  <c r="V162" i="8" l="1"/>
  <c r="V22" i="8" s="1"/>
  <c r="U167" i="8"/>
  <c r="U168" i="8" s="1"/>
  <c r="X110" i="8"/>
  <c r="Y110" i="8" s="1"/>
  <c r="V117" i="8"/>
  <c r="W117" i="8" s="1"/>
  <c r="V167" i="8" l="1"/>
  <c r="V168" i="8" s="1"/>
  <c r="W162" i="8"/>
  <c r="W22" i="8" s="1"/>
  <c r="X117" i="8"/>
  <c r="Y117" i="8" s="1"/>
  <c r="W167" i="8" l="1"/>
  <c r="W168" i="8" s="1"/>
  <c r="X162" i="8"/>
  <c r="X22" i="8" s="1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167" i="8" l="1"/>
  <c r="X168" i="8" s="1"/>
  <c r="Y162" i="8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7" i="8" l="1"/>
  <c r="Y168" i="8" s="1"/>
  <c r="Y22" i="8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Q82" i="9"/>
  <c r="R82" i="9"/>
  <c r="G35" i="2"/>
  <c r="R51" i="9"/>
  <c r="R81" i="9" l="1"/>
  <c r="S51" i="9"/>
  <c r="S81" i="9" l="1"/>
  <c r="S82" i="9"/>
  <c r="T82" i="9"/>
  <c r="T51" i="9"/>
  <c r="T81" i="9" l="1"/>
  <c r="U51" i="9"/>
  <c r="U81" i="9" l="1"/>
  <c r="U82" i="9"/>
  <c r="V82" i="9"/>
  <c r="V51" i="9"/>
  <c r="V81" i="9" l="1"/>
  <c r="W51" i="9"/>
  <c r="W81" i="9" l="1"/>
  <c r="W82" i="9"/>
  <c r="X82" i="9"/>
  <c r="X51" i="9"/>
  <c r="X81" i="9" l="1"/>
  <c r="Y81" i="9" s="1"/>
  <c r="Y82" i="9"/>
  <c r="Y51" i="9"/>
  <c r="I41" i="9" l="1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J37" i="9"/>
  <c r="J49" i="9" s="1"/>
  <c r="K37" i="9"/>
  <c r="K49" i="9" s="1"/>
  <c r="L37" i="9"/>
  <c r="L49" i="9" s="1"/>
  <c r="M37" i="9"/>
  <c r="M49" i="9" s="1"/>
  <c r="N37" i="9"/>
  <c r="N49" i="9" s="1"/>
  <c r="H37" i="9"/>
  <c r="H49" i="9" s="1"/>
  <c r="I32" i="9"/>
  <c r="J32" i="9"/>
  <c r="K32" i="9"/>
  <c r="L32" i="9"/>
  <c r="M32" i="9"/>
  <c r="N32" i="9"/>
  <c r="O32" i="9"/>
  <c r="I34" i="9"/>
  <c r="J34" i="9"/>
  <c r="K34" i="9"/>
  <c r="L34" i="9"/>
  <c r="M34" i="9"/>
  <c r="N34" i="9"/>
  <c r="O34" i="9"/>
  <c r="I36" i="9"/>
  <c r="J36" i="9"/>
  <c r="K36" i="9"/>
  <c r="L36" i="9"/>
  <c r="M36" i="9"/>
  <c r="N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U65" i="9" s="1"/>
  <c r="M65" i="9"/>
  <c r="T65" i="9" s="1"/>
  <c r="L65" i="9"/>
  <c r="S65" i="9" s="1"/>
  <c r="K65" i="9"/>
  <c r="J65" i="9"/>
  <c r="Q65" i="9" s="1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O30" i="9"/>
  <c r="N30" i="9"/>
  <c r="M30" i="9"/>
  <c r="L30" i="9"/>
  <c r="K30" i="9"/>
  <c r="J30" i="9"/>
  <c r="I30" i="9"/>
  <c r="Q19" i="9"/>
  <c r="R19" i="9" s="1"/>
  <c r="S19" i="9" s="1"/>
  <c r="T19" i="9" s="1"/>
  <c r="U19" i="9" s="1"/>
  <c r="V19" i="9" s="1"/>
  <c r="W19" i="9" s="1"/>
  <c r="X19" i="9" s="1"/>
  <c r="Y19" i="9" s="1"/>
  <c r="I17" i="4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1" i="8"/>
  <c r="P21" i="8" s="1"/>
  <c r="P115" i="8"/>
  <c r="P18" i="8" s="1"/>
  <c r="P18" i="9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M39" i="8"/>
  <c r="L39" i="8"/>
  <c r="K39" i="8"/>
  <c r="J39" i="8"/>
  <c r="I39" i="8"/>
  <c r="H39" i="8"/>
  <c r="O38" i="8"/>
  <c r="N38" i="8"/>
  <c r="M38" i="8"/>
  <c r="L38" i="8"/>
  <c r="K38" i="8"/>
  <c r="J38" i="8"/>
  <c r="I38" i="8"/>
  <c r="H38" i="8"/>
  <c r="O21" i="8"/>
  <c r="N21" i="8"/>
  <c r="M21" i="8"/>
  <c r="L21" i="8"/>
  <c r="K21" i="8"/>
  <c r="K33" i="8" s="1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O23" i="8" s="1"/>
  <c r="N17" i="8"/>
  <c r="N23" i="8" s="1"/>
  <c r="M17" i="8"/>
  <c r="M23" i="8" s="1"/>
  <c r="L17" i="8"/>
  <c r="L23" i="8" s="1"/>
  <c r="K17" i="8"/>
  <c r="K23" i="8" s="1"/>
  <c r="J17" i="8"/>
  <c r="J23" i="8" s="1"/>
  <c r="I17" i="8"/>
  <c r="I23" i="8" s="1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K45" i="3"/>
  <c r="H16" i="3"/>
  <c r="AI143" i="2"/>
  <c r="AI144" i="2" s="1"/>
  <c r="AG143" i="2" s="1"/>
  <c r="AG144" i="2" s="1"/>
  <c r="AG147" i="2" s="1"/>
  <c r="AG142" i="2"/>
  <c r="AF142" i="2"/>
  <c r="G53" i="2"/>
  <c r="G42" i="2"/>
  <c r="G39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K30" i="8" l="1"/>
  <c r="N29" i="8"/>
  <c r="J31" i="8"/>
  <c r="P33" i="8"/>
  <c r="M50" i="8"/>
  <c r="N50" i="8"/>
  <c r="K50" i="8"/>
  <c r="O31" i="8"/>
  <c r="O48" i="8"/>
  <c r="O51" i="8"/>
  <c r="H49" i="8"/>
  <c r="H52" i="8"/>
  <c r="I49" i="8"/>
  <c r="I52" i="8"/>
  <c r="J49" i="8"/>
  <c r="J52" i="8"/>
  <c r="L50" i="8"/>
  <c r="L31" i="8"/>
  <c r="N32" i="8"/>
  <c r="N30" i="8"/>
  <c r="I29" i="8"/>
  <c r="M33" i="8"/>
  <c r="J29" i="8"/>
  <c r="K29" i="8"/>
  <c r="K32" i="8"/>
  <c r="O33" i="8"/>
  <c r="K49" i="8"/>
  <c r="O50" i="8"/>
  <c r="K52" i="8"/>
  <c r="L29" i="8"/>
  <c r="L32" i="8"/>
  <c r="H48" i="8"/>
  <c r="L49" i="8"/>
  <c r="H51" i="8"/>
  <c r="L52" i="8"/>
  <c r="N33" i="8"/>
  <c r="O30" i="8"/>
  <c r="M29" i="8"/>
  <c r="I31" i="8"/>
  <c r="M32" i="8"/>
  <c r="I48" i="8"/>
  <c r="M49" i="8"/>
  <c r="I51" i="8"/>
  <c r="M52" i="8"/>
  <c r="L30" i="8"/>
  <c r="J48" i="8"/>
  <c r="N49" i="8"/>
  <c r="J51" i="8"/>
  <c r="N52" i="8"/>
  <c r="O29" i="8"/>
  <c r="K31" i="8"/>
  <c r="O32" i="8"/>
  <c r="K48" i="8"/>
  <c r="O49" i="8"/>
  <c r="K51" i="8"/>
  <c r="O52" i="8"/>
  <c r="L33" i="8"/>
  <c r="M30" i="8"/>
  <c r="L48" i="8"/>
  <c r="H50" i="8"/>
  <c r="L51" i="8"/>
  <c r="I30" i="8"/>
  <c r="M31" i="8"/>
  <c r="I33" i="8"/>
  <c r="M48" i="8"/>
  <c r="I50" i="8"/>
  <c r="M51" i="8"/>
  <c r="P30" i="8"/>
  <c r="I32" i="8"/>
  <c r="J32" i="8"/>
  <c r="J30" i="8"/>
  <c r="N31" i="8"/>
  <c r="J33" i="8"/>
  <c r="N48" i="8"/>
  <c r="J50" i="8"/>
  <c r="N51" i="8"/>
  <c r="P65" i="9"/>
  <c r="X65" i="9" s="1"/>
  <c r="R65" i="9"/>
  <c r="Y65" i="9" s="1"/>
  <c r="V65" i="9"/>
  <c r="W65" i="9"/>
  <c r="M6" i="2"/>
  <c r="M45" i="2" s="1"/>
  <c r="P13" i="8"/>
  <c r="Q18" i="9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N17" i="4"/>
  <c r="J27" i="4"/>
  <c r="N69" i="9"/>
  <c r="N71" i="9" s="1"/>
  <c r="N101" i="9" s="1"/>
  <c r="M17" i="4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17" i="4"/>
  <c r="J46" i="4"/>
  <c r="J51" i="4" s="1"/>
  <c r="K17" i="4"/>
  <c r="I46" i="4"/>
  <c r="I51" i="4" s="1"/>
  <c r="H69" i="9"/>
  <c r="H71" i="9" s="1"/>
  <c r="H101" i="9" s="1"/>
  <c r="N75" i="9"/>
  <c r="N26" i="4" s="1"/>
  <c r="P64" i="9"/>
  <c r="H46" i="4"/>
  <c r="H47" i="4" s="1"/>
  <c r="L46" i="4"/>
  <c r="L51" i="4" s="1"/>
  <c r="L75" i="9"/>
  <c r="L26" i="4" s="1"/>
  <c r="P5" i="9"/>
  <c r="K46" i="4"/>
  <c r="K51" i="4" s="1"/>
  <c r="L17" i="4"/>
  <c r="H72" i="4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93" i="9" s="1"/>
  <c r="H70" i="8"/>
  <c r="L7" i="9"/>
  <c r="L8" i="9" s="1"/>
  <c r="Q115" i="8"/>
  <c r="P4" i="9"/>
  <c r="N4" i="9"/>
  <c r="F107" i="9" s="1"/>
  <c r="Q151" i="8"/>
  <c r="J70" i="8" l="1"/>
  <c r="J45" i="8"/>
  <c r="M70" i="8"/>
  <c r="M45" i="8"/>
  <c r="I70" i="8"/>
  <c r="I71" i="8" s="1"/>
  <c r="I45" i="8"/>
  <c r="L70" i="8"/>
  <c r="L45" i="8"/>
  <c r="O70" i="8"/>
  <c r="O45" i="8"/>
  <c r="K70" i="8"/>
  <c r="K45" i="8"/>
  <c r="N70" i="8"/>
  <c r="N45" i="8"/>
  <c r="N34" i="8"/>
  <c r="M62" i="8"/>
  <c r="M66" i="8" s="1"/>
  <c r="M53" i="8"/>
  <c r="N62" i="8"/>
  <c r="N53" i="8"/>
  <c r="H62" i="8"/>
  <c r="H66" i="8" s="1"/>
  <c r="H53" i="8"/>
  <c r="K62" i="8"/>
  <c r="K53" i="8"/>
  <c r="I53" i="8"/>
  <c r="O13" i="9"/>
  <c r="O34" i="8"/>
  <c r="O62" i="8"/>
  <c r="O53" i="8"/>
  <c r="L62" i="8"/>
  <c r="L53" i="8"/>
  <c r="J13" i="9"/>
  <c r="J93" i="9" s="1"/>
  <c r="J34" i="8"/>
  <c r="M13" i="9"/>
  <c r="M93" i="9" s="1"/>
  <c r="M34" i="8"/>
  <c r="I13" i="9"/>
  <c r="I93" i="9" s="1"/>
  <c r="I34" i="8"/>
  <c r="L13" i="9"/>
  <c r="L93" i="9" s="1"/>
  <c r="L34" i="8"/>
  <c r="K13" i="9"/>
  <c r="K93" i="9" s="1"/>
  <c r="K34" i="8"/>
  <c r="J53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2" i="8"/>
  <c r="I62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93" i="9" s="1"/>
  <c r="M16" i="9"/>
  <c r="M20" i="4"/>
  <c r="M25" i="4" s="1"/>
  <c r="H16" i="9"/>
  <c r="R18" i="9"/>
  <c r="P120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64" i="9"/>
  <c r="Q5" i="9"/>
  <c r="P157" i="8"/>
  <c r="J25" i="8"/>
  <c r="J26" i="8" s="1"/>
  <c r="M5" i="2"/>
  <c r="K25" i="8"/>
  <c r="K26" i="8" s="1"/>
  <c r="R4" i="8"/>
  <c r="Q13" i="8"/>
  <c r="Q12" i="8"/>
  <c r="O7" i="2"/>
  <c r="P6" i="4"/>
  <c r="R115" i="8"/>
  <c r="Q18" i="8"/>
  <c r="Q30" i="8" s="1"/>
  <c r="L11" i="4"/>
  <c r="L6" i="2"/>
  <c r="L45" i="2" s="1"/>
  <c r="K5" i="4"/>
  <c r="L12" i="4"/>
  <c r="J4" i="8"/>
  <c r="K12" i="8"/>
  <c r="K13" i="8"/>
  <c r="R151" i="8"/>
  <c r="Q156" i="8"/>
  <c r="Q21" i="8"/>
  <c r="Q33" i="8" s="1"/>
  <c r="P133" i="8"/>
  <c r="N25" i="8"/>
  <c r="N26" i="8" s="1"/>
  <c r="L4" i="4"/>
  <c r="H15" i="9"/>
  <c r="M7" i="9"/>
  <c r="M8" i="9" s="1"/>
  <c r="L9" i="9"/>
  <c r="I25" i="8"/>
  <c r="I26" i="8" s="1"/>
  <c r="O25" i="8"/>
  <c r="O26" i="8" s="1"/>
  <c r="M4" i="9"/>
  <c r="K7" i="8"/>
  <c r="K8" i="8" s="1"/>
  <c r="J9" i="8"/>
  <c r="P43" i="4"/>
  <c r="Q4" i="9"/>
  <c r="L25" i="8"/>
  <c r="L26" i="8" s="1"/>
  <c r="R12" i="4"/>
  <c r="R11" i="4"/>
  <c r="S5" i="4"/>
  <c r="R6" i="2"/>
  <c r="M71" i="8" l="1"/>
  <c r="K71" i="8"/>
  <c r="I63" i="8"/>
  <c r="L63" i="8"/>
  <c r="O63" i="8"/>
  <c r="O71" i="8"/>
  <c r="L71" i="8"/>
  <c r="N71" i="8"/>
  <c r="M63" i="8"/>
  <c r="K63" i="8"/>
  <c r="J66" i="8"/>
  <c r="J63" i="8"/>
  <c r="N66" i="8"/>
  <c r="N63" i="8"/>
  <c r="J71" i="8"/>
  <c r="H17" i="9"/>
  <c r="H21" i="9" s="1"/>
  <c r="H24" i="9" s="1"/>
  <c r="Q157" i="8"/>
  <c r="O66" i="8"/>
  <c r="P39" i="8"/>
  <c r="P49" i="8" s="1"/>
  <c r="P121" i="8"/>
  <c r="Q120" i="8"/>
  <c r="Q121" i="8" s="1"/>
  <c r="P16" i="9"/>
  <c r="P20" i="4"/>
  <c r="P25" i="4" s="1"/>
  <c r="S18" i="9"/>
  <c r="J8" i="2"/>
  <c r="R57" i="9"/>
  <c r="Q59" i="9"/>
  <c r="J107" i="9"/>
  <c r="I5" i="9"/>
  <c r="R5" i="9"/>
  <c r="S12" i="4"/>
  <c r="S11" i="4"/>
  <c r="S6" i="2"/>
  <c r="T5" i="4"/>
  <c r="I4" i="8"/>
  <c r="L4" i="9"/>
  <c r="Q42" i="8"/>
  <c r="Q52" i="8" s="1"/>
  <c r="O15" i="9"/>
  <c r="O17" i="9" s="1"/>
  <c r="O16" i="4"/>
  <c r="O18" i="4" s="1"/>
  <c r="O21" i="4" s="1"/>
  <c r="N7" i="9"/>
  <c r="N8" i="9" s="1"/>
  <c r="M9" i="9"/>
  <c r="R156" i="8"/>
  <c r="R157" i="8" s="1"/>
  <c r="R21" i="8"/>
  <c r="R33" i="8" s="1"/>
  <c r="S151" i="8"/>
  <c r="K15" i="9"/>
  <c r="K16" i="4"/>
  <c r="K18" i="4" s="1"/>
  <c r="K21" i="4" s="1"/>
  <c r="I66" i="8"/>
  <c r="J12" i="8"/>
  <c r="J13" i="8"/>
  <c r="K11" i="4"/>
  <c r="J5" i="4"/>
  <c r="K6" i="2"/>
  <c r="K45" i="2" s="1"/>
  <c r="K12" i="4"/>
  <c r="P7" i="2"/>
  <c r="Q6" i="4"/>
  <c r="M15" i="9"/>
  <c r="M16" i="4"/>
  <c r="M18" i="4" s="1"/>
  <c r="M21" i="4" s="1"/>
  <c r="P42" i="8"/>
  <c r="P52" i="8" s="1"/>
  <c r="R4" i="9"/>
  <c r="R13" i="8"/>
  <c r="R12" i="8"/>
  <c r="N15" i="9"/>
  <c r="N16" i="4"/>
  <c r="N18" i="4" s="1"/>
  <c r="N21" i="4" s="1"/>
  <c r="L66" i="8"/>
  <c r="L15" i="9"/>
  <c r="L16" i="4"/>
  <c r="L18" i="4" s="1"/>
  <c r="L21" i="4" s="1"/>
  <c r="K9" i="8"/>
  <c r="L7" i="8"/>
  <c r="L8" i="8" s="1"/>
  <c r="R120" i="8"/>
  <c r="S115" i="8"/>
  <c r="R18" i="8"/>
  <c r="R30" i="8" s="1"/>
  <c r="J9" i="2"/>
  <c r="K7" i="4"/>
  <c r="J9" i="4"/>
  <c r="J10" i="2" s="1"/>
  <c r="K4" i="4"/>
  <c r="S4" i="8"/>
  <c r="K66" i="8"/>
  <c r="Q43" i="4"/>
  <c r="J15" i="9"/>
  <c r="J16" i="4"/>
  <c r="J18" i="4" s="1"/>
  <c r="J21" i="4" s="1"/>
  <c r="U4" i="4"/>
  <c r="P40" i="8"/>
  <c r="I15" i="9"/>
  <c r="I16" i="4"/>
  <c r="I18" i="4" s="1"/>
  <c r="I21" i="4" s="1"/>
  <c r="L5" i="2"/>
  <c r="H80" i="8" l="1"/>
  <c r="R121" i="8"/>
  <c r="K22" i="4"/>
  <c r="K23" i="4" s="1"/>
  <c r="L22" i="4"/>
  <c r="L23" i="4" s="1"/>
  <c r="M22" i="4"/>
  <c r="M23" i="4" s="1"/>
  <c r="J22" i="4"/>
  <c r="J23" i="4" s="1"/>
  <c r="I22" i="4"/>
  <c r="I23" i="4" s="1"/>
  <c r="N22" i="4"/>
  <c r="N23" i="4" s="1"/>
  <c r="O22" i="4"/>
  <c r="O23" i="4" s="1"/>
  <c r="H91" i="9"/>
  <c r="N17" i="9"/>
  <c r="N21" i="9" s="1"/>
  <c r="M17" i="9"/>
  <c r="M21" i="9" s="1"/>
  <c r="L17" i="9"/>
  <c r="L21" i="9" s="1"/>
  <c r="K17" i="9"/>
  <c r="K21" i="9" s="1"/>
  <c r="J17" i="9"/>
  <c r="J21" i="9" s="1"/>
  <c r="I17" i="9"/>
  <c r="I21" i="9" s="1"/>
  <c r="Q39" i="8"/>
  <c r="Q49" i="8" s="1"/>
  <c r="T18" i="9"/>
  <c r="S57" i="9"/>
  <c r="R59" i="9"/>
  <c r="K107" i="9"/>
  <c r="H5" i="9"/>
  <c r="R64" i="9"/>
  <c r="S5" i="9"/>
  <c r="T115" i="8"/>
  <c r="S120" i="8"/>
  <c r="S121" i="8" s="1"/>
  <c r="S18" i="8"/>
  <c r="S30" i="8" s="1"/>
  <c r="N9" i="9"/>
  <c r="O7" i="9"/>
  <c r="O8" i="9" s="1"/>
  <c r="Q7" i="2"/>
  <c r="R6" i="4"/>
  <c r="I12" i="8"/>
  <c r="I13" i="8"/>
  <c r="R39" i="8"/>
  <c r="R49" i="8" s="1"/>
  <c r="S13" i="8"/>
  <c r="S12" i="8"/>
  <c r="S156" i="8"/>
  <c r="S157" i="8" s="1"/>
  <c r="T151" i="8"/>
  <c r="S21" i="8"/>
  <c r="S33" i="8" s="1"/>
  <c r="T12" i="4"/>
  <c r="T11" i="4"/>
  <c r="U5" i="4"/>
  <c r="T6" i="2"/>
  <c r="K5" i="2"/>
  <c r="R42" i="8"/>
  <c r="R52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I24" i="9" l="1"/>
  <c r="I92" i="9" s="1"/>
  <c r="J24" i="9"/>
  <c r="J25" i="9" s="1"/>
  <c r="K24" i="9"/>
  <c r="L24" i="9"/>
  <c r="M24" i="9"/>
  <c r="N24" i="9"/>
  <c r="H83" i="8"/>
  <c r="H102" i="9"/>
  <c r="I30" i="4"/>
  <c r="L30" i="4"/>
  <c r="N30" i="4"/>
  <c r="M30" i="4"/>
  <c r="J30" i="4"/>
  <c r="K30" i="4"/>
  <c r="O30" i="4"/>
  <c r="H92" i="9"/>
  <c r="H96" i="9" s="1"/>
  <c r="H25" i="9"/>
  <c r="U18" i="9"/>
  <c r="T57" i="9"/>
  <c r="S59" i="9"/>
  <c r="L107" i="9"/>
  <c r="R43" i="4"/>
  <c r="S64" i="9"/>
  <c r="T5" i="9"/>
  <c r="T13" i="8"/>
  <c r="T12" i="8"/>
  <c r="U11" i="4"/>
  <c r="V5" i="4"/>
  <c r="U6" i="2"/>
  <c r="U12" i="4"/>
  <c r="O21" i="9"/>
  <c r="O24" i="9" s="1"/>
  <c r="U4" i="8"/>
  <c r="T4" i="9"/>
  <c r="T156" i="8"/>
  <c r="T157" i="8" s="1"/>
  <c r="U151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2" i="8"/>
  <c r="S52" i="8" s="1"/>
  <c r="H12" i="8"/>
  <c r="H13" i="8"/>
  <c r="I4" i="4"/>
  <c r="R7" i="2"/>
  <c r="S6" i="4"/>
  <c r="S39" i="8"/>
  <c r="S49" i="8" s="1"/>
  <c r="U115" i="8"/>
  <c r="T120" i="8"/>
  <c r="T121" i="8" s="1"/>
  <c r="T18" i="8"/>
  <c r="T30" i="8" s="1"/>
  <c r="I25" i="9" l="1"/>
  <c r="J92" i="9"/>
  <c r="L92" i="9"/>
  <c r="H91" i="8"/>
  <c r="H92" i="8" s="1"/>
  <c r="L25" i="9"/>
  <c r="M25" i="9"/>
  <c r="M91" i="9"/>
  <c r="M80" i="8"/>
  <c r="L91" i="9"/>
  <c r="L80" i="8"/>
  <c r="N91" i="9"/>
  <c r="N80" i="8"/>
  <c r="P100" i="9"/>
  <c r="N92" i="9"/>
  <c r="M92" i="9"/>
  <c r="K91" i="9"/>
  <c r="K80" i="8"/>
  <c r="N25" i="9"/>
  <c r="J91" i="9"/>
  <c r="J80" i="8"/>
  <c r="K92" i="9"/>
  <c r="K25" i="9"/>
  <c r="I91" i="9"/>
  <c r="I96" i="9" s="1"/>
  <c r="I80" i="8"/>
  <c r="V18" i="9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6" i="8"/>
  <c r="U157" i="8" s="1"/>
  <c r="V151" i="8"/>
  <c r="U21" i="8"/>
  <c r="U33" i="8" s="1"/>
  <c r="H4" i="4"/>
  <c r="H12" i="4"/>
  <c r="H11" i="4"/>
  <c r="H6" i="2"/>
  <c r="H45" i="2" s="1"/>
  <c r="T42" i="8"/>
  <c r="T52" i="8" s="1"/>
  <c r="T39" i="8"/>
  <c r="T49" i="8" s="1"/>
  <c r="L8" i="2"/>
  <c r="L8" i="4"/>
  <c r="I4" i="9"/>
  <c r="U120" i="8"/>
  <c r="U121" i="8" s="1"/>
  <c r="V115" i="8"/>
  <c r="U18" i="8"/>
  <c r="U30" i="8" s="1"/>
  <c r="S7" i="2"/>
  <c r="T6" i="4"/>
  <c r="X4" i="4"/>
  <c r="Q7" i="9"/>
  <c r="Q8" i="9" s="1"/>
  <c r="P9" i="9"/>
  <c r="U4" i="9"/>
  <c r="O7" i="8"/>
  <c r="O8" i="8" s="1"/>
  <c r="N9" i="8"/>
  <c r="J96" i="9" l="1"/>
  <c r="L96" i="9"/>
  <c r="N96" i="9"/>
  <c r="K96" i="9"/>
  <c r="M96" i="9"/>
  <c r="I102" i="9"/>
  <c r="I83" i="8"/>
  <c r="M102" i="9"/>
  <c r="M83" i="8"/>
  <c r="M91" i="8"/>
  <c r="M92" i="8" s="1"/>
  <c r="J102" i="9"/>
  <c r="J83" i="8"/>
  <c r="O91" i="9"/>
  <c r="O80" i="8"/>
  <c r="N83" i="8"/>
  <c r="N102" i="9"/>
  <c r="L102" i="9"/>
  <c r="L83" i="8"/>
  <c r="L91" i="8"/>
  <c r="L92" i="8" s="1"/>
  <c r="K102" i="9"/>
  <c r="K83" i="8"/>
  <c r="W18" i="9"/>
  <c r="V57" i="9"/>
  <c r="U59" i="9"/>
  <c r="O25" i="9"/>
  <c r="O92" i="9"/>
  <c r="P92" i="9" s="1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1" i="8"/>
  <c r="V156" i="8"/>
  <c r="V157" i="8" s="1"/>
  <c r="V21" i="8"/>
  <c r="V33" i="8" s="1"/>
  <c r="V120" i="8"/>
  <c r="V121" i="8" s="1"/>
  <c r="W115" i="8"/>
  <c r="V18" i="8"/>
  <c r="V30" i="8" s="1"/>
  <c r="U42" i="8"/>
  <c r="U52" i="8" s="1"/>
  <c r="R7" i="9"/>
  <c r="R8" i="9" s="1"/>
  <c r="Q9" i="9"/>
  <c r="U39" i="8"/>
  <c r="U49" i="8" s="1"/>
  <c r="T7" i="2"/>
  <c r="U6" i="4"/>
  <c r="V12" i="8"/>
  <c r="V13" i="8"/>
  <c r="V4" i="9"/>
  <c r="W11" i="4"/>
  <c r="X5" i="4"/>
  <c r="W6" i="2"/>
  <c r="W12" i="4"/>
  <c r="P91" i="9" l="1"/>
  <c r="I91" i="8"/>
  <c r="I92" i="8" s="1"/>
  <c r="K91" i="8"/>
  <c r="K92" i="8" s="1"/>
  <c r="J91" i="8"/>
  <c r="J92" i="8" s="1"/>
  <c r="O83" i="8"/>
  <c r="O102" i="9"/>
  <c r="P102" i="9" s="1"/>
  <c r="N91" i="8"/>
  <c r="N92" i="8" s="1"/>
  <c r="X18" i="9"/>
  <c r="W57" i="9"/>
  <c r="V59" i="9"/>
  <c r="V64" i="9"/>
  <c r="W5" i="9"/>
  <c r="V42" i="8"/>
  <c r="V52" i="8" s="1"/>
  <c r="Q7" i="8"/>
  <c r="Q8" i="8" s="1"/>
  <c r="P9" i="8"/>
  <c r="X115" i="8"/>
  <c r="W120" i="8"/>
  <c r="W121" i="8" s="1"/>
  <c r="W18" i="8"/>
  <c r="W30" i="8" s="1"/>
  <c r="W156" i="8"/>
  <c r="W157" i="8" s="1"/>
  <c r="X151" i="8"/>
  <c r="W21" i="8"/>
  <c r="W33" i="8" s="1"/>
  <c r="X6" i="2"/>
  <c r="X11" i="4"/>
  <c r="Y5" i="4"/>
  <c r="X12" i="4"/>
  <c r="V39" i="8"/>
  <c r="V49" i="8" s="1"/>
  <c r="V6" i="4"/>
  <c r="U7" i="2"/>
  <c r="X4" i="8"/>
  <c r="M8" i="4"/>
  <c r="M8" i="2"/>
  <c r="W4" i="9"/>
  <c r="W12" i="8"/>
  <c r="W13" i="8"/>
  <c r="S7" i="9"/>
  <c r="S8" i="9" s="1"/>
  <c r="R9" i="9"/>
  <c r="O91" i="8" l="1"/>
  <c r="O92" i="8" s="1"/>
  <c r="Z93" i="8" s="1"/>
  <c r="O93" i="8" s="1"/>
  <c r="Y18" i="9"/>
  <c r="X57" i="9"/>
  <c r="W59" i="9"/>
  <c r="V43" i="4"/>
  <c r="W64" i="9"/>
  <c r="X64" i="9" s="1"/>
  <c r="X5" i="9"/>
  <c r="X120" i="8"/>
  <c r="X121" i="8" s="1"/>
  <c r="Y115" i="8"/>
  <c r="X18" i="8"/>
  <c r="X30" i="8" s="1"/>
  <c r="W42" i="8"/>
  <c r="W52" i="8" s="1"/>
  <c r="W39" i="8"/>
  <c r="W49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6" i="8"/>
  <c r="X157" i="8" s="1"/>
  <c r="Y151" i="8"/>
  <c r="X21" i="8"/>
  <c r="X33" i="8" s="1"/>
  <c r="Y57" i="9" l="1"/>
  <c r="Y59" i="9" s="1"/>
  <c r="X59" i="9"/>
  <c r="W43" i="4"/>
  <c r="Y5" i="9"/>
  <c r="Y120" i="8"/>
  <c r="Y121" i="8" s="1"/>
  <c r="Y18" i="8"/>
  <c r="Y30" i="8" s="1"/>
  <c r="Y156" i="8"/>
  <c r="Y157" i="8" s="1"/>
  <c r="Y21" i="8"/>
  <c r="Y33" i="8" s="1"/>
  <c r="U7" i="9"/>
  <c r="U8" i="9" s="1"/>
  <c r="T9" i="9"/>
  <c r="X39" i="8"/>
  <c r="X49" i="8" s="1"/>
  <c r="X42" i="8"/>
  <c r="X52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39" i="8"/>
  <c r="Y49" i="8" s="1"/>
  <c r="Y43" i="4"/>
  <c r="S9" i="8"/>
  <c r="T7" i="8"/>
  <c r="T8" i="8" s="1"/>
  <c r="U9" i="9"/>
  <c r="V7" i="9"/>
  <c r="V8" i="9" s="1"/>
  <c r="Y6" i="4"/>
  <c r="Y7" i="2" s="1"/>
  <c r="X7" i="2"/>
  <c r="Y42" i="8"/>
  <c r="Y52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Q47" i="9"/>
  <c r="S46" i="9"/>
  <c r="R47" i="9"/>
  <c r="T46" i="9" l="1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71" i="9" s="1"/>
  <c r="O41" i="9"/>
  <c r="P40" i="9"/>
  <c r="P41" i="9" l="1"/>
  <c r="Q40" i="9"/>
  <c r="O93" i="9"/>
  <c r="O94" i="9"/>
  <c r="P94" i="9" s="1"/>
  <c r="P93" i="9" l="1"/>
  <c r="O96" i="9"/>
  <c r="P96" i="9" s="1"/>
  <c r="Q41" i="9"/>
  <c r="R40" i="9"/>
  <c r="H114" i="9" l="1"/>
  <c r="I114" i="9"/>
  <c r="F114" i="9"/>
  <c r="G114" i="9"/>
  <c r="J114" i="9"/>
  <c r="S40" i="9"/>
  <c r="R41" i="9"/>
  <c r="K114" i="9" l="1"/>
  <c r="S41" i="9"/>
  <c r="T40" i="9"/>
  <c r="L114" i="9" l="1"/>
  <c r="T41" i="9"/>
  <c r="U40" i="9"/>
  <c r="M114" i="9" l="1"/>
  <c r="V40" i="9"/>
  <c r="U41" i="9"/>
  <c r="N114" i="9" l="1"/>
  <c r="W40" i="9"/>
  <c r="V41" i="9"/>
  <c r="O114" i="9" l="1"/>
  <c r="X40" i="9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3" i="8" l="1"/>
  <c r="Q17" i="8" s="1"/>
  <c r="Q29" i="8" s="1"/>
  <c r="P108" i="8"/>
  <c r="P109" i="8" s="1"/>
  <c r="R103" i="8" l="1"/>
  <c r="R108" i="8" s="1"/>
  <c r="Q108" i="8"/>
  <c r="Q38" i="8" s="1"/>
  <c r="Q48" i="8" s="1"/>
  <c r="P38" i="8"/>
  <c r="P48" i="8" s="1"/>
  <c r="S103" i="8" l="1"/>
  <c r="S108" i="8" s="1"/>
  <c r="Q109" i="8"/>
  <c r="R17" i="8"/>
  <c r="R29" i="8" s="1"/>
  <c r="R109" i="8"/>
  <c r="R38" i="8"/>
  <c r="R48" i="8" l="1"/>
  <c r="S17" i="8"/>
  <c r="S29" i="8" s="1"/>
  <c r="T103" i="8"/>
  <c r="T108" i="8" s="1"/>
  <c r="Q28" i="4"/>
  <c r="P42" i="9"/>
  <c r="S109" i="8"/>
  <c r="S38" i="8"/>
  <c r="U103" i="8" l="1"/>
  <c r="V103" i="8" s="1"/>
  <c r="T17" i="8"/>
  <c r="T29" i="8" s="1"/>
  <c r="S48" i="8"/>
  <c r="U108" i="8"/>
  <c r="T38" i="8"/>
  <c r="T48" i="8" s="1"/>
  <c r="T109" i="8"/>
  <c r="P48" i="9"/>
  <c r="P43" i="9"/>
  <c r="Q42" i="9"/>
  <c r="R28" i="4"/>
  <c r="U17" i="8" l="1"/>
  <c r="U29" i="8" s="1"/>
  <c r="V17" i="8"/>
  <c r="W103" i="8"/>
  <c r="V108" i="8"/>
  <c r="U38" i="8"/>
  <c r="U48" i="8" s="1"/>
  <c r="U109" i="8"/>
  <c r="Q43" i="9"/>
  <c r="Q48" i="9"/>
  <c r="R42" i="9"/>
  <c r="S28" i="4"/>
  <c r="V29" i="8" l="1"/>
  <c r="V109" i="8"/>
  <c r="V38" i="8"/>
  <c r="V48" i="8" s="1"/>
  <c r="W17" i="8"/>
  <c r="W29" i="8" s="1"/>
  <c r="W108" i="8"/>
  <c r="X103" i="8"/>
  <c r="T28" i="4"/>
  <c r="R48" i="9"/>
  <c r="S42" i="9"/>
  <c r="R43" i="9"/>
  <c r="Y103" i="8" l="1"/>
  <c r="X17" i="8"/>
  <c r="X29" i="8" s="1"/>
  <c r="X108" i="8"/>
  <c r="W38" i="8"/>
  <c r="W48" i="8" s="1"/>
  <c r="W109" i="8"/>
  <c r="U28" i="4"/>
  <c r="S48" i="9"/>
  <c r="S43" i="9"/>
  <c r="T42" i="9"/>
  <c r="V28" i="4" l="1"/>
  <c r="X109" i="8"/>
  <c r="X38" i="8"/>
  <c r="X48" i="8" s="1"/>
  <c r="T43" i="9"/>
  <c r="U42" i="9"/>
  <c r="T48" i="9"/>
  <c r="Y108" i="8"/>
  <c r="Y17" i="8"/>
  <c r="Y29" i="8" s="1"/>
  <c r="U43" i="9" l="1"/>
  <c r="V42" i="9"/>
  <c r="U48" i="9"/>
  <c r="Y109" i="8"/>
  <c r="Y38" i="8"/>
  <c r="Y48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7" i="8" l="1"/>
  <c r="R16" i="9" s="1"/>
  <c r="Q16" i="9"/>
  <c r="Q20" i="4"/>
  <c r="R20" i="4" l="1"/>
  <c r="S57" i="8"/>
  <c r="Q25" i="4"/>
  <c r="S16" i="9" l="1"/>
  <c r="S20" i="4"/>
  <c r="T57" i="8"/>
  <c r="R25" i="4"/>
  <c r="S25" i="4" l="1"/>
  <c r="U57" i="8"/>
  <c r="T20" i="4"/>
  <c r="T16" i="9"/>
  <c r="T25" i="4" l="1"/>
  <c r="U16" i="9"/>
  <c r="U20" i="4"/>
  <c r="V57" i="8"/>
  <c r="U25" i="4" l="1"/>
  <c r="V20" i="4"/>
  <c r="W57" i="8"/>
  <c r="V16" i="9"/>
  <c r="W16" i="9" l="1"/>
  <c r="W20" i="4"/>
  <c r="X57" i="8"/>
  <c r="V25" i="4"/>
  <c r="W25" i="4" l="1"/>
  <c r="Y57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7" i="8"/>
  <c r="Q19" i="8" s="1"/>
  <c r="P129" i="8"/>
  <c r="S129" i="8" s="1"/>
  <c r="R129" i="8"/>
  <c r="R127" i="8" s="1"/>
  <c r="Q132" i="8"/>
  <c r="Q133" i="8" s="1"/>
  <c r="R19" i="8" l="1"/>
  <c r="R132" i="8"/>
  <c r="S127" i="8"/>
  <c r="P50" i="8"/>
  <c r="Q40" i="8"/>
  <c r="T129" i="8"/>
  <c r="Q31" i="8"/>
  <c r="P31" i="8"/>
  <c r="U129" i="8"/>
  <c r="W129" i="8" s="1"/>
  <c r="Q50" i="8" l="1"/>
  <c r="V129" i="8"/>
  <c r="X129" i="8" s="1"/>
  <c r="S19" i="8"/>
  <c r="T127" i="8"/>
  <c r="S132" i="8"/>
  <c r="R40" i="8"/>
  <c r="R133" i="8"/>
  <c r="R31" i="8"/>
  <c r="S31" i="8" l="1"/>
  <c r="R50" i="8"/>
  <c r="Y129" i="8"/>
  <c r="S40" i="8"/>
  <c r="S133" i="8"/>
  <c r="T19" i="8"/>
  <c r="T132" i="8"/>
  <c r="U127" i="8"/>
  <c r="T40" i="8" l="1"/>
  <c r="T133" i="8"/>
  <c r="T31" i="8"/>
  <c r="S50" i="8"/>
  <c r="U19" i="8"/>
  <c r="U132" i="8"/>
  <c r="V127" i="8"/>
  <c r="U31" i="8" l="1"/>
  <c r="U133" i="8"/>
  <c r="U40" i="8"/>
  <c r="V19" i="8"/>
  <c r="V132" i="8"/>
  <c r="W127" i="8"/>
  <c r="T50" i="8"/>
  <c r="V40" i="8" l="1"/>
  <c r="V133" i="8"/>
  <c r="U50" i="8"/>
  <c r="V31" i="8"/>
  <c r="W19" i="8"/>
  <c r="X127" i="8"/>
  <c r="W132" i="8"/>
  <c r="W40" i="8" l="1"/>
  <c r="W133" i="8"/>
  <c r="X132" i="8"/>
  <c r="X19" i="8"/>
  <c r="Y127" i="8"/>
  <c r="W31" i="8"/>
  <c r="V50" i="8"/>
  <c r="X40" i="8" l="1"/>
  <c r="X133" i="8"/>
  <c r="W50" i="8"/>
  <c r="Y19" i="8"/>
  <c r="Y132" i="8"/>
  <c r="X31" i="8"/>
  <c r="Y31" i="8" l="1"/>
  <c r="Y40" i="8"/>
  <c r="Y133" i="8"/>
  <c r="X50" i="8"/>
  <c r="Y50" i="8" l="1"/>
  <c r="H9" i="3"/>
  <c r="H10" i="3"/>
  <c r="H11" i="3"/>
  <c r="H12" i="3"/>
  <c r="H13" i="3"/>
  <c r="H14" i="3"/>
  <c r="H21" i="3" a="1"/>
  <c r="H21" i="3"/>
  <c r="H22" i="3" a="1"/>
  <c r="H22" i="3"/>
  <c r="H23" i="3" a="1"/>
  <c r="H23" i="3"/>
  <c r="H24" i="3" a="1"/>
  <c r="H24" i="3"/>
  <c r="H27" i="3"/>
  <c r="H28" i="3"/>
  <c r="H29" i="3"/>
  <c r="K46" i="3"/>
  <c r="P16" i="4"/>
  <c r="Q16" i="4"/>
  <c r="R16" i="4"/>
  <c r="S16" i="4"/>
  <c r="T16" i="4"/>
  <c r="U16" i="4"/>
  <c r="V16" i="4"/>
  <c r="W16" i="4"/>
  <c r="X16" i="4"/>
  <c r="Y16" i="4"/>
  <c r="P17" i="4"/>
  <c r="Q17" i="4"/>
  <c r="R17" i="4"/>
  <c r="S17" i="4"/>
  <c r="T17" i="4"/>
  <c r="U17" i="4"/>
  <c r="V17" i="4"/>
  <c r="W17" i="4"/>
  <c r="X17" i="4"/>
  <c r="Y17" i="4"/>
  <c r="P18" i="4"/>
  <c r="Q18" i="4"/>
  <c r="R18" i="4"/>
  <c r="S18" i="4"/>
  <c r="T18" i="4"/>
  <c r="U18" i="4"/>
  <c r="V18" i="4"/>
  <c r="W18" i="4"/>
  <c r="X18" i="4"/>
  <c r="Y18" i="4"/>
  <c r="P21" i="4"/>
  <c r="Q21" i="4"/>
  <c r="R21" i="4"/>
  <c r="S21" i="4"/>
  <c r="T21" i="4"/>
  <c r="U21" i="4"/>
  <c r="V21" i="4"/>
  <c r="W21" i="4"/>
  <c r="X21" i="4"/>
  <c r="Y21" i="4"/>
  <c r="P22" i="4"/>
  <c r="Q22" i="4"/>
  <c r="R22" i="4"/>
  <c r="S22" i="4"/>
  <c r="T22" i="4"/>
  <c r="U22" i="4"/>
  <c r="V22" i="4"/>
  <c r="W22" i="4"/>
  <c r="X22" i="4"/>
  <c r="Y22" i="4"/>
  <c r="P23" i="4"/>
  <c r="Q23" i="4"/>
  <c r="R23" i="4"/>
  <c r="S23" i="4"/>
  <c r="T23" i="4"/>
  <c r="U23" i="4"/>
  <c r="V23" i="4"/>
  <c r="W23" i="4"/>
  <c r="X23" i="4"/>
  <c r="Y23" i="4"/>
  <c r="P26" i="4"/>
  <c r="Q26" i="4"/>
  <c r="R26" i="4"/>
  <c r="S26" i="4"/>
  <c r="T26" i="4"/>
  <c r="U26" i="4"/>
  <c r="V26" i="4"/>
  <c r="W26" i="4"/>
  <c r="X26" i="4"/>
  <c r="Y26" i="4"/>
  <c r="P30" i="4"/>
  <c r="Q30" i="4"/>
  <c r="R30" i="4"/>
  <c r="S30" i="4"/>
  <c r="T30" i="4"/>
  <c r="U30" i="4"/>
  <c r="V30" i="4"/>
  <c r="W30" i="4"/>
  <c r="X30" i="4"/>
  <c r="Y30" i="4"/>
  <c r="Y31" i="4"/>
  <c r="P34" i="4"/>
  <c r="Q34" i="4"/>
  <c r="R34" i="4"/>
  <c r="S34" i="4"/>
  <c r="T34" i="4"/>
  <c r="U34" i="4"/>
  <c r="V34" i="4"/>
  <c r="W34" i="4"/>
  <c r="X34" i="4"/>
  <c r="Y34" i="4"/>
  <c r="Y35" i="4"/>
  <c r="P40" i="4"/>
  <c r="Q40" i="4"/>
  <c r="R40" i="4"/>
  <c r="S40" i="4"/>
  <c r="T40" i="4"/>
  <c r="U40" i="4"/>
  <c r="V40" i="4"/>
  <c r="W40" i="4"/>
  <c r="X40" i="4"/>
  <c r="Y40" i="4"/>
  <c r="Y41" i="4"/>
  <c r="P45" i="4"/>
  <c r="Q45" i="4"/>
  <c r="R45" i="4"/>
  <c r="S45" i="4"/>
  <c r="T45" i="4"/>
  <c r="U45" i="4"/>
  <c r="V45" i="4"/>
  <c r="W45" i="4"/>
  <c r="X45" i="4"/>
  <c r="Y45" i="4"/>
  <c r="P46" i="4"/>
  <c r="Q46" i="4"/>
  <c r="R46" i="4"/>
  <c r="S46" i="4"/>
  <c r="T46" i="4"/>
  <c r="U46" i="4"/>
  <c r="V46" i="4"/>
  <c r="W46" i="4"/>
  <c r="X46" i="4"/>
  <c r="Y46" i="4"/>
  <c r="P47" i="4"/>
  <c r="Q47" i="4"/>
  <c r="R47" i="4"/>
  <c r="S47" i="4"/>
  <c r="T47" i="4"/>
  <c r="U47" i="4"/>
  <c r="V47" i="4"/>
  <c r="W47" i="4"/>
  <c r="X47" i="4"/>
  <c r="Y47" i="4"/>
  <c r="P49" i="4"/>
  <c r="Q49" i="4"/>
  <c r="R49" i="4"/>
  <c r="S49" i="4"/>
  <c r="T49" i="4"/>
  <c r="U49" i="4"/>
  <c r="V49" i="4"/>
  <c r="W49" i="4"/>
  <c r="X49" i="4"/>
  <c r="Y49" i="4"/>
  <c r="P50" i="4"/>
  <c r="Q50" i="4"/>
  <c r="R50" i="4"/>
  <c r="S50" i="4"/>
  <c r="T50" i="4"/>
  <c r="U50" i="4"/>
  <c r="V50" i="4"/>
  <c r="W50" i="4"/>
  <c r="X50" i="4"/>
  <c r="Y50" i="4"/>
  <c r="P52" i="4"/>
  <c r="Q52" i="4"/>
  <c r="R52" i="4"/>
  <c r="S52" i="4"/>
  <c r="T52" i="4"/>
  <c r="U52" i="4"/>
  <c r="V52" i="4"/>
  <c r="W52" i="4"/>
  <c r="X52" i="4"/>
  <c r="Y52" i="4"/>
  <c r="P53" i="4"/>
  <c r="Q53" i="4"/>
  <c r="R53" i="4"/>
  <c r="S53" i="4"/>
  <c r="T53" i="4"/>
  <c r="U53" i="4"/>
  <c r="V53" i="4"/>
  <c r="W53" i="4"/>
  <c r="X53" i="4"/>
  <c r="Y53" i="4"/>
  <c r="Y54" i="4"/>
  <c r="P57" i="4"/>
  <c r="Q57" i="4"/>
  <c r="R57" i="4"/>
  <c r="S57" i="4"/>
  <c r="T57" i="4"/>
  <c r="U57" i="4"/>
  <c r="V57" i="4"/>
  <c r="W57" i="4"/>
  <c r="X57" i="4"/>
  <c r="Y57" i="4"/>
  <c r="Y58" i="4"/>
  <c r="P63" i="4"/>
  <c r="Q63" i="4"/>
  <c r="R63" i="4"/>
  <c r="S63" i="4"/>
  <c r="T63" i="4"/>
  <c r="U63" i="4"/>
  <c r="V63" i="4"/>
  <c r="W63" i="4"/>
  <c r="X63" i="4"/>
  <c r="Y63" i="4"/>
  <c r="Y64" i="4"/>
  <c r="H70" i="4"/>
  <c r="H73" i="4"/>
  <c r="H76" i="4"/>
  <c r="H79" i="4"/>
  <c r="H83" i="4"/>
  <c r="H84" i="4"/>
  <c r="H86" i="4"/>
  <c r="H87" i="4"/>
  <c r="H88" i="4"/>
  <c r="H89" i="4"/>
  <c r="H93" i="4"/>
  <c r="H96" i="4"/>
  <c r="H99" i="4"/>
  <c r="H103" i="4"/>
  <c r="H104" i="4"/>
  <c r="H106" i="4"/>
  <c r="H107" i="4"/>
  <c r="H108" i="4"/>
  <c r="H109" i="4"/>
  <c r="H25" i="5"/>
  <c r="I25" i="5"/>
  <c r="J25" i="5"/>
  <c r="K25" i="5"/>
  <c r="L25" i="5"/>
  <c r="M25" i="5"/>
  <c r="N25" i="5"/>
  <c r="O25" i="5"/>
  <c r="P25" i="5"/>
  <c r="Q25" i="5"/>
  <c r="Q26" i="5"/>
  <c r="I27" i="5"/>
  <c r="J27" i="5"/>
  <c r="K27" i="5"/>
  <c r="L27" i="5"/>
  <c r="M27" i="5"/>
  <c r="N27" i="5"/>
  <c r="O27" i="5"/>
  <c r="P27" i="5"/>
  <c r="Q27" i="5"/>
  <c r="H30" i="5"/>
  <c r="I30" i="5"/>
  <c r="J30" i="5"/>
  <c r="K30" i="5"/>
  <c r="L30" i="5"/>
  <c r="M30" i="5"/>
  <c r="N30" i="5"/>
  <c r="O30" i="5"/>
  <c r="P30" i="5"/>
  <c r="Q30" i="5"/>
  <c r="Q31" i="5"/>
  <c r="H36" i="5"/>
  <c r="I36" i="5"/>
  <c r="J36" i="5"/>
  <c r="K36" i="5"/>
  <c r="L36" i="5"/>
  <c r="M36" i="5"/>
  <c r="N36" i="5"/>
  <c r="O36" i="5"/>
  <c r="P36" i="5"/>
  <c r="Q36" i="5"/>
  <c r="Q37" i="5"/>
  <c r="H43" i="5"/>
  <c r="H45" i="5"/>
  <c r="P13" i="9"/>
  <c r="Q13" i="9"/>
  <c r="R13" i="9"/>
  <c r="S13" i="9"/>
  <c r="T13" i="9"/>
  <c r="U13" i="9"/>
  <c r="V13" i="9"/>
  <c r="W13" i="9"/>
  <c r="X13" i="9"/>
  <c r="Y13" i="9"/>
  <c r="P14" i="9"/>
  <c r="Q14" i="9"/>
  <c r="R14" i="9"/>
  <c r="S14" i="9"/>
  <c r="T14" i="9"/>
  <c r="U14" i="9"/>
  <c r="V14" i="9"/>
  <c r="W14" i="9"/>
  <c r="X14" i="9"/>
  <c r="Y14" i="9"/>
  <c r="P15" i="9"/>
  <c r="Q15" i="9"/>
  <c r="R15" i="9"/>
  <c r="S15" i="9"/>
  <c r="T15" i="9"/>
  <c r="U15" i="9"/>
  <c r="V15" i="9"/>
  <c r="W15" i="9"/>
  <c r="X15" i="9"/>
  <c r="Y15" i="9"/>
  <c r="P17" i="9"/>
  <c r="Q17" i="9"/>
  <c r="R17" i="9"/>
  <c r="S17" i="9"/>
  <c r="T17" i="9"/>
  <c r="U17" i="9"/>
  <c r="V17" i="9"/>
  <c r="W17" i="9"/>
  <c r="X17" i="9"/>
  <c r="Y17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29" i="9"/>
  <c r="Q29" i="9"/>
  <c r="R29" i="9"/>
  <c r="S29" i="9"/>
  <c r="T29" i="9"/>
  <c r="U29" i="9"/>
  <c r="V29" i="9"/>
  <c r="W29" i="9"/>
  <c r="X29" i="9"/>
  <c r="Y29" i="9"/>
  <c r="P30" i="9"/>
  <c r="Q30" i="9"/>
  <c r="R30" i="9"/>
  <c r="S30" i="9"/>
  <c r="T30" i="9"/>
  <c r="U30" i="9"/>
  <c r="V30" i="9"/>
  <c r="W30" i="9"/>
  <c r="X30" i="9"/>
  <c r="Y30" i="9"/>
  <c r="P31" i="9"/>
  <c r="Q31" i="9"/>
  <c r="R31" i="9"/>
  <c r="S31" i="9"/>
  <c r="T31" i="9"/>
  <c r="U31" i="9"/>
  <c r="V31" i="9"/>
  <c r="W31" i="9"/>
  <c r="X31" i="9"/>
  <c r="Y31" i="9"/>
  <c r="P32" i="9"/>
  <c r="Q32" i="9"/>
  <c r="R32" i="9"/>
  <c r="S32" i="9"/>
  <c r="T32" i="9"/>
  <c r="U32" i="9"/>
  <c r="V32" i="9"/>
  <c r="W32" i="9"/>
  <c r="X32" i="9"/>
  <c r="Y32" i="9"/>
  <c r="P33" i="9"/>
  <c r="Q33" i="9"/>
  <c r="R33" i="9"/>
  <c r="S33" i="9"/>
  <c r="T33" i="9"/>
  <c r="U33" i="9"/>
  <c r="V33" i="9"/>
  <c r="W33" i="9"/>
  <c r="X33" i="9"/>
  <c r="Y33" i="9"/>
  <c r="P34" i="9"/>
  <c r="Q34" i="9"/>
  <c r="R34" i="9"/>
  <c r="S34" i="9"/>
  <c r="T34" i="9"/>
  <c r="U34" i="9"/>
  <c r="V34" i="9"/>
  <c r="W34" i="9"/>
  <c r="X34" i="9"/>
  <c r="Y34" i="9"/>
  <c r="P35" i="9"/>
  <c r="Q35" i="9"/>
  <c r="R35" i="9"/>
  <c r="S35" i="9"/>
  <c r="T35" i="9"/>
  <c r="U35" i="9"/>
  <c r="V35" i="9"/>
  <c r="W35" i="9"/>
  <c r="X35" i="9"/>
  <c r="Y35" i="9"/>
  <c r="P36" i="9"/>
  <c r="Q36" i="9"/>
  <c r="R36" i="9"/>
  <c r="S36" i="9"/>
  <c r="T36" i="9"/>
  <c r="U36" i="9"/>
  <c r="V36" i="9"/>
  <c r="W36" i="9"/>
  <c r="X36" i="9"/>
  <c r="Y36" i="9"/>
  <c r="P37" i="9"/>
  <c r="Q37" i="9"/>
  <c r="R37" i="9"/>
  <c r="S37" i="9"/>
  <c r="T37" i="9"/>
  <c r="U37" i="9"/>
  <c r="V37" i="9"/>
  <c r="W37" i="9"/>
  <c r="X37" i="9"/>
  <c r="Y37" i="9"/>
  <c r="P49" i="9"/>
  <c r="Q49" i="9"/>
  <c r="R49" i="9"/>
  <c r="S49" i="9"/>
  <c r="T49" i="9"/>
  <c r="U49" i="9"/>
  <c r="V49" i="9"/>
  <c r="W49" i="9"/>
  <c r="X49" i="9"/>
  <c r="Y49" i="9"/>
  <c r="P71" i="9"/>
  <c r="Q71" i="9"/>
  <c r="R71" i="9"/>
  <c r="S71" i="9"/>
  <c r="T71" i="9"/>
  <c r="U71" i="9"/>
  <c r="V71" i="9"/>
  <c r="W71" i="9"/>
  <c r="X71" i="9"/>
  <c r="Y71" i="9"/>
  <c r="P73" i="9"/>
  <c r="Q73" i="9"/>
  <c r="R73" i="9"/>
  <c r="S73" i="9"/>
  <c r="T73" i="9"/>
  <c r="U73" i="9"/>
  <c r="V73" i="9"/>
  <c r="W73" i="9"/>
  <c r="X73" i="9"/>
  <c r="Y73" i="9"/>
  <c r="P74" i="9"/>
  <c r="Q74" i="9"/>
  <c r="R74" i="9"/>
  <c r="S74" i="9"/>
  <c r="T74" i="9"/>
  <c r="U74" i="9"/>
  <c r="V74" i="9"/>
  <c r="W74" i="9"/>
  <c r="X74" i="9"/>
  <c r="Y74" i="9"/>
  <c r="P75" i="9"/>
  <c r="Q75" i="9"/>
  <c r="R75" i="9"/>
  <c r="S75" i="9"/>
  <c r="T75" i="9"/>
  <c r="U75" i="9"/>
  <c r="V75" i="9"/>
  <c r="W75" i="9"/>
  <c r="X75" i="9"/>
  <c r="Y75" i="9"/>
  <c r="G108" i="9"/>
  <c r="H108" i="9"/>
  <c r="I108" i="9"/>
  <c r="J108" i="9"/>
  <c r="K108" i="9"/>
  <c r="L108" i="9"/>
  <c r="M108" i="9"/>
  <c r="N108" i="9"/>
  <c r="O108" i="9"/>
  <c r="P108" i="9"/>
  <c r="G110" i="9"/>
  <c r="H110" i="9"/>
  <c r="I110" i="9"/>
  <c r="J110" i="9"/>
  <c r="K110" i="9"/>
  <c r="L110" i="9"/>
  <c r="M110" i="9"/>
  <c r="N110" i="9"/>
  <c r="O110" i="9"/>
  <c r="P110" i="9"/>
  <c r="F116" i="9"/>
  <c r="G116" i="9"/>
  <c r="H116" i="9"/>
  <c r="I116" i="9"/>
  <c r="J116" i="9"/>
  <c r="K116" i="9"/>
  <c r="L116" i="9"/>
  <c r="M116" i="9"/>
  <c r="N116" i="9"/>
  <c r="O116" i="9"/>
  <c r="F117" i="9"/>
  <c r="G117" i="9"/>
  <c r="H117" i="9"/>
  <c r="I117" i="9"/>
  <c r="J117" i="9"/>
  <c r="K117" i="9"/>
  <c r="L117" i="9"/>
  <c r="M117" i="9"/>
  <c r="N117" i="9"/>
  <c r="O117" i="9"/>
  <c r="G38" i="2" a="1"/>
  <c r="G38" i="2"/>
  <c r="P20" i="8"/>
  <c r="Q20" i="8"/>
  <c r="R20" i="8"/>
  <c r="S20" i="8"/>
  <c r="T20" i="8"/>
  <c r="U20" i="8"/>
  <c r="V20" i="8"/>
  <c r="W20" i="8"/>
  <c r="X20" i="8"/>
  <c r="Y20" i="8"/>
  <c r="P23" i="8"/>
  <c r="Q23" i="8"/>
  <c r="R23" i="8"/>
  <c r="S23" i="8"/>
  <c r="T23" i="8"/>
  <c r="U23" i="8"/>
  <c r="V23" i="8"/>
  <c r="W23" i="8"/>
  <c r="X23" i="8"/>
  <c r="Y23" i="8"/>
  <c r="P25" i="8"/>
  <c r="Q25" i="8"/>
  <c r="R25" i="8"/>
  <c r="S25" i="8"/>
  <c r="T25" i="8"/>
  <c r="U25" i="8"/>
  <c r="V25" i="8"/>
  <c r="W25" i="8"/>
  <c r="X25" i="8"/>
  <c r="Y25" i="8"/>
  <c r="P26" i="8"/>
  <c r="Q26" i="8"/>
  <c r="R26" i="8"/>
  <c r="S26" i="8"/>
  <c r="T26" i="8"/>
  <c r="U26" i="8"/>
  <c r="V26" i="8"/>
  <c r="W26" i="8"/>
  <c r="X26" i="8"/>
  <c r="Y26" i="8"/>
  <c r="P32" i="8"/>
  <c r="Q32" i="8"/>
  <c r="R32" i="8"/>
  <c r="S32" i="8"/>
  <c r="T32" i="8"/>
  <c r="U32" i="8"/>
  <c r="V32" i="8"/>
  <c r="W32" i="8"/>
  <c r="X32" i="8"/>
  <c r="Y32" i="8"/>
  <c r="P34" i="8"/>
  <c r="Q34" i="8"/>
  <c r="R34" i="8"/>
  <c r="S34" i="8"/>
  <c r="T34" i="8"/>
  <c r="U34" i="8"/>
  <c r="V34" i="8"/>
  <c r="W34" i="8"/>
  <c r="X34" i="8"/>
  <c r="Y34" i="8"/>
  <c r="P41" i="8"/>
  <c r="Q41" i="8"/>
  <c r="R41" i="8"/>
  <c r="S41" i="8"/>
  <c r="T41" i="8"/>
  <c r="U41" i="8"/>
  <c r="V41" i="8"/>
  <c r="W41" i="8"/>
  <c r="X41" i="8"/>
  <c r="Y41" i="8"/>
  <c r="P44" i="8"/>
  <c r="Q44" i="8"/>
  <c r="R44" i="8"/>
  <c r="S44" i="8"/>
  <c r="T44" i="8"/>
  <c r="U44" i="8"/>
  <c r="V44" i="8"/>
  <c r="W44" i="8"/>
  <c r="X44" i="8"/>
  <c r="Y44" i="8"/>
  <c r="P45" i="8"/>
  <c r="Q45" i="8"/>
  <c r="R45" i="8"/>
  <c r="S45" i="8"/>
  <c r="T45" i="8"/>
  <c r="U45" i="8"/>
  <c r="V45" i="8"/>
  <c r="W45" i="8"/>
  <c r="X45" i="8"/>
  <c r="Y45" i="8"/>
  <c r="P51" i="8"/>
  <c r="Q51" i="8"/>
  <c r="R51" i="8"/>
  <c r="S51" i="8"/>
  <c r="T51" i="8"/>
  <c r="U51" i="8"/>
  <c r="V51" i="8"/>
  <c r="W51" i="8"/>
  <c r="X51" i="8"/>
  <c r="Y51" i="8"/>
  <c r="P53" i="8"/>
  <c r="Q53" i="8"/>
  <c r="R53" i="8"/>
  <c r="S53" i="8"/>
  <c r="T53" i="8"/>
  <c r="U53" i="8"/>
  <c r="V53" i="8"/>
  <c r="W53" i="8"/>
  <c r="X53" i="8"/>
  <c r="Y53" i="8"/>
  <c r="P62" i="8"/>
  <c r="Q62" i="8"/>
  <c r="R62" i="8"/>
  <c r="S62" i="8"/>
  <c r="T62" i="8"/>
  <c r="U62" i="8"/>
  <c r="V62" i="8"/>
  <c r="W62" i="8"/>
  <c r="X62" i="8"/>
  <c r="Y62" i="8"/>
  <c r="P63" i="8"/>
  <c r="Q63" i="8"/>
  <c r="R63" i="8"/>
  <c r="S63" i="8"/>
  <c r="T63" i="8"/>
  <c r="U63" i="8"/>
  <c r="V63" i="8"/>
  <c r="W63" i="8"/>
  <c r="X63" i="8"/>
  <c r="Y63" i="8"/>
  <c r="P66" i="8"/>
  <c r="Q66" i="8"/>
  <c r="R66" i="8"/>
  <c r="S66" i="8"/>
  <c r="T66" i="8"/>
  <c r="U66" i="8"/>
  <c r="V66" i="8"/>
  <c r="W66" i="8"/>
  <c r="X66" i="8"/>
  <c r="Y66" i="8"/>
  <c r="P70" i="8"/>
  <c r="Q70" i="8"/>
  <c r="R70" i="8"/>
  <c r="S70" i="8"/>
  <c r="T70" i="8"/>
  <c r="U70" i="8"/>
  <c r="V70" i="8"/>
  <c r="W70" i="8"/>
  <c r="X70" i="8"/>
  <c r="Y70" i="8"/>
  <c r="P71" i="8"/>
  <c r="Q71" i="8"/>
  <c r="R71" i="8"/>
  <c r="S71" i="8"/>
  <c r="T71" i="8"/>
  <c r="U71" i="8"/>
  <c r="V71" i="8"/>
  <c r="W71" i="8"/>
  <c r="X71" i="8"/>
  <c r="Y71" i="8"/>
  <c r="P80" i="8"/>
  <c r="Q80" i="8"/>
  <c r="R80" i="8"/>
  <c r="S80" i="8"/>
  <c r="T80" i="8"/>
  <c r="U80" i="8"/>
  <c r="V80" i="8"/>
  <c r="W80" i="8"/>
  <c r="X80" i="8"/>
  <c r="Y80" i="8"/>
  <c r="P83" i="8"/>
  <c r="Q83" i="8"/>
  <c r="R83" i="8"/>
  <c r="S83" i="8"/>
  <c r="T83" i="8"/>
  <c r="U83" i="8"/>
  <c r="V83" i="8"/>
  <c r="W83" i="8"/>
  <c r="X83" i="8"/>
  <c r="Y83" i="8"/>
  <c r="P87" i="8"/>
  <c r="Q87" i="8"/>
  <c r="R87" i="8"/>
  <c r="S87" i="8"/>
  <c r="T87" i="8"/>
  <c r="U87" i="8"/>
  <c r="V87" i="8"/>
  <c r="W87" i="8"/>
  <c r="X87" i="8"/>
  <c r="Y87" i="8"/>
  <c r="P88" i="8"/>
  <c r="Q88" i="8"/>
  <c r="R88" i="8"/>
  <c r="S88" i="8"/>
  <c r="T88" i="8"/>
  <c r="U88" i="8"/>
  <c r="V88" i="8"/>
  <c r="W88" i="8"/>
  <c r="X88" i="8"/>
  <c r="Y88" i="8"/>
  <c r="P93" i="8"/>
  <c r="Q93" i="8"/>
  <c r="R93" i="8"/>
  <c r="S93" i="8"/>
  <c r="T93" i="8"/>
  <c r="U93" i="8"/>
  <c r="V93" i="8"/>
  <c r="W93" i="8"/>
  <c r="X93" i="8"/>
  <c r="Y93" i="8"/>
  <c r="P94" i="8"/>
  <c r="Q94" i="8"/>
  <c r="R94" i="8"/>
  <c r="S94" i="8"/>
  <c r="T94" i="8"/>
  <c r="U94" i="8"/>
  <c r="V94" i="8"/>
  <c r="W94" i="8"/>
  <c r="X94" i="8"/>
  <c r="Y94" i="8"/>
  <c r="P98" i="8"/>
  <c r="Q98" i="8"/>
  <c r="R98" i="8"/>
  <c r="S98" i="8"/>
  <c r="T98" i="8"/>
  <c r="U98" i="8"/>
  <c r="V98" i="8"/>
  <c r="W98" i="8"/>
  <c r="X98" i="8"/>
  <c r="Y98" i="8"/>
  <c r="Q99" i="8"/>
  <c r="R99" i="8"/>
  <c r="S99" i="8"/>
  <c r="T99" i="8"/>
  <c r="U99" i="8"/>
  <c r="V99" i="8"/>
  <c r="W99" i="8"/>
  <c r="X99" i="8"/>
  <c r="Y99" i="8"/>
  <c r="P139" i="8"/>
  <c r="Q139" i="8"/>
  <c r="R139" i="8"/>
  <c r="S139" i="8"/>
  <c r="T139" i="8"/>
  <c r="U139" i="8"/>
  <c r="V139" i="8"/>
  <c r="W139" i="8"/>
  <c r="X139" i="8"/>
  <c r="Y139" i="8"/>
  <c r="P141" i="8"/>
  <c r="P144" i="8"/>
  <c r="Q144" i="8"/>
  <c r="R144" i="8"/>
  <c r="S144" i="8"/>
  <c r="T144" i="8"/>
  <c r="U144" i="8"/>
  <c r="V144" i="8"/>
  <c r="W144" i="8"/>
  <c r="X144" i="8"/>
  <c r="Y144" i="8"/>
  <c r="P145" i="8"/>
  <c r="Q145" i="8"/>
  <c r="R145" i="8"/>
  <c r="S145" i="8"/>
  <c r="T145" i="8"/>
  <c r="U145" i="8"/>
  <c r="V145" i="8"/>
  <c r="W145" i="8"/>
  <c r="X145" i="8"/>
  <c r="Y145" i="8"/>
  <c r="G6" i="7"/>
  <c r="K6" i="7"/>
  <c r="G7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<sst xmlns="http://schemas.openxmlformats.org/spreadsheetml/2006/main" count="761" uniqueCount="305">
  <si>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</si>
  <si>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</si>
  <si>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</si>
  <si>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</si>
  <si>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</si>
  <si>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</si>
  <si>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</si>
  <si>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</si>
  <si>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</si>
  <si>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</si>
  <si>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</si>
  <si>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</si>
  <si>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</si>
  <si>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</si>
  <si>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</si>
  <si>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</si>
  <si>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</si>
  <si>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</si>
  <si>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</si>
  <si>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</si>
  <si>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</si>
  <si>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</si>
  <si>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</si>
  <si>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</si>
  <si>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</si>
  <si>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</si>
  <si>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</si>
  <si>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</si>
  <si>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</si>
  <si>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</si>
  <si>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</si>
  <si>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</si>
  <si>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</si>
  <si>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</si>
  <si>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</si>
  <si>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</si>
  <si>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</si>
  <si>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</si>
  <si>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</si>
  <si>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</si>
  <si>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</si>
  <si>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</si>
  <si>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</si>
  <si>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</si>
  <si>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</si>
  <si>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</si>
  <si>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</si>
  <si>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</si>
  <si>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</si>
  <si>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</si>
  <si>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</si>
  <si>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</si>
  <si>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</si>
  <si>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</si>
  <si>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</si>
  <si>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</si>
  <si>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</si>
  <si>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</si>
  <si>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</si>
  <si>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Value of Other Assets (adjustments)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</si>
  <si>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</si>
  <si>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</si>
  <si>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</si>
  <si>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</si>
  <si>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</si>
  <si>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</si>
  <si>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</si>
  <si>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</si>
  <si>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</si>
  <si>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</si>
  <si>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</si>
  <si>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</si>
  <si>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</si>
  <si>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</si>
  <si>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</si>
  <si>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</si>
  <si>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</si>
  <si>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</si>
  <si>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</si>
  <si>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</si>
  <si>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</si>
  <si>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</si>
  <si>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</si>
  <si>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</si>
  <si>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</si>
  <si>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</si>
  <si>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</si>
  <si>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</si>
  <si>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</si>
  <si>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</si>
  <si>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</si>
  <si>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</si>
  <si>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</si>
  <si>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</si>
  <si>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</si>
  <si>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</si>
  <si>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</si>
  <si>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</si>
  <si>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</si>
  <si>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</si>
  <si>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</si>
  <si>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</si>
  <si>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</si>
  <si>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</si>
  <si>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</si>
  <si>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</si>
  <si>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</si>
  <si>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</si>
  <si>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</si>
  <si>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</si>
  <si>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</si>
  <si>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</si>
  <si>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</si>
  <si>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</si>
  <si>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</si>
  <si>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</si>
  <si>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</si>
  <si>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</si>
  <si>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</si>
  <si>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</si>
  <si>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</si>
  <si>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</si>
  <si>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</si>
  <si>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</si>
  <si>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</si>
  <si>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</si>
  <si>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</si>
  <si>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</si>
  <si>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</si>
  <si>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</si>
  <si>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</si>
  <si>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</si>
  <si>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</si>
  <si>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</si>
  <si>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</si>
  <si>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</si>
  <si>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</si>
  <si>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</si>
  <si>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</si>
  <si>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</si>
  <si>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</si>
  <si>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</si>
  <si>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</si>
  <si>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</si>
  <si>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</si>
  <si>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</si>
  <si>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</si>
  <si>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</si>
  <si>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</si>
  <si>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</si>
  <si>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</si>
  <si>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</si>
  <si>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</si>
  <si>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</si>
  <si>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</si>
  <si>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</si>
  <si>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</si>
  <si>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</si>
  <si>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</si>
  <si>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</si>
  <si>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</si>
  <si>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</si>
  <si>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</si>
  <si>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</si>
  <si>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</si>
  <si>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</si>
  <si>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</si>
  <si>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</si>
  <si>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</si>
  <si>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</si>
  <si>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</si>
  <si>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</si>
  <si>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</si>
  <si>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</si>
  <si>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</si>
  <si>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</si>
  <si>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</si>
  <si>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</si>
  <si>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</si>
  <si>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</si>
  <si>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</si>
  <si>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</si>
  <si>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</si>
  <si>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</si>
  <si>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</si>
  <si>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</si>
  <si>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</si>
  <si>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</si>
  <si>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</si>
  <si>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</si>
  <si>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</si>
  <si>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</si>
  <si>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</si>
  <si>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</si>
  <si>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</si>
  <si>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</si>
  <si>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</si>
  <si>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</si>
  <si>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</si>
  <si>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</si>
  <si>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</si>
  <si>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</si>
  <si>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</si>
  <si>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</si>
  <si>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</si>
  <si>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</si>
  <si>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</si>
  <si>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</si>
  <si>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</si>
  <si>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</si>
  <si>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</si>
  <si>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</si>
  <si>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</si>
  <si>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</si>
  <si>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</si>
  <si>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</si>
  <si>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</si>
  <si>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</si>
  <si>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</si>
  <si>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</si>
  <si>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</si>
  <si>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</si>
  <si>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</si>
  <si>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</si>
  <si>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</si>
  <si>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</si>
  <si>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</si>
  <si>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</si>
  <si>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</si>
  <si>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</si>
  <si>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</si>
  <si>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</si>
  <si>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</si>
  <si>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</si>
  <si>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</si>
  <si>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</si>
  <si>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</si>
  <si>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</si>
  <si>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</si>
  <si>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</si>
  <si>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</si>
  <si>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</si>
  <si>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</si>
  <si>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</si>
  <si>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</si>
  <si>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</si>
  <si>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</si>
  <si>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</si>
  <si>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</si>
  <si>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</si>
  <si>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</si>
  <si>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</si>
  <si>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</si>
  <si>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</si>
  <si>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</si>
  <si>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</si>
  <si>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</si>
  <si>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</si>
  <si>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</si>
  <si>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</si>
  <si>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</si>
  <si>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</si>
  <si>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</si>
  <si>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</si>
  <si>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</si>
  <si>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</si>
  <si>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</si>
  <si>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</si>
  <si>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</si>
  <si>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</si>
  <si>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</si>
  <si>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</si>
  <si>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</si>
  <si>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</si>
  <si>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</si>
  <si>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</si>
  <si>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</si>
  <si>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</si>
  <si>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</si>
  <si>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</si>
  <si>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</si>
  <si>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</si>
  <si>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</si>
  <si>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</si>
  <si>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1382..37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</si>
  <si>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</si>
  <si>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</si>
  <si>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</si>
  <si>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</si>
  <si>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</si>
  <si>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</si>
  <si>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</si>
  <si>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</si>
  <si>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</si>
  <si>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</si>
  <si>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</si>
  <si>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</si>
  <si>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</si>
  <si>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</si>
  <si>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</si>
  <si>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</si>
  <si>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</si>
  <si>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</si>
  <si>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</si>
  <si>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Rf Rate (Cost of Debt)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</si>
</sst>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37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73" fontId="10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172" fontId="25" fillId="0" borderId="20" xfId="0" applyNumberFormat="1" applyFont="1" applyBorder="1" applyAlignment="1">
      <alignment horizontal="center" vertical="center"/>
    </xf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0" fontId="0" fillId="23" borderId="0" xfId="0" applyFill="1"/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5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1" xfId="0" applyNumberFormat="1" applyFont="1" applyFill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2835.5899999999997</c:v>
                </c:pt>
                <c:pt idx="1">
                  <c:v>4538.9400000000005</c:v>
                </c:pt>
                <c:pt idx="2">
                  <c:v>1232.6778166872218</c:v>
                </c:pt>
                <c:pt idx="3">
                  <c:v>1115.1684753221834</c:v>
                </c:pt>
                <c:pt idx="4">
                  <c:v>1152.0152060725941</c:v>
                </c:pt>
                <c:pt idx="5">
                  <c:v>1170.7270623625518</c:v>
                </c:pt>
                <c:pt idx="6">
                  <c:v>1194.1415941810228</c:v>
                </c:pt>
                <c:pt idx="7">
                  <c:v>1205.3692503096026</c:v>
                </c:pt>
                <c:pt idx="8">
                  <c:v>1222.2672774967341</c:v>
                </c:pt>
                <c:pt idx="9">
                  <c:v>1240.4962508521494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2116.0182800000002</c:v>
                </c:pt>
                <c:pt idx="1">
                  <c:v>3209.4545200000002</c:v>
                </c:pt>
                <c:pt idx="2">
                  <c:v>1235.7084214858507</c:v>
                </c:pt>
                <c:pt idx="3">
                  <c:v>355.09865055881255</c:v>
                </c:pt>
                <c:pt idx="4">
                  <c:v>711.78759230839796</c:v>
                </c:pt>
                <c:pt idx="5">
                  <c:v>760.64802606415833</c:v>
                </c:pt>
                <c:pt idx="6">
                  <c:v>778.55665419176739</c:v>
                </c:pt>
                <c:pt idx="7">
                  <c:v>783.23448239019308</c:v>
                </c:pt>
                <c:pt idx="8">
                  <c:v>791.22889616925568</c:v>
                </c:pt>
                <c:pt idx="9">
                  <c:v>799.92500091242789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2033.9272799999999</c:v>
                </c:pt>
                <c:pt idx="1">
                  <c:v>3260.7475200000003</c:v>
                </c:pt>
                <c:pt idx="2">
                  <c:v>878.79514801479968</c:v>
                </c:pt>
                <c:pt idx="3">
                  <c:v>802.92130223197205</c:v>
                </c:pt>
                <c:pt idx="4">
                  <c:v>829.4509483722677</c:v>
                </c:pt>
                <c:pt idx="5">
                  <c:v>842.92348490103723</c:v>
                </c:pt>
                <c:pt idx="6">
                  <c:v>859.78194781033642</c:v>
                </c:pt>
                <c:pt idx="7">
                  <c:v>867.86586022291385</c:v>
                </c:pt>
                <c:pt idx="8">
                  <c:v>880.03243979764852</c:v>
                </c:pt>
                <c:pt idx="9">
                  <c:v>893.15730061354748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workbookViewId="0">
      <selection activeCell="H17" sqref="H1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Forecast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271</v>
      </c>
      <c r="H14" s="2"/>
      <c r="I14" s="344"/>
      <c r="J14" s="2"/>
      <c r="K14" s="2"/>
      <c r="L14" s="2"/>
      <c r="M14" s="359"/>
      <c r="N14" s="360"/>
      <c r="O14" s="360"/>
      <c r="P14" s="360"/>
      <c r="Q14" s="360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4">
        <f>'&gt;&gt; Dash'!K43</f>
        <v>4.7929615227546005E-2</v>
      </c>
      <c r="H15" s="2"/>
      <c r="I15" s="345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4">
        <f>'&gt;&gt; Dash'!F49</f>
        <v>0.106110496</v>
      </c>
      <c r="H16" s="2"/>
      <c r="I16" s="345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62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62">
        <v>42735</v>
      </c>
    </row>
    <row r="19" spans="4:7" ht="15" customHeight="1" x14ac:dyDescent="0.2">
      <c r="D19" s="2"/>
      <c r="E19" s="2" t="s">
        <v>13</v>
      </c>
      <c r="F19" s="16"/>
      <c r="G19" s="262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63">
        <f ca="1">G26</f>
        <v>45655</v>
      </c>
    </row>
    <row r="21" spans="4:7" ht="15" customHeight="1" x14ac:dyDescent="0.2">
      <c r="D21" s="2"/>
      <c r="E21" s="2" t="s">
        <v>15</v>
      </c>
      <c r="F21" s="16" t="s">
        <v>16</v>
      </c>
      <c r="G21" s="183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9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9">
        <f ca="1">TODAY()</f>
        <v>45655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5">
        <f>'&gt;&gt; Fin Stmts'!O64+'&gt;&gt; Fin Stmts'!O53</f>
        <v>-320.60000000000002</v>
      </c>
    </row>
    <row r="33" spans="4:25" ht="15" customHeight="1" x14ac:dyDescent="0.2">
      <c r="E33" s="2" t="s">
        <v>26</v>
      </c>
      <c r="F33" s="16" t="s">
        <v>25</v>
      </c>
      <c r="G33" s="265">
        <f>'&gt;&gt; Fin Stmts'!O55+'&gt;&gt; Fin Stmts'!O62</f>
        <v>-0.7</v>
      </c>
    </row>
    <row r="34" spans="4:25" ht="15" customHeight="1" x14ac:dyDescent="0.2">
      <c r="E34" s="2" t="s">
        <v>27</v>
      </c>
      <c r="F34" s="16" t="s">
        <v>25</v>
      </c>
      <c r="G34" s="265">
        <f>'&gt;&gt; Fin Stmts'!O29</f>
        <v>4.9000000000000004</v>
      </c>
    </row>
    <row r="35" spans="4:25" ht="15" customHeight="1" x14ac:dyDescent="0.2">
      <c r="E35" s="2" t="s">
        <v>28</v>
      </c>
      <c r="F35" s="16" t="s">
        <v>25</v>
      </c>
      <c r="G35" s="266">
        <f>SUM(G32:G34)</f>
        <v>-316.40000000000003</v>
      </c>
      <c r="H35" s="305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7">
        <f t="array" aca="1" ref="G38" ca="1">INDEX( '&gt;&gt; DCF'!$I$16:$AB$16, MATCH( G41, '&gt;&gt; DCF'!$I$5:$AB$5, 0 ) )</f>
        <v>11765.492482063839</v>
      </c>
    </row>
    <row r="39" spans="4:25" ht="15" customHeight="1" x14ac:dyDescent="0.2">
      <c r="D39" s="2"/>
      <c r="E39" s="2" t="s">
        <v>32</v>
      </c>
      <c r="F39" s="16" t="s">
        <v>7</v>
      </c>
      <c r="G39" s="268">
        <f>'&gt;&gt; Dash'!F43</f>
        <v>0.02</v>
      </c>
    </row>
    <row r="40" spans="4:25" ht="15" customHeight="1" x14ac:dyDescent="0.2">
      <c r="D40" s="2"/>
      <c r="E40" s="2"/>
      <c r="F40" s="16"/>
      <c r="G40" s="32"/>
    </row>
    <row r="41" spans="4:25" ht="15" customHeight="1" x14ac:dyDescent="0.2">
      <c r="D41" s="2"/>
      <c r="E41" s="2" t="s">
        <v>33</v>
      </c>
      <c r="F41" s="16" t="s">
        <v>34</v>
      </c>
      <c r="G41" s="184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5"/>
      <c r="G44" s="35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70">
        <f t="shared" ref="H45:N45" si="2">IF(H6&lt;1,1,MIN(((H9-$G20)/DiY),1))</f>
        <v>1</v>
      </c>
      <c r="I45" s="270">
        <f t="shared" si="2"/>
        <v>1</v>
      </c>
      <c r="J45" s="270">
        <f t="shared" si="2"/>
        <v>1</v>
      </c>
      <c r="K45" s="270">
        <f t="shared" si="2"/>
        <v>1</v>
      </c>
      <c r="L45" s="270">
        <f t="shared" si="2"/>
        <v>1</v>
      </c>
      <c r="M45" s="270">
        <f t="shared" si="2"/>
        <v>1</v>
      </c>
      <c r="N45" s="270">
        <f t="shared" si="2"/>
        <v>1</v>
      </c>
      <c r="O45" s="36">
        <v>1</v>
      </c>
      <c r="P45" s="270">
        <f t="shared" ref="P45:Y45" ca="1" si="3">IF(P6&lt;1,1,MIN(((P9-$G20)/DiY),1))</f>
        <v>5.4794520547945206E-3</v>
      </c>
      <c r="Q45" s="270">
        <f t="shared" ca="1" si="3"/>
        <v>1</v>
      </c>
      <c r="R45" s="270">
        <f t="shared" ca="1" si="3"/>
        <v>1</v>
      </c>
      <c r="S45" s="270">
        <f t="shared" ca="1" si="3"/>
        <v>1</v>
      </c>
      <c r="T45" s="270">
        <f t="shared" ca="1" si="3"/>
        <v>1</v>
      </c>
      <c r="U45" s="270">
        <f t="shared" ca="1" si="3"/>
        <v>1</v>
      </c>
      <c r="V45" s="270">
        <f t="shared" ca="1" si="3"/>
        <v>1</v>
      </c>
      <c r="W45" s="270">
        <f t="shared" ca="1" si="3"/>
        <v>1</v>
      </c>
      <c r="X45" s="270">
        <f t="shared" ca="1" si="3"/>
        <v>1</v>
      </c>
      <c r="Y45" s="270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5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">
      <c r="D47" s="2"/>
      <c r="E47" s="2" t="s">
        <v>38</v>
      </c>
      <c r="F47" s="38" t="s">
        <v>39</v>
      </c>
      <c r="G47" s="186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80"/>
      <c r="V48" s="80"/>
      <c r="W48" s="80"/>
      <c r="X48" s="80"/>
      <c r="Y48" s="80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71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71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71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71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33" zoomScale="107" workbookViewId="0">
      <selection activeCell="K39" sqref="K39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8" width="11.1640625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236</v>
      </c>
      <c r="E5" s="4"/>
      <c r="F5" s="4"/>
      <c r="G5" s="4"/>
      <c r="H5" s="4"/>
    </row>
    <row r="6" spans="3:27" ht="15" customHeight="1" x14ac:dyDescent="0.2">
      <c r="C6" s="45"/>
      <c r="D6" s="45"/>
      <c r="E6" s="45"/>
      <c r="F6" s="45"/>
      <c r="G6" s="45"/>
      <c r="H6" s="45"/>
    </row>
    <row r="7" spans="3:27" ht="15" customHeight="1" x14ac:dyDescent="0.2">
      <c r="C7" s="46"/>
      <c r="D7" s="46"/>
      <c r="E7" s="46"/>
      <c r="F7" s="46"/>
      <c r="G7" s="46"/>
      <c r="H7" s="46"/>
    </row>
    <row r="8" spans="3:27" ht="15" customHeight="1" x14ac:dyDescent="0.2">
      <c r="D8" s="2"/>
      <c r="E8" s="2" t="s">
        <v>64</v>
      </c>
      <c r="F8" s="24" t="s">
        <v>65</v>
      </c>
      <c r="G8" s="24"/>
      <c r="H8" s="27">
        <f t="array" ref="H8">INDEX( '&gt;&gt; DCF'!$H$71:$H$97, MATCH( '&gt;&gt; Dash'!E8, '&gt;&gt; DCF'!$E$71:$E$97, 0 ) )</f>
        <v>378.75604099999998</v>
      </c>
    </row>
    <row r="9" spans="3:27" ht="15" customHeight="1" x14ac:dyDescent="0.2">
      <c r="D9" s="2"/>
      <c r="E9" s="1" t="s">
        <v>123</v>
      </c>
      <c r="F9" s="24" t="s">
        <v>66</v>
      </c>
      <c r="G9" s="48"/>
      <c r="H9" s="49">
        <f ca="1">'&gt;&gt; DCF'!H76</f>
        <v>64.150763342814315</v>
      </c>
    </row>
    <row r="10" spans="3:27" ht="15" customHeight="1" x14ac:dyDescent="0.2">
      <c r="D10" s="2"/>
      <c r="E10" s="2" t="s">
        <v>68</v>
      </c>
      <c r="F10" s="24" t="s">
        <v>7</v>
      </c>
      <c r="G10" s="48"/>
      <c r="H10" s="52">
        <f ca="1">H9/H16-1</f>
        <v>63.798750851327597</v>
      </c>
    </row>
    <row r="11" spans="3:27" ht="15" customHeight="1" x14ac:dyDescent="0.2">
      <c r="D11" s="2"/>
      <c r="E11" s="1" t="s">
        <v>232</v>
      </c>
      <c r="F11" s="24" t="s">
        <v>66</v>
      </c>
      <c r="G11" s="48"/>
      <c r="H11" s="49">
        <f ca="1">'&gt;&gt; DCF'!H96</f>
        <v>21.648138601859451</v>
      </c>
    </row>
    <row r="12" spans="3:27" ht="15" customHeight="1" x14ac:dyDescent="0.2">
      <c r="D12" s="2"/>
      <c r="E12" s="2" t="s">
        <v>68</v>
      </c>
      <c r="F12" s="24" t="s">
        <v>7</v>
      </c>
      <c r="G12" s="48"/>
      <c r="H12" s="52">
        <f ca="1">H11/H16-1</f>
        <v>20.8668066685449</v>
      </c>
    </row>
    <row r="13" spans="3:27" ht="15" customHeight="1" x14ac:dyDescent="0.2">
      <c r="D13" s="2"/>
      <c r="E13" s="1" t="s">
        <v>237</v>
      </c>
      <c r="F13" s="24" t="s">
        <v>66</v>
      </c>
      <c r="G13" s="48"/>
      <c r="H13" s="49">
        <f ca="1">'&gt;&gt; DDM'!H43</f>
        <v>92.41028421545677</v>
      </c>
    </row>
    <row r="14" spans="3:27" ht="15" customHeight="1" x14ac:dyDescent="0.2">
      <c r="D14" s="2"/>
      <c r="E14" s="2" t="s">
        <v>68</v>
      </c>
      <c r="F14" s="24" t="s">
        <v>7</v>
      </c>
      <c r="G14" s="48"/>
      <c r="H14" s="52">
        <f ca="1">H13/H16-1</f>
        <v>92.343721429754311</v>
      </c>
    </row>
    <row r="16" spans="3:27" ht="15" customHeight="1" x14ac:dyDescent="0.2">
      <c r="D16" s="2"/>
      <c r="E16" s="2" t="s">
        <v>67</v>
      </c>
      <c r="F16" s="24" t="s">
        <v>66</v>
      </c>
      <c r="G16" s="48"/>
      <c r="H16" s="51">
        <f>'&gt;&gt; Inputs'!G21</f>
        <v>0.99</v>
      </c>
    </row>
    <row r="17" spans="4:27" ht="15" customHeight="1" x14ac:dyDescent="0.2">
      <c r="D17" s="2"/>
      <c r="E17" s="2"/>
      <c r="F17" s="24"/>
      <c r="G17" s="48"/>
      <c r="H17" s="52"/>
    </row>
    <row r="18" spans="4:27" ht="15" customHeight="1" x14ac:dyDescent="0.2">
      <c r="D18" s="2"/>
      <c r="E18" s="2" t="s">
        <v>8</v>
      </c>
      <c r="F18" s="24" t="s">
        <v>7</v>
      </c>
      <c r="G18" s="48"/>
      <c r="H18" s="28">
        <f>$F$49</f>
        <v>0.106110496</v>
      </c>
    </row>
    <row r="19" spans="4:27" ht="15" customHeight="1" x14ac:dyDescent="0.2">
      <c r="D19" s="2"/>
      <c r="E19" s="2" t="s">
        <v>69</v>
      </c>
      <c r="F19" s="24" t="s">
        <v>7</v>
      </c>
      <c r="G19" s="48"/>
      <c r="H19" s="28">
        <f>$K$43</f>
        <v>4.7929615227546005E-2</v>
      </c>
    </row>
    <row r="20" spans="4:27" ht="15" customHeight="1" x14ac:dyDescent="0.2">
      <c r="D20" s="2"/>
      <c r="E20" s="2"/>
      <c r="F20" s="24"/>
      <c r="G20" s="2"/>
      <c r="H20" s="2"/>
    </row>
    <row r="21" spans="4:27" ht="15" customHeight="1" x14ac:dyDescent="0.2">
      <c r="D21" s="2"/>
      <c r="E21" s="2" t="s">
        <v>70</v>
      </c>
      <c r="F21" s="24" t="s">
        <v>71</v>
      </c>
      <c r="G21" s="24"/>
      <c r="H21" s="31">
        <f t="array" aca="1" ref="H21" ca="1">INDEX( '&gt;&gt; DCF'!$H$71:$H$97, MATCH( '&gt;&gt; Dash'!E21, '&gt;&gt; DCF'!$E$71:$E$97, 0 ) )</f>
        <v>5.3531197043477707</v>
      </c>
    </row>
    <row r="22" spans="4:27" ht="15" customHeight="1" x14ac:dyDescent="0.2">
      <c r="D22" s="2"/>
      <c r="E22" s="2" t="s">
        <v>72</v>
      </c>
      <c r="F22" s="24" t="s">
        <v>71</v>
      </c>
      <c r="G22" s="24"/>
      <c r="H22" s="31">
        <f t="array" aca="1" ref="H22" ca="1">INDEX( '&gt;&gt; DCF'!$H$71:$H$97, MATCH( '&gt;&gt; Dash'!E22, '&gt;&gt; DCF'!$E$71:$E$97, 0 ) )</f>
        <v>5.3650864046700661</v>
      </c>
    </row>
    <row r="23" spans="4:27" ht="15" customHeight="1" x14ac:dyDescent="0.2">
      <c r="D23" s="2"/>
      <c r="E23" s="2" t="s">
        <v>73</v>
      </c>
      <c r="F23" s="24" t="s">
        <v>71</v>
      </c>
      <c r="G23" s="24"/>
      <c r="H23" s="31">
        <f t="array" aca="1" ref="H23" ca="1">INDEX( '&gt;&gt; DCF'!$H$71:$H$97, MATCH( '&gt;&gt; Dash'!E23, '&gt;&gt; DCF'!$E$71:$E$97, 0 ) )</f>
        <v>0.56086713919134878</v>
      </c>
    </row>
    <row r="24" spans="4:27" ht="15" customHeight="1" x14ac:dyDescent="0.2">
      <c r="D24" s="2"/>
      <c r="E24" s="2" t="s">
        <v>74</v>
      </c>
      <c r="F24" s="24" t="s">
        <v>71</v>
      </c>
      <c r="G24" s="24"/>
      <c r="H24" s="31">
        <f t="array" aca="1" ref="H24" ca="1">INDEX( '&gt;&gt; DCF'!$H$71:$H$97, MATCH( '&gt;&gt; Dash'!E24, '&gt;&gt; DCF'!$E$71:$E$97, 0 ) )</f>
        <v>0.56644066270654558</v>
      </c>
    </row>
    <row r="25" spans="4:27" ht="15" customHeight="1" x14ac:dyDescent="0.2">
      <c r="D25" s="2"/>
      <c r="E25" s="2"/>
      <c r="F25" s="24"/>
      <c r="G25" s="24"/>
      <c r="H25" s="31"/>
    </row>
    <row r="26" spans="4:27" ht="15" customHeight="1" x14ac:dyDescent="0.2">
      <c r="D26" s="1" t="s">
        <v>75</v>
      </c>
      <c r="E26" s="2"/>
      <c r="F26" s="24"/>
      <c r="G26" s="24"/>
      <c r="H26" s="31"/>
    </row>
    <row r="27" spans="4:27" ht="15" customHeight="1" x14ac:dyDescent="0.2">
      <c r="D27" s="2"/>
      <c r="E27" s="2" t="s">
        <v>76</v>
      </c>
      <c r="F27" s="24" t="s">
        <v>7</v>
      </c>
      <c r="G27" s="24"/>
      <c r="H27" s="28">
        <f ca="1">'&gt;&gt; Summary'!G13</f>
        <v>78.071236140540947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28">
        <f ca="1">'&gt;&gt; DDM'!H25/'&gt;&gt; Summary'!G11</f>
        <v>0.11346402966494276</v>
      </c>
    </row>
    <row r="29" spans="4:27" ht="15" customHeight="1" x14ac:dyDescent="0.2">
      <c r="D29" s="2"/>
      <c r="E29" s="2" t="s">
        <v>77</v>
      </c>
      <c r="F29" s="24" t="s">
        <v>7</v>
      </c>
      <c r="G29" s="24"/>
      <c r="H29" s="28">
        <f ca="1">H27 + H28</f>
        <v>78.184700170205886</v>
      </c>
    </row>
    <row r="31" spans="4:27" ht="15" customHeight="1" x14ac:dyDescent="0.2">
      <c r="D31" s="2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79</v>
      </c>
      <c r="E36" s="2"/>
      <c r="F36" s="2"/>
      <c r="H36" s="1" t="s">
        <v>270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81</v>
      </c>
      <c r="E38" s="2"/>
      <c r="F38" s="349">
        <v>0.28299999999999997</v>
      </c>
      <c r="H38" s="2" t="s">
        <v>80</v>
      </c>
      <c r="J38" s="16" t="s">
        <v>7</v>
      </c>
      <c r="K38" s="53"/>
      <c r="L38" s="2"/>
      <c r="W38" s="2"/>
      <c r="X38" s="2"/>
    </row>
    <row r="39" spans="4:27" ht="15" customHeight="1" x14ac:dyDescent="0.2">
      <c r="D39" s="2" t="s">
        <v>304</v>
      </c>
      <c r="E39" s="2"/>
      <c r="F39" s="349">
        <v>5.4420000000000003E-2</v>
      </c>
      <c r="H39" s="2" t="s">
        <v>291</v>
      </c>
      <c r="J39" s="16" t="s">
        <v>7</v>
      </c>
      <c r="K39" s="182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2" t="s">
        <v>292</v>
      </c>
      <c r="J40" s="16"/>
      <c r="K40" s="358">
        <v>6.3E-2</v>
      </c>
      <c r="L40" s="2"/>
      <c r="W40" s="2"/>
      <c r="X40" s="2"/>
    </row>
    <row r="41" spans="4:27" ht="15" customHeight="1" x14ac:dyDescent="0.2">
      <c r="D41" s="2"/>
      <c r="E41" s="2"/>
      <c r="H41" s="24" t="s">
        <v>293</v>
      </c>
      <c r="J41" s="16"/>
      <c r="K41" s="358">
        <v>4.6656000000000003E-2</v>
      </c>
      <c r="L41" s="2"/>
      <c r="W41" s="2"/>
      <c r="X41" s="2"/>
    </row>
    <row r="42" spans="4:27" ht="15" customHeight="1" x14ac:dyDescent="0.2">
      <c r="D42" s="2" t="s">
        <v>82</v>
      </c>
      <c r="E42" s="2"/>
      <c r="F42" s="349">
        <f>F53-F39</f>
        <v>3.3279999999999997E-2</v>
      </c>
      <c r="H42" s="2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9">
        <v>0.02</v>
      </c>
      <c r="H43" s="2" t="s">
        <v>6</v>
      </c>
      <c r="J43" s="16" t="s">
        <v>7</v>
      </c>
      <c r="K43" s="272">
        <f>(F48*F54)+(F47*F39*(1-F38))</f>
        <v>4.7929615227546005E-2</v>
      </c>
      <c r="L43" s="357"/>
      <c r="M43" s="139"/>
      <c r="W43" s="2"/>
      <c r="X43" s="2"/>
    </row>
    <row r="44" spans="4:27" ht="15" customHeight="1" x14ac:dyDescent="0.2">
      <c r="D44" s="2"/>
      <c r="E44" s="2"/>
      <c r="F44" s="56"/>
      <c r="H44" s="2"/>
      <c r="J44" s="2"/>
      <c r="K44" s="2"/>
      <c r="L44" s="2"/>
      <c r="W44" s="2"/>
      <c r="X44" s="2"/>
    </row>
    <row r="45" spans="4:27" ht="15" customHeight="1" x14ac:dyDescent="0.2">
      <c r="D45" s="2" t="s">
        <v>296</v>
      </c>
      <c r="E45" s="2"/>
      <c r="F45" s="350">
        <v>1.5531999999999999</v>
      </c>
      <c r="H45" s="2" t="s">
        <v>32</v>
      </c>
      <c r="J45" s="16" t="s">
        <v>7</v>
      </c>
      <c r="K45" s="273">
        <f>F43</f>
        <v>0.02</v>
      </c>
      <c r="M45" s="2"/>
      <c r="P45" s="24"/>
      <c r="Q45" s="57"/>
      <c r="W45" s="2"/>
      <c r="X45" s="2"/>
    </row>
    <row r="46" spans="4:27" ht="15" customHeight="1" x14ac:dyDescent="0.2">
      <c r="H46" s="54" t="s">
        <v>31</v>
      </c>
      <c r="J46" s="276" t="s">
        <v>7</v>
      </c>
      <c r="K46" s="273">
        <f ca="1">'&gt;&gt; Segments'!Y53</f>
        <v>0.10791509303762996</v>
      </c>
      <c r="W46" s="2"/>
      <c r="X46" s="2"/>
    </row>
    <row r="47" spans="4:27" ht="15" customHeight="1" x14ac:dyDescent="0.2">
      <c r="D47" s="2" t="s">
        <v>302</v>
      </c>
      <c r="E47" s="2"/>
      <c r="F47" s="349">
        <f>F58/(F58+F57)</f>
        <v>0.86718892330114772</v>
      </c>
      <c r="K47" s="2"/>
      <c r="L47" s="2"/>
      <c r="W47" s="2"/>
      <c r="X47" s="2"/>
    </row>
    <row r="48" spans="4:27" ht="15" customHeight="1" x14ac:dyDescent="0.2">
      <c r="D48" s="2" t="s">
        <v>303</v>
      </c>
      <c r="E48" s="2"/>
      <c r="F48" s="349">
        <f>F57/(F58+F57)</f>
        <v>0.13281107669885225</v>
      </c>
      <c r="K48" s="2"/>
      <c r="L48" s="2"/>
      <c r="W48" s="2"/>
      <c r="X48" s="2"/>
    </row>
    <row r="49" spans="1:27" ht="15" customHeight="1" x14ac:dyDescent="0.2">
      <c r="D49" s="2" t="s">
        <v>294</v>
      </c>
      <c r="E49" s="2"/>
      <c r="F49" s="351">
        <f>F39+F45*F42</f>
        <v>0.106110496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8"/>
      <c r="W49" s="2"/>
      <c r="X49" s="2"/>
    </row>
    <row r="50" spans="1:27" ht="15" customHeight="1" x14ac:dyDescent="0.2">
      <c r="D50" s="2" t="s">
        <v>295</v>
      </c>
      <c r="E50" s="2"/>
      <c r="F50" s="354">
        <f>(F56/F58)</f>
        <v>8.5831932773109243E-2</v>
      </c>
      <c r="G50" s="291"/>
      <c r="H50" s="296" t="s">
        <v>258</v>
      </c>
      <c r="K50" s="356">
        <v>102.636</v>
      </c>
      <c r="L50" s="355"/>
      <c r="M50" s="2"/>
      <c r="N50" s="2"/>
      <c r="O50" s="2"/>
      <c r="P50" s="2"/>
      <c r="Q50" s="2"/>
      <c r="R50" s="2"/>
      <c r="S50" s="2" t="s">
        <v>209</v>
      </c>
      <c r="T50" s="16"/>
      <c r="U50" s="2"/>
      <c r="V50" s="59"/>
      <c r="W50" s="2"/>
      <c r="X50" s="2"/>
    </row>
    <row r="51" spans="1:27" ht="15" customHeight="1" x14ac:dyDescent="0.2">
      <c r="D51" s="2" t="s">
        <v>290</v>
      </c>
      <c r="E51" s="2"/>
      <c r="F51" s="354">
        <f>F50*(1-F38)</f>
        <v>6.1541495798319336E-2</v>
      </c>
      <c r="G51" s="291"/>
      <c r="L51" s="2"/>
      <c r="M51" s="2"/>
      <c r="N51" s="2"/>
      <c r="O51" s="2"/>
      <c r="P51" s="2"/>
      <c r="Q51" s="2"/>
      <c r="R51" s="2"/>
      <c r="S51" s="2"/>
      <c r="T51" s="16"/>
      <c r="U51" s="2"/>
      <c r="V51" s="59"/>
      <c r="W51" s="2"/>
      <c r="X51" s="2"/>
    </row>
    <row r="52" spans="1:27" ht="15" customHeight="1" x14ac:dyDescent="0.2">
      <c r="D52" s="2" t="s">
        <v>298</v>
      </c>
      <c r="F52" s="349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299</v>
      </c>
      <c r="F53" s="349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297</v>
      </c>
      <c r="F54" s="349">
        <f>F39+F45*(F53-F39)</f>
        <v>0.106110496</v>
      </c>
    </row>
    <row r="55" spans="1:27" ht="15" customHeight="1" x14ac:dyDescent="0.2">
      <c r="D55" s="2" t="s">
        <v>289</v>
      </c>
      <c r="F55" s="349"/>
    </row>
    <row r="56" spans="1:27" ht="15" customHeight="1" x14ac:dyDescent="0.2">
      <c r="D56" s="2" t="s">
        <v>157</v>
      </c>
      <c r="F56" s="353">
        <v>408.56</v>
      </c>
      <c r="M56" s="2"/>
      <c r="N56" s="2"/>
      <c r="O56" s="2"/>
      <c r="P56" s="2"/>
    </row>
    <row r="57" spans="1:27" ht="15" customHeight="1" x14ac:dyDescent="0.2">
      <c r="D57" s="2" t="s">
        <v>300</v>
      </c>
      <c r="F57" s="352">
        <v>729</v>
      </c>
      <c r="M57" s="2"/>
      <c r="N57" s="2"/>
      <c r="O57" s="2"/>
      <c r="P57" s="2"/>
    </row>
    <row r="58" spans="1:27" ht="15" customHeight="1" x14ac:dyDescent="0.2">
      <c r="D58" s="2" t="s">
        <v>301</v>
      </c>
      <c r="F58" s="352">
        <v>4760</v>
      </c>
      <c r="M58" s="2"/>
      <c r="N58" s="2"/>
      <c r="O58" s="2"/>
      <c r="P58" s="2"/>
    </row>
    <row r="59" spans="1:27" ht="15" customHeight="1" x14ac:dyDescent="0.2">
      <c r="A59" s="41"/>
      <c r="B59" s="41" t="s">
        <v>45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abSelected="1" zoomScaleNormal="100" workbookViewId="0">
      <selection activeCell="Q38" sqref="Q38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5" width="11.1640625" customWidth="1"/>
    <col min="26" max="37" width="9.1640625" customWidth="1"/>
  </cols>
  <sheetData>
    <row r="2" spans="3:25" x14ac:dyDescent="0.2">
      <c r="C2" s="64" t="s">
        <v>56</v>
      </c>
      <c r="E2" s="2"/>
      <c r="F2" s="2"/>
      <c r="G2" s="2"/>
      <c r="H2" s="364" t="s">
        <v>86</v>
      </c>
      <c r="I2" s="364"/>
      <c r="J2" s="364"/>
      <c r="K2" s="364"/>
      <c r="L2" s="364"/>
      <c r="M2" s="364"/>
      <c r="N2" s="364"/>
      <c r="O2" s="364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96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1">
        <f>IF( AND( N5 &lt;= '&gt;&gt; Inputs'!$G41, N5 &gt;= 1 ), 1, 0 )</f>
        <v>0</v>
      </c>
      <c r="O11" s="61">
        <f>IF( AND( O5 &lt;= '&gt;&gt; Inputs'!$G41, O5 &gt;= 1 ), 1, 0 )</f>
        <v>0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  <c r="R11" s="61">
        <f>IF( AND( R5 &lt;= '&gt;&gt; Inputs'!$G41, R5 &gt;= 1 ), 1, 0 )</f>
        <v>1</v>
      </c>
      <c r="S11" s="61">
        <f>IF( AND( S5 &lt;= '&gt;&gt; Inputs'!$G41, S5 &gt;= 1 ), 1, 0 )</f>
        <v>1</v>
      </c>
      <c r="T11" s="61">
        <f>IF( AND( T5 &lt;= '&gt;&gt; Inputs'!$G41, T5 &gt;= 1 ), 1, 0 )</f>
        <v>1</v>
      </c>
      <c r="U11" s="61">
        <f>IF( AND( U5 &lt;= '&gt;&gt; Inputs'!$G41, U5 &gt;= 1 ), 1, 0 )</f>
        <v>1</v>
      </c>
      <c r="V11" s="61">
        <f>IF( AND( V5 &lt;= '&gt;&gt; Inputs'!$G41, V5 &gt;= 1 ), 1, 0 )</f>
        <v>1</v>
      </c>
      <c r="W11" s="61">
        <f>IF( AND( W5 &lt;= '&gt;&gt; Inputs'!$G41, W5 &gt;= 1 ), 1, 0 )</f>
        <v>1</v>
      </c>
      <c r="X11" s="61">
        <f>IF( AND( X5 &lt;= '&gt;&gt; Inputs'!$G41, X5 &gt;= 1 ), 1, 0 )</f>
        <v>1</v>
      </c>
      <c r="Y11" s="61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97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15"/>
      <c r="I13" s="15"/>
      <c r="J13" s="15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3:25" ht="15" customHeight="1" x14ac:dyDescent="0.2">
      <c r="C14" s="64" t="s">
        <v>98</v>
      </c>
      <c r="D14" s="2"/>
      <c r="E14" s="2"/>
      <c r="F14" s="24"/>
      <c r="G14" s="24"/>
      <c r="H14" s="65"/>
      <c r="I14" s="2"/>
      <c r="J14" s="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6" spans="3:25" ht="15" customHeight="1" x14ac:dyDescent="0.2">
      <c r="D16" s="2"/>
      <c r="E16" s="2" t="s">
        <v>99</v>
      </c>
      <c r="F16" s="24" t="s">
        <v>25</v>
      </c>
      <c r="G16" s="24"/>
      <c r="H16" s="27"/>
      <c r="I16" s="27">
        <f>'&gt;&gt; Fin Stmts'!I13</f>
        <v>4819.6400000000003</v>
      </c>
      <c r="J16" s="27">
        <f>'&gt;&gt; Fin Stmts'!J13</f>
        <v>4493.4760000000006</v>
      </c>
      <c r="K16" s="27">
        <f>'&gt;&gt; Fin Stmts'!K13</f>
        <v>2352.1480000000001</v>
      </c>
      <c r="L16" s="27">
        <f>'&gt;&gt; Fin Stmts'!L13</f>
        <v>3488.77</v>
      </c>
      <c r="M16" s="27">
        <f>'&gt;&gt; Fin Stmts'!M13</f>
        <v>3788.5360000000001</v>
      </c>
      <c r="N16" s="27">
        <f>'&gt;&gt; Fin Stmts'!N13</f>
        <v>2890.99</v>
      </c>
      <c r="O16" s="27">
        <f>'&gt;&gt; Fin Stmts'!O13</f>
        <v>4617.9400000000005</v>
      </c>
      <c r="P16" s="27">
        <f ca="1">'&gt;&gt; Fin Stmts'!P13</f>
        <v>7217.2643327019341</v>
      </c>
      <c r="Q16" s="27">
        <f ca="1">'&gt;&gt; Fin Stmts'!Q13</f>
        <v>8086.9026014756164</v>
      </c>
      <c r="R16" s="27">
        <f ca="1">'&gt;&gt; Fin Stmts'!R13</f>
        <v>8851.7681768013044</v>
      </c>
      <c r="S16" s="27">
        <f ca="1">'&gt;&gt; Fin Stmts'!S13</f>
        <v>9345.1679111213343</v>
      </c>
      <c r="T16" s="27">
        <f ca="1">'&gt;&gt; Fin Stmts'!T13</f>
        <v>9891.7090168401137</v>
      </c>
      <c r="U16" s="27">
        <f ca="1">'&gt;&gt; Fin Stmts'!U13</f>
        <v>10259.425636134427</v>
      </c>
      <c r="V16" s="27">
        <f ca="1">'&gt;&gt; Fin Stmts'!V13</f>
        <v>10649.556434897353</v>
      </c>
      <c r="W16" s="27">
        <f ca="1">'&gt;&gt; Fin Stmts'!W13</f>
        <v>11047.087196218894</v>
      </c>
      <c r="X16" s="27">
        <f ca="1">'&gt;&gt; Fin Stmts'!X13</f>
        <v>11467.560771111894</v>
      </c>
      <c r="Y16" s="27">
        <f ca="1">'&gt;&gt; Fin Stmts'!Y13</f>
        <v>11765.492482063839</v>
      </c>
    </row>
    <row r="17" spans="4:25" ht="15" customHeight="1" x14ac:dyDescent="0.2">
      <c r="D17" s="2" t="s">
        <v>60</v>
      </c>
      <c r="E17" s="2" t="s">
        <v>100</v>
      </c>
      <c r="F17" s="24" t="s">
        <v>25</v>
      </c>
      <c r="G17" s="24"/>
      <c r="H17" s="27"/>
      <c r="I17" s="27">
        <f>'&gt;&gt; Fin Stmts'!I14</f>
        <v>-290.39999999999998</v>
      </c>
      <c r="J17" s="27">
        <f>'&gt;&gt; Fin Stmts'!J14</f>
        <v>-306.39999999999998</v>
      </c>
      <c r="K17" s="27">
        <f>'&gt;&gt; Fin Stmts'!K14</f>
        <v>-330.1</v>
      </c>
      <c r="L17" s="27">
        <f>'&gt;&gt; Fin Stmts'!L14</f>
        <v>-506.2</v>
      </c>
      <c r="M17" s="27">
        <f>'&gt;&gt; Fin Stmts'!M14</f>
        <v>-988.2</v>
      </c>
      <c r="N17" s="27">
        <f>'&gt;&gt; Fin Stmts'!N14</f>
        <v>-55.4</v>
      </c>
      <c r="O17" s="27">
        <f>'&gt;&gt; Fin Stmts'!O14</f>
        <v>-79</v>
      </c>
      <c r="P17" s="27">
        <f ca="1">'&gt;&gt; Fin Stmts'!P14</f>
        <v>-5984.5865160147123</v>
      </c>
      <c r="Q17" s="27">
        <f ca="1">'&gt;&gt; Fin Stmts'!Q14</f>
        <v>-6971.734126153433</v>
      </c>
      <c r="R17" s="27">
        <f ca="1">'&gt;&gt; Fin Stmts'!R14</f>
        <v>-7699.7529707287104</v>
      </c>
      <c r="S17" s="27">
        <f ca="1">'&gt;&gt; Fin Stmts'!S14</f>
        <v>-8174.4408487587825</v>
      </c>
      <c r="T17" s="27">
        <f ca="1">'&gt;&gt; Fin Stmts'!T14</f>
        <v>-8697.5674226590909</v>
      </c>
      <c r="U17" s="27">
        <f ca="1">'&gt;&gt; Fin Stmts'!U14</f>
        <v>-9054.0563858248242</v>
      </c>
      <c r="V17" s="27">
        <f ca="1">'&gt;&gt; Fin Stmts'!V14</f>
        <v>-9427.2891574006189</v>
      </c>
      <c r="W17" s="27">
        <f ca="1">'&gt;&gt; Fin Stmts'!W14</f>
        <v>-9806.5909453667446</v>
      </c>
      <c r="X17" s="27">
        <f ca="1">'&gt;&gt; Fin Stmts'!X14</f>
        <v>-10208.506729693447</v>
      </c>
      <c r="Y17" s="27">
        <f ca="1">'&gt;&gt; Fin Stmts'!Y14</f>
        <v>-10495.818266228383</v>
      </c>
    </row>
    <row r="18" spans="4:25" ht="15" customHeight="1" x14ac:dyDescent="0.2">
      <c r="D18" s="2"/>
      <c r="E18" s="66" t="s">
        <v>84</v>
      </c>
      <c r="F18" s="29" t="s">
        <v>25</v>
      </c>
      <c r="G18" s="29"/>
      <c r="H18" s="67"/>
      <c r="I18" s="67">
        <f>SUM(I16:I17)</f>
        <v>4529.2400000000007</v>
      </c>
      <c r="J18" s="67">
        <f t="shared" ref="J18:Y18" si="7">SUM(J16:J17)</f>
        <v>4187.0760000000009</v>
      </c>
      <c r="K18" s="67">
        <f t="shared" si="7"/>
        <v>2022.0480000000002</v>
      </c>
      <c r="L18" s="67">
        <f t="shared" si="7"/>
        <v>2982.57</v>
      </c>
      <c r="M18" s="67">
        <f t="shared" si="7"/>
        <v>2800.3360000000002</v>
      </c>
      <c r="N18" s="67">
        <f t="shared" si="7"/>
        <v>2835.5899999999997</v>
      </c>
      <c r="O18" s="67">
        <f t="shared" si="7"/>
        <v>4538.9400000000005</v>
      </c>
      <c r="P18" s="67">
        <f t="shared" ca="1" si="7"/>
        <v>1232.6778166872218</v>
      </c>
      <c r="Q18" s="67">
        <f t="shared" ca="1" si="7"/>
        <v>1115.1684753221834</v>
      </c>
      <c r="R18" s="67">
        <f t="shared" ca="1" si="7"/>
        <v>1152.0152060725941</v>
      </c>
      <c r="S18" s="67">
        <f t="shared" ca="1" si="7"/>
        <v>1170.7270623625518</v>
      </c>
      <c r="T18" s="67">
        <f t="shared" ca="1" si="7"/>
        <v>1194.1415941810228</v>
      </c>
      <c r="U18" s="67">
        <f t="shared" ca="1" si="7"/>
        <v>1205.3692503096026</v>
      </c>
      <c r="V18" s="67">
        <f t="shared" ca="1" si="7"/>
        <v>1222.2672774967341</v>
      </c>
      <c r="W18" s="67">
        <f t="shared" ca="1" si="7"/>
        <v>1240.4962508521494</v>
      </c>
      <c r="X18" s="67">
        <f t="shared" ca="1" si="7"/>
        <v>1259.054041418447</v>
      </c>
      <c r="Y18" s="67">
        <f t="shared" ca="1" si="7"/>
        <v>1269.6742158354555</v>
      </c>
    </row>
    <row r="19" spans="4:25" ht="15" customHeight="1" x14ac:dyDescent="0.2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">
      <c r="D20" s="24" t="s">
        <v>60</v>
      </c>
      <c r="E20" s="2" t="s">
        <v>260</v>
      </c>
      <c r="F20" s="24" t="s">
        <v>25</v>
      </c>
      <c r="G20" s="24"/>
      <c r="H20" s="33"/>
      <c r="I20" s="33">
        <f>'&gt;&gt; Segments'!I57</f>
        <v>2.3759999999999999</v>
      </c>
      <c r="J20" s="33">
        <f>'&gt;&gt; Segments'!J57</f>
        <v>4.6379999999999999</v>
      </c>
      <c r="K20" s="33">
        <f>'&gt;&gt; Segments'!K57</f>
        <v>5.76</v>
      </c>
      <c r="L20" s="33">
        <f>'&gt;&gt; Segments'!L57</f>
        <v>9.1609999999999996</v>
      </c>
      <c r="M20" s="33">
        <f>'&gt;&gt; Segments'!M57</f>
        <v>14.615</v>
      </c>
      <c r="N20" s="33">
        <f>'&gt;&gt; Segments'!N57</f>
        <v>10.691000000000001</v>
      </c>
      <c r="O20" s="33">
        <f>'&gt;&gt; Segments'!O57</f>
        <v>10.124000000000001</v>
      </c>
      <c r="P20" s="33">
        <f>'&gt;&gt; Segments'!P57</f>
        <v>12.129</v>
      </c>
      <c r="Q20" s="33">
        <f>'&gt;&gt; Segments'!Q57</f>
        <v>0</v>
      </c>
      <c r="R20" s="33">
        <f>'&gt;&gt; Segments'!R57</f>
        <v>0</v>
      </c>
      <c r="S20" s="33">
        <f>'&gt;&gt; Segments'!S57</f>
        <v>0</v>
      </c>
      <c r="T20" s="33">
        <f>'&gt;&gt; Segments'!T57</f>
        <v>0</v>
      </c>
      <c r="U20" s="33">
        <f>'&gt;&gt; Segments'!U57</f>
        <v>0</v>
      </c>
      <c r="V20" s="33">
        <f>'&gt;&gt; Segments'!V57</f>
        <v>0</v>
      </c>
      <c r="W20" s="33">
        <f>'&gt;&gt; Segments'!W57</f>
        <v>0</v>
      </c>
      <c r="X20" s="33">
        <f>'&gt;&gt; Segments'!X57</f>
        <v>0</v>
      </c>
      <c r="Y20" s="33">
        <f>'&gt;&gt; Segments'!Y57</f>
        <v>0</v>
      </c>
    </row>
    <row r="21" spans="4:25" ht="15" customHeight="1" x14ac:dyDescent="0.2">
      <c r="D21" s="24" t="s">
        <v>62</v>
      </c>
      <c r="E21" s="66" t="s">
        <v>101</v>
      </c>
      <c r="F21" s="29" t="s">
        <v>25</v>
      </c>
      <c r="G21" s="29"/>
      <c r="H21" s="68"/>
      <c r="I21" s="68">
        <f>I18 - I20</f>
        <v>4526.8640000000005</v>
      </c>
      <c r="J21" s="68">
        <f t="shared" ref="J21:Y21" si="8">J18 - J20</f>
        <v>4182.438000000001</v>
      </c>
      <c r="K21" s="68">
        <f t="shared" si="8"/>
        <v>2016.2880000000002</v>
      </c>
      <c r="L21" s="68">
        <f t="shared" si="8"/>
        <v>2973.4090000000001</v>
      </c>
      <c r="M21" s="68">
        <f t="shared" si="8"/>
        <v>2785.7210000000005</v>
      </c>
      <c r="N21" s="68">
        <f t="shared" si="8"/>
        <v>2824.8989999999999</v>
      </c>
      <c r="O21" s="68">
        <f t="shared" si="8"/>
        <v>4528.8160000000007</v>
      </c>
      <c r="P21" s="68">
        <f t="shared" ca="1" si="8"/>
        <v>1220.5488166872219</v>
      </c>
      <c r="Q21" s="68">
        <f t="shared" ca="1" si="8"/>
        <v>1115.1684753221834</v>
      </c>
      <c r="R21" s="68">
        <f t="shared" ca="1" si="8"/>
        <v>1152.0152060725941</v>
      </c>
      <c r="S21" s="68">
        <f t="shared" ca="1" si="8"/>
        <v>1170.7270623625518</v>
      </c>
      <c r="T21" s="68">
        <f t="shared" ca="1" si="8"/>
        <v>1194.1415941810228</v>
      </c>
      <c r="U21" s="68">
        <f t="shared" ca="1" si="8"/>
        <v>1205.3692503096026</v>
      </c>
      <c r="V21" s="68">
        <f t="shared" ca="1" si="8"/>
        <v>1222.2672774967341</v>
      </c>
      <c r="W21" s="68">
        <f t="shared" ca="1" si="8"/>
        <v>1240.4962508521494</v>
      </c>
      <c r="X21" s="68">
        <f t="shared" ca="1" si="8"/>
        <v>1259.054041418447</v>
      </c>
      <c r="Y21" s="68">
        <f t="shared" ca="1" si="8"/>
        <v>1269.6742158354555</v>
      </c>
    </row>
    <row r="22" spans="4:25" ht="15" customHeight="1" x14ac:dyDescent="0.2">
      <c r="D22" s="24" t="s">
        <v>60</v>
      </c>
      <c r="E22" s="2" t="s">
        <v>102</v>
      </c>
      <c r="F22" s="24" t="s">
        <v>25</v>
      </c>
      <c r="G22" s="24"/>
      <c r="H22" s="33"/>
      <c r="I22" s="33">
        <f>0 - ( '&gt;&gt; Inputs'!$G$46 * I21 )</f>
        <v>-1267.5219200000004</v>
      </c>
      <c r="J22" s="33">
        <f>0 - ( '&gt;&gt; Inputs'!$G$46 * J21 )</f>
        <v>-1171.0826400000003</v>
      </c>
      <c r="K22" s="33">
        <f>0 - ( '&gt;&gt; Inputs'!$G$46 * K21 )</f>
        <v>-564.56064000000015</v>
      </c>
      <c r="L22" s="33">
        <f>0 - ( '&gt;&gt; Inputs'!$G$46 * L21 )</f>
        <v>-832.55452000000014</v>
      </c>
      <c r="M22" s="33">
        <f>0 - ( '&gt;&gt; Inputs'!$G$46 * M21 )</f>
        <v>-780.00188000000026</v>
      </c>
      <c r="N22" s="33">
        <f>0 - ( '&gt;&gt; Inputs'!$G$46 * N21 )</f>
        <v>-790.97172</v>
      </c>
      <c r="O22" s="33">
        <f>0 - ( '&gt;&gt; Inputs'!$G$46 * O21 )</f>
        <v>-1268.0684800000004</v>
      </c>
      <c r="P22" s="33">
        <f ca="1">0 - ( '&gt;&gt; Inputs'!$G$46 * P21 )</f>
        <v>-341.75366867242218</v>
      </c>
      <c r="Q22" s="33">
        <f ca="1">0 - ( '&gt;&gt; Inputs'!$G$46 * Q21 )</f>
        <v>-312.24717309021139</v>
      </c>
      <c r="R22" s="33">
        <f ca="1">0 - ( '&gt;&gt; Inputs'!$G$46 * R21 )</f>
        <v>-322.56425770032638</v>
      </c>
      <c r="S22" s="33">
        <f ca="1">0 - ( '&gt;&gt; Inputs'!$G$46 * S21 )</f>
        <v>-327.80357746151452</v>
      </c>
      <c r="T22" s="33">
        <f ca="1">0 - ( '&gt;&gt; Inputs'!$G$46 * T21 )</f>
        <v>-334.35964637068639</v>
      </c>
      <c r="U22" s="33">
        <f ca="1">0 - ( '&gt;&gt; Inputs'!$G$46 * U21 )</f>
        <v>-337.5033900866888</v>
      </c>
      <c r="V22" s="33">
        <f ca="1">0 - ( '&gt;&gt; Inputs'!$G$46 * V21 )</f>
        <v>-342.23483769908557</v>
      </c>
      <c r="W22" s="33">
        <f ca="1">0 - ( '&gt;&gt; Inputs'!$G$46 * W21 )</f>
        <v>-347.33895023860185</v>
      </c>
      <c r="X22" s="33">
        <f ca="1">0 - ( '&gt;&gt; Inputs'!$G$46 * X21 )</f>
        <v>-352.53513159716522</v>
      </c>
      <c r="Y22" s="33">
        <f ca="1">0 - ( '&gt;&gt; Inputs'!$G$46 * Y21 )</f>
        <v>-355.50878043392754</v>
      </c>
    </row>
    <row r="23" spans="4:25" ht="15" customHeight="1" x14ac:dyDescent="0.2">
      <c r="D23" s="55" t="s">
        <v>62</v>
      </c>
      <c r="E23" s="66" t="s">
        <v>103</v>
      </c>
      <c r="F23" s="29" t="s">
        <v>25</v>
      </c>
      <c r="G23" s="29"/>
      <c r="H23" s="68"/>
      <c r="I23" s="68">
        <f>SUM(I21:I22)</f>
        <v>3259.3420800000004</v>
      </c>
      <c r="J23" s="68">
        <f t="shared" ref="J23:Y23" si="9">SUM(J21:J22)</f>
        <v>3011.3553600000005</v>
      </c>
      <c r="K23" s="68">
        <f t="shared" si="9"/>
        <v>1451.7273600000001</v>
      </c>
      <c r="L23" s="68">
        <f t="shared" si="9"/>
        <v>2140.85448</v>
      </c>
      <c r="M23" s="68">
        <f t="shared" si="9"/>
        <v>2005.7191200000002</v>
      </c>
      <c r="N23" s="68">
        <f t="shared" si="9"/>
        <v>2033.9272799999999</v>
      </c>
      <c r="O23" s="68">
        <f t="shared" si="9"/>
        <v>3260.7475200000003</v>
      </c>
      <c r="P23" s="68">
        <f t="shared" ca="1" si="9"/>
        <v>878.79514801479968</v>
      </c>
      <c r="Q23" s="68">
        <f t="shared" ca="1" si="9"/>
        <v>802.92130223197205</v>
      </c>
      <c r="R23" s="68">
        <f t="shared" ca="1" si="9"/>
        <v>829.4509483722677</v>
      </c>
      <c r="S23" s="68">
        <f t="shared" ca="1" si="9"/>
        <v>842.92348490103723</v>
      </c>
      <c r="T23" s="68">
        <f t="shared" ca="1" si="9"/>
        <v>859.78194781033642</v>
      </c>
      <c r="U23" s="68">
        <f t="shared" ca="1" si="9"/>
        <v>867.86586022291385</v>
      </c>
      <c r="V23" s="68">
        <f t="shared" ca="1" si="9"/>
        <v>880.03243979764852</v>
      </c>
      <c r="W23" s="68">
        <f t="shared" ca="1" si="9"/>
        <v>893.15730061354748</v>
      </c>
      <c r="X23" s="68">
        <f t="shared" ca="1" si="9"/>
        <v>906.5189098212818</v>
      </c>
      <c r="Y23" s="68">
        <f t="shared" ca="1" si="9"/>
        <v>914.16543540152793</v>
      </c>
    </row>
    <row r="25" spans="4:25" ht="15" customHeight="1" x14ac:dyDescent="0.2">
      <c r="D25" s="2" t="s">
        <v>58</v>
      </c>
      <c r="E25" s="2" t="s">
        <v>210</v>
      </c>
      <c r="F25" s="24" t="s">
        <v>25</v>
      </c>
      <c r="G25" s="24"/>
      <c r="H25" s="33"/>
      <c r="I25" s="33">
        <f t="shared" ref="I25:Y25" si="10" xml:space="preserve"> I20</f>
        <v>2.3759999999999999</v>
      </c>
      <c r="J25" s="33">
        <f t="shared" si="10"/>
        <v>4.6379999999999999</v>
      </c>
      <c r="K25" s="33">
        <f t="shared" si="10"/>
        <v>5.76</v>
      </c>
      <c r="L25" s="33">
        <f t="shared" si="10"/>
        <v>9.1609999999999996</v>
      </c>
      <c r="M25" s="33">
        <f t="shared" si="10"/>
        <v>14.615</v>
      </c>
      <c r="N25" s="33">
        <f t="shared" si="10"/>
        <v>10.691000000000001</v>
      </c>
      <c r="O25" s="33">
        <f t="shared" si="10"/>
        <v>10.124000000000001</v>
      </c>
      <c r="P25" s="33">
        <f t="shared" si="10"/>
        <v>12.129</v>
      </c>
      <c r="Q25" s="33">
        <f t="shared" si="10"/>
        <v>0</v>
      </c>
      <c r="R25" s="33">
        <f t="shared" si="10"/>
        <v>0</v>
      </c>
      <c r="S25" s="33">
        <f t="shared" si="10"/>
        <v>0</v>
      </c>
      <c r="T25" s="33">
        <f t="shared" si="10"/>
        <v>0</v>
      </c>
      <c r="U25" s="33">
        <f t="shared" si="10"/>
        <v>0</v>
      </c>
      <c r="V25" s="33">
        <f t="shared" si="10"/>
        <v>0</v>
      </c>
      <c r="W25" s="33">
        <f t="shared" si="10"/>
        <v>0</v>
      </c>
      <c r="X25" s="33">
        <f t="shared" si="10"/>
        <v>0</v>
      </c>
      <c r="Y25" s="33">
        <f t="shared" si="10"/>
        <v>0</v>
      </c>
    </row>
    <row r="26" spans="4:25" ht="15" customHeight="1" x14ac:dyDescent="0.2">
      <c r="D26" s="19" t="s">
        <v>60</v>
      </c>
      <c r="E26" s="2" t="s">
        <v>104</v>
      </c>
      <c r="F26" s="24" t="s">
        <v>25</v>
      </c>
      <c r="G26" s="24"/>
      <c r="H26" s="27"/>
      <c r="I26" s="27">
        <f>-'&gt;&gt; Fin Stmts'!I75</f>
        <v>-49.099999999999994</v>
      </c>
      <c r="J26" s="27">
        <f>-'&gt;&gt; Fin Stmts'!J75</f>
        <v>38.900000000000006</v>
      </c>
      <c r="K26" s="27">
        <f>-'&gt;&gt; Fin Stmts'!K75</f>
        <v>-25.400000000000034</v>
      </c>
      <c r="L26" s="27">
        <f>-'&gt;&gt; Fin Stmts'!L75</f>
        <v>6.7000000000000171</v>
      </c>
      <c r="M26" s="27">
        <f>-'&gt;&gt; Fin Stmts'!M75</f>
        <v>22.699999999999989</v>
      </c>
      <c r="N26" s="27">
        <f>-'&gt;&gt; Fin Stmts'!N75</f>
        <v>128.60000000000002</v>
      </c>
      <c r="O26" s="27">
        <f>-'&gt;&gt; Fin Stmts'!O75</f>
        <v>-0.7170000000000023</v>
      </c>
      <c r="P26" s="27">
        <f ca="1">-'&gt;&gt; Fin Stmts'!P75</f>
        <v>405.93927347105131</v>
      </c>
      <c r="Q26" s="27">
        <f ca="1">-'&gt;&gt; Fin Stmts'!Q75</f>
        <v>-378.25490167315951</v>
      </c>
      <c r="R26" s="27">
        <f ca="1">-'&gt;&gt; Fin Stmts'!R75</f>
        <v>-44.617218563869763</v>
      </c>
      <c r="S26" s="27">
        <f ca="1">-'&gt;&gt; Fin Stmts'!S75</f>
        <v>-5.5770144618789068</v>
      </c>
      <c r="T26" s="27">
        <f ca="1">-'&gt;&gt; Fin Stmts'!T75</f>
        <v>-0.69192702481890933</v>
      </c>
      <c r="U26" s="27">
        <f ca="1">-'&gt;&gt; Fin Stmts'!U75</f>
        <v>-7.1342909283163891E-2</v>
      </c>
      <c r="V26" s="27">
        <f ca="1">-'&gt;&gt; Fin Stmts'!V75</f>
        <v>-1.5506958783319646E-2</v>
      </c>
      <c r="W26" s="27">
        <f ca="1">-'&gt;&gt; Fin Stmts'!W75</f>
        <v>-4.8611980296797697E-3</v>
      </c>
      <c r="X26" s="27">
        <f ca="1">-'&gt;&gt; Fin Stmts'!X75</f>
        <v>-1.8108799624414473E-3</v>
      </c>
      <c r="Y26" s="27">
        <f ca="1">-'&gt;&gt; Fin Stmts'!Y75</f>
        <v>-6.0631561540702705E-4</v>
      </c>
    </row>
    <row r="27" spans="4:25" ht="15" customHeight="1" x14ac:dyDescent="0.2">
      <c r="D27" s="19" t="s">
        <v>60</v>
      </c>
      <c r="E27" s="2" t="s">
        <v>105</v>
      </c>
      <c r="F27" s="24" t="s">
        <v>25</v>
      </c>
      <c r="G27" s="24"/>
      <c r="H27" s="33"/>
      <c r="I27" s="33">
        <f>'&gt;&gt; Fin Stmts'!I81</f>
        <v>-94.6</v>
      </c>
      <c r="J27" s="33">
        <f>'&gt;&gt; Fin Stmts'!J81</f>
        <v>-162.30000000000001</v>
      </c>
      <c r="K27" s="33">
        <f>'&gt;&gt; Fin Stmts'!K81</f>
        <v>-77.7</v>
      </c>
      <c r="L27" s="33">
        <f>'&gt;&gt; Fin Stmts'!L81</f>
        <v>-33.9</v>
      </c>
      <c r="M27" s="33">
        <f>'&gt;&gt; Fin Stmts'!M81</f>
        <v>-33.4</v>
      </c>
      <c r="N27" s="33">
        <f>'&gt;&gt; Fin Stmts'!N81</f>
        <v>-59.1</v>
      </c>
      <c r="O27" s="33">
        <f>'&gt;&gt; Fin Stmts'!O81</f>
        <v>-63.1</v>
      </c>
      <c r="P27" s="33">
        <f>'&gt;&gt; Fin Stmts'!P81</f>
        <v>-66.25500000000001</v>
      </c>
      <c r="Q27" s="33">
        <f>'&gt;&gt; Fin Stmts'!Q81</f>
        <v>-69.567750000000018</v>
      </c>
      <c r="R27" s="33">
        <f>'&gt;&gt; Fin Stmts'!R81</f>
        <v>-73.046137500000029</v>
      </c>
      <c r="S27" s="33">
        <f>'&gt;&gt; Fin Stmts'!S81</f>
        <v>-76.698444375000037</v>
      </c>
      <c r="T27" s="33">
        <f>'&gt;&gt; Fin Stmts'!T81</f>
        <v>-80.533366593750046</v>
      </c>
      <c r="U27" s="33">
        <f>'&gt;&gt; Fin Stmts'!U81</f>
        <v>-84.560034923437556</v>
      </c>
      <c r="V27" s="33">
        <f>'&gt;&gt; Fin Stmts'!V81</f>
        <v>-88.78803666960944</v>
      </c>
      <c r="W27" s="33">
        <f>'&gt;&gt; Fin Stmts'!W81</f>
        <v>-93.227438503089914</v>
      </c>
      <c r="X27" s="33">
        <f>'&gt;&gt; Fin Stmts'!X81</f>
        <v>-97.888810428244412</v>
      </c>
      <c r="Y27" s="33">
        <f>'&gt;&gt; Fin Stmts'!Y81</f>
        <v>-102.78325094965663</v>
      </c>
    </row>
    <row r="28" spans="4:25" ht="15" customHeight="1" x14ac:dyDescent="0.2">
      <c r="D28" s="19" t="s">
        <v>60</v>
      </c>
      <c r="E28" s="2" t="s">
        <v>106</v>
      </c>
      <c r="F28" s="24" t="s">
        <v>25</v>
      </c>
      <c r="G28" s="24"/>
      <c r="H28" s="33"/>
      <c r="I28" s="33">
        <f>'&gt;&gt; Fin Stmts'!H80</f>
        <v>0</v>
      </c>
      <c r="J28" s="33">
        <f>'&gt;&gt; Fin Stmts'!I80</f>
        <v>0</v>
      </c>
      <c r="K28" s="33">
        <f>'&gt;&gt; Fin Stmts'!J80</f>
        <v>0</v>
      </c>
      <c r="L28" s="33">
        <f>'&gt;&gt; Fin Stmts'!K80</f>
        <v>0</v>
      </c>
      <c r="M28" s="33">
        <f>'&gt;&gt; Fin Stmts'!L80</f>
        <v>13.3</v>
      </c>
      <c r="N28" s="33">
        <f>'&gt;&gt; Fin Stmts'!M80</f>
        <v>1.9</v>
      </c>
      <c r="O28" s="33">
        <f>'&gt;&gt; Fin Stmts'!N80</f>
        <v>2.4</v>
      </c>
      <c r="P28" s="33">
        <f>'&gt;&gt; Fin Stmts'!O80</f>
        <v>5.0999999999999996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">
      <c r="D29" s="19" t="s">
        <v>60</v>
      </c>
      <c r="E29" s="2" t="s">
        <v>107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">
      <c r="D30" s="19"/>
      <c r="E30" s="66" t="s">
        <v>108</v>
      </c>
      <c r="F30" s="29" t="s">
        <v>25</v>
      </c>
      <c r="G30" s="29"/>
      <c r="H30" s="67"/>
      <c r="I30" s="67">
        <f>SUM( I23:I29 )</f>
        <v>3118.0180800000007</v>
      </c>
      <c r="J30" s="67">
        <f t="shared" ref="J30:Y30" si="11">SUM( J23:J29 )</f>
        <v>2892.5933600000003</v>
      </c>
      <c r="K30" s="67">
        <f t="shared" si="11"/>
        <v>1354.3873599999999</v>
      </c>
      <c r="L30" s="67">
        <f t="shared" si="11"/>
        <v>2122.8154799999998</v>
      </c>
      <c r="M30" s="67">
        <f t="shared" si="11"/>
        <v>2022.9341200000001</v>
      </c>
      <c r="N30" s="67">
        <f t="shared" si="11"/>
        <v>2116.0182800000002</v>
      </c>
      <c r="O30" s="67">
        <f t="shared" si="11"/>
        <v>3209.4545200000002</v>
      </c>
      <c r="P30" s="67">
        <f t="shared" ca="1" si="11"/>
        <v>1235.7084214858507</v>
      </c>
      <c r="Q30" s="67">
        <f t="shared" ca="1" si="11"/>
        <v>355.09865055881255</v>
      </c>
      <c r="R30" s="67">
        <f t="shared" ca="1" si="11"/>
        <v>711.78759230839796</v>
      </c>
      <c r="S30" s="67">
        <f t="shared" ca="1" si="11"/>
        <v>760.64802606415833</v>
      </c>
      <c r="T30" s="67">
        <f t="shared" ca="1" si="11"/>
        <v>778.55665419176739</v>
      </c>
      <c r="U30" s="67">
        <f t="shared" ca="1" si="11"/>
        <v>783.23448239019308</v>
      </c>
      <c r="V30" s="67">
        <f t="shared" ca="1" si="11"/>
        <v>791.22889616925568</v>
      </c>
      <c r="W30" s="67">
        <f t="shared" ca="1" si="11"/>
        <v>799.92500091242789</v>
      </c>
      <c r="X30" s="67">
        <f t="shared" ca="1" si="11"/>
        <v>808.62828851307495</v>
      </c>
      <c r="Y30" s="67">
        <f t="shared" ca="1" si="11"/>
        <v>811.38157813625594</v>
      </c>
    </row>
    <row r="31" spans="4:25" ht="15" customHeight="1" x14ac:dyDescent="0.2">
      <c r="D31" s="19"/>
      <c r="E31" s="187" t="s">
        <v>114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70">
        <f ca="1">(Y30*(1+'&gt;&gt; Dash'!$F$43))/('&gt;&gt; Dash'!$K$43-'&gt;&gt; Dash'!$F$43)</f>
        <v>29631.958870766648</v>
      </c>
    </row>
    <row r="32" spans="4:25" ht="15" customHeight="1" x14ac:dyDescent="0.2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28"/>
      <c r="I33" s="297"/>
      <c r="J33" s="28"/>
      <c r="K33" s="21"/>
      <c r="L33" s="21"/>
      <c r="M33" s="21"/>
      <c r="N33" s="21"/>
      <c r="O33" s="21"/>
      <c r="P33" s="21">
        <f ca="1">P11 * '&gt;&gt; Inputs'!P45</f>
        <v>5.4794520547945206E-3</v>
      </c>
      <c r="Q33" s="21">
        <f ca="1">Q11 * '&gt;&gt; Inputs'!Q45</f>
        <v>1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109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6.7710050492375382</v>
      </c>
      <c r="Q34" s="33">
        <f t="shared" ref="Q34:Y34" ca="1" si="12">( Q33 * Q30 )</f>
        <v>355.09865055881255</v>
      </c>
      <c r="R34" s="33">
        <f t="shared" ca="1" si="12"/>
        <v>711.78759230839796</v>
      </c>
      <c r="S34" s="33">
        <f t="shared" ca="1" si="12"/>
        <v>760.64802606415833</v>
      </c>
      <c r="T34" s="33">
        <f t="shared" ca="1" si="12"/>
        <v>778.55665419176739</v>
      </c>
      <c r="U34" s="33">
        <f t="shared" ca="1" si="12"/>
        <v>783.23448239019308</v>
      </c>
      <c r="V34" s="33">
        <f t="shared" ca="1" si="12"/>
        <v>791.22889616925568</v>
      </c>
      <c r="W34" s="33">
        <f t="shared" ca="1" si="12"/>
        <v>799.92500091242789</v>
      </c>
      <c r="X34" s="33">
        <f t="shared" ca="1" si="12"/>
        <v>808.62828851307495</v>
      </c>
      <c r="Y34" s="33">
        <f t="shared" ca="1" si="12"/>
        <v>811.38157813625594</v>
      </c>
    </row>
    <row r="35" spans="4:25" ht="15" customHeight="1" x14ac:dyDescent="0.2">
      <c r="D35" s="19"/>
      <c r="E35" s="2" t="s">
        <v>110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29631.958870766648</v>
      </c>
    </row>
    <row r="36" spans="4:25" ht="15" customHeight="1" x14ac:dyDescent="0.2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">
      <c r="D37" s="19"/>
      <c r="E37" s="2" t="s">
        <v>111</v>
      </c>
      <c r="F37" s="16" t="s">
        <v>10</v>
      </c>
      <c r="G37" s="16"/>
      <c r="H37" s="27"/>
      <c r="I37" s="27"/>
      <c r="J37" s="27"/>
      <c r="K37" s="61"/>
      <c r="L37" s="61"/>
      <c r="M37" s="61"/>
      <c r="N37" s="61"/>
      <c r="O37" s="61"/>
      <c r="P37" s="61">
        <f ca="1">IF( P11 = 1, ( P8 - '&gt;&gt; Inputs'!$G$26 ) / DiY, 0 )</f>
        <v>5.4794520547945206E-3</v>
      </c>
      <c r="Q37" s="61">
        <f ca="1">IF( Q11 = 1, ( Q8 - '&gt;&gt; Inputs'!$G$26 ) / DiY, 0 )</f>
        <v>1.0054794520547945</v>
      </c>
      <c r="R37" s="61">
        <f ca="1">IF( R11 = 1, ( R8 - '&gt;&gt; Inputs'!$G$26 ) / DiY, 0 )</f>
        <v>2.0054794520547947</v>
      </c>
      <c r="S37" s="61">
        <f ca="1">IF( S11 = 1, ( S8 - '&gt;&gt; Inputs'!$G$26 ) / DiY, 0 )</f>
        <v>3.0054794520547947</v>
      </c>
      <c r="T37" s="61">
        <f ca="1">IF( T11 = 1, ( T8 - '&gt;&gt; Inputs'!$G$26 ) / DiY, 0 )</f>
        <v>4.0082191780821921</v>
      </c>
      <c r="U37" s="61">
        <f ca="1">IF( U11 = 1, ( U8 - '&gt;&gt; Inputs'!$G$26 ) / DiY, 0 )</f>
        <v>5.0082191780821921</v>
      </c>
      <c r="V37" s="61">
        <f ca="1">IF( V11 = 1, ( V8 - '&gt;&gt; Inputs'!$G$26 ) / DiY, 0 )</f>
        <v>6.0082191780821921</v>
      </c>
      <c r="W37" s="61">
        <f ca="1">IF( W11 = 1, ( W8 - '&gt;&gt; Inputs'!$G$26 ) / DiY, 0 )</f>
        <v>7.0082191780821921</v>
      </c>
      <c r="X37" s="61">
        <f ca="1">IF( X11 = 1, ( X8 - '&gt;&gt; Inputs'!$G$26 ) / DiY, 0 )</f>
        <v>8.0109589041095894</v>
      </c>
      <c r="Y37" s="61">
        <f ca="1">IF( Y11 = 1, ( Y8 - '&gt;&gt; Inputs'!$G$26 ) / DiY, 0 )</f>
        <v>9.0109589041095894</v>
      </c>
    </row>
    <row r="38" spans="4:25" ht="15" customHeight="1" x14ac:dyDescent="0.2">
      <c r="D38" s="19"/>
      <c r="E38" s="2" t="s">
        <v>112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Dash'!$K$43 ) ^ P$37 )</f>
        <v>0.99974350455756267</v>
      </c>
      <c r="Q38" s="22">
        <f ca="1">Q11 * ( 1 / ( 1 +'&gt;&gt; Dash'!$K$43 ) ^ Q$37 )</f>
        <v>0.9540177985527013</v>
      </c>
      <c r="R38" s="22">
        <f ca="1">R11 * ( 1 / ( 1 +'&gt;&gt; Dash'!$K$43 ) ^ R$37 )</f>
        <v>0.91038346916605384</v>
      </c>
      <c r="S38" s="22">
        <f ca="1">S11 * ( 1 / ( 1 +'&gt;&gt; Dash'!$K$43 ) ^ S$37 )</f>
        <v>0.8687448621903624</v>
      </c>
      <c r="T38" s="22">
        <f ca="1">T11 * ( 1 / ( 1 +'&gt;&gt; Dash'!$K$43 ) ^ T$37 )</f>
        <v>0.8289043728453126</v>
      </c>
      <c r="U38" s="22">
        <f ca="1">U11 * ( 1 / ( 1 +'&gt;&gt; Dash'!$K$43 ) ^ U$37 )</f>
        <v>0.79099241094100148</v>
      </c>
      <c r="V38" s="22">
        <f ca="1">V11 * ( 1 / ( 1 +'&gt;&gt; Dash'!$K$43 ) ^ V$37 )</f>
        <v>0.7548144450228621</v>
      </c>
      <c r="W38" s="22">
        <f ca="1">W11 * ( 1 / ( 1 +'&gt;&gt; Dash'!$K$43 ) ^ W$37 )</f>
        <v>0.72029116655794001</v>
      </c>
      <c r="X38" s="22">
        <f ca="1">X11 * ( 1 / ( 1 +'&gt;&gt; Dash'!$K$43 ) ^ X$37 )</f>
        <v>0.68725873805616766</v>
      </c>
      <c r="Y38" s="22">
        <f ca="1">Y11 * ( 1 / ( 1 +'&gt;&gt; Dash'!$K$43 ) ^ Y$37 )</f>
        <v>0.6558252845129654</v>
      </c>
    </row>
    <row r="40" spans="4:25" ht="15" customHeight="1" x14ac:dyDescent="0.2">
      <c r="D40" s="19"/>
      <c r="E40" s="190" t="s">
        <v>113</v>
      </c>
      <c r="F40" s="191" t="s">
        <v>25</v>
      </c>
      <c r="G40" s="191"/>
      <c r="H40" s="192"/>
      <c r="I40" s="192"/>
      <c r="J40" s="192"/>
      <c r="K40" s="193"/>
      <c r="L40" s="193"/>
      <c r="M40" s="193"/>
      <c r="N40" s="193"/>
      <c r="O40" s="193"/>
      <c r="P40" s="194">
        <f ca="1">P34 * P38</f>
        <v>6.7692683173016883</v>
      </c>
      <c r="Q40" s="194">
        <f t="shared" ref="Q40:X40" ca="1" si="13">Q34 * Q38</f>
        <v>338.77043287515329</v>
      </c>
      <c r="R40" s="194">
        <f t="shared" ca="1" si="13"/>
        <v>647.99965759507211</v>
      </c>
      <c r="S40" s="194">
        <f t="shared" ca="1" si="13"/>
        <v>660.80906457847846</v>
      </c>
      <c r="T40" s="194">
        <f t="shared" ca="1" si="13"/>
        <v>645.34901516737182</v>
      </c>
      <c r="U40" s="194">
        <f t="shared" ca="1" si="13"/>
        <v>619.53253155794619</v>
      </c>
      <c r="V40" s="194">
        <f t="shared" ca="1" si="13"/>
        <v>597.23100014804845</v>
      </c>
      <c r="W40" s="194">
        <f t="shared" ca="1" si="13"/>
        <v>576.17891206607396</v>
      </c>
      <c r="X40" s="194">
        <f t="shared" ca="1" si="13"/>
        <v>555.73685712001452</v>
      </c>
      <c r="Y40" s="194">
        <f ca="1">Y34 * Y38</f>
        <v>532.12455432978891</v>
      </c>
    </row>
    <row r="41" spans="4:25" ht="15" customHeight="1" x14ac:dyDescent="0.2">
      <c r="D41" s="19"/>
      <c r="E41" s="187" t="s">
        <v>239</v>
      </c>
      <c r="F41" s="79" t="s">
        <v>25</v>
      </c>
      <c r="G41" s="79"/>
      <c r="H41" s="80"/>
      <c r="I41" s="80"/>
      <c r="J41" s="80"/>
      <c r="K41" s="80"/>
      <c r="L41" s="206"/>
      <c r="M41" s="80"/>
      <c r="N41" s="80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207">
        <f ca="1">Y35 * Y38</f>
        <v>19433.387857097026</v>
      </c>
    </row>
    <row r="42" spans="4:25" ht="15" customHeight="1" x14ac:dyDescent="0.2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72">
        <f>'&gt;&gt; Fin Stmts'!H64+'&gt;&gt; Fin Stmts'!H53</f>
        <v>-219.5</v>
      </c>
      <c r="I43" s="72">
        <f>'&gt;&gt; Fin Stmts'!I64+'&gt;&gt; Fin Stmts'!I53</f>
        <v>-170</v>
      </c>
      <c r="J43" s="72">
        <f>'&gt;&gt; Fin Stmts'!J64+'&gt;&gt; Fin Stmts'!J53</f>
        <v>-258.60000000000002</v>
      </c>
      <c r="K43" s="72">
        <f>'&gt;&gt; Fin Stmts'!K64+'&gt;&gt; Fin Stmts'!K53</f>
        <v>-246.6</v>
      </c>
      <c r="L43" s="72">
        <f>'&gt;&gt; Fin Stmts'!L64+'&gt;&gt; Fin Stmts'!L53</f>
        <v>-274.60000000000002</v>
      </c>
      <c r="M43" s="72">
        <f>'&gt;&gt; Fin Stmts'!M64+'&gt;&gt; Fin Stmts'!M53</f>
        <v>-199.7</v>
      </c>
      <c r="N43" s="72">
        <f>'&gt;&gt; Fin Stmts'!N64+'&gt;&gt; Fin Stmts'!N53</f>
        <v>-259.60000000000002</v>
      </c>
      <c r="O43" s="72">
        <f>'&gt;&gt; Fin Stmts'!O64+'&gt;&gt; Fin Stmts'!O53</f>
        <v>-320.60000000000002</v>
      </c>
      <c r="P43" s="72">
        <f>'&gt;&gt; Fin Stmts'!P64+'&gt;&gt; Fin Stmts'!P53</f>
        <v>-347.20572504476723</v>
      </c>
      <c r="Q43" s="72">
        <f>'&gt;&gt; Fin Stmts'!Q64+'&gt;&gt; Fin Stmts'!Q53</f>
        <v>-374.88879363752335</v>
      </c>
      <c r="R43" s="72">
        <f>'&gt;&gt; Fin Stmts'!R64+'&gt;&gt; Fin Stmts'!R53</f>
        <v>-396.77390636972342</v>
      </c>
      <c r="S43" s="72">
        <f>'&gt;&gt; Fin Stmts'!S64+'&gt;&gt; Fin Stmts'!S53</f>
        <v>-410.47803671207282</v>
      </c>
      <c r="T43" s="72">
        <f>'&gt;&gt; Fin Stmts'!T64+'&gt;&gt; Fin Stmts'!T53</f>
        <v>-416.06071190179966</v>
      </c>
      <c r="U43" s="72">
        <f>'&gt;&gt; Fin Stmts'!U64+'&gt;&gt; Fin Stmts'!U53</f>
        <v>-473.69895677072833</v>
      </c>
      <c r="V43" s="72">
        <f>'&gt;&gt; Fin Stmts'!V64+'&gt;&gt; Fin Stmts'!V53</f>
        <v>-482.0698141482622</v>
      </c>
      <c r="W43" s="72">
        <f>'&gt;&gt; Fin Stmts'!W64+'&gt;&gt; Fin Stmts'!W53</f>
        <v>-507.7537659470064</v>
      </c>
      <c r="X43" s="72">
        <f>'&gt;&gt; Fin Stmts'!X64+'&gt;&gt; Fin Stmts'!X53</f>
        <v>-540.2197107722701</v>
      </c>
      <c r="Y43" s="72">
        <f>'&gt;&gt; Fin Stmts'!Y64+'&gt;&gt; Fin Stmts'!Y53</f>
        <v>-574.62444070426773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72">
        <f>'&gt;&gt; Fin Stmts'!H55+'&gt;&gt; Fin Stmts'!H62</f>
        <v>0</v>
      </c>
      <c r="I44" s="72">
        <f>'&gt;&gt; Fin Stmts'!I55+'&gt;&gt; Fin Stmts'!I62</f>
        <v>-2.7</v>
      </c>
      <c r="J44" s="72">
        <f>'&gt;&gt; Fin Stmts'!J55+'&gt;&gt; Fin Stmts'!J62</f>
        <v>-2.5</v>
      </c>
      <c r="K44" s="72">
        <f>'&gt;&gt; Fin Stmts'!K55+'&gt;&gt; Fin Stmts'!K62</f>
        <v>-3.4000000000000004</v>
      </c>
      <c r="L44" s="72">
        <f>'&gt;&gt; Fin Stmts'!L55+'&gt;&gt; Fin Stmts'!L62</f>
        <v>-4.0999999999999996</v>
      </c>
      <c r="M44" s="72">
        <f>'&gt;&gt; Fin Stmts'!M55+'&gt;&gt; Fin Stmts'!M62</f>
        <v>-2.4000000000000004</v>
      </c>
      <c r="N44" s="72">
        <f>'&gt;&gt; Fin Stmts'!N55+'&gt;&gt; Fin Stmts'!N62</f>
        <v>-0.7</v>
      </c>
      <c r="O44" s="72">
        <f>'&gt;&gt; Fin Stmts'!O55+'&gt;&gt; Fin Stmts'!O62</f>
        <v>-0.7</v>
      </c>
      <c r="P44" s="72">
        <f>'&gt;&gt; Fin Stmts'!P55+'&gt;&gt; Fin Stmts'!P62</f>
        <v>-0.7</v>
      </c>
      <c r="Q44" s="72">
        <f>'&gt;&gt; Fin Stmts'!Q55+'&gt;&gt; Fin Stmts'!Q62</f>
        <v>-0.7</v>
      </c>
      <c r="R44" s="72">
        <f>'&gt;&gt; Fin Stmts'!R55+'&gt;&gt; Fin Stmts'!R62</f>
        <v>-0.7</v>
      </c>
      <c r="S44" s="72">
        <f>'&gt;&gt; Fin Stmts'!S55+'&gt;&gt; Fin Stmts'!S62</f>
        <v>-0.7</v>
      </c>
      <c r="T44" s="72">
        <f>'&gt;&gt; Fin Stmts'!T55+'&gt;&gt; Fin Stmts'!T62</f>
        <v>-0.7</v>
      </c>
      <c r="U44" s="72">
        <f>'&gt;&gt; Fin Stmts'!U55+'&gt;&gt; Fin Stmts'!U62</f>
        <v>-0.7</v>
      </c>
      <c r="V44" s="72">
        <f>'&gt;&gt; Fin Stmts'!V55+'&gt;&gt; Fin Stmts'!V62</f>
        <v>-0.7</v>
      </c>
      <c r="W44" s="72">
        <f>'&gt;&gt; Fin Stmts'!W55+'&gt;&gt; Fin Stmts'!W62</f>
        <v>-0.7</v>
      </c>
      <c r="X44" s="72">
        <f>'&gt;&gt; Fin Stmts'!X55+'&gt;&gt; Fin Stmts'!X62</f>
        <v>-0.7</v>
      </c>
      <c r="Y44" s="72">
        <f>'&gt;&gt; Fin Stmts'!Y55+'&gt;&gt; Fin Stmts'!Y62</f>
        <v>-0.7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72">
        <f>'&gt;&gt; Fin Stmts'!H29</f>
        <v>1.7</v>
      </c>
      <c r="I45" s="72">
        <f>'&gt;&gt; Fin Stmts'!I29</f>
        <v>17.600000000000001</v>
      </c>
      <c r="J45" s="72">
        <f>'&gt;&gt; Fin Stmts'!J29</f>
        <v>0.8</v>
      </c>
      <c r="K45" s="72">
        <f>'&gt;&gt; Fin Stmts'!K29</f>
        <v>5.3</v>
      </c>
      <c r="L45" s="72">
        <f>'&gt;&gt; Fin Stmts'!L29</f>
        <v>43.3</v>
      </c>
      <c r="M45" s="72">
        <f>'&gt;&gt; Fin Stmts'!M29</f>
        <v>16.100000000000001</v>
      </c>
      <c r="N45" s="72">
        <f>'&gt;&gt; Fin Stmts'!N29</f>
        <v>2.4</v>
      </c>
      <c r="O45" s="72">
        <f>'&gt;&gt; Fin Stmts'!O29</f>
        <v>4.9000000000000004</v>
      </c>
      <c r="P45" s="72">
        <f ca="1">'&gt;&gt; Fin Stmts'!P29</f>
        <v>90.269203433826249</v>
      </c>
      <c r="Q45" s="72">
        <f ca="1">'&gt;&gt; Fin Stmts'!Q29</f>
        <v>10.722035270801278</v>
      </c>
      <c r="R45" s="72">
        <f ca="1">'&gt;&gt; Fin Stmts'!R29</f>
        <v>1.3390150577986224</v>
      </c>
      <c r="S45" s="72">
        <f ca="1">'&gt;&gt; Fin Stmts'!S29</f>
        <v>0.16616652289704978</v>
      </c>
      <c r="T45" s="72">
        <f ca="1">'&gt;&gt; Fin Stmts'!T29</f>
        <v>2.0653972613244344E-2</v>
      </c>
      <c r="U45" s="72">
        <f ca="1">'&gt;&gt; Fin Stmts'!U29</f>
        <v>5.6505281717208001E-3</v>
      </c>
      <c r="V45" s="72">
        <f ca="1">'&gt;&gt; Fin Stmts'!V29</f>
        <v>2.3894080842411856E-3</v>
      </c>
      <c r="W45" s="72">
        <f ca="1">'&gt;&gt; Fin Stmts'!W29</f>
        <v>1.3670960522491513E-3</v>
      </c>
      <c r="X45" s="72">
        <f ca="1">'&gt;&gt; Fin Stmts'!X29</f>
        <v>9.8626721894563667E-4</v>
      </c>
      <c r="Y45" s="72">
        <f ca="1">'&gt;&gt; Fin Stmts'!Y29</f>
        <v>8.5875878480403734E-4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72">
        <f t="shared" ref="H46:N46" si="14">SUM(H43:H45)</f>
        <v>-217.8</v>
      </c>
      <c r="I46" s="72">
        <f t="shared" si="14"/>
        <v>-155.1</v>
      </c>
      <c r="J46" s="72">
        <f t="shared" si="14"/>
        <v>-260.3</v>
      </c>
      <c r="K46" s="72">
        <f t="shared" si="14"/>
        <v>-244.7</v>
      </c>
      <c r="L46" s="72">
        <f t="shared" si="14"/>
        <v>-235.40000000000003</v>
      </c>
      <c r="M46" s="72">
        <f t="shared" si="14"/>
        <v>-186</v>
      </c>
      <c r="N46" s="72">
        <f t="shared" si="14"/>
        <v>-257.90000000000003</v>
      </c>
      <c r="O46" s="72">
        <f>SUM(O43:O45)</f>
        <v>-316.40000000000003</v>
      </c>
      <c r="P46" s="72">
        <f ca="1">SUM(P43:P45)</f>
        <v>-257.63652161094097</v>
      </c>
      <c r="Q46" s="72">
        <f t="shared" ref="Q46:Y46" ca="1" si="15">SUM(Q43:Q45)</f>
        <v>-364.86675836672208</v>
      </c>
      <c r="R46" s="72">
        <f t="shared" ca="1" si="15"/>
        <v>-396.13489131192478</v>
      </c>
      <c r="S46" s="72">
        <f t="shared" ca="1" si="15"/>
        <v>-411.01187018917574</v>
      </c>
      <c r="T46" s="72">
        <f t="shared" ca="1" si="15"/>
        <v>-416.74005792918643</v>
      </c>
      <c r="U46" s="72">
        <f t="shared" ca="1" si="15"/>
        <v>-474.3933062425566</v>
      </c>
      <c r="V46" s="72">
        <f t="shared" ca="1" si="15"/>
        <v>-482.76742474017794</v>
      </c>
      <c r="W46" s="72">
        <f t="shared" ca="1" si="15"/>
        <v>-508.45239885095413</v>
      </c>
      <c r="X46" s="72">
        <f t="shared" ca="1" si="15"/>
        <v>-540.91872450505116</v>
      </c>
      <c r="Y46" s="72">
        <f t="shared" ca="1" si="15"/>
        <v>-575.32358194548294</v>
      </c>
    </row>
    <row r="47" spans="4:25" ht="15" customHeight="1" x14ac:dyDescent="0.2">
      <c r="D47" s="19"/>
      <c r="E47" s="2" t="s">
        <v>115</v>
      </c>
      <c r="F47" s="24" t="s">
        <v>25</v>
      </c>
      <c r="G47" s="24"/>
      <c r="H47" s="72">
        <f t="shared" ref="H47:O47" si="16">G46-H46</f>
        <v>217.8</v>
      </c>
      <c r="I47" s="72">
        <f t="shared" si="16"/>
        <v>-62.700000000000017</v>
      </c>
      <c r="J47" s="72">
        <f t="shared" si="16"/>
        <v>105.20000000000002</v>
      </c>
      <c r="K47" s="72">
        <f t="shared" si="16"/>
        <v>-15.600000000000023</v>
      </c>
      <c r="L47" s="72">
        <f t="shared" si="16"/>
        <v>-9.2999999999999545</v>
      </c>
      <c r="M47" s="72">
        <f t="shared" si="16"/>
        <v>-49.400000000000034</v>
      </c>
      <c r="N47" s="72">
        <f t="shared" si="16"/>
        <v>71.900000000000034</v>
      </c>
      <c r="O47" s="72">
        <f t="shared" si="16"/>
        <v>58.5</v>
      </c>
      <c r="P47" s="72">
        <f ca="1">O46-P46</f>
        <v>-58.76347838905906</v>
      </c>
      <c r="Q47" s="72">
        <f t="shared" ref="Q47:Y47" ca="1" si="17">P46-Q46</f>
        <v>107.23023675578111</v>
      </c>
      <c r="R47" s="72">
        <f t="shared" ca="1" si="17"/>
        <v>31.268132945202694</v>
      </c>
      <c r="S47" s="72">
        <f t="shared" ca="1" si="17"/>
        <v>14.876978877250963</v>
      </c>
      <c r="T47" s="72">
        <f t="shared" ca="1" si="17"/>
        <v>5.7281877400106964</v>
      </c>
      <c r="U47" s="72">
        <f t="shared" ca="1" si="17"/>
        <v>57.65324831337017</v>
      </c>
      <c r="V47" s="72">
        <f t="shared" ca="1" si="17"/>
        <v>8.374118497621339</v>
      </c>
      <c r="W47" s="72">
        <f t="shared" ca="1" si="17"/>
        <v>25.684974110776182</v>
      </c>
      <c r="X47" s="72">
        <f t="shared" ca="1" si="17"/>
        <v>32.466325654097034</v>
      </c>
      <c r="Y47" s="72">
        <f t="shared" ca="1" si="17"/>
        <v>34.404857440431783</v>
      </c>
    </row>
    <row r="48" spans="4:25" ht="15" customHeight="1" x14ac:dyDescent="0.2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4:25" ht="15" customHeight="1" x14ac:dyDescent="0.2">
      <c r="E49" s="2" t="s">
        <v>116</v>
      </c>
      <c r="F49" s="24" t="s">
        <v>25</v>
      </c>
      <c r="O49" s="74"/>
      <c r="P49" s="74">
        <f t="shared" ref="P49:Y49" ca="1" si="18">P30*P33</f>
        <v>6.7710050492375382</v>
      </c>
      <c r="Q49" s="74">
        <f t="shared" ca="1" si="18"/>
        <v>355.09865055881255</v>
      </c>
      <c r="R49" s="74">
        <f t="shared" ca="1" si="18"/>
        <v>711.78759230839796</v>
      </c>
      <c r="S49" s="74">
        <f t="shared" ca="1" si="18"/>
        <v>760.64802606415833</v>
      </c>
      <c r="T49" s="74">
        <f t="shared" ca="1" si="18"/>
        <v>778.55665419176739</v>
      </c>
      <c r="U49" s="74">
        <f t="shared" ca="1" si="18"/>
        <v>783.23448239019308</v>
      </c>
      <c r="V49" s="74">
        <f t="shared" ca="1" si="18"/>
        <v>791.22889616925568</v>
      </c>
      <c r="W49" s="74">
        <f t="shared" ca="1" si="18"/>
        <v>799.92500091242789</v>
      </c>
      <c r="X49" s="74">
        <f t="shared" ca="1" si="18"/>
        <v>808.62828851307495</v>
      </c>
      <c r="Y49" s="74">
        <f t="shared" ca="1" si="18"/>
        <v>811.38157813625594</v>
      </c>
    </row>
    <row r="50" spans="4:25" ht="15" customHeight="1" x14ac:dyDescent="0.2">
      <c r="D50" s="19" t="s">
        <v>60</v>
      </c>
      <c r="E50" s="2" t="s">
        <v>263</v>
      </c>
      <c r="F50" s="24" t="s">
        <v>25</v>
      </c>
      <c r="G50" s="54"/>
      <c r="H50" s="331">
        <v>0</v>
      </c>
      <c r="I50" s="332">
        <v>-0.2</v>
      </c>
      <c r="J50" s="332">
        <v>-0.5</v>
      </c>
      <c r="K50" s="332">
        <v>-1.2</v>
      </c>
      <c r="L50" s="332">
        <v>-0.9</v>
      </c>
      <c r="M50" s="332">
        <v>-2.8</v>
      </c>
      <c r="N50" s="332">
        <v>-1.9</v>
      </c>
      <c r="O50" s="333">
        <v>0</v>
      </c>
      <c r="P50" s="72">
        <f ca="1">P46*P51</f>
        <v>-1.264574077565225</v>
      </c>
      <c r="Q50" s="72">
        <f t="shared" ref="Q50:Y50" ca="1" si="19">Q46*Q51</f>
        <v>-1.790899215339419</v>
      </c>
      <c r="R50" s="72">
        <f t="shared" ca="1" si="19"/>
        <v>-1.9443746237525068</v>
      </c>
      <c r="S50" s="72">
        <f t="shared" ca="1" si="19"/>
        <v>-2.0173962657271129</v>
      </c>
      <c r="T50" s="72">
        <f t="shared" ca="1" si="19"/>
        <v>-2.0455123017694845</v>
      </c>
      <c r="U50" s="72">
        <f t="shared" ca="1" si="19"/>
        <v>-2.3284954861745901</v>
      </c>
      <c r="V50" s="72">
        <f t="shared" ca="1" si="19"/>
        <v>-2.3695987160596101</v>
      </c>
      <c r="W50" s="72">
        <f t="shared" ca="1" si="19"/>
        <v>-2.4956699432300757</v>
      </c>
      <c r="X50" s="72">
        <f t="shared" ca="1" si="19"/>
        <v>-2.655026518762333</v>
      </c>
      <c r="Y50" s="72">
        <f t="shared" ca="1" si="19"/>
        <v>-2.8238981158070953</v>
      </c>
    </row>
    <row r="51" spans="4:25" ht="15" customHeight="1" x14ac:dyDescent="0.2">
      <c r="D51" s="19"/>
      <c r="E51" s="18" t="s">
        <v>85</v>
      </c>
      <c r="F51" s="24" t="s">
        <v>7</v>
      </c>
      <c r="G51" s="37"/>
      <c r="H51" s="308"/>
      <c r="I51" s="308">
        <f>I50/I46</f>
        <v>1.2894906511927791E-3</v>
      </c>
      <c r="J51" s="308">
        <f t="shared" ref="J51:O51" si="20">J50/J46</f>
        <v>1.9208605455243949E-3</v>
      </c>
      <c r="K51" s="308">
        <f t="shared" si="20"/>
        <v>4.9039640375970577E-3</v>
      </c>
      <c r="L51" s="308">
        <f t="shared" si="20"/>
        <v>3.8232795242141033E-3</v>
      </c>
      <c r="M51" s="308">
        <f t="shared" si="20"/>
        <v>1.5053763440860214E-2</v>
      </c>
      <c r="N51" s="308">
        <f t="shared" si="20"/>
        <v>7.3671965878247371E-3</v>
      </c>
      <c r="O51" s="334">
        <f t="shared" si="20"/>
        <v>0</v>
      </c>
      <c r="P51" s="335">
        <f>AVERAGE(I51:O51)</f>
        <v>4.908364969601898E-3</v>
      </c>
      <c r="Q51" s="336">
        <f>P51</f>
        <v>4.908364969601898E-3</v>
      </c>
      <c r="R51" s="336">
        <f t="shared" ref="R51:Y51" si="21">Q51</f>
        <v>4.908364969601898E-3</v>
      </c>
      <c r="S51" s="336">
        <f t="shared" si="21"/>
        <v>4.908364969601898E-3</v>
      </c>
      <c r="T51" s="336">
        <f t="shared" si="21"/>
        <v>4.908364969601898E-3</v>
      </c>
      <c r="U51" s="336">
        <f t="shared" si="21"/>
        <v>4.908364969601898E-3</v>
      </c>
      <c r="V51" s="336">
        <f t="shared" si="21"/>
        <v>4.908364969601898E-3</v>
      </c>
      <c r="W51" s="336">
        <f t="shared" si="21"/>
        <v>4.908364969601898E-3</v>
      </c>
      <c r="X51" s="336">
        <f t="shared" si="21"/>
        <v>4.908364969601898E-3</v>
      </c>
      <c r="Y51" s="337">
        <f t="shared" si="21"/>
        <v>4.908364969601898E-3</v>
      </c>
    </row>
    <row r="52" spans="4:25" ht="15" customHeight="1" x14ac:dyDescent="0.2">
      <c r="D52" s="19" t="s">
        <v>58</v>
      </c>
      <c r="E52" s="2" t="s">
        <v>117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2"/>
      <c r="P52" s="74">
        <f t="shared" ref="P52:Y52" ca="1" si="22">P47</f>
        <v>-58.76347838905906</v>
      </c>
      <c r="Q52" s="74">
        <f t="shared" ca="1" si="22"/>
        <v>107.23023675578111</v>
      </c>
      <c r="R52" s="74">
        <f t="shared" ca="1" si="22"/>
        <v>31.268132945202694</v>
      </c>
      <c r="S52" s="74">
        <f t="shared" ca="1" si="22"/>
        <v>14.876978877250963</v>
      </c>
      <c r="T52" s="74">
        <f t="shared" ca="1" si="22"/>
        <v>5.7281877400106964</v>
      </c>
      <c r="U52" s="74">
        <f t="shared" ca="1" si="22"/>
        <v>57.65324831337017</v>
      </c>
      <c r="V52" s="74">
        <f t="shared" ca="1" si="22"/>
        <v>8.374118497621339</v>
      </c>
      <c r="W52" s="74">
        <f t="shared" ca="1" si="22"/>
        <v>25.684974110776182</v>
      </c>
      <c r="X52" s="74">
        <f t="shared" ca="1" si="22"/>
        <v>32.466325654097034</v>
      </c>
      <c r="Y52" s="74">
        <f t="shared" ca="1" si="22"/>
        <v>34.404857440431783</v>
      </c>
    </row>
    <row r="53" spans="4:25" ht="15" customHeight="1" x14ac:dyDescent="0.2">
      <c r="D53" s="19"/>
      <c r="E53" s="190" t="s">
        <v>118</v>
      </c>
      <c r="F53" s="191" t="s">
        <v>25</v>
      </c>
      <c r="G53" s="191"/>
      <c r="H53" s="196"/>
      <c r="I53" s="196"/>
      <c r="J53" s="196"/>
      <c r="K53" s="196"/>
      <c r="L53" s="196"/>
      <c r="M53" s="196"/>
      <c r="N53" s="196"/>
      <c r="O53" s="210"/>
      <c r="P53" s="211">
        <f ca="1">SUM(P49:P50,P52)</f>
        <v>-53.257047417386744</v>
      </c>
      <c r="Q53" s="211">
        <f t="shared" ref="Q53:Y53" ca="1" si="23">SUM(Q49:Q50,Q52)</f>
        <v>460.53798809925422</v>
      </c>
      <c r="R53" s="211">
        <f t="shared" ca="1" si="23"/>
        <v>741.11135062984818</v>
      </c>
      <c r="S53" s="211">
        <f t="shared" ca="1" si="23"/>
        <v>773.50760867568215</v>
      </c>
      <c r="T53" s="211">
        <f t="shared" ca="1" si="23"/>
        <v>782.23932963000857</v>
      </c>
      <c r="U53" s="211">
        <f t="shared" ca="1" si="23"/>
        <v>838.55923521738873</v>
      </c>
      <c r="V53" s="211">
        <f t="shared" ca="1" si="23"/>
        <v>797.2334159508174</v>
      </c>
      <c r="W53" s="211">
        <f t="shared" ca="1" si="23"/>
        <v>823.11430507997397</v>
      </c>
      <c r="X53" s="211">
        <f t="shared" ca="1" si="23"/>
        <v>838.43958764840954</v>
      </c>
      <c r="Y53" s="211">
        <f t="shared" ca="1" si="23"/>
        <v>842.96253746088064</v>
      </c>
    </row>
    <row r="54" spans="4:25" ht="15" customHeight="1" x14ac:dyDescent="0.2">
      <c r="D54" s="19"/>
      <c r="E54" s="187" t="s">
        <v>120</v>
      </c>
      <c r="F54" s="79" t="s">
        <v>25</v>
      </c>
      <c r="G54" s="79"/>
      <c r="H54" s="80"/>
      <c r="I54" s="80"/>
      <c r="J54" s="80"/>
      <c r="K54" s="80"/>
      <c r="L54" s="80"/>
      <c r="M54" s="80"/>
      <c r="N54" s="80"/>
      <c r="O54" s="195"/>
      <c r="P54" s="212"/>
      <c r="Q54" s="212"/>
      <c r="R54" s="212"/>
      <c r="S54" s="212"/>
      <c r="T54" s="212"/>
      <c r="U54" s="212"/>
      <c r="V54" s="212"/>
      <c r="W54" s="212"/>
      <c r="X54" s="212"/>
      <c r="Y54" s="213">
        <f ca="1">(Y53*(1+'&gt;&gt; Dash'!F43))/('&gt;&gt; Dash'!$F$49-'&gt;&gt; Dash'!$F$43)</f>
        <v>9985.0985437373201</v>
      </c>
    </row>
    <row r="55" spans="4:25" ht="15" customHeight="1" x14ac:dyDescent="0.2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2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5.4794520547945206E-3</v>
      </c>
      <c r="Q56" s="21">
        <f ca="1">Q11 * '&gt;&gt; Inputs'!Q45</f>
        <v>1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109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-0.29181943790348902</v>
      </c>
      <c r="Q57" s="33">
        <f t="shared" ref="Q57:Y57" ca="1" si="24">( Q56 * Q53 )</f>
        <v>460.53798809925422</v>
      </c>
      <c r="R57" s="33">
        <f t="shared" ca="1" si="24"/>
        <v>741.11135062984818</v>
      </c>
      <c r="S57" s="33">
        <f t="shared" ca="1" si="24"/>
        <v>773.50760867568215</v>
      </c>
      <c r="T57" s="33">
        <f t="shared" ca="1" si="24"/>
        <v>782.23932963000857</v>
      </c>
      <c r="U57" s="33">
        <f t="shared" ca="1" si="24"/>
        <v>838.55923521738873</v>
      </c>
      <c r="V57" s="33">
        <f t="shared" ca="1" si="24"/>
        <v>797.2334159508174</v>
      </c>
      <c r="W57" s="33">
        <f t="shared" ca="1" si="24"/>
        <v>823.11430507997397</v>
      </c>
      <c r="X57" s="33">
        <f t="shared" ca="1" si="24"/>
        <v>838.43958764840954</v>
      </c>
      <c r="Y57" s="33">
        <f t="shared" ca="1" si="24"/>
        <v>842.96253746088064</v>
      </c>
    </row>
    <row r="58" spans="4:25" ht="15" customHeight="1" x14ac:dyDescent="0.2">
      <c r="D58" s="19"/>
      <c r="E58" s="2" t="s">
        <v>110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9985.0985437373201</v>
      </c>
    </row>
    <row r="59" spans="4:25" ht="15" customHeight="1" x14ac:dyDescent="0.2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">
      <c r="D60" s="19"/>
      <c r="E60" s="2" t="s">
        <v>111</v>
      </c>
      <c r="F60" s="16" t="s">
        <v>10</v>
      </c>
      <c r="G60" s="16"/>
      <c r="H60" s="27"/>
      <c r="I60" s="27"/>
      <c r="J60" s="27"/>
      <c r="K60" s="61"/>
      <c r="L60" s="61"/>
      <c r="M60" s="61"/>
      <c r="N60" s="61"/>
      <c r="O60" s="61"/>
      <c r="P60" s="61">
        <f ca="1">IF( P11 = 1, ( P8 - '&gt;&gt; Inputs'!$G$26 ) / DiY, 0 )</f>
        <v>5.4794520547945206E-3</v>
      </c>
      <c r="Q60" s="61">
        <f ca="1">IF( Q11 = 1, ( Q8 - '&gt;&gt; Inputs'!$G$26 ) / DiY, 0 )</f>
        <v>1.0054794520547945</v>
      </c>
      <c r="R60" s="61">
        <f ca="1">IF( R11 = 1, ( R8 - '&gt;&gt; Inputs'!$G$26 ) / DiY, 0 )</f>
        <v>2.0054794520547947</v>
      </c>
      <c r="S60" s="61">
        <f ca="1">IF( S11 = 1, ( S8 - '&gt;&gt; Inputs'!$G$26 ) / DiY, 0 )</f>
        <v>3.0054794520547947</v>
      </c>
      <c r="T60" s="61">
        <f ca="1">IF( T11 = 1, ( T8 - '&gt;&gt; Inputs'!$G$26 ) / DiY, 0 )</f>
        <v>4.0082191780821921</v>
      </c>
      <c r="U60" s="61">
        <f ca="1">IF( U11 = 1, ( U8 - '&gt;&gt; Inputs'!$G$26 ) / DiY, 0 )</f>
        <v>5.0082191780821921</v>
      </c>
      <c r="V60" s="61">
        <f ca="1">IF( V11 = 1, ( V8 - '&gt;&gt; Inputs'!$G$26 ) / DiY, 0 )</f>
        <v>6.0082191780821921</v>
      </c>
      <c r="W60" s="61">
        <f ca="1">IF( W11 = 1, ( W8 - '&gt;&gt; Inputs'!$G$26 ) / DiY, 0 )</f>
        <v>7.0082191780821921</v>
      </c>
      <c r="X60" s="61">
        <f ca="1">IF( X11 = 1, ( X8 - '&gt;&gt; Inputs'!$G$26 ) / DiY, 0 )</f>
        <v>8.0109589041095894</v>
      </c>
      <c r="Y60" s="61">
        <f ca="1">IF( Y11 = 1, ( Y8 - '&gt;&gt; Inputs'!$G$26 ) / DiY, 0 )</f>
        <v>9.0109589041095894</v>
      </c>
    </row>
    <row r="61" spans="4:25" ht="15" customHeight="1" x14ac:dyDescent="0.2">
      <c r="D61" s="19"/>
      <c r="E61" s="2" t="s">
        <v>112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Dash'!$F$49 ) ^ '&gt;&gt; DCF'!P$60 )</f>
        <v>0.99944755099000293</v>
      </c>
      <c r="Q61" s="22">
        <f ca="1">Q11 * ( 1 / ( 1 + '&gt;&gt; Dash'!$F$49 ) ^ '&gt;&gt; DCF'!Q$60 )</f>
        <v>0.90356935821898487</v>
      </c>
      <c r="R61" s="22">
        <f ca="1">R11 * ( 1 / ( 1 + '&gt;&gt; Dash'!$F$49 ) ^ '&gt;&gt; DCF'!R$60 )</f>
        <v>0.81688887456229775</v>
      </c>
      <c r="S61" s="22">
        <f ca="1">S11 * ( 1 / ( 1 + '&gt;&gt; Dash'!$F$49 ) ^ '&gt;&gt; DCF'!S$60 )</f>
        <v>0.73852375284060034</v>
      </c>
      <c r="T61" s="22">
        <f ca="1">T11 * ( 1 / ( 1 + '&gt;&gt; Dash'!$F$49 ) ^ '&gt;&gt; DCF'!T$60 )</f>
        <v>0.66749183645761589</v>
      </c>
      <c r="U61" s="22">
        <f ca="1">U11 * ( 1 / ( 1 + '&gt;&gt; Dash'!$F$49 ) ^ '&gt;&gt; DCF'!U$60 )</f>
        <v>0.603458550363142</v>
      </c>
      <c r="V61" s="22">
        <f ca="1">V11 * ( 1 / ( 1 + '&gt;&gt; Dash'!$F$49 ) ^ '&gt;&gt; DCF'!V$60 )</f>
        <v>0.54556805359447746</v>
      </c>
      <c r="W61" s="22">
        <f ca="1">W11 * ( 1 / ( 1 + '&gt;&gt; Dash'!$F$49 ) ^ '&gt;&gt; DCF'!W$60 )</f>
        <v>0.49323106106252657</v>
      </c>
      <c r="X61" s="22">
        <f ca="1">X11 * ( 1 / ( 1 + '&gt;&gt; Dash'!$F$49 ) ^ '&gt;&gt; DCF'!X$60 )</f>
        <v>0.44579162888160123</v>
      </c>
      <c r="Y61" s="22">
        <f ca="1">Y11 * ( 1 / ( 1 + '&gt;&gt; Dash'!$F$49 ) ^ '&gt;&gt; DCF'!Y$60 )</f>
        <v>0.40302630749252133</v>
      </c>
    </row>
    <row r="62" spans="4:25" ht="15" customHeight="1" x14ac:dyDescent="0.2">
      <c r="D62" s="19"/>
      <c r="E62" s="71"/>
      <c r="F62" s="24"/>
      <c r="G62" s="24"/>
      <c r="H62" s="2"/>
      <c r="I62" s="2"/>
      <c r="J62" s="2"/>
      <c r="K62" s="2"/>
      <c r="L62" s="2"/>
      <c r="M62" s="2"/>
      <c r="N62" s="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4:25" ht="15" customHeight="1" x14ac:dyDescent="0.2">
      <c r="D63" s="19"/>
      <c r="E63" s="190" t="s">
        <v>119</v>
      </c>
      <c r="F63" s="191" t="s">
        <v>25</v>
      </c>
      <c r="G63" s="191"/>
      <c r="H63" s="196"/>
      <c r="I63" s="196"/>
      <c r="J63" s="196"/>
      <c r="K63" s="196"/>
      <c r="L63" s="196"/>
      <c r="M63" s="196"/>
      <c r="N63" s="196"/>
      <c r="O63" s="197"/>
      <c r="P63" s="198">
        <f ca="1">P61*P57</f>
        <v>-0.29165822254392132</v>
      </c>
      <c r="Q63" s="198">
        <f t="shared" ref="Q63:Y63" ca="1" si="26">Q61*Q57</f>
        <v>416.12801434230562</v>
      </c>
      <c r="R63" s="198">
        <f t="shared" ca="1" si="26"/>
        <v>605.40561714136106</v>
      </c>
      <c r="S63" s="198">
        <f t="shared" ca="1" si="26"/>
        <v>571.25374200992326</v>
      </c>
      <c r="T63" s="198">
        <f t="shared" ca="1" si="26"/>
        <v>522.13836668410875</v>
      </c>
      <c r="U63" s="198">
        <f t="shared" ca="1" si="26"/>
        <v>506.03574047791039</v>
      </c>
      <c r="V63" s="198">
        <f t="shared" ca="1" si="26"/>
        <v>434.94508300076387</v>
      </c>
      <c r="W63" s="198">
        <f t="shared" ca="1" si="26"/>
        <v>405.98554207033976</v>
      </c>
      <c r="X63" s="198">
        <f t="shared" ca="1" si="26"/>
        <v>373.76934949660256</v>
      </c>
      <c r="Y63" s="198">
        <f t="shared" ca="1" si="26"/>
        <v>339.73607882738492</v>
      </c>
    </row>
    <row r="64" spans="4:25" ht="15" customHeight="1" x14ac:dyDescent="0.2">
      <c r="E64" s="187" t="s">
        <v>240</v>
      </c>
      <c r="F64" s="79" t="s">
        <v>25</v>
      </c>
      <c r="G64" s="79"/>
      <c r="H64" s="80"/>
      <c r="I64" s="80"/>
      <c r="J64" s="80"/>
      <c r="K64" s="80"/>
      <c r="L64" s="80"/>
      <c r="M64" s="80"/>
      <c r="N64" s="80"/>
      <c r="O64" s="188"/>
      <c r="P64" s="189"/>
      <c r="Q64" s="189"/>
      <c r="R64" s="189"/>
      <c r="S64" s="189"/>
      <c r="T64" s="189"/>
      <c r="U64" s="189"/>
      <c r="V64" s="189"/>
      <c r="W64" s="189"/>
      <c r="X64" s="189"/>
      <c r="Y64" s="207">
        <f ca="1">Y58 * Y61</f>
        <v>4024.2573960314039</v>
      </c>
    </row>
    <row r="65" spans="5:25" ht="15" customHeight="1" x14ac:dyDescent="0.2">
      <c r="E65" s="71"/>
      <c r="F65" s="24"/>
      <c r="G65" s="24"/>
      <c r="H65" s="2"/>
      <c r="I65" s="2"/>
      <c r="J65" s="2"/>
      <c r="K65" s="2"/>
      <c r="L65" s="2"/>
      <c r="M65" s="2"/>
      <c r="N65" s="2"/>
      <c r="O65" s="34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 spans="5:25" ht="15" customHeight="1" x14ac:dyDescent="0.2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6"/>
    </row>
    <row r="67" spans="5:25" ht="15" customHeight="1" x14ac:dyDescent="0.2">
      <c r="E67" s="361" t="s">
        <v>121</v>
      </c>
      <c r="F67" s="362"/>
      <c r="G67" s="362"/>
      <c r="H67" s="363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7" t="s">
        <v>122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47">
        <f ca="1">SUM(P40:Y41)</f>
        <v>24613.889150852276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59</v>
      </c>
      <c r="F71" s="24" t="s">
        <v>25</v>
      </c>
      <c r="G71" s="24"/>
      <c r="H71" s="17">
        <v>0</v>
      </c>
      <c r="I71" s="78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61</v>
      </c>
      <c r="F72" s="24" t="s">
        <v>25</v>
      </c>
      <c r="G72" s="24"/>
      <c r="H72" s="27">
        <f>'&gt;&gt; Inputs'!$G$35</f>
        <v>-316.40000000000003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63</v>
      </c>
      <c r="F73" s="29" t="s">
        <v>25</v>
      </c>
      <c r="G73" s="29"/>
      <c r="H73" s="26">
        <f ca="1">H70 + H71 + H72</f>
        <v>24297.489150852274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64</v>
      </c>
      <c r="F75" s="16" t="s">
        <v>65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123</v>
      </c>
      <c r="F76" s="48" t="s">
        <v>66</v>
      </c>
      <c r="G76" s="48"/>
      <c r="H76" s="49">
        <f ca="1">H73 / H75</f>
        <v>64.150763342814315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67</v>
      </c>
      <c r="F78" s="16" t="s">
        <v>66</v>
      </c>
      <c r="G78" s="16"/>
      <c r="H78" s="50">
        <f>'&gt;&gt; Inputs'!G21</f>
        <v>0.99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68</v>
      </c>
      <c r="F79" s="16" t="s">
        <v>7</v>
      </c>
      <c r="G79" s="16"/>
      <c r="H79" s="28">
        <f ca="1">H76 / H78 - 1</f>
        <v>63.798750851327597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257</v>
      </c>
      <c r="F81" s="16" t="s">
        <v>7</v>
      </c>
      <c r="G81" s="16"/>
      <c r="H81" s="28">
        <f>'&gt;&gt; Dash'!$K$43</f>
        <v>4.7929615227546005E-2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6"/>
      <c r="G82" s="276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6" t="s">
        <v>25</v>
      </c>
      <c r="G83" s="276"/>
      <c r="H83" s="47">
        <f ca="1">P18</f>
        <v>1232.6778166872218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6" t="s">
        <v>25</v>
      </c>
      <c r="G84" s="276"/>
      <c r="H84" s="47">
        <f ca="1">P21</f>
        <v>1220.5488166872219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70</v>
      </c>
      <c r="F86" s="16" t="s">
        <v>71</v>
      </c>
      <c r="G86" s="16"/>
      <c r="H86" s="31">
        <f ca="1">H73 / '&gt;&gt; Fin Stmts'!O15</f>
        <v>5.3531197043477707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72</v>
      </c>
      <c r="F87" s="16" t="s">
        <v>71</v>
      </c>
      <c r="G87" s="16"/>
      <c r="H87" s="31">
        <f ca="1">H73/ '&gt;&gt; Fin Stmts'!O17</f>
        <v>5.3650864046700661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73</v>
      </c>
      <c r="F88" s="16" t="s">
        <v>71</v>
      </c>
      <c r="G88" s="16"/>
      <c r="H88" s="31">
        <f ca="1">( ( H75 * H78 ) + ( 0 - H72 ) ) / H83</f>
        <v>0.56086713919134878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74</v>
      </c>
      <c r="F89" s="16" t="s">
        <v>71</v>
      </c>
      <c r="G89" s="16"/>
      <c r="H89" s="31">
        <f ca="1">( ( H75 * H78 ) + ( 0 - H72 ) ) / H84</f>
        <v>0.56644066270654558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361" t="s">
        <v>124</v>
      </c>
      <c r="F91" s="362"/>
      <c r="G91" s="362"/>
      <c r="H91" s="363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61"/>
    </row>
    <row r="93" spans="5:25" ht="15" customHeight="1" x14ac:dyDescent="0.2">
      <c r="E93" s="2" t="s">
        <v>63</v>
      </c>
      <c r="F93" s="24" t="s">
        <v>25</v>
      </c>
      <c r="G93" s="24"/>
      <c r="H93" s="47">
        <f ca="1">SUM(P63:Y64)</f>
        <v>8199.36327185956</v>
      </c>
    </row>
    <row r="95" spans="5:25" ht="15" customHeight="1" x14ac:dyDescent="0.2">
      <c r="E95" s="2" t="s">
        <v>64</v>
      </c>
      <c r="F95" s="16" t="s">
        <v>65</v>
      </c>
      <c r="G95" s="16"/>
      <c r="H95" s="27">
        <f>'&gt;&gt; Inputs'!$G$47</f>
        <v>378.75604099999998</v>
      </c>
    </row>
    <row r="96" spans="5:25" ht="15" customHeight="1" x14ac:dyDescent="0.2">
      <c r="E96" s="1" t="s">
        <v>232</v>
      </c>
      <c r="F96" s="48" t="s">
        <v>66</v>
      </c>
      <c r="G96" s="48"/>
      <c r="H96" s="49">
        <f ca="1">H93 / H95</f>
        <v>21.648138601859451</v>
      </c>
    </row>
    <row r="98" spans="1:27" ht="15" customHeight="1" x14ac:dyDescent="0.2">
      <c r="E98" s="2" t="s">
        <v>67</v>
      </c>
      <c r="F98" s="16" t="s">
        <v>66</v>
      </c>
      <c r="G98" s="16"/>
      <c r="H98" s="50">
        <f>'&gt;&gt; Inputs'!G21</f>
        <v>0.99</v>
      </c>
    </row>
    <row r="99" spans="1:27" ht="15" customHeight="1" x14ac:dyDescent="0.2">
      <c r="E99" s="2" t="s">
        <v>68</v>
      </c>
      <c r="F99" s="16" t="s">
        <v>7</v>
      </c>
      <c r="G99" s="16"/>
      <c r="H99" s="28">
        <f ca="1">H96 / H98 - 1</f>
        <v>20.8668066685449</v>
      </c>
    </row>
    <row r="100" spans="1:27" ht="15" customHeight="1" x14ac:dyDescent="0.2">
      <c r="E100" s="2"/>
      <c r="F100" s="16"/>
      <c r="G100" s="16"/>
      <c r="H100" s="52"/>
    </row>
    <row r="101" spans="1:27" ht="15" customHeight="1" x14ac:dyDescent="0.2">
      <c r="E101" s="2" t="s">
        <v>8</v>
      </c>
      <c r="F101" s="16" t="s">
        <v>7</v>
      </c>
      <c r="G101" s="16"/>
      <c r="H101" s="28">
        <f>'&gt;&gt; Inputs'!G16</f>
        <v>0.106110496</v>
      </c>
    </row>
    <row r="102" spans="1:27" ht="15" customHeight="1" x14ac:dyDescent="0.2">
      <c r="E102" s="2"/>
      <c r="F102" s="276"/>
      <c r="G102" s="276"/>
      <c r="H102" s="2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6" t="s">
        <v>25</v>
      </c>
      <c r="G103" s="276"/>
      <c r="H103" s="47">
        <f ca="1">P18</f>
        <v>1232.6778166872218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6" t="s">
        <v>25</v>
      </c>
      <c r="G104" s="276"/>
      <c r="H104" s="47">
        <f ca="1">P21</f>
        <v>1220.5488166872219</v>
      </c>
    </row>
    <row r="106" spans="1:27" ht="15" customHeight="1" x14ac:dyDescent="0.2">
      <c r="B106" s="2"/>
      <c r="C106" s="2"/>
      <c r="D106" s="2"/>
      <c r="E106" s="2" t="s">
        <v>70</v>
      </c>
      <c r="F106" s="16" t="s">
        <v>71</v>
      </c>
      <c r="G106" s="16"/>
      <c r="H106" s="31">
        <f ca="1">H93 / '&gt;&gt; Fin Stmts'!O15</f>
        <v>1.8064489224046933</v>
      </c>
    </row>
    <row r="107" spans="1:27" ht="15" customHeight="1" x14ac:dyDescent="0.2">
      <c r="B107" s="2"/>
      <c r="C107" s="2"/>
      <c r="D107" s="2"/>
      <c r="E107" s="2" t="s">
        <v>72</v>
      </c>
      <c r="F107" s="16" t="s">
        <v>71</v>
      </c>
      <c r="G107" s="16"/>
      <c r="H107" s="31">
        <f ca="1">H93 / '&gt;&gt; Fin Stmts'!O17</f>
        <v>1.8104871718920703</v>
      </c>
    </row>
    <row r="108" spans="1:27" ht="15" customHeight="1" x14ac:dyDescent="0.2">
      <c r="B108" s="2"/>
      <c r="C108" s="2"/>
      <c r="D108" s="2"/>
      <c r="E108" s="2" t="s">
        <v>73</v>
      </c>
      <c r="F108" s="16" t="s">
        <v>71</v>
      </c>
      <c r="G108" s="16"/>
      <c r="H108" s="31">
        <f ca="1">( ( H98 * H95 )  ) / H103</f>
        <v>0.30419017484853789</v>
      </c>
    </row>
    <row r="109" spans="1:27" ht="15" customHeight="1" x14ac:dyDescent="0.2">
      <c r="B109" s="2"/>
      <c r="C109" s="2"/>
      <c r="D109" s="2"/>
      <c r="E109" s="2" t="s">
        <v>74</v>
      </c>
      <c r="F109" s="16" t="s">
        <v>71</v>
      </c>
      <c r="G109" s="16"/>
      <c r="H109" s="31">
        <f ca="1">( ( H98 * H95 )  ) / H104</f>
        <v>0.3072130139028183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26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4" t="s">
        <v>241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87</v>
      </c>
      <c r="E4" s="3"/>
      <c r="F4" s="5" t="s">
        <v>88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89</v>
      </c>
      <c r="F5" s="8" t="s">
        <v>90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91</v>
      </c>
      <c r="F6" s="10" t="s">
        <v>92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93</v>
      </c>
      <c r="F7" s="10" t="s">
        <v>5</v>
      </c>
      <c r="G7" s="60">
        <f>'&gt;&gt; DCF'!O7</f>
        <v>44927</v>
      </c>
      <c r="H7" s="60">
        <f t="shared" ref="H7:Q7" si="3">G8 + 1</f>
        <v>45292</v>
      </c>
      <c r="I7" s="60">
        <f t="shared" si="3"/>
        <v>45658</v>
      </c>
      <c r="J7" s="60">
        <f t="shared" si="3"/>
        <v>46023</v>
      </c>
      <c r="K7" s="60">
        <f t="shared" si="3"/>
        <v>46388</v>
      </c>
      <c r="L7" s="60">
        <f t="shared" si="3"/>
        <v>46753</v>
      </c>
      <c r="M7" s="60">
        <f t="shared" si="3"/>
        <v>47119</v>
      </c>
      <c r="N7" s="60">
        <f t="shared" si="3"/>
        <v>47484</v>
      </c>
      <c r="O7" s="60">
        <f t="shared" si="3"/>
        <v>47849</v>
      </c>
      <c r="P7" s="60">
        <f t="shared" si="3"/>
        <v>48214</v>
      </c>
      <c r="Q7" s="60">
        <f t="shared" si="3"/>
        <v>48580</v>
      </c>
    </row>
    <row r="8" spans="3:26" ht="15" customHeight="1" x14ac:dyDescent="0.2">
      <c r="C8" s="7"/>
      <c r="D8" s="7"/>
      <c r="E8" s="7" t="s">
        <v>94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95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Forecast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96</v>
      </c>
      <c r="F11" s="24" t="s">
        <v>10</v>
      </c>
      <c r="G11" s="61">
        <f>IF( AND( G5 &lt;= '&gt;&gt; Inputs'!$G41, G5 &gt;= 1 ), 1, 0 )</f>
        <v>0</v>
      </c>
      <c r="H11" s="61">
        <f>IF( AND( H5 &lt;= '&gt;&gt; Inputs'!$G41, H5 &gt;= 1 ), 1, 0 )</f>
        <v>1</v>
      </c>
      <c r="I11" s="61">
        <f>IF( AND( I5 &lt;= '&gt;&gt; Inputs'!$G41, I5 &gt;= 1 ), 1, 0 )</f>
        <v>1</v>
      </c>
      <c r="J11" s="61">
        <f>IF( AND( J5 &lt;= '&gt;&gt; Inputs'!$G41, J5 &gt;= 1 ), 1, 0 )</f>
        <v>1</v>
      </c>
      <c r="K11" s="61">
        <f>IF( AND( K5 &lt;= '&gt;&gt; Inputs'!$G41, K5 &gt;= 1 ), 1, 0 )</f>
        <v>1</v>
      </c>
      <c r="L11" s="61">
        <f>IF( AND( L5 &lt;= '&gt;&gt; Inputs'!$G41, L5 &gt;= 1 ), 1, 0 )</f>
        <v>1</v>
      </c>
      <c r="M11" s="61">
        <f>IF( AND( M5 &lt;= '&gt;&gt; Inputs'!$G41, M5 &gt;= 1 ), 1, 0 )</f>
        <v>1</v>
      </c>
      <c r="N11" s="61">
        <f>IF( AND( N5 &lt;= '&gt;&gt; Inputs'!$G41, N5 &gt;= 1 ), 1, 0 )</f>
        <v>1</v>
      </c>
      <c r="O11" s="61">
        <f>IF( AND( O5 &lt;= '&gt;&gt; Inputs'!$G41, O5 &gt;= 1 ), 1, 0 )</f>
        <v>1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</row>
    <row r="12" spans="3:26" ht="15" customHeight="1" x14ac:dyDescent="0.2">
      <c r="C12" s="2"/>
      <c r="D12" s="2"/>
      <c r="E12" s="80" t="s">
        <v>97</v>
      </c>
      <c r="F12" s="79" t="s">
        <v>10</v>
      </c>
      <c r="G12" s="214">
        <f>IF( G5 = '&gt;&gt; Inputs'!$G41, 1, 0 )</f>
        <v>0</v>
      </c>
      <c r="H12" s="214">
        <f>IF( H5 = '&gt;&gt; Inputs'!$G41, 1, 0 )</f>
        <v>0</v>
      </c>
      <c r="I12" s="214">
        <f>IF( I5 = '&gt;&gt; Inputs'!$G41, 1, 0 )</f>
        <v>0</v>
      </c>
      <c r="J12" s="214">
        <f>IF( J5 = '&gt;&gt; Inputs'!$G41, 1, 0 )</f>
        <v>0</v>
      </c>
      <c r="K12" s="214">
        <f>IF( K5 = '&gt;&gt; Inputs'!$G41, 1, 0 )</f>
        <v>0</v>
      </c>
      <c r="L12" s="214">
        <f>IF( L5 = '&gt;&gt; Inputs'!$G41, 1, 0 )</f>
        <v>0</v>
      </c>
      <c r="M12" s="214">
        <f>IF( M5 = '&gt;&gt; Inputs'!$G41, 1, 0 )</f>
        <v>0</v>
      </c>
      <c r="N12" s="214">
        <f>IF( N5 = '&gt;&gt; Inputs'!$G41, 1, 0 )</f>
        <v>0</v>
      </c>
      <c r="O12" s="214">
        <f>IF( O5 = '&gt;&gt; Inputs'!$G41, 1, 0 )</f>
        <v>0</v>
      </c>
      <c r="P12" s="214">
        <f>IF( P5 = '&gt;&gt; Inputs'!$G41, 1, 0 )</f>
        <v>0</v>
      </c>
      <c r="Q12" s="214">
        <f>IF( Q5 = '&gt;&gt; Inputs'!$G41, 1, 0 )</f>
        <v>1</v>
      </c>
    </row>
    <row r="14" spans="3:26" ht="15" customHeight="1" x14ac:dyDescent="0.2">
      <c r="C14" s="4"/>
      <c r="D14" s="4" t="s">
        <v>248</v>
      </c>
      <c r="E14" s="4"/>
      <c r="F14" s="4"/>
      <c r="G14" s="4"/>
    </row>
    <row r="15" spans="3:26" ht="15" customHeight="1" x14ac:dyDescent="0.2">
      <c r="C15" s="45"/>
      <c r="D15" s="45"/>
      <c r="E15" s="45"/>
      <c r="F15" s="45"/>
      <c r="G15" s="45"/>
    </row>
    <row r="16" spans="3:26" ht="15" customHeight="1" x14ac:dyDescent="0.2">
      <c r="C16" s="46"/>
      <c r="D16" s="46"/>
      <c r="E16" s="46"/>
      <c r="F16" s="46"/>
      <c r="G16" s="46"/>
    </row>
    <row r="17" spans="3:26" ht="15" customHeight="1" x14ac:dyDescent="0.2">
      <c r="E17" s="2" t="s">
        <v>8</v>
      </c>
      <c r="F17" s="24" t="s">
        <v>7</v>
      </c>
      <c r="G17" s="230">
        <f>'&gt;&gt; Dash'!F49</f>
        <v>0.106110496</v>
      </c>
    </row>
    <row r="18" spans="3:26" ht="15" customHeight="1" x14ac:dyDescent="0.2">
      <c r="E18" s="2" t="s">
        <v>32</v>
      </c>
      <c r="F18" s="24" t="s">
        <v>7</v>
      </c>
      <c r="G18" s="230">
        <f>'&gt;&gt; Dash'!F43</f>
        <v>0.02</v>
      </c>
    </row>
    <row r="19" spans="3:26" ht="15" customHeight="1" x14ac:dyDescent="0.2">
      <c r="C19" s="226"/>
      <c r="D19" s="226"/>
      <c r="E19" s="226"/>
      <c r="F19" s="226"/>
      <c r="G19" s="226"/>
    </row>
    <row r="21" spans="3:26" ht="15" customHeight="1" x14ac:dyDescent="0.2">
      <c r="C21" s="64" t="s">
        <v>247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5"/>
      <c r="F23" s="215"/>
      <c r="G23" s="200"/>
      <c r="H23" s="365" t="s">
        <v>238</v>
      </c>
      <c r="I23" s="366"/>
      <c r="J23" s="366"/>
      <c r="K23" s="366"/>
      <c r="L23" s="366"/>
      <c r="M23" s="366"/>
      <c r="N23" s="366"/>
      <c r="O23" s="366"/>
      <c r="P23" s="366"/>
      <c r="Q23" s="366"/>
      <c r="R23" s="228"/>
      <c r="S23" s="202"/>
      <c r="T23" s="202"/>
    </row>
    <row r="24" spans="3:26" ht="15" customHeight="1" x14ac:dyDescent="0.2">
      <c r="E24" s="199"/>
      <c r="F24" s="199"/>
      <c r="G24" s="201"/>
      <c r="H24" s="325">
        <f>EOMONTH('&gt;&gt; Inputs'!$G$17,12)</f>
        <v>46022</v>
      </c>
      <c r="I24" s="326">
        <f>EOMONTH(H24,12)</f>
        <v>46387</v>
      </c>
      <c r="J24" s="326">
        <f t="shared" ref="J24:Q24" si="5">EOMONTH(I24,12)</f>
        <v>46752</v>
      </c>
      <c r="K24" s="326">
        <f t="shared" si="5"/>
        <v>47118</v>
      </c>
      <c r="L24" s="326">
        <f t="shared" si="5"/>
        <v>47483</v>
      </c>
      <c r="M24" s="326">
        <f t="shared" si="5"/>
        <v>47848</v>
      </c>
      <c r="N24" s="326">
        <f t="shared" si="5"/>
        <v>48213</v>
      </c>
      <c r="O24" s="326">
        <f t="shared" si="5"/>
        <v>48579</v>
      </c>
      <c r="P24" s="326">
        <f t="shared" si="5"/>
        <v>48944</v>
      </c>
      <c r="Q24" s="327">
        <f t="shared" si="5"/>
        <v>49309</v>
      </c>
      <c r="R24" s="227"/>
      <c r="S24" s="203"/>
      <c r="T24" s="203"/>
    </row>
    <row r="25" spans="3:26" ht="15" customHeight="1" x14ac:dyDescent="0.2">
      <c r="E25" s="81" t="s">
        <v>125</v>
      </c>
      <c r="F25" s="24" t="s">
        <v>160</v>
      </c>
      <c r="G25" s="81"/>
      <c r="H25" s="82">
        <f ca="1">'&gt;&gt; Segments'!P93</f>
        <v>8.8820236722630916</v>
      </c>
      <c r="I25" s="82">
        <f ca="1">'&gt;&gt; Segments'!Q93</f>
        <v>8.7818617770461813</v>
      </c>
      <c r="J25" s="82">
        <f ca="1">'&gt;&gt; Segments'!R93</f>
        <v>8.8168838536185472</v>
      </c>
      <c r="K25" s="82">
        <f ca="1">'&gt;&gt; Segments'!S93</f>
        <v>8.8346690967175068</v>
      </c>
      <c r="L25" s="82">
        <f ca="1">'&gt;&gt; Segments'!T93</f>
        <v>8.8569241383331985</v>
      </c>
      <c r="M25" s="82">
        <f ca="1">'&gt;&gt; Segments'!U93</f>
        <v>8.8675957996897186</v>
      </c>
      <c r="N25" s="82">
        <f ca="1">'&gt;&gt; Segments'!V93</f>
        <v>8.8836570347034396</v>
      </c>
      <c r="O25" s="82">
        <f ca="1">'&gt;&gt; Segments'!W93</f>
        <v>8.9009833072841307</v>
      </c>
      <c r="P25" s="82">
        <f ca="1">'&gt;&gt; Segments'!X93</f>
        <v>8.9186221140110895</v>
      </c>
      <c r="Q25" s="82">
        <f ca="1">'&gt;&gt; Segments'!Y93</f>
        <v>8.928716376217519</v>
      </c>
      <c r="S25" s="82"/>
      <c r="T25" s="82"/>
    </row>
    <row r="26" spans="3:26" ht="15" customHeight="1" x14ac:dyDescent="0.2">
      <c r="E26" s="204" t="s">
        <v>243</v>
      </c>
      <c r="F26" s="24" t="s">
        <v>160</v>
      </c>
      <c r="G26" s="81"/>
      <c r="H26" s="82"/>
      <c r="I26" s="82"/>
      <c r="J26" s="82"/>
      <c r="K26" s="82"/>
      <c r="L26" s="82"/>
      <c r="M26" s="82"/>
      <c r="N26" s="82"/>
      <c r="O26" s="82"/>
      <c r="P26" s="82"/>
      <c r="Q26" s="82">
        <f ca="1">(Q25*(1+G18))/(G17-G18)</f>
        <v>105.76284107969683</v>
      </c>
      <c r="R26" s="82"/>
      <c r="S26" s="82"/>
      <c r="T26" s="82"/>
    </row>
    <row r="27" spans="3:26" ht="15" customHeight="1" x14ac:dyDescent="0.2">
      <c r="E27" s="83" t="s">
        <v>126</v>
      </c>
      <c r="F27" s="217" t="s">
        <v>7</v>
      </c>
      <c r="I27" s="84">
        <f ca="1">I25/H25-1</f>
        <v>-1.1276922795161792E-2</v>
      </c>
      <c r="J27" s="84">
        <f t="shared" ref="J27:Q27" ca="1" si="6">J25/I25-1</f>
        <v>3.9880013443056583E-3</v>
      </c>
      <c r="K27" s="84">
        <f t="shared" ca="1" si="6"/>
        <v>2.0171801505199927E-3</v>
      </c>
      <c r="L27" s="84">
        <f t="shared" ca="1" si="6"/>
        <v>2.5190577453502172E-3</v>
      </c>
      <c r="M27" s="84">
        <f t="shared" ca="1" si="6"/>
        <v>1.2048947456073655E-3</v>
      </c>
      <c r="N27" s="84">
        <f t="shared" ca="1" si="6"/>
        <v>1.8112276852180198E-3</v>
      </c>
      <c r="O27" s="84">
        <f t="shared" ca="1" si="6"/>
        <v>1.9503536114695574E-3</v>
      </c>
      <c r="P27" s="84">
        <f t="shared" ca="1" si="6"/>
        <v>1.9816694535899071E-3</v>
      </c>
      <c r="Q27" s="84">
        <f t="shared" ca="1" si="6"/>
        <v>1.1318185788555812E-3</v>
      </c>
      <c r="S27" s="84"/>
      <c r="T27" s="84"/>
    </row>
    <row r="28" spans="3:26" ht="15" customHeight="1" x14ac:dyDescent="0.2">
      <c r="E28" s="83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</row>
    <row r="29" spans="3:26" ht="15" customHeight="1" x14ac:dyDescent="0.2">
      <c r="E29" s="2" t="s">
        <v>36</v>
      </c>
      <c r="F29" s="24" t="s">
        <v>7</v>
      </c>
      <c r="H29" s="216">
        <f ca="1">H11 * '&gt;&gt; Inputs'!P45</f>
        <v>5.4794520547945206E-3</v>
      </c>
      <c r="I29" s="216">
        <f ca="1">I11 * '&gt;&gt; Inputs'!Q45</f>
        <v>1</v>
      </c>
      <c r="J29" s="216">
        <f ca="1">J11 * '&gt;&gt; Inputs'!R45</f>
        <v>1</v>
      </c>
      <c r="K29" s="216">
        <f ca="1">K11 * '&gt;&gt; Inputs'!S45</f>
        <v>1</v>
      </c>
      <c r="L29" s="216">
        <f ca="1">L11 * '&gt;&gt; Inputs'!T45</f>
        <v>1</v>
      </c>
      <c r="M29" s="216">
        <f ca="1">M11 * '&gt;&gt; Inputs'!U45</f>
        <v>1</v>
      </c>
      <c r="N29" s="216">
        <f ca="1">N11 * '&gt;&gt; Inputs'!V45</f>
        <v>1</v>
      </c>
      <c r="O29" s="216">
        <f ca="1">O11 * '&gt;&gt; Inputs'!W45</f>
        <v>1</v>
      </c>
      <c r="P29" s="216">
        <f ca="1">P11 * '&gt;&gt; Inputs'!X45</f>
        <v>1</v>
      </c>
      <c r="Q29" s="216">
        <f ca="1">Q11 * '&gt;&gt; Inputs'!Y45</f>
        <v>1</v>
      </c>
      <c r="R29" s="216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242</v>
      </c>
      <c r="F30" s="24" t="s">
        <v>160</v>
      </c>
      <c r="H30" s="22">
        <f t="shared" ref="H30:Q30" ca="1" si="7">H29*H25</f>
        <v>4.8668622861715569E-2</v>
      </c>
      <c r="I30" s="22">
        <f t="shared" ca="1" si="7"/>
        <v>8.7818617770461813</v>
      </c>
      <c r="J30" s="22">
        <f t="shared" ca="1" si="7"/>
        <v>8.8168838536185472</v>
      </c>
      <c r="K30" s="22">
        <f t="shared" ca="1" si="7"/>
        <v>8.8346690967175068</v>
      </c>
      <c r="L30" s="22">
        <f t="shared" ca="1" si="7"/>
        <v>8.8569241383331985</v>
      </c>
      <c r="M30" s="22">
        <f t="shared" ca="1" si="7"/>
        <v>8.8675957996897186</v>
      </c>
      <c r="N30" s="22">
        <f t="shared" ca="1" si="7"/>
        <v>8.8836570347034396</v>
      </c>
      <c r="O30" s="22">
        <f t="shared" ca="1" si="7"/>
        <v>8.9009833072841307</v>
      </c>
      <c r="P30" s="22">
        <f t="shared" ca="1" si="7"/>
        <v>8.9186221140110895</v>
      </c>
      <c r="Q30" s="22">
        <f t="shared" ca="1" si="7"/>
        <v>8.928716376217519</v>
      </c>
      <c r="R30" s="22"/>
      <c r="S30" s="61"/>
      <c r="T30" s="61"/>
      <c r="U30" s="61"/>
      <c r="V30" s="61"/>
      <c r="W30" s="61"/>
      <c r="X30" s="61"/>
      <c r="Y30" s="61"/>
      <c r="Z30" s="61"/>
    </row>
    <row r="31" spans="3:26" ht="15" customHeight="1" x14ac:dyDescent="0.2">
      <c r="E31" s="2" t="s">
        <v>110</v>
      </c>
      <c r="F31" s="24" t="s">
        <v>160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105.76284107969683</v>
      </c>
      <c r="R31" s="22"/>
      <c r="S31" s="33"/>
      <c r="T31" s="33"/>
      <c r="U31" s="33"/>
      <c r="V31" s="33"/>
      <c r="W31" s="33"/>
      <c r="X31" s="33"/>
      <c r="Y31" s="33"/>
      <c r="Z31" s="61"/>
    </row>
    <row r="32" spans="3:26" ht="15" customHeight="1" x14ac:dyDescent="0.2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">
      <c r="E33" s="2" t="s">
        <v>111</v>
      </c>
      <c r="F33" s="16" t="s">
        <v>10</v>
      </c>
      <c r="H33" s="61">
        <f ca="1">IF( H11 = 1, ( H8 - '&gt;&gt; Inputs'!$G$26 ) / DiY, 0 )</f>
        <v>5.4794520547945206E-3</v>
      </c>
      <c r="I33" s="61">
        <f ca="1">IF( I11 = 1, ( I8 - '&gt;&gt; Inputs'!$G$26 ) / DiY, 0 )</f>
        <v>1.0054794520547945</v>
      </c>
      <c r="J33" s="61">
        <f ca="1">IF( J11 = 1, ( J8 - '&gt;&gt; Inputs'!$G$26 ) / DiY, 0 )</f>
        <v>2.0054794520547947</v>
      </c>
      <c r="K33" s="61">
        <f ca="1">IF( K11 = 1, ( K8 - '&gt;&gt; Inputs'!$G$26 ) / DiY, 0 )</f>
        <v>3.0054794520547947</v>
      </c>
      <c r="L33" s="61">
        <f ca="1">IF( L11 = 1, ( L8 - '&gt;&gt; Inputs'!$G$26 ) / DiY, 0 )</f>
        <v>4.0082191780821921</v>
      </c>
      <c r="M33" s="61">
        <f ca="1">IF( M11 = 1, ( M8 - '&gt;&gt; Inputs'!$G$26 ) / DiY, 0 )</f>
        <v>5.0082191780821921</v>
      </c>
      <c r="N33" s="61">
        <f ca="1">IF( N11 = 1, ( N8 - '&gt;&gt; Inputs'!$G$26 ) / DiY, 0 )</f>
        <v>6.0082191780821921</v>
      </c>
      <c r="O33" s="61">
        <f ca="1">IF( O11 = 1, ( O8 - '&gt;&gt; Inputs'!$G$26 ) / DiY, 0 )</f>
        <v>7.0082191780821921</v>
      </c>
      <c r="P33" s="61">
        <f ca="1">IF( P11 = 1, ( P8 - '&gt;&gt; Inputs'!$G$26 ) / DiY, 0 )</f>
        <v>8.0109589041095894</v>
      </c>
      <c r="Q33" s="61">
        <f ca="1">IF( Q11 = 1, ( Q8 - '&gt;&gt; Inputs'!$G$26 ) / DiY, 0 )</f>
        <v>9.0109589041095894</v>
      </c>
      <c r="R33" s="61"/>
      <c r="S33" s="61"/>
      <c r="T33" s="61"/>
      <c r="U33" s="61"/>
      <c r="V33" s="61"/>
      <c r="W33" s="61"/>
      <c r="X33" s="61"/>
      <c r="Y33" s="61"/>
      <c r="Z33" s="61"/>
    </row>
    <row r="34" spans="1:27" ht="15" customHeight="1" x14ac:dyDescent="0.2">
      <c r="E34" s="2" t="s">
        <v>112</v>
      </c>
      <c r="F34" s="24" t="s">
        <v>10</v>
      </c>
      <c r="H34" s="22">
        <f ca="1">H11 * ( 1 / ( 1 +'&gt;&gt; Dash'!$F$49 ) ^ H$33 )</f>
        <v>0.99944755099000293</v>
      </c>
      <c r="I34" s="22">
        <f ca="1">I11 * ( 1 / ( 1 +'&gt;&gt; Dash'!$F$49 ) ^ I$33 )</f>
        <v>0.90356935821898487</v>
      </c>
      <c r="J34" s="22">
        <f ca="1">J11 * ( 1 / ( 1 +'&gt;&gt; Dash'!$F$49 ) ^ J$33 )</f>
        <v>0.81688887456229775</v>
      </c>
      <c r="K34" s="22">
        <f ca="1">K11 * ( 1 / ( 1 +'&gt;&gt; Dash'!$F$49 ) ^ K$33 )</f>
        <v>0.73852375284060034</v>
      </c>
      <c r="L34" s="22">
        <f ca="1">L11 * ( 1 / ( 1 +'&gt;&gt; Dash'!$F$49 ) ^ L$33 )</f>
        <v>0.66749183645761589</v>
      </c>
      <c r="M34" s="22">
        <f ca="1">M11 * ( 1 / ( 1 +'&gt;&gt; Dash'!$F$49 ) ^ M$33 )</f>
        <v>0.603458550363142</v>
      </c>
      <c r="N34" s="22">
        <f ca="1">N11 * ( 1 / ( 1 +'&gt;&gt; Dash'!$F$49 ) ^ N$33 )</f>
        <v>0.54556805359447746</v>
      </c>
      <c r="O34" s="22">
        <f ca="1">O11 * ( 1 / ( 1 +'&gt;&gt; Dash'!$F$49 ) ^ O$33 )</f>
        <v>0.49323106106252657</v>
      </c>
      <c r="P34" s="22">
        <f ca="1">P11 * ( 1 / ( 1 +'&gt;&gt; Dash'!$F$49 ) ^ P$33 )</f>
        <v>0.44579162888160123</v>
      </c>
      <c r="Q34" s="22">
        <f ca="1">Q11 * ( 1 / ( 1 +'&gt;&gt; Dash'!$F$49 ) ^ Q$33 )</f>
        <v>0.40302630749252133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3"/>
      <c r="F35" s="217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</row>
    <row r="36" spans="1:27" ht="15" customHeight="1" x14ac:dyDescent="0.2">
      <c r="E36" s="218" t="s">
        <v>244</v>
      </c>
      <c r="F36" s="219" t="s">
        <v>160</v>
      </c>
      <c r="G36" s="220"/>
      <c r="H36" s="221">
        <f ca="1">H30*H34</f>
        <v>4.8641735929197696E-2</v>
      </c>
      <c r="I36" s="221">
        <f t="shared" ref="I36:Q36" ca="1" si="8">I30*I34</f>
        <v>7.9350212098534518</v>
      </c>
      <c r="J36" s="221">
        <f t="shared" ca="1" si="8"/>
        <v>7.2024143283289499</v>
      </c>
      <c r="K36" s="221">
        <f t="shared" ca="1" si="8"/>
        <v>6.5246129764126897</v>
      </c>
      <c r="L36" s="221">
        <f t="shared" ca="1" si="8"/>
        <v>5.9119245584618136</v>
      </c>
      <c r="M36" s="221">
        <f t="shared" ca="1" si="8"/>
        <v>5.3512265064870448</v>
      </c>
      <c r="N36" s="221">
        <f t="shared" ca="1" si="8"/>
        <v>4.8466394772240431</v>
      </c>
      <c r="O36" s="221">
        <f t="shared" ca="1" si="8"/>
        <v>4.3902414411515887</v>
      </c>
      <c r="P36" s="221">
        <f t="shared" ca="1" si="8"/>
        <v>3.9758470795844736</v>
      </c>
      <c r="Q36" s="221">
        <f t="shared" ca="1" si="8"/>
        <v>3.5985075917549527</v>
      </c>
      <c r="R36" s="84"/>
      <c r="S36" s="84"/>
      <c r="T36" s="84"/>
    </row>
    <row r="37" spans="1:27" ht="15" customHeight="1" x14ac:dyDescent="0.2">
      <c r="E37" s="222" t="s">
        <v>245</v>
      </c>
      <c r="F37" s="223" t="s">
        <v>160</v>
      </c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5">
        <f ca="1">Q31*Q34</f>
        <v>42.625207310268557</v>
      </c>
      <c r="R37" s="84"/>
      <c r="S37" s="84"/>
      <c r="T37" s="84"/>
    </row>
    <row r="38" spans="1:27" ht="15" customHeight="1" x14ac:dyDescent="0.2">
      <c r="E38" s="83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</row>
    <row r="39" spans="1:27" ht="15" customHeight="1" x14ac:dyDescent="0.2">
      <c r="E39" s="83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</row>
    <row r="40" spans="1:27" ht="15" customHeight="1" x14ac:dyDescent="0.2">
      <c r="E40" s="361" t="s">
        <v>246</v>
      </c>
      <c r="F40" s="362"/>
      <c r="G40" s="362"/>
      <c r="H40" s="363"/>
    </row>
    <row r="42" spans="1:27" ht="15" customHeight="1" x14ac:dyDescent="0.2">
      <c r="E42" s="2" t="s">
        <v>64</v>
      </c>
      <c r="F42" s="16" t="s">
        <v>65</v>
      </c>
      <c r="H42" s="27">
        <f>'&gt;&gt; Inputs'!$G$47</f>
        <v>378.75604099999998</v>
      </c>
    </row>
    <row r="43" spans="1:27" ht="15" customHeight="1" x14ac:dyDescent="0.2">
      <c r="E43" s="1" t="s">
        <v>127</v>
      </c>
      <c r="F43" s="16" t="s">
        <v>66</v>
      </c>
      <c r="H43" s="49">
        <f ca="1">SUM(H36:Q37)</f>
        <v>92.41028421545677</v>
      </c>
    </row>
    <row r="44" spans="1:27" ht="15" customHeight="1" x14ac:dyDescent="0.2">
      <c r="E44" s="2" t="s">
        <v>67</v>
      </c>
      <c r="F44" s="16" t="s">
        <v>66</v>
      </c>
      <c r="H44" s="85">
        <f>'&gt;&gt; Inputs'!G21</f>
        <v>0.99</v>
      </c>
      <c r="J44" s="205"/>
    </row>
    <row r="45" spans="1:27" ht="15" customHeight="1" x14ac:dyDescent="0.2">
      <c r="E45" s="2" t="s">
        <v>68</v>
      </c>
      <c r="F45" s="16" t="s">
        <v>7</v>
      </c>
      <c r="H45" s="52">
        <f ca="1">H43/H44-1</f>
        <v>92.343721429754311</v>
      </c>
    </row>
    <row r="48" spans="1:27" ht="15" customHeight="1" x14ac:dyDescent="0.2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L18" sqref="L18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129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7"/>
      <c r="E5" s="237" t="s">
        <v>130</v>
      </c>
      <c r="F5" s="237"/>
      <c r="G5" s="238" t="s">
        <v>131</v>
      </c>
      <c r="H5" s="238" t="s">
        <v>132</v>
      </c>
      <c r="I5" s="87"/>
      <c r="J5" s="367" t="s">
        <v>133</v>
      </c>
      <c r="K5" s="367"/>
      <c r="L5" s="238" t="s">
        <v>134</v>
      </c>
    </row>
    <row r="6" spans="3:12" ht="15" customHeight="1" x14ac:dyDescent="0.2">
      <c r="D6" s="87"/>
      <c r="E6" s="235" t="s">
        <v>250</v>
      </c>
      <c r="F6" s="236" t="s">
        <v>66</v>
      </c>
      <c r="G6" s="242">
        <f ca="1">'&gt;&gt; DCF'!H76</f>
        <v>64.150763342814315</v>
      </c>
      <c r="H6" s="244">
        <v>0.5</v>
      </c>
      <c r="I6" s="87"/>
      <c r="J6" s="235" t="s">
        <v>136</v>
      </c>
      <c r="K6" s="242">
        <f ca="1">K7*(1+L6)</f>
        <v>82.194549968092318</v>
      </c>
      <c r="L6" s="249">
        <v>0.05</v>
      </c>
    </row>
    <row r="7" spans="3:12" ht="15" customHeight="1" x14ac:dyDescent="0.2">
      <c r="D7" s="87"/>
      <c r="E7" s="87" t="s">
        <v>249</v>
      </c>
      <c r="F7" s="16" t="s">
        <v>66</v>
      </c>
      <c r="G7" s="243">
        <f ca="1">'&gt;&gt; DCF'!H96</f>
        <v>21.648138601859451</v>
      </c>
      <c r="H7" s="245">
        <v>0</v>
      </c>
      <c r="I7" s="87"/>
      <c r="J7" s="87" t="s">
        <v>137</v>
      </c>
      <c r="K7" s="243">
        <f ca="1">G11</f>
        <v>78.280523779135535</v>
      </c>
      <c r="L7" s="248">
        <v>0</v>
      </c>
    </row>
    <row r="8" spans="3:12" ht="15" customHeight="1" x14ac:dyDescent="0.2">
      <c r="D8" s="87"/>
      <c r="E8" s="235" t="s">
        <v>135</v>
      </c>
      <c r="F8" s="236" t="s">
        <v>66</v>
      </c>
      <c r="G8" s="242">
        <f ca="1">'&gt;&gt; DDM'!H43</f>
        <v>92.41028421545677</v>
      </c>
      <c r="H8" s="244">
        <v>0.5</v>
      </c>
      <c r="I8" s="87"/>
      <c r="J8" s="235" t="s">
        <v>138</v>
      </c>
      <c r="K8" s="242">
        <f ca="1">K7*(1+L8)</f>
        <v>74.366497590178753</v>
      </c>
      <c r="L8" s="249">
        <v>-0.05</v>
      </c>
    </row>
    <row r="9" spans="3:12" ht="15" customHeight="1" x14ac:dyDescent="0.2">
      <c r="D9" s="87"/>
      <c r="E9" s="87"/>
      <c r="F9" s="87"/>
      <c r="G9" s="229"/>
      <c r="H9" s="245">
        <f>SUM(H6:H8)</f>
        <v>1</v>
      </c>
      <c r="I9" s="87"/>
      <c r="J9" s="87"/>
      <c r="K9" s="87"/>
      <c r="L9" s="87"/>
    </row>
    <row r="10" spans="3:12" ht="15" customHeight="1" x14ac:dyDescent="0.2">
      <c r="D10" s="87"/>
      <c r="E10" s="87"/>
      <c r="F10" s="87"/>
      <c r="G10" s="87"/>
      <c r="H10" s="88"/>
      <c r="I10" s="87"/>
      <c r="J10" s="87"/>
      <c r="K10" s="87"/>
      <c r="L10" s="87"/>
    </row>
    <row r="11" spans="3:12" ht="15" customHeight="1" x14ac:dyDescent="0.2">
      <c r="D11" s="87"/>
      <c r="E11" s="239" t="s">
        <v>251</v>
      </c>
      <c r="F11" s="240" t="s">
        <v>66</v>
      </c>
      <c r="G11" s="241">
        <f ca="1">SUMPRODUCT(G6:G8,H6:H8)</f>
        <v>78.280523779135535</v>
      </c>
      <c r="H11" s="87"/>
      <c r="I11" s="87"/>
      <c r="J11" s="87"/>
      <c r="K11" s="87"/>
      <c r="L11" s="87"/>
    </row>
    <row r="12" spans="3:12" ht="15" customHeight="1" x14ac:dyDescent="0.2">
      <c r="D12" s="87"/>
      <c r="E12" s="87" t="s">
        <v>139</v>
      </c>
      <c r="F12" s="16" t="s">
        <v>66</v>
      </c>
      <c r="G12" s="243">
        <f>'&gt;&gt; Inputs'!G21</f>
        <v>0.99</v>
      </c>
      <c r="H12" s="87"/>
      <c r="I12" s="87"/>
      <c r="J12" s="87"/>
      <c r="K12" s="87"/>
      <c r="L12" s="87"/>
    </row>
    <row r="13" spans="3:12" ht="15" customHeight="1" x14ac:dyDescent="0.2">
      <c r="D13" s="87"/>
      <c r="E13" s="246" t="s">
        <v>262</v>
      </c>
      <c r="F13" s="250" t="s">
        <v>7</v>
      </c>
      <c r="G13" s="247">
        <f ca="1">G11/G12-1</f>
        <v>78.071236140540947</v>
      </c>
      <c r="H13" s="87"/>
      <c r="I13" s="87"/>
      <c r="J13" s="87"/>
      <c r="K13" s="87"/>
      <c r="L13" s="87"/>
    </row>
    <row r="15" spans="3:12" ht="15" customHeight="1" x14ac:dyDescent="0.2">
      <c r="E15" s="4" t="s">
        <v>140</v>
      </c>
      <c r="F15" s="4"/>
      <c r="G15" s="238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A171"/>
  <sheetViews>
    <sheetView showGridLines="0" topLeftCell="A2" zoomScale="90" zoomScaleNormal="90" workbookViewId="0">
      <pane xSplit="5" ySplit="3" topLeftCell="F84" activePane="bottomRight" state="frozen"/>
      <selection activeCell="A2" sqref="A2"/>
      <selection pane="topRight" activeCell="F2" sqref="F2"/>
      <selection pane="bottomLeft" activeCell="A5" sqref="A5"/>
      <selection pane="bottomRight" activeCell="I87" sqref="I87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141</v>
      </c>
      <c r="E2" s="2"/>
      <c r="F2" s="2"/>
      <c r="G2" s="2"/>
      <c r="H2" s="368" t="s">
        <v>86</v>
      </c>
      <c r="I2" s="369"/>
      <c r="J2" s="369"/>
      <c r="K2" s="369"/>
      <c r="L2" s="369"/>
      <c r="M2" s="369"/>
      <c r="N2" s="369"/>
      <c r="O2" s="369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9"/>
      <c r="I10" s="89"/>
      <c r="J10" s="89"/>
      <c r="K10" s="89"/>
      <c r="L10" s="89"/>
      <c r="M10" s="8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1">
        <f>IF( AND( K5 &lt;= '&gt;&gt; Inputs'!$G41, K5 &gt;= 1 ), 1, 0 )</f>
        <v>0</v>
      </c>
      <c r="L12" s="61">
        <f>IF( AND( L5 &lt;= '&gt;&gt; Inputs'!$G41, L5 &gt;= 1 ), 1, 0 )</f>
        <v>0</v>
      </c>
      <c r="M12" s="61">
        <f>IF( AND( M5 &lt;= '&gt;&gt; Inputs'!$G41, M5 &gt;= 1 ), 1, 0 )</f>
        <v>0</v>
      </c>
      <c r="N12" s="61">
        <f>IF( AND( N5 &lt;= '&gt;&gt; Inputs'!$G41, N5 &gt;= 1 ), 1, 0 )</f>
        <v>0</v>
      </c>
      <c r="O12" s="61">
        <f>IF( AND( O5 &lt;= '&gt;&gt; Inputs'!$G41, O5 &gt;= 1 ), 1, 0 )</f>
        <v>0</v>
      </c>
      <c r="P12" s="61">
        <f>IF( AND( P5 &lt;= '&gt;&gt; Inputs'!$G41, P5 &gt;= 1 ), 1, 0 )</f>
        <v>1</v>
      </c>
      <c r="Q12" s="61">
        <f>IF( AND( Q5 &lt;= '&gt;&gt; Inputs'!$G41, Q5 &gt;= 1 ), 1, 0 )</f>
        <v>1</v>
      </c>
      <c r="R12" s="61">
        <f>IF( AND( R5 &lt;= '&gt;&gt; Inputs'!$G41, R5 &gt;= 1 ), 1, 0 )</f>
        <v>1</v>
      </c>
      <c r="S12" s="61">
        <f>IF( AND( S5 &lt;= '&gt;&gt; Inputs'!$G41, S5 &gt;= 1 ), 1, 0 )</f>
        <v>1</v>
      </c>
      <c r="T12" s="61">
        <f>IF( AND( T5 &lt;= '&gt;&gt; Inputs'!$G41, T5 &gt;= 1 ), 1, 0 )</f>
        <v>1</v>
      </c>
      <c r="U12" s="61">
        <f>IF( AND( U5 &lt;= '&gt;&gt; Inputs'!$G41, U5 &gt;= 1 ), 1, 0 )</f>
        <v>1</v>
      </c>
      <c r="V12" s="61">
        <f>IF( AND( V5 &lt;= '&gt;&gt; Inputs'!$G41, V5 &gt;= 1 ), 1, 0 )</f>
        <v>1</v>
      </c>
      <c r="W12" s="61">
        <f>IF( AND( W5 &lt;= '&gt;&gt; Inputs'!$G41, W5 &gt;= 1 ), 1, 0 )</f>
        <v>1</v>
      </c>
      <c r="X12" s="61">
        <f>IF( AND( X5 &lt;= '&gt;&gt; Inputs'!$G41, X5 &gt;= 1 ), 1, 0 )</f>
        <v>1</v>
      </c>
      <c r="Y12" s="61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97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">
      <c r="C15" s="90" t="s">
        <v>142</v>
      </c>
      <c r="D15" s="91"/>
      <c r="E15" s="91"/>
      <c r="F15" s="92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7" spans="5:25" ht="15" customHeight="1" x14ac:dyDescent="0.2">
      <c r="E17" s="2" t="s">
        <v>143</v>
      </c>
      <c r="F17" s="24" t="s">
        <v>25</v>
      </c>
      <c r="G17" s="24"/>
      <c r="H17" s="47">
        <f t="shared" ref="H17:Y17" si="7">H103</f>
        <v>1687.2</v>
      </c>
      <c r="I17" s="47">
        <f t="shared" si="7"/>
        <v>1894.5</v>
      </c>
      <c r="J17" s="47">
        <f t="shared" si="7"/>
        <v>2280.9</v>
      </c>
      <c r="K17" s="47" t="str">
        <f t="shared" si="7"/>
        <v>-</v>
      </c>
      <c r="L17" s="47" t="str">
        <f t="shared" si="7"/>
        <v>-</v>
      </c>
      <c r="M17" s="47" t="str">
        <f t="shared" si="7"/>
        <v>-</v>
      </c>
      <c r="N17" s="47" t="str">
        <f t="shared" si="7"/>
        <v>-</v>
      </c>
      <c r="O17" s="47" t="str">
        <f t="shared" si="7"/>
        <v>-</v>
      </c>
      <c r="P17" s="47">
        <f t="shared" si="7"/>
        <v>2508.9900000000002</v>
      </c>
      <c r="Q17" s="47">
        <f t="shared" si="7"/>
        <v>3261.6870000000004</v>
      </c>
      <c r="R17" s="47">
        <f t="shared" si="7"/>
        <v>3914.0244000000002</v>
      </c>
      <c r="S17" s="47">
        <f t="shared" si="7"/>
        <v>4305.426840000001</v>
      </c>
      <c r="T17" s="47">
        <f t="shared" si="7"/>
        <v>4735.9695240000019</v>
      </c>
      <c r="U17" s="47">
        <f t="shared" si="7"/>
        <v>4972.7680002000025</v>
      </c>
      <c r="V17" s="47">
        <f t="shared" si="7"/>
        <v>5221.4064002100031</v>
      </c>
      <c r="W17" s="47">
        <f t="shared" si="7"/>
        <v>5482.4767202205039</v>
      </c>
      <c r="X17" s="47">
        <f t="shared" si="7"/>
        <v>5756.6005562315295</v>
      </c>
      <c r="Y17" s="47">
        <f t="shared" si="7"/>
        <v>5900.5155701373169</v>
      </c>
    </row>
    <row r="18" spans="5:25" ht="15" customHeight="1" x14ac:dyDescent="0.2">
      <c r="E18" s="2" t="s">
        <v>144</v>
      </c>
      <c r="F18" s="24" t="s">
        <v>25</v>
      </c>
      <c r="G18" s="24"/>
      <c r="H18" s="47">
        <f>H115</f>
        <v>907.2</v>
      </c>
      <c r="I18" s="47">
        <f t="shared" ref="I18:Y18" si="8">I115</f>
        <v>999.9</v>
      </c>
      <c r="J18" s="47">
        <f t="shared" si="8"/>
        <v>1048.2</v>
      </c>
      <c r="K18" s="47">
        <f t="shared" si="8"/>
        <v>1096.8</v>
      </c>
      <c r="L18" s="47">
        <f t="shared" si="8"/>
        <v>1126.5999999999999</v>
      </c>
      <c r="M18" s="47">
        <f t="shared" si="8"/>
        <v>1225.7</v>
      </c>
      <c r="N18" s="47">
        <f t="shared" si="8"/>
        <v>1387.4</v>
      </c>
      <c r="O18" s="47">
        <f t="shared" si="8"/>
        <v>1356.9</v>
      </c>
      <c r="P18" s="47">
        <f t="shared" si="8"/>
        <v>1438.6876029437828</v>
      </c>
      <c r="Q18" s="47">
        <f t="shared" si="8"/>
        <v>1525.404981107029</v>
      </c>
      <c r="R18" s="47">
        <f t="shared" si="8"/>
        <v>1609.3585961238757</v>
      </c>
      <c r="S18" s="47">
        <f t="shared" si="8"/>
        <v>1699.2870571193939</v>
      </c>
      <c r="T18" s="47">
        <f t="shared" si="8"/>
        <v>1796.2612989503018</v>
      </c>
      <c r="U18" s="47">
        <f t="shared" si="8"/>
        <v>1905.4826286849602</v>
      </c>
      <c r="V18" s="47">
        <f t="shared" si="8"/>
        <v>2014.8762718061716</v>
      </c>
      <c r="W18" s="47">
        <f t="shared" si="8"/>
        <v>2111.7829661701248</v>
      </c>
      <c r="X18" s="47">
        <f t="shared" si="8"/>
        <v>2231.8494468712238</v>
      </c>
      <c r="Y18" s="47">
        <f t="shared" si="8"/>
        <v>2357.7882983842765</v>
      </c>
    </row>
    <row r="19" spans="5:25" ht="15" customHeight="1" x14ac:dyDescent="0.2">
      <c r="E19" s="2" t="s">
        <v>145</v>
      </c>
      <c r="F19" s="24" t="s">
        <v>25</v>
      </c>
      <c r="G19" s="24"/>
      <c r="H19" s="47">
        <f>H127</f>
        <v>552.46</v>
      </c>
      <c r="I19" s="47">
        <f t="shared" ref="I19:Y19" si="9">I127</f>
        <v>675.44</v>
      </c>
      <c r="J19" s="47">
        <f t="shared" si="9"/>
        <v>654.92999999999995</v>
      </c>
      <c r="K19" s="47">
        <f t="shared" si="9"/>
        <v>650.75</v>
      </c>
      <c r="L19" s="47">
        <f t="shared" si="9"/>
        <v>604.94000000000005</v>
      </c>
      <c r="M19" s="47">
        <f t="shared" si="9"/>
        <v>586.32000000000005</v>
      </c>
      <c r="N19" s="47">
        <f t="shared" si="9"/>
        <v>687.23</v>
      </c>
      <c r="O19" s="47">
        <f t="shared" si="9"/>
        <v>712.6</v>
      </c>
      <c r="P19" s="47">
        <f t="shared" si="9"/>
        <v>720.34</v>
      </c>
      <c r="Q19" s="47">
        <f t="shared" si="9"/>
        <v>750.56389061043797</v>
      </c>
      <c r="R19" s="47">
        <f t="shared" si="9"/>
        <v>779.1384509192776</v>
      </c>
      <c r="S19" s="47">
        <f t="shared" si="9"/>
        <v>791.20728424378979</v>
      </c>
      <c r="T19" s="47">
        <f t="shared" si="9"/>
        <v>810.23146413165955</v>
      </c>
      <c r="U19" s="47">
        <f t="shared" si="9"/>
        <v>831.92827749131447</v>
      </c>
      <c r="V19" s="47">
        <f t="shared" si="9"/>
        <v>864.0270331230289</v>
      </c>
      <c r="W19" s="47">
        <f t="shared" si="9"/>
        <v>903.58078007011466</v>
      </c>
      <c r="X19" s="47">
        <f t="shared" si="9"/>
        <v>929.86403825099092</v>
      </c>
      <c r="Y19" s="47">
        <f t="shared" si="9"/>
        <v>957.94188378409547</v>
      </c>
    </row>
    <row r="20" spans="5:25" ht="15" customHeight="1" x14ac:dyDescent="0.2">
      <c r="E20" s="2" t="s">
        <v>146</v>
      </c>
      <c r="F20" s="24" t="s">
        <v>25</v>
      </c>
      <c r="G20" s="24"/>
      <c r="H20" s="47">
        <f>H139</f>
        <v>54.2</v>
      </c>
      <c r="I20" s="47">
        <f t="shared" ref="I20:Y20" si="10">I139</f>
        <v>60.8</v>
      </c>
      <c r="J20" s="47">
        <f t="shared" si="10"/>
        <v>33.1</v>
      </c>
      <c r="K20" s="47">
        <f t="shared" si="10"/>
        <v>71.971999999999994</v>
      </c>
      <c r="L20" s="47">
        <f t="shared" si="10"/>
        <v>72</v>
      </c>
      <c r="M20" s="47">
        <f t="shared" si="10"/>
        <v>87.025999999999996</v>
      </c>
      <c r="N20" s="47">
        <f t="shared" si="10"/>
        <v>95.1</v>
      </c>
      <c r="O20" s="47">
        <f t="shared" si="10"/>
        <v>95.9</v>
      </c>
      <c r="P20" s="47">
        <f t="shared" ca="1" si="10"/>
        <v>96.706729758149336</v>
      </c>
      <c r="Q20" s="47">
        <f t="shared" ca="1" si="10"/>
        <v>96.706729758149336</v>
      </c>
      <c r="R20" s="47">
        <f t="shared" ca="1" si="10"/>
        <v>96.706729758149336</v>
      </c>
      <c r="S20" s="47">
        <f t="shared" ca="1" si="10"/>
        <v>96.706729758149336</v>
      </c>
      <c r="T20" s="47">
        <f t="shared" ca="1" si="10"/>
        <v>96.706729758149336</v>
      </c>
      <c r="U20" s="47">
        <f t="shared" ca="1" si="10"/>
        <v>96.706729758149336</v>
      </c>
      <c r="V20" s="47">
        <f t="shared" ca="1" si="10"/>
        <v>96.706729758149336</v>
      </c>
      <c r="W20" s="47">
        <f t="shared" ca="1" si="10"/>
        <v>96.706729758149336</v>
      </c>
      <c r="X20" s="47">
        <f t="shared" ca="1" si="10"/>
        <v>96.706729758149336</v>
      </c>
      <c r="Y20" s="47">
        <f t="shared" ca="1" si="10"/>
        <v>96.706729758149336</v>
      </c>
    </row>
    <row r="21" spans="5:25" ht="15" customHeight="1" x14ac:dyDescent="0.2">
      <c r="E21" s="2" t="s">
        <v>147</v>
      </c>
      <c r="F21" s="24" t="s">
        <v>25</v>
      </c>
      <c r="G21" s="24"/>
      <c r="H21" s="47">
        <f>H151</f>
        <v>58</v>
      </c>
      <c r="I21" s="47">
        <f t="shared" ref="I21:Y21" si="11">I151</f>
        <v>59</v>
      </c>
      <c r="J21" s="47">
        <f t="shared" si="11"/>
        <v>22.326000000000001</v>
      </c>
      <c r="K21" s="47">
        <f t="shared" si="11"/>
        <v>22.326000000000001</v>
      </c>
      <c r="L21" s="47">
        <f t="shared" si="11"/>
        <v>1125.3</v>
      </c>
      <c r="M21" s="47">
        <f t="shared" si="11"/>
        <v>1287.98</v>
      </c>
      <c r="N21" s="47" t="str">
        <f t="shared" si="11"/>
        <v>1382..37</v>
      </c>
      <c r="O21" s="47">
        <f t="shared" si="11"/>
        <v>1563.94</v>
      </c>
      <c r="P21" s="47">
        <f t="shared" si="11"/>
        <v>1563.94</v>
      </c>
      <c r="Q21" s="47">
        <f t="shared" si="11"/>
        <v>1563.94</v>
      </c>
      <c r="R21" s="47">
        <f t="shared" si="11"/>
        <v>1563.94</v>
      </c>
      <c r="S21" s="47">
        <f t="shared" si="11"/>
        <v>1563.94</v>
      </c>
      <c r="T21" s="47">
        <f t="shared" si="11"/>
        <v>1563.94</v>
      </c>
      <c r="U21" s="47">
        <f t="shared" si="11"/>
        <v>1563.94</v>
      </c>
      <c r="V21" s="47">
        <f t="shared" si="11"/>
        <v>1563.94</v>
      </c>
      <c r="W21" s="47">
        <f t="shared" si="11"/>
        <v>1563.94</v>
      </c>
      <c r="X21" s="47">
        <f t="shared" si="11"/>
        <v>1563.94</v>
      </c>
      <c r="Y21" s="47">
        <f t="shared" si="11"/>
        <v>1563.94</v>
      </c>
    </row>
    <row r="22" spans="5:25" ht="15" customHeight="1" x14ac:dyDescent="0.2">
      <c r="E22" s="2" t="s">
        <v>288</v>
      </c>
      <c r="F22" s="24" t="s">
        <v>25</v>
      </c>
      <c r="G22" s="24"/>
      <c r="H22" s="47">
        <f>H162</f>
        <v>920.8</v>
      </c>
      <c r="I22" s="47">
        <f t="shared" ref="I22:Y22" si="12">I162</f>
        <v>1130</v>
      </c>
      <c r="J22" s="47">
        <f t="shared" si="12"/>
        <v>454.02</v>
      </c>
      <c r="K22" s="47">
        <f t="shared" si="12"/>
        <v>510.3</v>
      </c>
      <c r="L22" s="47">
        <f t="shared" si="12"/>
        <v>559.92999999999995</v>
      </c>
      <c r="M22" s="47">
        <f t="shared" si="12"/>
        <v>601.51</v>
      </c>
      <c r="N22" s="47">
        <f t="shared" si="12"/>
        <v>721.26</v>
      </c>
      <c r="O22" s="47">
        <f t="shared" si="12"/>
        <v>888.6</v>
      </c>
      <c r="P22" s="47">
        <f t="shared" si="12"/>
        <v>888.6</v>
      </c>
      <c r="Q22" s="47">
        <f t="shared" si="12"/>
        <v>888.6</v>
      </c>
      <c r="R22" s="47">
        <f t="shared" si="12"/>
        <v>888.6</v>
      </c>
      <c r="S22" s="47">
        <f t="shared" si="12"/>
        <v>888.6</v>
      </c>
      <c r="T22" s="47">
        <f t="shared" si="12"/>
        <v>888.6</v>
      </c>
      <c r="U22" s="47">
        <f>U162</f>
        <v>888.6</v>
      </c>
      <c r="V22" s="47">
        <f t="shared" si="12"/>
        <v>888.6</v>
      </c>
      <c r="W22" s="47">
        <f>W162</f>
        <v>888.6</v>
      </c>
      <c r="X22" s="47">
        <f t="shared" si="12"/>
        <v>888.6</v>
      </c>
      <c r="Y22" s="47">
        <f t="shared" si="12"/>
        <v>888.6</v>
      </c>
    </row>
    <row r="23" spans="5:25" ht="15" customHeight="1" x14ac:dyDescent="0.2">
      <c r="E23" s="1" t="s">
        <v>254</v>
      </c>
      <c r="F23" s="94" t="s">
        <v>25</v>
      </c>
      <c r="G23" s="94"/>
      <c r="H23" s="95">
        <f>SUM(H17:H22)</f>
        <v>4179.8599999999997</v>
      </c>
      <c r="I23" s="95">
        <f t="shared" ref="I23:Y23" si="13">SUM(I17:I22)</f>
        <v>4819.6400000000003</v>
      </c>
      <c r="J23" s="95">
        <f t="shared" si="13"/>
        <v>4493.4760000000006</v>
      </c>
      <c r="K23" s="95">
        <f t="shared" si="13"/>
        <v>2352.1480000000001</v>
      </c>
      <c r="L23" s="95">
        <f t="shared" si="13"/>
        <v>3488.77</v>
      </c>
      <c r="M23" s="95">
        <f t="shared" si="13"/>
        <v>3788.5360000000001</v>
      </c>
      <c r="N23" s="95">
        <f t="shared" si="13"/>
        <v>2890.99</v>
      </c>
      <c r="O23" s="95">
        <f t="shared" si="13"/>
        <v>4617.9400000000005</v>
      </c>
      <c r="P23" s="95">
        <f t="shared" ca="1" si="13"/>
        <v>7217.2643327019341</v>
      </c>
      <c r="Q23" s="95">
        <f t="shared" ca="1" si="13"/>
        <v>8086.9026014756164</v>
      </c>
      <c r="R23" s="95">
        <f t="shared" ca="1" si="13"/>
        <v>8851.7681768013044</v>
      </c>
      <c r="S23" s="95">
        <f t="shared" ca="1" si="13"/>
        <v>9345.1679111213343</v>
      </c>
      <c r="T23" s="95">
        <f t="shared" ca="1" si="13"/>
        <v>9891.7090168401137</v>
      </c>
      <c r="U23" s="95">
        <f t="shared" ca="1" si="13"/>
        <v>10259.425636134427</v>
      </c>
      <c r="V23" s="95">
        <f t="shared" ca="1" si="13"/>
        <v>10649.556434897353</v>
      </c>
      <c r="W23" s="95">
        <f t="shared" ca="1" si="13"/>
        <v>11047.087196218894</v>
      </c>
      <c r="X23" s="95">
        <f t="shared" ca="1" si="13"/>
        <v>11467.560771111894</v>
      </c>
      <c r="Y23" s="95">
        <f t="shared" ca="1" si="13"/>
        <v>11765.492482063839</v>
      </c>
    </row>
    <row r="24" spans="5:25" ht="15" customHeight="1" x14ac:dyDescent="0.2">
      <c r="E24" s="1"/>
      <c r="F24" s="94"/>
      <c r="G24" s="94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5:25" s="98" customFormat="1" ht="15" customHeight="1" x14ac:dyDescent="0.2">
      <c r="E25" s="1" t="s">
        <v>148</v>
      </c>
      <c r="F25" s="94" t="s">
        <v>25</v>
      </c>
      <c r="G25" s="94"/>
      <c r="H25" s="69"/>
      <c r="I25" s="97">
        <f t="shared" ref="I25:N25" si="14">I44-I23</f>
        <v>-3474.6090000000004</v>
      </c>
      <c r="J25" s="97">
        <f t="shared" si="14"/>
        <v>-3800.4260000000004</v>
      </c>
      <c r="K25" s="97">
        <f t="shared" si="14"/>
        <v>-1709.3110000000001</v>
      </c>
      <c r="L25" s="97">
        <f t="shared" si="14"/>
        <v>-2769.6460000000002</v>
      </c>
      <c r="M25" s="97">
        <f t="shared" si="14"/>
        <v>-3039.0259999999998</v>
      </c>
      <c r="N25" s="97">
        <f t="shared" si="14"/>
        <v>-2049.9459999999999</v>
      </c>
      <c r="O25" s="97">
        <f>O44-O23</f>
        <v>-3595.6750000000002</v>
      </c>
      <c r="P25" s="97">
        <f t="shared" ref="P25:Y25" ca="1" si="15">P44-P23</f>
        <v>-5984.5865160147123</v>
      </c>
      <c r="Q25" s="97">
        <f t="shared" ca="1" si="15"/>
        <v>-6971.734126153433</v>
      </c>
      <c r="R25" s="97">
        <f t="shared" ca="1" si="15"/>
        <v>-7699.7529707287104</v>
      </c>
      <c r="S25" s="97">
        <f t="shared" ca="1" si="15"/>
        <v>-8174.4408487587825</v>
      </c>
      <c r="T25" s="97">
        <f t="shared" ca="1" si="15"/>
        <v>-8697.5674226590909</v>
      </c>
      <c r="U25" s="97">
        <f t="shared" ca="1" si="15"/>
        <v>-9054.0563858248242</v>
      </c>
      <c r="V25" s="97">
        <f t="shared" ca="1" si="15"/>
        <v>-9427.2891574006189</v>
      </c>
      <c r="W25" s="97">
        <f t="shared" ca="1" si="15"/>
        <v>-9806.5909453667446</v>
      </c>
      <c r="X25" s="97">
        <f t="shared" ca="1" si="15"/>
        <v>-10208.506729693447</v>
      </c>
      <c r="Y25" s="97">
        <f t="shared" ca="1" si="15"/>
        <v>-10495.818266228383</v>
      </c>
    </row>
    <row r="26" spans="5:25" s="98" customFormat="1" ht="15" customHeight="1" x14ac:dyDescent="0.2">
      <c r="E26" s="18" t="s">
        <v>128</v>
      </c>
      <c r="F26" s="16" t="s">
        <v>7</v>
      </c>
      <c r="G26" s="16"/>
      <c r="H26" s="279"/>
      <c r="I26" s="280">
        <f>IFERROR(I25/I23,"NA")</f>
        <v>-0.72092708169074871</v>
      </c>
      <c r="J26" s="280">
        <f t="shared" ref="J26:Y26" si="16">IFERROR(J25/J23,"NA")</f>
        <v>-0.84576528282336438</v>
      </c>
      <c r="K26" s="280">
        <f t="shared" si="16"/>
        <v>-0.72670214629351559</v>
      </c>
      <c r="L26" s="280">
        <f t="shared" si="16"/>
        <v>-0.79387463203363939</v>
      </c>
      <c r="M26" s="280">
        <f t="shared" si="16"/>
        <v>-0.80216368539192973</v>
      </c>
      <c r="N26" s="280">
        <f t="shared" si="16"/>
        <v>-0.7090809722620971</v>
      </c>
      <c r="O26" s="280">
        <f t="shared" si="16"/>
        <v>-0.77863181418554583</v>
      </c>
      <c r="P26" s="280">
        <f t="shared" ca="1" si="16"/>
        <v>-0.82920428574274718</v>
      </c>
      <c r="Q26" s="280">
        <f t="shared" ca="1" si="16"/>
        <v>-0.86210190350027227</v>
      </c>
      <c r="R26" s="280">
        <f t="shared" ca="1" si="16"/>
        <v>-0.86985479250441811</v>
      </c>
      <c r="S26" s="280">
        <f t="shared" ca="1" si="16"/>
        <v>-0.87472380662424343</v>
      </c>
      <c r="T26" s="280">
        <f t="shared" ca="1" si="16"/>
        <v>-0.87927853597916605</v>
      </c>
      <c r="U26" s="280">
        <f t="shared" ca="1" si="16"/>
        <v>-0.88251103979308487</v>
      </c>
      <c r="V26" s="280">
        <f t="shared" ca="1" si="16"/>
        <v>-0.88522833932392653</v>
      </c>
      <c r="W26" s="280">
        <f t="shared" ca="1" si="16"/>
        <v>-0.887708295515515</v>
      </c>
      <c r="X26" s="280">
        <f t="shared" ca="1" si="16"/>
        <v>-0.89020733645553041</v>
      </c>
      <c r="Y26" s="280">
        <f t="shared" ca="1" si="16"/>
        <v>-0.89208490696236997</v>
      </c>
    </row>
    <row r="27" spans="5:25" ht="15" customHeight="1" x14ac:dyDescent="0.2">
      <c r="E27" s="2"/>
      <c r="F27" s="24"/>
      <c r="G27" s="24"/>
      <c r="H27" s="34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</row>
    <row r="28" spans="5:25" ht="15" customHeight="1" x14ac:dyDescent="0.2">
      <c r="E28" s="100" t="s">
        <v>255</v>
      </c>
      <c r="F28" s="94"/>
      <c r="G28" s="37"/>
      <c r="H28" s="97"/>
      <c r="I28" s="97"/>
      <c r="J28" s="97"/>
      <c r="K28" s="97"/>
      <c r="L28" s="97"/>
      <c r="M28" s="97"/>
      <c r="N28" s="97"/>
      <c r="P28" s="99"/>
      <c r="Q28" s="97"/>
      <c r="R28" s="97"/>
      <c r="S28" s="97"/>
      <c r="T28" s="97"/>
      <c r="U28" s="97"/>
      <c r="V28" s="97"/>
      <c r="W28" s="97"/>
      <c r="X28" s="97"/>
      <c r="Y28" s="97"/>
    </row>
    <row r="29" spans="5:25" ht="15" customHeight="1" x14ac:dyDescent="0.2">
      <c r="E29" s="2" t="s">
        <v>143</v>
      </c>
      <c r="F29" s="24" t="s">
        <v>7</v>
      </c>
      <c r="G29" s="37"/>
      <c r="H29" s="231"/>
      <c r="I29" s="231">
        <f>IFERROR(I17/H17-1,"NA")</f>
        <v>0.12286628733997151</v>
      </c>
      <c r="J29" s="231">
        <f t="shared" ref="J29:Y29" si="17">IFERROR(J17/I17-1,"NA")</f>
        <v>0.20395882818685673</v>
      </c>
      <c r="K29" s="231" t="str">
        <f t="shared" si="17"/>
        <v>NA</v>
      </c>
      <c r="L29" s="231" t="str">
        <f t="shared" si="17"/>
        <v>NA</v>
      </c>
      <c r="M29" s="231" t="str">
        <f t="shared" si="17"/>
        <v>NA</v>
      </c>
      <c r="N29" s="231" t="str">
        <f t="shared" si="17"/>
        <v>NA</v>
      </c>
      <c r="O29" s="231" t="str">
        <f t="shared" si="17"/>
        <v>NA</v>
      </c>
      <c r="P29" s="231" t="str">
        <f t="shared" si="17"/>
        <v>NA</v>
      </c>
      <c r="Q29" s="231">
        <f t="shared" si="17"/>
        <v>0.30000000000000004</v>
      </c>
      <c r="R29" s="231">
        <f t="shared" si="17"/>
        <v>0.19999999999999996</v>
      </c>
      <c r="S29" s="231">
        <f t="shared" si="17"/>
        <v>0.10000000000000009</v>
      </c>
      <c r="T29" s="231">
        <f t="shared" si="17"/>
        <v>0.10000000000000009</v>
      </c>
      <c r="U29" s="231">
        <f t="shared" si="17"/>
        <v>5.0000000000000044E-2</v>
      </c>
      <c r="V29" s="231">
        <f t="shared" si="17"/>
        <v>5.0000000000000044E-2</v>
      </c>
      <c r="W29" s="231">
        <f t="shared" si="17"/>
        <v>5.0000000000000044E-2</v>
      </c>
      <c r="X29" s="231">
        <f t="shared" si="17"/>
        <v>5.0000000000000044E-2</v>
      </c>
      <c r="Y29" s="231">
        <f t="shared" si="17"/>
        <v>2.4999999999999911E-2</v>
      </c>
    </row>
    <row r="30" spans="5:25" ht="15" customHeight="1" x14ac:dyDescent="0.2">
      <c r="E30" s="2" t="s">
        <v>144</v>
      </c>
      <c r="F30" s="24" t="s">
        <v>7</v>
      </c>
      <c r="G30" s="37"/>
      <c r="H30" s="231"/>
      <c r="I30" s="231">
        <f t="shared" ref="I30:Y30" si="18">IFERROR(I18/H18-1,"NA")</f>
        <v>0.10218253968253954</v>
      </c>
      <c r="J30" s="231">
        <f t="shared" si="18"/>
        <v>4.8304830483048455E-2</v>
      </c>
      <c r="K30" s="231">
        <f t="shared" si="18"/>
        <v>4.6365197481396558E-2</v>
      </c>
      <c r="L30" s="231">
        <f t="shared" si="18"/>
        <v>2.7169948942377786E-2</v>
      </c>
      <c r="M30" s="231">
        <f t="shared" si="18"/>
        <v>8.7963784839339754E-2</v>
      </c>
      <c r="N30" s="231">
        <f t="shared" si="18"/>
        <v>0.13192461450599668</v>
      </c>
      <c r="O30" s="231">
        <f t="shared" si="18"/>
        <v>-2.1983566383162789E-2</v>
      </c>
      <c r="P30" s="231">
        <f t="shared" si="18"/>
        <v>6.0275335650219475E-2</v>
      </c>
      <c r="Q30" s="231">
        <f t="shared" si="18"/>
        <v>6.0275335650219475E-2</v>
      </c>
      <c r="R30" s="231">
        <f t="shared" si="18"/>
        <v>5.5036935146179466E-2</v>
      </c>
      <c r="S30" s="231">
        <f t="shared" si="18"/>
        <v>5.5878448229070843E-2</v>
      </c>
      <c r="T30" s="231">
        <f t="shared" si="18"/>
        <v>5.7067604572530017E-2</v>
      </c>
      <c r="U30" s="231">
        <f t="shared" si="18"/>
        <v>6.080481152629913E-2</v>
      </c>
      <c r="V30" s="231">
        <f t="shared" si="18"/>
        <v>5.7409939862169024E-2</v>
      </c>
      <c r="W30" s="231">
        <f t="shared" si="18"/>
        <v>4.8095605531690566E-2</v>
      </c>
      <c r="X30" s="231">
        <f t="shared" si="18"/>
        <v>5.6855502021047277E-2</v>
      </c>
      <c r="Y30" s="231">
        <f t="shared" si="18"/>
        <v>5.642802281740078E-2</v>
      </c>
    </row>
    <row r="31" spans="5:25" ht="15" customHeight="1" x14ac:dyDescent="0.2">
      <c r="E31" s="2" t="s">
        <v>145</v>
      </c>
      <c r="F31" s="24" t="s">
        <v>7</v>
      </c>
      <c r="G31" s="37"/>
      <c r="H31" s="231"/>
      <c r="I31" s="231">
        <f t="shared" ref="I31:Y31" si="19">IFERROR(I19/H19-1,"NA")</f>
        <v>0.22260435144625856</v>
      </c>
      <c r="J31" s="231">
        <f t="shared" si="19"/>
        <v>-3.0365391448537449E-2</v>
      </c>
      <c r="K31" s="231">
        <f t="shared" si="19"/>
        <v>-6.3823614737451573E-3</v>
      </c>
      <c r="L31" s="231">
        <f t="shared" si="19"/>
        <v>-7.0395697272377933E-2</v>
      </c>
      <c r="M31" s="231">
        <f t="shared" si="19"/>
        <v>-3.0779912057394165E-2</v>
      </c>
      <c r="N31" s="231">
        <f t="shared" si="19"/>
        <v>0.17210738163460215</v>
      </c>
      <c r="O31" s="231">
        <f t="shared" si="19"/>
        <v>3.6916316226008661E-2</v>
      </c>
      <c r="P31" s="231">
        <f t="shared" si="19"/>
        <v>1.0861633454953612E-2</v>
      </c>
      <c r="Q31" s="231">
        <f t="shared" si="19"/>
        <v>4.1957812436402175E-2</v>
      </c>
      <c r="R31" s="231">
        <f t="shared" si="19"/>
        <v>3.8070790063720938E-2</v>
      </c>
      <c r="S31" s="231">
        <f t="shared" si="19"/>
        <v>1.5489972687489084E-2</v>
      </c>
      <c r="T31" s="231">
        <f t="shared" si="19"/>
        <v>2.4044495376521313E-2</v>
      </c>
      <c r="U31" s="231">
        <f t="shared" si="19"/>
        <v>2.6778537146675552E-2</v>
      </c>
      <c r="V31" s="231">
        <f t="shared" si="19"/>
        <v>3.8583561227788055E-2</v>
      </c>
      <c r="W31" s="231">
        <f t="shared" si="19"/>
        <v>4.5778367378296769E-2</v>
      </c>
      <c r="X31" s="231">
        <f t="shared" si="19"/>
        <v>2.9087889827444924E-2</v>
      </c>
      <c r="Y31" s="231">
        <f t="shared" si="19"/>
        <v>3.0195646221480965E-2</v>
      </c>
    </row>
    <row r="32" spans="5:25" ht="15" customHeight="1" x14ac:dyDescent="0.2">
      <c r="E32" s="2" t="s">
        <v>146</v>
      </c>
      <c r="F32" s="24" t="s">
        <v>7</v>
      </c>
      <c r="G32" s="37"/>
      <c r="H32" s="231"/>
      <c r="I32" s="231">
        <f t="shared" ref="I32:Y32" si="20">IFERROR(I20/H20-1,"NA")</f>
        <v>0.12177121771217703</v>
      </c>
      <c r="J32" s="231">
        <f t="shared" si="20"/>
        <v>-0.45559210526315785</v>
      </c>
      <c r="K32" s="231">
        <f t="shared" si="20"/>
        <v>1.1743806646525679</v>
      </c>
      <c r="L32" s="231">
        <f t="shared" si="20"/>
        <v>3.8904018229324322E-4</v>
      </c>
      <c r="M32" s="231">
        <f t="shared" si="20"/>
        <v>0.20869444444444429</v>
      </c>
      <c r="N32" s="231">
        <f t="shared" si="20"/>
        <v>9.277687127984735E-2</v>
      </c>
      <c r="O32" s="231">
        <f t="shared" si="20"/>
        <v>8.4121976866458059E-3</v>
      </c>
      <c r="P32" s="231">
        <f t="shared" ca="1" si="20"/>
        <v>8.4121976866458059E-3</v>
      </c>
      <c r="Q32" s="231">
        <f t="shared" ca="1" si="20"/>
        <v>0</v>
      </c>
      <c r="R32" s="231">
        <f t="shared" ca="1" si="20"/>
        <v>0</v>
      </c>
      <c r="S32" s="231">
        <f t="shared" ca="1" si="20"/>
        <v>0</v>
      </c>
      <c r="T32" s="231">
        <f t="shared" ca="1" si="20"/>
        <v>0</v>
      </c>
      <c r="U32" s="231">
        <f t="shared" ca="1" si="20"/>
        <v>0</v>
      </c>
      <c r="V32" s="231">
        <f t="shared" ca="1" si="20"/>
        <v>0</v>
      </c>
      <c r="W32" s="231">
        <f t="shared" ca="1" si="20"/>
        <v>0</v>
      </c>
      <c r="X32" s="231">
        <f t="shared" ca="1" si="20"/>
        <v>0</v>
      </c>
      <c r="Y32" s="231">
        <f t="shared" ca="1" si="20"/>
        <v>0</v>
      </c>
    </row>
    <row r="33" spans="3:25" ht="15" customHeight="1" x14ac:dyDescent="0.2">
      <c r="C33" s="1"/>
      <c r="D33" s="1"/>
      <c r="E33" s="2" t="s">
        <v>147</v>
      </c>
      <c r="F33" s="24" t="s">
        <v>7</v>
      </c>
      <c r="G33" s="37"/>
      <c r="H33" s="231"/>
      <c r="I33" s="231">
        <f t="shared" ref="I33:Y33" si="21">IFERROR(I21/H21-1,"NA")</f>
        <v>1.7241379310344751E-2</v>
      </c>
      <c r="J33" s="231">
        <f t="shared" si="21"/>
        <v>-0.62159322033898312</v>
      </c>
      <c r="K33" s="231">
        <f t="shared" si="21"/>
        <v>0</v>
      </c>
      <c r="L33" s="231">
        <f t="shared" si="21"/>
        <v>49.40311744154797</v>
      </c>
      <c r="M33" s="231">
        <f t="shared" si="21"/>
        <v>0.14456589353950067</v>
      </c>
      <c r="N33" s="231" t="str">
        <f t="shared" si="21"/>
        <v>NA</v>
      </c>
      <c r="O33" s="231" t="str">
        <f t="shared" si="21"/>
        <v>NA</v>
      </c>
      <c r="P33" s="231">
        <f t="shared" si="21"/>
        <v>0</v>
      </c>
      <c r="Q33" s="231">
        <f t="shared" si="21"/>
        <v>0</v>
      </c>
      <c r="R33" s="231">
        <f t="shared" si="21"/>
        <v>0</v>
      </c>
      <c r="S33" s="231">
        <f t="shared" si="21"/>
        <v>0</v>
      </c>
      <c r="T33" s="231">
        <f t="shared" si="21"/>
        <v>0</v>
      </c>
      <c r="U33" s="231">
        <f t="shared" si="21"/>
        <v>0</v>
      </c>
      <c r="V33" s="231">
        <f t="shared" si="21"/>
        <v>0</v>
      </c>
      <c r="W33" s="231">
        <f t="shared" si="21"/>
        <v>0</v>
      </c>
      <c r="X33" s="231">
        <f t="shared" si="21"/>
        <v>0</v>
      </c>
      <c r="Y33" s="231">
        <f t="shared" si="21"/>
        <v>0</v>
      </c>
    </row>
    <row r="34" spans="3:25" ht="15" customHeight="1" x14ac:dyDescent="0.2">
      <c r="C34" s="1"/>
      <c r="D34" s="1"/>
      <c r="E34" s="1" t="s">
        <v>149</v>
      </c>
      <c r="F34" s="24" t="s">
        <v>7</v>
      </c>
      <c r="G34" s="101"/>
      <c r="H34" s="274"/>
      <c r="I34" s="274">
        <f t="shared" ref="I34:Y34" si="22">IFERROR(I23/H23-1,"NA")</f>
        <v>0.15306254276459041</v>
      </c>
      <c r="J34" s="274">
        <f t="shared" si="22"/>
        <v>-6.7673934152758242E-2</v>
      </c>
      <c r="K34" s="274">
        <f t="shared" si="22"/>
        <v>-0.47654154601026022</v>
      </c>
      <c r="L34" s="274">
        <f t="shared" si="22"/>
        <v>0.48322724590459432</v>
      </c>
      <c r="M34" s="274">
        <f t="shared" si="22"/>
        <v>8.5923119036221962E-2</v>
      </c>
      <c r="N34" s="274">
        <f t="shared" si="22"/>
        <v>-0.23691103898709165</v>
      </c>
      <c r="O34" s="274">
        <f t="shared" si="22"/>
        <v>0.59735592305749963</v>
      </c>
      <c r="P34" s="274">
        <f t="shared" ca="1" si="22"/>
        <v>0.56287529346460397</v>
      </c>
      <c r="Q34" s="274">
        <f t="shared" ca="1" si="22"/>
        <v>0.12049416907640342</v>
      </c>
      <c r="R34" s="274">
        <f t="shared" ca="1" si="22"/>
        <v>9.4580782410576214E-2</v>
      </c>
      <c r="S34" s="274">
        <f t="shared" ca="1" si="22"/>
        <v>5.5740245842986536E-2</v>
      </c>
      <c r="T34" s="274">
        <f t="shared" ca="1" si="22"/>
        <v>5.8483818687555145E-2</v>
      </c>
      <c r="U34" s="274">
        <f t="shared" ca="1" si="22"/>
        <v>3.7174225269697603E-2</v>
      </c>
      <c r="V34" s="274">
        <f t="shared" ca="1" si="22"/>
        <v>3.8026573085032878E-2</v>
      </c>
      <c r="W34" s="274">
        <f t="shared" ca="1" si="22"/>
        <v>3.7328386750351328E-2</v>
      </c>
      <c r="X34" s="274">
        <f t="shared" ca="1" si="22"/>
        <v>3.8061940439550135E-2</v>
      </c>
      <c r="Y34" s="274">
        <f t="shared" ca="1" si="22"/>
        <v>2.5980390851947366E-2</v>
      </c>
    </row>
    <row r="35" spans="3:25" ht="15" customHeight="1" x14ac:dyDescent="0.2">
      <c r="C35" s="2"/>
      <c r="D35" s="2"/>
      <c r="E35" s="2"/>
      <c r="F35" s="24"/>
      <c r="G35" s="24"/>
      <c r="H35" s="2"/>
      <c r="I35" s="2"/>
      <c r="J35" s="2"/>
      <c r="K35" s="62"/>
      <c r="L35" s="62"/>
      <c r="M35" s="62"/>
      <c r="N35" s="102"/>
      <c r="O35" s="102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spans="3:25" ht="15" customHeight="1" x14ac:dyDescent="0.2">
      <c r="C36" s="90" t="s">
        <v>266</v>
      </c>
      <c r="D36" s="91"/>
      <c r="E36" s="91"/>
      <c r="F36" s="92"/>
      <c r="G36" s="92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</row>
    <row r="37" spans="3:25" ht="15" customHeight="1" x14ac:dyDescent="0.2">
      <c r="C37" s="1"/>
      <c r="D37" s="2"/>
      <c r="E37" s="2"/>
      <c r="F37" s="24"/>
      <c r="G37" s="24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3:25" ht="15" customHeight="1" x14ac:dyDescent="0.2">
      <c r="C38" s="2"/>
      <c r="D38" s="2"/>
      <c r="E38" s="2" t="s">
        <v>143</v>
      </c>
      <c r="F38" s="24" t="s">
        <v>25</v>
      </c>
      <c r="G38" s="24"/>
      <c r="H38" s="47">
        <f t="shared" ref="H38:Y38" si="23">H108</f>
        <v>86.1</v>
      </c>
      <c r="I38" s="47">
        <f t="shared" si="23"/>
        <v>76</v>
      </c>
      <c r="J38" s="47">
        <f t="shared" si="23"/>
        <v>108.5</v>
      </c>
      <c r="K38" s="47" t="str">
        <f t="shared" si="23"/>
        <v>-</v>
      </c>
      <c r="L38" s="47" t="str">
        <f t="shared" si="23"/>
        <v>-</v>
      </c>
      <c r="M38" s="47" t="str">
        <f t="shared" si="23"/>
        <v>-</v>
      </c>
      <c r="N38" s="47" t="str">
        <f t="shared" si="23"/>
        <v>-</v>
      </c>
      <c r="O38" s="47" t="str">
        <f t="shared" si="23"/>
        <v>-</v>
      </c>
      <c r="P38" s="47">
        <f t="shared" si="23"/>
        <v>114.83567807695688</v>
      </c>
      <c r="Q38" s="47">
        <f t="shared" si="23"/>
        <v>144.32610607222409</v>
      </c>
      <c r="R38" s="47">
        <f t="shared" si="23"/>
        <v>179.35025167234565</v>
      </c>
      <c r="S38" s="47">
        <f t="shared" si="23"/>
        <v>194.90004972092902</v>
      </c>
      <c r="T38" s="47">
        <f t="shared" si="23"/>
        <v>214.39005469302197</v>
      </c>
      <c r="U38" s="47">
        <f t="shared" si="23"/>
        <v>225.10955742767308</v>
      </c>
      <c r="V38" s="47">
        <f t="shared" si="23"/>
        <v>236.36503529905676</v>
      </c>
      <c r="W38" s="47">
        <f t="shared" si="23"/>
        <v>248.18328706400968</v>
      </c>
      <c r="X38" s="47">
        <f t="shared" si="23"/>
        <v>260.59245141721016</v>
      </c>
      <c r="Y38" s="47">
        <f t="shared" si="23"/>
        <v>266.74212752071497</v>
      </c>
    </row>
    <row r="39" spans="3:25" ht="15" customHeight="1" x14ac:dyDescent="0.2">
      <c r="C39" s="2"/>
      <c r="D39" s="2"/>
      <c r="E39" s="2" t="s">
        <v>144</v>
      </c>
      <c r="F39" s="24" t="s">
        <v>25</v>
      </c>
      <c r="G39" s="24"/>
      <c r="H39" s="47">
        <f>H120</f>
        <v>37.466999999999999</v>
      </c>
      <c r="I39" s="47">
        <f t="shared" ref="I39:Y39" si="24">I120</f>
        <v>47.1</v>
      </c>
      <c r="J39" s="47">
        <f t="shared" si="24"/>
        <v>54.93</v>
      </c>
      <c r="K39" s="47">
        <f t="shared" si="24"/>
        <v>57.85</v>
      </c>
      <c r="L39" s="47">
        <f t="shared" si="24"/>
        <v>63.62</v>
      </c>
      <c r="M39" s="47">
        <f t="shared" si="24"/>
        <v>28.6</v>
      </c>
      <c r="N39" s="47">
        <f t="shared" si="24"/>
        <v>33.9</v>
      </c>
      <c r="O39" s="47">
        <f t="shared" si="24"/>
        <v>35.200000000000003</v>
      </c>
      <c r="P39" s="47">
        <f t="shared" si="24"/>
        <v>51.49113861026494</v>
      </c>
      <c r="Q39" s="47">
        <f t="shared" si="24"/>
        <v>53.699366497752031</v>
      </c>
      <c r="R39" s="47">
        <f t="shared" si="24"/>
        <v>54.920311277750734</v>
      </c>
      <c r="S39" s="47">
        <f t="shared" si="24"/>
        <v>55.566478047127617</v>
      </c>
      <c r="T39" s="47">
        <f t="shared" si="24"/>
        <v>56.073803164957816</v>
      </c>
      <c r="U39" s="47">
        <f t="shared" si="24"/>
        <v>56.334261937358995</v>
      </c>
      <c r="V39" s="47">
        <f t="shared" si="24"/>
        <v>61.625360636195083</v>
      </c>
      <c r="W39" s="47">
        <f t="shared" si="24"/>
        <v>66.687741001617468</v>
      </c>
      <c r="X39" s="47">
        <f t="shared" si="24"/>
        <v>72.447263447239422</v>
      </c>
      <c r="Y39" s="47">
        <f t="shared" si="24"/>
        <v>75.655504277957078</v>
      </c>
    </row>
    <row r="40" spans="3:25" ht="15" customHeight="1" x14ac:dyDescent="0.2">
      <c r="C40" s="2"/>
      <c r="D40" s="2"/>
      <c r="E40" s="2" t="s">
        <v>145</v>
      </c>
      <c r="F40" s="24" t="s">
        <v>25</v>
      </c>
      <c r="G40" s="24"/>
      <c r="H40" s="47">
        <f>H132</f>
        <v>28.416</v>
      </c>
      <c r="I40" s="47">
        <f t="shared" ref="I40:Y40" si="25">I132</f>
        <v>29.631</v>
      </c>
      <c r="J40" s="47">
        <f t="shared" si="25"/>
        <v>16.100000000000001</v>
      </c>
      <c r="K40" s="47">
        <f t="shared" si="25"/>
        <v>16.216999999999999</v>
      </c>
      <c r="L40" s="47">
        <f t="shared" si="25"/>
        <v>31.053999999999998</v>
      </c>
      <c r="M40" s="47">
        <f t="shared" si="25"/>
        <v>32.200000000000003</v>
      </c>
      <c r="N40" s="47">
        <f t="shared" si="25"/>
        <v>30.238</v>
      </c>
      <c r="O40" s="47">
        <f t="shared" si="25"/>
        <v>34.234999999999999</v>
      </c>
      <c r="P40" s="47">
        <f t="shared" si="25"/>
        <v>113.74</v>
      </c>
      <c r="Q40" s="47">
        <f t="shared" si="25"/>
        <v>28.543002752207052</v>
      </c>
      <c r="R40" s="47">
        <f t="shared" si="25"/>
        <v>29.144643122498248</v>
      </c>
      <c r="S40" s="47">
        <f t="shared" si="25"/>
        <v>31.66053459449531</v>
      </c>
      <c r="T40" s="47">
        <f t="shared" si="25"/>
        <v>35.077736323043098</v>
      </c>
      <c r="U40" s="47">
        <f t="shared" si="25"/>
        <v>35.325430944570449</v>
      </c>
      <c r="V40" s="47">
        <f t="shared" si="25"/>
        <v>35.676881561481991</v>
      </c>
      <c r="W40" s="47">
        <f t="shared" si="25"/>
        <v>37.025222786521987</v>
      </c>
      <c r="X40" s="47">
        <f t="shared" si="25"/>
        <v>37.414326553997391</v>
      </c>
      <c r="Y40" s="47">
        <f t="shared" si="25"/>
        <v>38.676584036783041</v>
      </c>
    </row>
    <row r="41" spans="3:25" ht="15" customHeight="1" x14ac:dyDescent="0.2">
      <c r="C41" s="2"/>
      <c r="D41" s="2"/>
      <c r="E41" s="2" t="s">
        <v>146</v>
      </c>
      <c r="F41" s="24" t="s">
        <v>25</v>
      </c>
      <c r="G41" s="24"/>
      <c r="H41" s="47">
        <f>H144</f>
        <v>9.5</v>
      </c>
      <c r="I41" s="47">
        <f t="shared" ref="I41:Y41" si="26">I144</f>
        <v>10.1</v>
      </c>
      <c r="J41" s="47">
        <f t="shared" si="26"/>
        <v>9.5</v>
      </c>
      <c r="K41" s="47">
        <f t="shared" si="26"/>
        <v>-0.5</v>
      </c>
      <c r="L41" s="47">
        <f t="shared" si="26"/>
        <v>2.14</v>
      </c>
      <c r="M41" s="47">
        <f t="shared" si="26"/>
        <v>18</v>
      </c>
      <c r="N41" s="47" t="str">
        <f t="shared" si="26"/>
        <v>-</v>
      </c>
      <c r="O41" s="47" t="str">
        <f t="shared" si="26"/>
        <v>-</v>
      </c>
      <c r="P41" s="47">
        <f t="shared" ca="1" si="26"/>
        <v>0</v>
      </c>
      <c r="Q41" s="47">
        <f t="shared" ca="1" si="26"/>
        <v>0</v>
      </c>
      <c r="R41" s="47">
        <f t="shared" ca="1" si="26"/>
        <v>0</v>
      </c>
      <c r="S41" s="47">
        <f t="shared" ca="1" si="26"/>
        <v>0</v>
      </c>
      <c r="T41" s="47">
        <f t="shared" ca="1" si="26"/>
        <v>0</v>
      </c>
      <c r="U41" s="47">
        <f t="shared" ca="1" si="26"/>
        <v>0</v>
      </c>
      <c r="V41" s="47">
        <f t="shared" ca="1" si="26"/>
        <v>0</v>
      </c>
      <c r="W41" s="47">
        <f t="shared" ca="1" si="26"/>
        <v>0</v>
      </c>
      <c r="X41" s="47">
        <f t="shared" ca="1" si="26"/>
        <v>0</v>
      </c>
      <c r="Y41" s="47">
        <f t="shared" ca="1" si="26"/>
        <v>0</v>
      </c>
    </row>
    <row r="42" spans="3:25" ht="15" customHeight="1" x14ac:dyDescent="0.2">
      <c r="C42" s="2"/>
      <c r="D42" s="2"/>
      <c r="E42" s="2" t="s">
        <v>147</v>
      </c>
      <c r="F42" s="24" t="s">
        <v>25</v>
      </c>
      <c r="G42" s="24"/>
      <c r="H42" s="47">
        <f t="shared" ref="H42:Y42" si="27">H156</f>
        <v>50.8</v>
      </c>
      <c r="I42" s="47">
        <f t="shared" si="27"/>
        <v>52.2</v>
      </c>
      <c r="J42" s="47">
        <f t="shared" si="27"/>
        <v>50</v>
      </c>
      <c r="K42" s="47">
        <f t="shared" si="27"/>
        <v>58.97</v>
      </c>
      <c r="L42" s="47">
        <f t="shared" si="27"/>
        <v>62.38</v>
      </c>
      <c r="M42" s="47">
        <f t="shared" si="27"/>
        <v>69.2</v>
      </c>
      <c r="N42" s="47">
        <f t="shared" si="27"/>
        <v>55.646000000000001</v>
      </c>
      <c r="O42" s="47">
        <f t="shared" si="27"/>
        <v>64.23</v>
      </c>
      <c r="P42" s="47">
        <f t="shared" si="27"/>
        <v>64.010999999999996</v>
      </c>
      <c r="Q42" s="47">
        <f t="shared" si="27"/>
        <v>0</v>
      </c>
      <c r="R42" s="47">
        <f t="shared" si="27"/>
        <v>0</v>
      </c>
      <c r="S42" s="47">
        <f t="shared" si="27"/>
        <v>0</v>
      </c>
      <c r="T42" s="47">
        <f t="shared" si="27"/>
        <v>0</v>
      </c>
      <c r="U42" s="47">
        <f t="shared" si="27"/>
        <v>0</v>
      </c>
      <c r="V42" s="47">
        <f t="shared" si="27"/>
        <v>0</v>
      </c>
      <c r="W42" s="47">
        <f t="shared" si="27"/>
        <v>0</v>
      </c>
      <c r="X42" s="47">
        <f t="shared" si="27"/>
        <v>0</v>
      </c>
      <c r="Y42" s="47">
        <f t="shared" si="27"/>
        <v>0</v>
      </c>
    </row>
    <row r="43" spans="3:25" ht="15" customHeight="1" x14ac:dyDescent="0.2">
      <c r="C43" s="2"/>
      <c r="D43" s="2"/>
      <c r="E43" s="2" t="s">
        <v>288</v>
      </c>
      <c r="F43" s="24"/>
      <c r="G43" s="24"/>
      <c r="H43" s="47">
        <f>H162</f>
        <v>920.8</v>
      </c>
      <c r="I43" s="47">
        <f t="shared" ref="I43:Y43" si="28">I162</f>
        <v>1130</v>
      </c>
      <c r="J43" s="47">
        <f t="shared" si="28"/>
        <v>454.02</v>
      </c>
      <c r="K43" s="47">
        <f t="shared" si="28"/>
        <v>510.3</v>
      </c>
      <c r="L43" s="47">
        <f t="shared" si="28"/>
        <v>559.92999999999995</v>
      </c>
      <c r="M43" s="47">
        <f t="shared" si="28"/>
        <v>601.51</v>
      </c>
      <c r="N43" s="47">
        <f t="shared" si="28"/>
        <v>721.26</v>
      </c>
      <c r="O43" s="47">
        <f t="shared" si="28"/>
        <v>888.6</v>
      </c>
      <c r="P43" s="47">
        <f t="shared" si="28"/>
        <v>888.6</v>
      </c>
      <c r="Q43" s="47">
        <f t="shared" si="28"/>
        <v>888.6</v>
      </c>
      <c r="R43" s="47">
        <f t="shared" si="28"/>
        <v>888.6</v>
      </c>
      <c r="S43" s="47">
        <f t="shared" si="28"/>
        <v>888.6</v>
      </c>
      <c r="T43" s="47">
        <f t="shared" si="28"/>
        <v>888.6</v>
      </c>
      <c r="U43" s="47">
        <f t="shared" si="28"/>
        <v>888.6</v>
      </c>
      <c r="V43" s="47">
        <f t="shared" si="28"/>
        <v>888.6</v>
      </c>
      <c r="W43" s="47">
        <f t="shared" si="28"/>
        <v>888.6</v>
      </c>
      <c r="X43" s="47">
        <f t="shared" si="28"/>
        <v>888.6</v>
      </c>
      <c r="Y43" s="47">
        <f t="shared" si="28"/>
        <v>888.6</v>
      </c>
    </row>
    <row r="44" spans="3:25" ht="15" customHeight="1" x14ac:dyDescent="0.2">
      <c r="C44" s="1"/>
      <c r="D44" s="1"/>
      <c r="E44" s="1" t="s">
        <v>150</v>
      </c>
      <c r="F44" s="94" t="s">
        <v>25</v>
      </c>
      <c r="G44" s="94"/>
      <c r="H44" s="95">
        <f>SUM(H38:H43)</f>
        <v>1133.0830000000001</v>
      </c>
      <c r="I44" s="95">
        <f t="shared" ref="I44:Y44" si="29">SUM(I38:I43)</f>
        <v>1345.0309999999999</v>
      </c>
      <c r="J44" s="95">
        <f t="shared" si="29"/>
        <v>693.05</v>
      </c>
      <c r="K44" s="95">
        <f t="shared" si="29"/>
        <v>642.83699999999999</v>
      </c>
      <c r="L44" s="95">
        <f t="shared" si="29"/>
        <v>719.12399999999991</v>
      </c>
      <c r="M44" s="95">
        <f t="shared" si="29"/>
        <v>749.51</v>
      </c>
      <c r="N44" s="95">
        <f t="shared" si="29"/>
        <v>841.04399999999998</v>
      </c>
      <c r="O44" s="95">
        <f t="shared" si="29"/>
        <v>1022.2650000000001</v>
      </c>
      <c r="P44" s="95">
        <f t="shared" ca="1" si="29"/>
        <v>1232.6778166872218</v>
      </c>
      <c r="Q44" s="95">
        <f t="shared" ca="1" si="29"/>
        <v>1115.1684753221832</v>
      </c>
      <c r="R44" s="95">
        <f t="shared" ca="1" si="29"/>
        <v>1152.0152060725945</v>
      </c>
      <c r="S44" s="95">
        <f t="shared" ca="1" si="29"/>
        <v>1170.727062362552</v>
      </c>
      <c r="T44" s="95">
        <f t="shared" ca="1" si="29"/>
        <v>1194.1415941810228</v>
      </c>
      <c r="U44" s="95">
        <f t="shared" ca="1" si="29"/>
        <v>1205.3692503096026</v>
      </c>
      <c r="V44" s="95">
        <f t="shared" ca="1" si="29"/>
        <v>1222.2672774967339</v>
      </c>
      <c r="W44" s="95">
        <f t="shared" ca="1" si="29"/>
        <v>1240.4962508521492</v>
      </c>
      <c r="X44" s="95">
        <f t="shared" ca="1" si="29"/>
        <v>1259.054041418447</v>
      </c>
      <c r="Y44" s="95">
        <f t="shared" ca="1" si="29"/>
        <v>1269.674215835455</v>
      </c>
    </row>
    <row r="45" spans="3:25" ht="15" customHeight="1" x14ac:dyDescent="0.2">
      <c r="C45" s="1"/>
      <c r="D45" s="1"/>
      <c r="E45" s="18" t="s">
        <v>128</v>
      </c>
      <c r="F45" s="94" t="s">
        <v>7</v>
      </c>
      <c r="G45" s="94"/>
      <c r="H45" s="96"/>
      <c r="I45" s="107">
        <f>IFERROR((I44/H44)-1,"NA")</f>
        <v>0.18705425816114074</v>
      </c>
      <c r="J45" s="107">
        <f t="shared" ref="J45" si="30">IFERROR((J44/I44)-1,"NA")</f>
        <v>-0.48473306563194452</v>
      </c>
      <c r="K45" s="107">
        <f t="shared" ref="K45" si="31">IFERROR((K44/J44)-1,"NA")</f>
        <v>-7.2452204025683531E-2</v>
      </c>
      <c r="L45" s="107">
        <f t="shared" ref="L45" si="32">IFERROR((L44/K44)-1,"NA")</f>
        <v>0.11867238506806532</v>
      </c>
      <c r="M45" s="107">
        <f t="shared" ref="M45" si="33">IFERROR((M44/L44)-1,"NA")</f>
        <v>4.2254187038675006E-2</v>
      </c>
      <c r="N45" s="107">
        <f t="shared" ref="N45" si="34">IFERROR((N44/M44)-1,"NA")</f>
        <v>0.1221251217462076</v>
      </c>
      <c r="O45" s="107">
        <f t="shared" ref="O45" si="35">IFERROR((O44/N44)-1,"NA")</f>
        <v>0.21547148543952521</v>
      </c>
      <c r="P45" s="107">
        <f t="shared" ref="P45" ca="1" si="36">IFERROR((P44/O44)-1,"NA")</f>
        <v>0.20583001148158431</v>
      </c>
      <c r="Q45" s="107">
        <f t="shared" ref="Q45" ca="1" si="37">IFERROR((Q44/P44)-1,"NA")</f>
        <v>-9.5328511452279385E-2</v>
      </c>
      <c r="R45" s="107">
        <f t="shared" ref="R45" ca="1" si="38">IFERROR((R44/Q44)-1,"NA")</f>
        <v>3.3041402770793038E-2</v>
      </c>
      <c r="S45" s="107">
        <f t="shared" ref="S45" ca="1" si="39">IFERROR((S44/R44)-1,"NA")</f>
        <v>1.6242716408014557E-2</v>
      </c>
      <c r="T45" s="107">
        <f t="shared" ref="T45" ca="1" si="40">IFERROR((T44/S44)-1,"NA")</f>
        <v>1.9999991946218154E-2</v>
      </c>
      <c r="U45" s="107">
        <f t="shared" ref="U45" ca="1" si="41">IFERROR((U44/T44)-1,"NA")</f>
        <v>9.4022820939254625E-3</v>
      </c>
      <c r="V45" s="107">
        <f t="shared" ref="V45" ca="1" si="42">IFERROR((V44/U44)-1,"NA")</f>
        <v>1.4018963220433056E-2</v>
      </c>
      <c r="W45" s="107">
        <f t="shared" ref="W45" ca="1" si="43">IFERROR((W44/V44)-1,"NA")</f>
        <v>1.4914064780290337E-2</v>
      </c>
      <c r="X45" s="107">
        <f t="shared" ref="X45" ca="1" si="44">IFERROR((X44/W44)-1,"NA")</f>
        <v>1.4959973118459535E-2</v>
      </c>
      <c r="Y45" s="107">
        <f t="shared" ref="Y45" ca="1" si="45">IFERROR((Y44/X44)-1,"NA")</f>
        <v>8.435042553887051E-3</v>
      </c>
    </row>
    <row r="46" spans="3:25" ht="15" customHeight="1" x14ac:dyDescent="0.2">
      <c r="C46" s="2"/>
      <c r="D46" s="2"/>
      <c r="E46" s="2"/>
      <c r="F46" s="24"/>
      <c r="G46" s="24"/>
      <c r="H46" s="27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27"/>
      <c r="T46" s="27"/>
      <c r="U46" s="27"/>
      <c r="V46" s="27"/>
      <c r="W46" s="27"/>
      <c r="X46" s="27"/>
      <c r="Y46" s="27"/>
    </row>
    <row r="47" spans="3:25" ht="15" customHeight="1" x14ac:dyDescent="0.2">
      <c r="C47" s="1"/>
      <c r="D47" s="1"/>
      <c r="E47" s="100" t="s">
        <v>85</v>
      </c>
      <c r="F47" s="94"/>
      <c r="G47" s="3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 spans="3:25" ht="15" customHeight="1" x14ac:dyDescent="0.2">
      <c r="C48" s="1"/>
      <c r="D48" s="1"/>
      <c r="E48" s="2" t="s">
        <v>143</v>
      </c>
      <c r="F48" s="24" t="s">
        <v>7</v>
      </c>
      <c r="G48" s="37"/>
      <c r="H48" s="231">
        <f t="shared" ref="H48:Y48" si="46">IFERROR(H38/H17,"NA")</f>
        <v>5.1031294452347081E-2</v>
      </c>
      <c r="I48" s="231">
        <f t="shared" si="46"/>
        <v>4.0116125626814464E-2</v>
      </c>
      <c r="J48" s="231">
        <f t="shared" si="46"/>
        <v>4.756894208426498E-2</v>
      </c>
      <c r="K48" s="231" t="str">
        <f t="shared" si="46"/>
        <v>NA</v>
      </c>
      <c r="L48" s="231" t="str">
        <f t="shared" si="46"/>
        <v>NA</v>
      </c>
      <c r="M48" s="231" t="str">
        <f t="shared" si="46"/>
        <v>NA</v>
      </c>
      <c r="N48" s="231" t="str">
        <f t="shared" si="46"/>
        <v>NA</v>
      </c>
      <c r="O48" s="231" t="str">
        <f t="shared" si="46"/>
        <v>NA</v>
      </c>
      <c r="P48" s="231">
        <f t="shared" si="46"/>
        <v>4.5769683449099784E-2</v>
      </c>
      <c r="Q48" s="231">
        <f t="shared" si="46"/>
        <v>4.4248913544501382E-2</v>
      </c>
      <c r="R48" s="231">
        <f t="shared" si="46"/>
        <v>4.5822466429270507E-2</v>
      </c>
      <c r="S48" s="231">
        <f t="shared" si="46"/>
        <v>4.5268461633162713E-2</v>
      </c>
      <c r="T48" s="231">
        <f t="shared" si="46"/>
        <v>4.5268461633162713E-2</v>
      </c>
      <c r="U48" s="231">
        <f t="shared" si="46"/>
        <v>4.5268461633162713E-2</v>
      </c>
      <c r="V48" s="231">
        <f t="shared" si="46"/>
        <v>4.5268461633162713E-2</v>
      </c>
      <c r="W48" s="231">
        <f t="shared" si="46"/>
        <v>4.526846163316272E-2</v>
      </c>
      <c r="X48" s="231">
        <f t="shared" si="46"/>
        <v>4.526846163316272E-2</v>
      </c>
      <c r="Y48" s="231">
        <f t="shared" si="46"/>
        <v>4.5206579721728847E-2</v>
      </c>
    </row>
    <row r="49" spans="3:26" ht="15" customHeight="1" x14ac:dyDescent="0.2">
      <c r="C49" s="1"/>
      <c r="D49" s="1"/>
      <c r="E49" s="2" t="s">
        <v>144</v>
      </c>
      <c r="F49" s="24" t="s">
        <v>7</v>
      </c>
      <c r="G49" s="37"/>
      <c r="H49" s="231">
        <f t="shared" ref="H49:Y49" si="47">IFERROR(H39/H18,"NA")</f>
        <v>4.1299603174603169E-2</v>
      </c>
      <c r="I49" s="231">
        <f t="shared" si="47"/>
        <v>4.7104710471047105E-2</v>
      </c>
      <c r="J49" s="231">
        <f t="shared" si="47"/>
        <v>5.2404121350887234E-2</v>
      </c>
      <c r="K49" s="231">
        <f t="shared" si="47"/>
        <v>5.2744347191830784E-2</v>
      </c>
      <c r="L49" s="231">
        <f t="shared" si="47"/>
        <v>5.6470797088585128E-2</v>
      </c>
      <c r="M49" s="231">
        <f t="shared" si="47"/>
        <v>2.3333605286774903E-2</v>
      </c>
      <c r="N49" s="231">
        <f t="shared" si="47"/>
        <v>2.4434193455384168E-2</v>
      </c>
      <c r="O49" s="231">
        <f t="shared" si="47"/>
        <v>2.5941484265605424E-2</v>
      </c>
      <c r="P49" s="231">
        <f t="shared" si="47"/>
        <v>3.5790354003819809E-2</v>
      </c>
      <c r="Q49" s="231">
        <f t="shared" si="47"/>
        <v>3.5203350692339354E-2</v>
      </c>
      <c r="R49" s="231">
        <f t="shared" si="47"/>
        <v>3.4125589790880519E-2</v>
      </c>
      <c r="S49" s="231">
        <f t="shared" si="47"/>
        <v>3.2699877171619894E-2</v>
      </c>
      <c r="T49" s="231">
        <f t="shared" si="47"/>
        <v>3.1216952231685999E-2</v>
      </c>
      <c r="U49" s="231">
        <f t="shared" si="47"/>
        <v>2.9564300975148342E-2</v>
      </c>
      <c r="V49" s="231">
        <f t="shared" si="47"/>
        <v>3.0585183566111975E-2</v>
      </c>
      <c r="W49" s="231">
        <f t="shared" si="47"/>
        <v>3.1578880060085267E-2</v>
      </c>
      <c r="X49" s="231">
        <f t="shared" si="47"/>
        <v>3.2460640904251631E-2</v>
      </c>
      <c r="Y49" s="231">
        <f t="shared" si="47"/>
        <v>3.2087488232001825E-2</v>
      </c>
    </row>
    <row r="50" spans="3:26" ht="15" customHeight="1" x14ac:dyDescent="0.2">
      <c r="C50" s="1"/>
      <c r="D50" s="1"/>
      <c r="E50" s="2" t="s">
        <v>145</v>
      </c>
      <c r="F50" s="24" t="s">
        <v>7</v>
      </c>
      <c r="G50" s="37"/>
      <c r="H50" s="231">
        <f>IFERROR(H40/H19,"NA")</f>
        <v>5.1435398037866994E-2</v>
      </c>
      <c r="I50" s="231">
        <f t="shared" ref="I50:Y50" si="48">IFERROR(I40/I19,"NA")</f>
        <v>4.3869181570531796E-2</v>
      </c>
      <c r="J50" s="231">
        <f t="shared" si="48"/>
        <v>2.4582779839066773E-2</v>
      </c>
      <c r="K50" s="231">
        <f t="shared" si="48"/>
        <v>2.4920476373415289E-2</v>
      </c>
      <c r="L50" s="231">
        <f t="shared" si="48"/>
        <v>5.1334016596687265E-2</v>
      </c>
      <c r="M50" s="231">
        <f t="shared" si="48"/>
        <v>5.4918815663801336E-2</v>
      </c>
      <c r="N50" s="231">
        <f t="shared" si="48"/>
        <v>4.3999825385969762E-2</v>
      </c>
      <c r="O50" s="231">
        <f t="shared" si="48"/>
        <v>4.8042380016839741E-2</v>
      </c>
      <c r="P50" s="231">
        <f t="shared" si="48"/>
        <v>0.15789765943859843</v>
      </c>
      <c r="Q50" s="231">
        <f t="shared" si="48"/>
        <v>3.8028744933349859E-2</v>
      </c>
      <c r="R50" s="231">
        <f t="shared" si="48"/>
        <v>3.7406244150974099E-2</v>
      </c>
      <c r="S50" s="231">
        <f t="shared" si="48"/>
        <v>4.0015474105190296E-2</v>
      </c>
      <c r="T50" s="231">
        <f t="shared" si="48"/>
        <v>4.3293475847221721E-2</v>
      </c>
      <c r="U50" s="231">
        <f t="shared" si="48"/>
        <v>4.2462111098200118E-2</v>
      </c>
      <c r="V50" s="231">
        <f t="shared" si="48"/>
        <v>4.1291395053379025E-2</v>
      </c>
      <c r="W50" s="231">
        <f t="shared" si="48"/>
        <v>4.0976107065545331E-2</v>
      </c>
      <c r="X50" s="231">
        <f t="shared" si="48"/>
        <v>4.0236341029352113E-2</v>
      </c>
      <c r="Y50" s="231">
        <f t="shared" si="48"/>
        <v>4.0374666450538159E-2</v>
      </c>
    </row>
    <row r="51" spans="3:26" ht="15" customHeight="1" x14ac:dyDescent="0.2">
      <c r="C51" s="1"/>
      <c r="D51" s="1"/>
      <c r="E51" s="2" t="s">
        <v>146</v>
      </c>
      <c r="F51" s="24" t="s">
        <v>7</v>
      </c>
      <c r="G51" s="37"/>
      <c r="H51" s="231">
        <f t="shared" ref="H51:Y51" si="49">IFERROR(H41/H20,"NA")</f>
        <v>0.17527675276752766</v>
      </c>
      <c r="I51" s="231">
        <f t="shared" si="49"/>
        <v>0.16611842105263158</v>
      </c>
      <c r="J51" s="231">
        <f t="shared" si="49"/>
        <v>0.28700906344410876</v>
      </c>
      <c r="K51" s="231">
        <f t="shared" si="49"/>
        <v>-6.947146112377036E-3</v>
      </c>
      <c r="L51" s="231">
        <f t="shared" si="49"/>
        <v>2.9722222222222223E-2</v>
      </c>
      <c r="M51" s="231">
        <f t="shared" si="49"/>
        <v>0.20683473904350425</v>
      </c>
      <c r="N51" s="231" t="str">
        <f t="shared" si="49"/>
        <v>NA</v>
      </c>
      <c r="O51" s="231" t="str">
        <f t="shared" si="49"/>
        <v>NA</v>
      </c>
      <c r="P51" s="231">
        <f t="shared" ca="1" si="49"/>
        <v>0</v>
      </c>
      <c r="Q51" s="231">
        <f t="shared" ca="1" si="49"/>
        <v>0</v>
      </c>
      <c r="R51" s="231">
        <f t="shared" ca="1" si="49"/>
        <v>0</v>
      </c>
      <c r="S51" s="231">
        <f t="shared" ca="1" si="49"/>
        <v>0</v>
      </c>
      <c r="T51" s="231">
        <f t="shared" ca="1" si="49"/>
        <v>0</v>
      </c>
      <c r="U51" s="231">
        <f t="shared" ca="1" si="49"/>
        <v>0</v>
      </c>
      <c r="V51" s="231">
        <f t="shared" ca="1" si="49"/>
        <v>0</v>
      </c>
      <c r="W51" s="231">
        <f t="shared" ca="1" si="49"/>
        <v>0</v>
      </c>
      <c r="X51" s="231">
        <f t="shared" ca="1" si="49"/>
        <v>0</v>
      </c>
      <c r="Y51" s="231">
        <f t="shared" ca="1" si="49"/>
        <v>0</v>
      </c>
    </row>
    <row r="52" spans="3:26" ht="15" customHeight="1" x14ac:dyDescent="0.2">
      <c r="C52" s="1"/>
      <c r="D52" s="1"/>
      <c r="E52" s="2" t="s">
        <v>147</v>
      </c>
      <c r="F52" s="24" t="s">
        <v>7</v>
      </c>
      <c r="G52" s="37"/>
      <c r="H52" s="231">
        <f t="shared" ref="H52:Y52" si="50">IFERROR(H42/H21,"NA")</f>
        <v>0.87586206896551722</v>
      </c>
      <c r="I52" s="231">
        <f t="shared" si="50"/>
        <v>0.88474576271186445</v>
      </c>
      <c r="J52" s="231">
        <f t="shared" si="50"/>
        <v>2.239541341933172</v>
      </c>
      <c r="K52" s="231">
        <f t="shared" si="50"/>
        <v>2.6413150586759833</v>
      </c>
      <c r="L52" s="231">
        <f t="shared" si="50"/>
        <v>5.5434106460499427E-2</v>
      </c>
      <c r="M52" s="231">
        <f t="shared" si="50"/>
        <v>5.372754235314213E-2</v>
      </c>
      <c r="N52" s="231" t="str">
        <f t="shared" si="50"/>
        <v>NA</v>
      </c>
      <c r="O52" s="231">
        <f t="shared" si="50"/>
        <v>4.1069350486591556E-2</v>
      </c>
      <c r="P52" s="231">
        <f t="shared" si="50"/>
        <v>4.0929319539112746E-2</v>
      </c>
      <c r="Q52" s="231">
        <f t="shared" si="50"/>
        <v>0</v>
      </c>
      <c r="R52" s="231">
        <f t="shared" si="50"/>
        <v>0</v>
      </c>
      <c r="S52" s="231">
        <f t="shared" si="50"/>
        <v>0</v>
      </c>
      <c r="T52" s="231">
        <f t="shared" si="50"/>
        <v>0</v>
      </c>
      <c r="U52" s="231">
        <f t="shared" si="50"/>
        <v>0</v>
      </c>
      <c r="V52" s="231">
        <f t="shared" si="50"/>
        <v>0</v>
      </c>
      <c r="W52" s="231">
        <f t="shared" si="50"/>
        <v>0</v>
      </c>
      <c r="X52" s="231">
        <f t="shared" si="50"/>
        <v>0</v>
      </c>
      <c r="Y52" s="231">
        <f t="shared" si="50"/>
        <v>0</v>
      </c>
    </row>
    <row r="53" spans="3:26" ht="15" customHeight="1" x14ac:dyDescent="0.2">
      <c r="C53" s="1"/>
      <c r="D53" s="1"/>
      <c r="E53" s="1" t="s">
        <v>149</v>
      </c>
      <c r="F53" s="24" t="s">
        <v>7</v>
      </c>
      <c r="G53" s="101"/>
      <c r="H53" s="274">
        <f t="shared" ref="H53:X53" si="51">IFERROR(H44/H23,"NA")</f>
        <v>0.27108156732522148</v>
      </c>
      <c r="I53" s="274">
        <f t="shared" si="51"/>
        <v>0.27907291830925129</v>
      </c>
      <c r="J53" s="274">
        <f t="shared" si="51"/>
        <v>0.15423471717663562</v>
      </c>
      <c r="K53" s="274">
        <f t="shared" si="51"/>
        <v>0.27329785370648446</v>
      </c>
      <c r="L53" s="274">
        <f t="shared" si="51"/>
        <v>0.20612536796636061</v>
      </c>
      <c r="M53" s="274">
        <f t="shared" si="51"/>
        <v>0.19783631460807025</v>
      </c>
      <c r="N53" s="274">
        <f t="shared" si="51"/>
        <v>0.29091902773790296</v>
      </c>
      <c r="O53" s="274">
        <f t="shared" si="51"/>
        <v>0.22136818581445405</v>
      </c>
      <c r="P53" s="274">
        <f t="shared" ca="1" si="51"/>
        <v>0.17079571425725279</v>
      </c>
      <c r="Q53" s="274">
        <f t="shared" ca="1" si="51"/>
        <v>0.13789809649972767</v>
      </c>
      <c r="R53" s="274">
        <f t="shared" ca="1" si="51"/>
        <v>0.13014520749558192</v>
      </c>
      <c r="S53" s="274">
        <f t="shared" ca="1" si="51"/>
        <v>0.12527619337575663</v>
      </c>
      <c r="T53" s="274">
        <f t="shared" ca="1" si="51"/>
        <v>0.12072146402083397</v>
      </c>
      <c r="U53" s="274">
        <f t="shared" ca="1" si="51"/>
        <v>0.11748896020691513</v>
      </c>
      <c r="V53" s="274">
        <f t="shared" ca="1" si="51"/>
        <v>0.11477166067607349</v>
      </c>
      <c r="W53" s="274">
        <f t="shared" ca="1" si="51"/>
        <v>0.11229170448448493</v>
      </c>
      <c r="X53" s="274">
        <f t="shared" ca="1" si="51"/>
        <v>0.10979266354446965</v>
      </c>
      <c r="Y53" s="274">
        <f ca="1">IFERROR(Y44/Y23,"NA")</f>
        <v>0.10791509303762996</v>
      </c>
    </row>
    <row r="54" spans="3:26" ht="15" customHeight="1" x14ac:dyDescent="0.2">
      <c r="C54" s="1"/>
      <c r="D54" s="1"/>
      <c r="E54" s="1"/>
      <c r="F54" s="24"/>
      <c r="G54" s="101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 spans="3:26" ht="15" customHeight="1" x14ac:dyDescent="0.2">
      <c r="C55" s="90" t="s">
        <v>152</v>
      </c>
      <c r="D55" s="91"/>
      <c r="E55" s="91"/>
      <c r="F55" s="92"/>
      <c r="G55" s="92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</row>
    <row r="56" spans="3:26" ht="15" customHeight="1" x14ac:dyDescent="0.2">
      <c r="C56" s="1"/>
      <c r="D56" s="1"/>
      <c r="E56" s="1"/>
      <c r="F56" s="24"/>
      <c r="G56" s="101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</row>
    <row r="57" spans="3:26" ht="15" customHeight="1" x14ac:dyDescent="0.2">
      <c r="C57" s="1"/>
      <c r="D57" s="1"/>
      <c r="E57" s="1" t="s">
        <v>153</v>
      </c>
      <c r="F57" s="94" t="s">
        <v>25</v>
      </c>
      <c r="G57" s="94"/>
      <c r="H57" s="277">
        <v>2.153</v>
      </c>
      <c r="I57" s="277">
        <v>2.3759999999999999</v>
      </c>
      <c r="J57" s="277">
        <v>4.6379999999999999</v>
      </c>
      <c r="K57" s="277">
        <v>5.76</v>
      </c>
      <c r="L57" s="277">
        <v>9.1609999999999996</v>
      </c>
      <c r="M57" s="277">
        <v>14.615</v>
      </c>
      <c r="N57" s="277">
        <v>10.691000000000001</v>
      </c>
      <c r="O57" s="277">
        <v>10.124000000000001</v>
      </c>
      <c r="P57" s="277">
        <v>12.129</v>
      </c>
      <c r="Q57" s="290"/>
      <c r="R57" s="290">
        <f t="shared" ref="R57:Y57" si="52">Q57*(1+R58)</f>
        <v>0</v>
      </c>
      <c r="S57" s="290">
        <f t="shared" si="52"/>
        <v>0</v>
      </c>
      <c r="T57" s="290">
        <f t="shared" si="52"/>
        <v>0</v>
      </c>
      <c r="U57" s="290">
        <f t="shared" si="52"/>
        <v>0</v>
      </c>
      <c r="V57" s="290">
        <f t="shared" si="52"/>
        <v>0</v>
      </c>
      <c r="W57" s="290">
        <f t="shared" si="52"/>
        <v>0</v>
      </c>
      <c r="X57" s="290">
        <f t="shared" si="52"/>
        <v>0</v>
      </c>
      <c r="Y57" s="290">
        <f t="shared" si="52"/>
        <v>0</v>
      </c>
    </row>
    <row r="58" spans="3:26" ht="15" customHeight="1" x14ac:dyDescent="0.2">
      <c r="C58" s="1"/>
      <c r="D58" s="1"/>
      <c r="E58" s="30" t="s">
        <v>128</v>
      </c>
      <c r="F58" s="24" t="s">
        <v>7</v>
      </c>
      <c r="G58" s="101"/>
      <c r="H58" s="104"/>
      <c r="I58" s="107">
        <f>IFERROR((I57/H57)-1,"NA")</f>
        <v>0.10357640501625642</v>
      </c>
      <c r="J58" s="107">
        <f t="shared" ref="J58" si="53">IFERROR((J57/I57)-1,"NA")</f>
        <v>0.95202020202020199</v>
      </c>
      <c r="K58" s="107">
        <f t="shared" ref="K58" si="54">IFERROR((K57/J57)-1,"NA")</f>
        <v>0.24191461836998696</v>
      </c>
      <c r="L58" s="107">
        <f t="shared" ref="L58" si="55">IFERROR((L57/K57)-1,"NA")</f>
        <v>0.59045138888888893</v>
      </c>
      <c r="M58" s="107">
        <f t="shared" ref="M58" si="56">IFERROR((M57/L57)-1,"NA")</f>
        <v>0.59534985263617513</v>
      </c>
      <c r="N58" s="107">
        <f t="shared" ref="N58" si="57">IFERROR((N57/M57)-1,"NA")</f>
        <v>-0.2684912760862127</v>
      </c>
      <c r="O58" s="107">
        <f t="shared" ref="O58" si="58">IFERROR((O57/N57)-1,"NA")</f>
        <v>-5.3035263305584168E-2</v>
      </c>
      <c r="P58" s="107">
        <f t="shared" ref="P58" si="59">IFERROR((P57/O57)-1,"NA")</f>
        <v>0.19804425128407743</v>
      </c>
      <c r="Q58" s="281">
        <v>0.05</v>
      </c>
      <c r="R58" s="281">
        <v>0.05</v>
      </c>
      <c r="S58" s="281">
        <v>0.05</v>
      </c>
      <c r="T58" s="281">
        <v>0.05</v>
      </c>
      <c r="U58" s="281">
        <v>0.05</v>
      </c>
      <c r="V58" s="281">
        <v>0.05</v>
      </c>
      <c r="W58" s="281">
        <v>0.05</v>
      </c>
      <c r="X58" s="281">
        <v>0.05</v>
      </c>
      <c r="Y58" s="281">
        <v>0.05</v>
      </c>
      <c r="Z58" s="282"/>
    </row>
    <row r="59" spans="3:26" ht="15" customHeight="1" x14ac:dyDescent="0.2">
      <c r="C59" s="1"/>
      <c r="D59" s="1"/>
      <c r="E59" s="30"/>
      <c r="F59" s="24"/>
      <c r="G59" s="101"/>
      <c r="H59" s="104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</row>
    <row r="60" spans="3:26" ht="15" customHeight="1" x14ac:dyDescent="0.2">
      <c r="C60" s="90" t="s">
        <v>265</v>
      </c>
      <c r="D60" s="91"/>
      <c r="E60" s="91"/>
      <c r="F60" s="92"/>
      <c r="G60" s="92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</row>
    <row r="61" spans="3:26" ht="15" customHeight="1" x14ac:dyDescent="0.2">
      <c r="C61" s="1"/>
      <c r="D61" s="2"/>
      <c r="E61" s="2"/>
      <c r="F61" s="24"/>
      <c r="G61" s="24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spans="3:26" ht="15" customHeight="1" x14ac:dyDescent="0.2">
      <c r="C62" s="1"/>
      <c r="D62" s="1"/>
      <c r="E62" s="1" t="s">
        <v>151</v>
      </c>
      <c r="F62" s="94" t="s">
        <v>25</v>
      </c>
      <c r="G62" s="94"/>
      <c r="H62" s="95">
        <f t="shared" ref="H62:Y62" si="60">H44-H57</f>
        <v>1130.93</v>
      </c>
      <c r="I62" s="95">
        <f>I44-I57</f>
        <v>1342.655</v>
      </c>
      <c r="J62" s="95">
        <f t="shared" si="60"/>
        <v>688.41199999999992</v>
      </c>
      <c r="K62" s="95">
        <f t="shared" si="60"/>
        <v>637.077</v>
      </c>
      <c r="L62" s="95">
        <f t="shared" si="60"/>
        <v>709.96299999999997</v>
      </c>
      <c r="M62" s="95">
        <f t="shared" si="60"/>
        <v>734.89499999999998</v>
      </c>
      <c r="N62" s="95">
        <f t="shared" si="60"/>
        <v>830.35299999999995</v>
      </c>
      <c r="O62" s="95">
        <f t="shared" si="60"/>
        <v>1012.1410000000001</v>
      </c>
      <c r="P62" s="95">
        <f t="shared" ca="1" si="60"/>
        <v>1220.5488166872219</v>
      </c>
      <c r="Q62" s="95">
        <f t="shared" ca="1" si="60"/>
        <v>1115.1684753221832</v>
      </c>
      <c r="R62" s="95">
        <f t="shared" ca="1" si="60"/>
        <v>1152.0152060725945</v>
      </c>
      <c r="S62" s="95">
        <f t="shared" ca="1" si="60"/>
        <v>1170.727062362552</v>
      </c>
      <c r="T62" s="95">
        <f t="shared" ca="1" si="60"/>
        <v>1194.1415941810228</v>
      </c>
      <c r="U62" s="95">
        <f t="shared" ca="1" si="60"/>
        <v>1205.3692503096026</v>
      </c>
      <c r="V62" s="95">
        <f t="shared" ca="1" si="60"/>
        <v>1222.2672774967339</v>
      </c>
      <c r="W62" s="95">
        <f t="shared" ca="1" si="60"/>
        <v>1240.4962508521492</v>
      </c>
      <c r="X62" s="95">
        <f t="shared" ca="1" si="60"/>
        <v>1259.054041418447</v>
      </c>
      <c r="Y62" s="95">
        <f t="shared" ca="1" si="60"/>
        <v>1269.674215835455</v>
      </c>
    </row>
    <row r="63" spans="3:26" ht="15" customHeight="1" x14ac:dyDescent="0.2">
      <c r="C63" s="2"/>
      <c r="D63" s="2"/>
      <c r="E63" s="278" t="s">
        <v>128</v>
      </c>
      <c r="F63" s="105" t="s">
        <v>7</v>
      </c>
      <c r="G63" s="105"/>
      <c r="H63" s="73"/>
      <c r="I63" s="107">
        <f>IFERROR((I62/H62)-1,"NA")</f>
        <v>0.18721317853448038</v>
      </c>
      <c r="J63" s="107">
        <f t="shared" ref="J63" si="61">IFERROR((J62/I62)-1,"NA")</f>
        <v>-0.48727558456937936</v>
      </c>
      <c r="K63" s="107">
        <f t="shared" ref="K63" si="62">IFERROR((K62/J62)-1,"NA")</f>
        <v>-7.4570170188782203E-2</v>
      </c>
      <c r="L63" s="107">
        <f t="shared" ref="L63" si="63">IFERROR((L62/K62)-1,"NA")</f>
        <v>0.11440689273039206</v>
      </c>
      <c r="M63" s="107">
        <f t="shared" ref="M63" si="64">IFERROR((M62/L62)-1,"NA")</f>
        <v>3.5117323015424695E-2</v>
      </c>
      <c r="N63" s="107">
        <f t="shared" ref="N63" si="65">IFERROR((N62/M62)-1,"NA")</f>
        <v>0.12989338612999135</v>
      </c>
      <c r="O63" s="107">
        <f t="shared" ref="O63" si="66">IFERROR((O62/N62)-1,"NA")</f>
        <v>0.2189285761597779</v>
      </c>
      <c r="P63" s="107">
        <f t="shared" ref="P63" ca="1" si="67">IFERROR((P62/O62)-1,"NA")</f>
        <v>0.20590788900679047</v>
      </c>
      <c r="Q63" s="107">
        <f t="shared" ref="Q63" ca="1" si="68">IFERROR((Q62/P62)-1,"NA")</f>
        <v>-8.6338489640306992E-2</v>
      </c>
      <c r="R63" s="107">
        <f t="shared" ref="R63" ca="1" si="69">IFERROR((R62/Q62)-1,"NA")</f>
        <v>3.3041402770793038E-2</v>
      </c>
      <c r="S63" s="107">
        <f t="shared" ref="S63" ca="1" si="70">IFERROR((S62/R62)-1,"NA")</f>
        <v>1.6242716408014557E-2</v>
      </c>
      <c r="T63" s="107">
        <f t="shared" ref="T63" ca="1" si="71">IFERROR((T62/S62)-1,"NA")</f>
        <v>1.9999991946218154E-2</v>
      </c>
      <c r="U63" s="107">
        <f t="shared" ref="U63" ca="1" si="72">IFERROR((U62/T62)-1,"NA")</f>
        <v>9.4022820939254625E-3</v>
      </c>
      <c r="V63" s="107">
        <f t="shared" ref="V63" ca="1" si="73">IFERROR((V62/U62)-1,"NA")</f>
        <v>1.4018963220433056E-2</v>
      </c>
      <c r="W63" s="107">
        <f t="shared" ref="W63" ca="1" si="74">IFERROR((W62/V62)-1,"NA")</f>
        <v>1.4914064780290337E-2</v>
      </c>
      <c r="X63" s="107">
        <f t="shared" ref="X63" ca="1" si="75">IFERROR((X62/W62)-1,"NA")</f>
        <v>1.4959973118459535E-2</v>
      </c>
      <c r="Y63" s="107">
        <f t="shared" ref="Y63" ca="1" si="76">IFERROR((Y62/X62)-1,"NA")</f>
        <v>8.435042553887051E-3</v>
      </c>
    </row>
    <row r="65" spans="3:25" ht="15" customHeight="1" x14ac:dyDescent="0.2">
      <c r="C65" s="1"/>
      <c r="D65" s="1"/>
      <c r="E65" s="100" t="s">
        <v>85</v>
      </c>
      <c r="F65" s="94"/>
      <c r="G65" s="37"/>
      <c r="H65" s="97"/>
      <c r="I65" s="97"/>
      <c r="J65" s="97"/>
      <c r="K65" s="99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 spans="3:25" ht="15" customHeight="1" x14ac:dyDescent="0.2">
      <c r="C66" s="1"/>
      <c r="D66" s="1"/>
      <c r="E66" s="1" t="s">
        <v>149</v>
      </c>
      <c r="F66" s="24" t="s">
        <v>7</v>
      </c>
      <c r="G66" s="101"/>
      <c r="H66" s="274">
        <f t="shared" ref="H66:Y66" si="77">H62 / H23</f>
        <v>0.2705664783031011</v>
      </c>
      <c r="I66" s="274">
        <f t="shared" si="77"/>
        <v>0.27857993543086201</v>
      </c>
      <c r="J66" s="274">
        <f t="shared" si="77"/>
        <v>0.15320255410288156</v>
      </c>
      <c r="K66" s="274">
        <f t="shared" si="77"/>
        <v>0.27084902820740869</v>
      </c>
      <c r="L66" s="274">
        <f t="shared" si="77"/>
        <v>0.20349951415541867</v>
      </c>
      <c r="M66" s="274">
        <f t="shared" si="77"/>
        <v>0.19397862393283316</v>
      </c>
      <c r="N66" s="274">
        <f t="shared" si="77"/>
        <v>0.28722098658245099</v>
      </c>
      <c r="O66" s="274">
        <f t="shared" si="77"/>
        <v>0.21917586629536112</v>
      </c>
      <c r="P66" s="274">
        <f t="shared" ca="1" si="77"/>
        <v>0.16911516059579931</v>
      </c>
      <c r="Q66" s="274">
        <f t="shared" ca="1" si="77"/>
        <v>0.13789809649972767</v>
      </c>
      <c r="R66" s="274">
        <f t="shared" ca="1" si="77"/>
        <v>0.13014520749558192</v>
      </c>
      <c r="S66" s="274">
        <f t="shared" ca="1" si="77"/>
        <v>0.12527619337575663</v>
      </c>
      <c r="T66" s="274">
        <f t="shared" ca="1" si="77"/>
        <v>0.12072146402083397</v>
      </c>
      <c r="U66" s="274">
        <f t="shared" ca="1" si="77"/>
        <v>0.11748896020691513</v>
      </c>
      <c r="V66" s="274">
        <f t="shared" ca="1" si="77"/>
        <v>0.11477166067607349</v>
      </c>
      <c r="W66" s="274">
        <f t="shared" ca="1" si="77"/>
        <v>0.11229170448448493</v>
      </c>
      <c r="X66" s="274">
        <f t="shared" ca="1" si="77"/>
        <v>0.10979266354446965</v>
      </c>
      <c r="Y66" s="274">
        <f t="shared" ca="1" si="77"/>
        <v>0.10791509303762996</v>
      </c>
    </row>
    <row r="67" spans="3:25" ht="15" customHeight="1" x14ac:dyDescent="0.2">
      <c r="C67" s="1"/>
      <c r="D67" s="1"/>
      <c r="E67" s="30"/>
      <c r="F67" s="24"/>
      <c r="G67" s="101"/>
      <c r="H67" s="104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</row>
    <row r="68" spans="3:25" ht="15" customHeight="1" x14ac:dyDescent="0.2">
      <c r="C68" s="90" t="s">
        <v>154</v>
      </c>
      <c r="D68" s="91"/>
      <c r="E68" s="91"/>
      <c r="F68" s="92"/>
      <c r="G68" s="92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3:25" ht="15" customHeight="1" x14ac:dyDescent="0.2">
      <c r="C69" s="1"/>
      <c r="D69" s="1"/>
      <c r="E69" s="1"/>
      <c r="F69" s="24"/>
      <c r="G69" s="101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</row>
    <row r="70" spans="3:25" ht="15" customHeight="1" x14ac:dyDescent="0.2">
      <c r="C70" s="1"/>
      <c r="D70" s="1"/>
      <c r="E70" s="1" t="s">
        <v>155</v>
      </c>
      <c r="F70" s="94" t="s">
        <v>25</v>
      </c>
      <c r="G70" s="94"/>
      <c r="H70" s="95">
        <f>SUM(H44,H57)*'&gt;&gt; Dash'!$F$38</f>
        <v>321.27178800000002</v>
      </c>
      <c r="I70" s="95">
        <f>SUM(I44,I57)*'&gt;&gt; Dash'!$F$38</f>
        <v>381.31618099999997</v>
      </c>
      <c r="J70" s="95">
        <f>SUM(J44,J57)*'&gt;&gt; Dash'!$F$38</f>
        <v>197.44570399999998</v>
      </c>
      <c r="K70" s="95">
        <f>SUM(K44,K57)*'&gt;&gt; Dash'!$F$38</f>
        <v>183.55295099999998</v>
      </c>
      <c r="L70" s="95">
        <f>SUM(L44,L57)*'&gt;&gt; Dash'!$F$38</f>
        <v>206.10465499999995</v>
      </c>
      <c r="M70" s="95">
        <f>SUM(M44,M57)*'&gt;&gt; Dash'!$F$38</f>
        <v>216.24737499999998</v>
      </c>
      <c r="N70" s="95">
        <f>SUM(N44,N57)*'&gt;&gt; Dash'!$F$38</f>
        <v>241.04100499999998</v>
      </c>
      <c r="O70" s="95">
        <f>SUM(O44,O57)*'&gt;&gt; Dash'!$F$38</f>
        <v>292.166087</v>
      </c>
      <c r="P70" s="95">
        <f ca="1">SUM(P44,P57)*'&gt;&gt; Dash'!$F$38</f>
        <v>352.28032912248369</v>
      </c>
      <c r="Q70" s="95">
        <f ca="1">SUM(Q44,Q57)*'&gt;&gt; Dash'!$F$38</f>
        <v>315.59267851617784</v>
      </c>
      <c r="R70" s="95">
        <f ca="1">SUM(R44,R57)*'&gt;&gt; Dash'!$F$38</f>
        <v>326.02030331854422</v>
      </c>
      <c r="S70" s="95">
        <f ca="1">SUM(S44,S57)*'&gt;&gt; Dash'!$F$38</f>
        <v>331.31575864860218</v>
      </c>
      <c r="T70" s="95">
        <f ca="1">SUM(T44,T57)*'&gt;&gt; Dash'!$F$38</f>
        <v>337.94207115322945</v>
      </c>
      <c r="U70" s="95">
        <f ca="1">SUM(U44,U57)*'&gt;&gt; Dash'!$F$38</f>
        <v>341.11949783761753</v>
      </c>
      <c r="V70" s="95">
        <f ca="1">SUM(V44,V57)*'&gt;&gt; Dash'!$F$38</f>
        <v>345.90163953157565</v>
      </c>
      <c r="W70" s="95">
        <f ca="1">SUM(W44,W57)*'&gt;&gt; Dash'!$F$38</f>
        <v>351.06043899115821</v>
      </c>
      <c r="X70" s="95">
        <f ca="1">SUM(X44,X57)*'&gt;&gt; Dash'!$F$38</f>
        <v>356.31229372142047</v>
      </c>
      <c r="Y70" s="95">
        <f ca="1">SUM(Y44,Y57)*'&gt;&gt; Dash'!$F$38</f>
        <v>359.31780308143374</v>
      </c>
    </row>
    <row r="71" spans="3:25" ht="15" customHeight="1" x14ac:dyDescent="0.2">
      <c r="C71" s="1"/>
      <c r="D71" s="1"/>
      <c r="E71" s="30" t="s">
        <v>128</v>
      </c>
      <c r="F71" s="24" t="s">
        <v>7</v>
      </c>
      <c r="G71" s="101"/>
      <c r="H71" s="104"/>
      <c r="I71" s="107">
        <f>IFERROR((I70/H70)-1,"NA")</f>
        <v>0.18689594057975589</v>
      </c>
      <c r="J71" s="107">
        <f t="shared" ref="J71" si="78">IFERROR((J70/I70)-1,"NA")</f>
        <v>-0.48219951358423996</v>
      </c>
      <c r="K71" s="107">
        <f t="shared" ref="K71" si="79">IFERROR((K70/J70)-1,"NA")</f>
        <v>-7.0362396945339412E-2</v>
      </c>
      <c r="L71" s="107">
        <f t="shared" ref="L71" si="80">IFERROR((L70/K70)-1,"NA")</f>
        <v>0.12286211622933796</v>
      </c>
      <c r="M71" s="107">
        <f t="shared" ref="M71" si="81">IFERROR((M70/L70)-1,"NA")</f>
        <v>4.9211503738234574E-2</v>
      </c>
      <c r="N71" s="107">
        <f t="shared" ref="N71" si="82">IFERROR((N70/M70)-1,"NA")</f>
        <v>0.11465401603140846</v>
      </c>
      <c r="O71" s="107">
        <f t="shared" ref="O71" si="83">IFERROR((O70/N70)-1,"NA")</f>
        <v>0.21210118170557757</v>
      </c>
      <c r="P71" s="107">
        <f t="shared" ref="P71" ca="1" si="84">IFERROR((P70/O70)-1,"NA")</f>
        <v>0.20575366134976392</v>
      </c>
      <c r="Q71" s="107">
        <f t="shared" ref="Q71" ca="1" si="85">IFERROR((Q70/P70)-1,"NA")</f>
        <v>-0.10414334146244653</v>
      </c>
      <c r="R71" s="107">
        <f t="shared" ref="R71" ca="1" si="86">IFERROR((R70/Q70)-1,"NA")</f>
        <v>3.3041402770792816E-2</v>
      </c>
      <c r="S71" s="107">
        <f t="shared" ref="S71" ca="1" si="87">IFERROR((S70/R70)-1,"NA")</f>
        <v>1.6242716408014335E-2</v>
      </c>
      <c r="T71" s="107">
        <f t="shared" ref="T71" ca="1" si="88">IFERROR((T70/S70)-1,"NA")</f>
        <v>1.9999991946218376E-2</v>
      </c>
      <c r="U71" s="107">
        <f t="shared" ref="U71" ca="1" si="89">IFERROR((U70/T70)-1,"NA")</f>
        <v>9.4022820939254625E-3</v>
      </c>
      <c r="V71" s="107">
        <f t="shared" ref="V71" ca="1" si="90">IFERROR((V70/U70)-1,"NA")</f>
        <v>1.4018963220433056E-2</v>
      </c>
      <c r="W71" s="107">
        <f t="shared" ref="W71" ca="1" si="91">IFERROR((W70/V70)-1,"NA")</f>
        <v>1.4914064780290337E-2</v>
      </c>
      <c r="X71" s="107">
        <f t="shared" ref="X71" ca="1" si="92">IFERROR((X70/W70)-1,"NA")</f>
        <v>1.4959973118459313E-2</v>
      </c>
      <c r="Y71" s="107">
        <f t="shared" ref="Y71" ca="1" si="93">IFERROR((Y70/X70)-1,"NA")</f>
        <v>8.435042553887051E-3</v>
      </c>
    </row>
    <row r="72" spans="3:25" ht="15" customHeight="1" x14ac:dyDescent="0.2">
      <c r="C72" s="1"/>
      <c r="D72" s="1"/>
      <c r="E72" s="30"/>
      <c r="F72" s="24"/>
      <c r="G72" s="101"/>
      <c r="H72" s="104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</row>
    <row r="73" spans="3:25" ht="15" customHeight="1" x14ac:dyDescent="0.2">
      <c r="C73" s="90" t="s">
        <v>156</v>
      </c>
      <c r="D73" s="91"/>
      <c r="E73" s="91"/>
      <c r="F73" s="92"/>
      <c r="G73" s="92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spans="3:25" ht="15" customHeight="1" x14ac:dyDescent="0.2">
      <c r="C74" s="1"/>
      <c r="D74" s="1"/>
      <c r="E74" s="1"/>
      <c r="F74" s="24"/>
      <c r="G74" s="101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</row>
    <row r="75" spans="3:25" ht="15" customHeight="1" x14ac:dyDescent="0.2">
      <c r="C75" s="1"/>
      <c r="D75" s="1"/>
      <c r="E75" s="2" t="s">
        <v>157</v>
      </c>
      <c r="F75" s="24" t="s">
        <v>25</v>
      </c>
      <c r="G75" s="101"/>
      <c r="H75" s="284">
        <f>'&gt;&gt; Fin Stmts'!H18</f>
        <v>15.1</v>
      </c>
      <c r="I75" s="284">
        <f>'&gt;&gt; Fin Stmts'!I18</f>
        <v>13.4</v>
      </c>
      <c r="J75" s="284">
        <f>'&gt;&gt; Fin Stmts'!J18</f>
        <v>13.5</v>
      </c>
      <c r="K75" s="284">
        <f>'&gt;&gt; Fin Stmts'!K18</f>
        <v>13.2</v>
      </c>
      <c r="L75" s="284">
        <f>'&gt;&gt; Fin Stmts'!L18</f>
        <v>-0.2</v>
      </c>
      <c r="M75" s="284">
        <f>'&gt;&gt; Fin Stmts'!M18</f>
        <v>-0.1</v>
      </c>
      <c r="N75" s="284">
        <f>'&gt;&gt; Fin Stmts'!N18</f>
        <v>0</v>
      </c>
      <c r="O75" s="284">
        <f>'&gt;&gt; Fin Stmts'!O18</f>
        <v>0</v>
      </c>
      <c r="P75" s="283">
        <f t="shared" ref="P75:Y75" si="94">O75*(1+P76)</f>
        <v>0</v>
      </c>
      <c r="Q75" s="283">
        <f t="shared" si="94"/>
        <v>0</v>
      </c>
      <c r="R75" s="283">
        <f t="shared" si="94"/>
        <v>0</v>
      </c>
      <c r="S75" s="283">
        <f t="shared" si="94"/>
        <v>0</v>
      </c>
      <c r="T75" s="283">
        <f t="shared" si="94"/>
        <v>0</v>
      </c>
      <c r="U75" s="283">
        <f t="shared" si="94"/>
        <v>0</v>
      </c>
      <c r="V75" s="283">
        <f t="shared" si="94"/>
        <v>0</v>
      </c>
      <c r="W75" s="283">
        <f t="shared" si="94"/>
        <v>0</v>
      </c>
      <c r="X75" s="283">
        <f t="shared" si="94"/>
        <v>0</v>
      </c>
      <c r="Y75" s="283">
        <f t="shared" si="94"/>
        <v>0</v>
      </c>
    </row>
    <row r="76" spans="3:25" ht="15" customHeight="1" x14ac:dyDescent="0.2">
      <c r="C76" s="1"/>
      <c r="D76" s="1"/>
      <c r="E76" s="30" t="s">
        <v>128</v>
      </c>
      <c r="F76" s="24" t="s">
        <v>7</v>
      </c>
      <c r="G76" s="101"/>
      <c r="H76" s="107"/>
      <c r="I76" s="107">
        <f>IFERROR((I75/H75)-1,"NA")</f>
        <v>-0.11258278145695355</v>
      </c>
      <c r="J76" s="107">
        <f t="shared" ref="J76:O76" si="95">IFERROR((J75/I75)-1,"NA")</f>
        <v>7.4626865671640896E-3</v>
      </c>
      <c r="K76" s="107">
        <f t="shared" si="95"/>
        <v>-2.2222222222222254E-2</v>
      </c>
      <c r="L76" s="107">
        <f t="shared" si="95"/>
        <v>-1.0151515151515151</v>
      </c>
      <c r="M76" s="107">
        <f t="shared" si="95"/>
        <v>-0.5</v>
      </c>
      <c r="N76" s="107">
        <f t="shared" si="95"/>
        <v>-1</v>
      </c>
      <c r="O76" s="107" t="str">
        <f t="shared" si="95"/>
        <v>NA</v>
      </c>
      <c r="P76" s="309">
        <v>0</v>
      </c>
      <c r="Q76" s="310">
        <v>0</v>
      </c>
      <c r="R76" s="310">
        <v>0</v>
      </c>
      <c r="S76" s="310">
        <v>0</v>
      </c>
      <c r="T76" s="310">
        <v>0</v>
      </c>
      <c r="U76" s="310">
        <v>0</v>
      </c>
      <c r="V76" s="310">
        <v>0</v>
      </c>
      <c r="W76" s="310">
        <v>0</v>
      </c>
      <c r="X76" s="310">
        <v>0</v>
      </c>
      <c r="Y76" s="311">
        <v>0</v>
      </c>
    </row>
    <row r="78" spans="3:25" ht="15" customHeight="1" x14ac:dyDescent="0.2">
      <c r="C78" s="90" t="s">
        <v>158</v>
      </c>
      <c r="D78" s="91"/>
      <c r="E78" s="91"/>
      <c r="F78" s="92"/>
      <c r="G78" s="92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</row>
    <row r="79" spans="3:25" ht="15" customHeight="1" x14ac:dyDescent="0.2">
      <c r="C79" s="1"/>
      <c r="D79" s="1"/>
      <c r="E79" s="1"/>
      <c r="F79" s="24"/>
      <c r="G79" s="101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</row>
    <row r="80" spans="3:25" ht="15" customHeight="1" x14ac:dyDescent="0.2">
      <c r="C80" s="1"/>
      <c r="D80" s="312"/>
      <c r="E80" s="1" t="s">
        <v>181</v>
      </c>
      <c r="F80" s="94" t="s">
        <v>25</v>
      </c>
      <c r="G80" s="101"/>
      <c r="H80" s="329">
        <f>'&gt;&gt; Fin Stmts'!H24</f>
        <v>-2774.7870399999997</v>
      </c>
      <c r="I80" s="329">
        <f>'&gt;&gt; Fin Stmts'!I24</f>
        <v>-3191.2520800000002</v>
      </c>
      <c r="J80" s="329">
        <f>'&gt;&gt; Fin Stmts'!J24</f>
        <v>-2992.1793600000005</v>
      </c>
      <c r="K80" s="329">
        <f>'&gt;&gt; Fin Stmts'!K24</f>
        <v>-1457.4263600000002</v>
      </c>
      <c r="L80" s="329">
        <f>'&gt;&gt; Fin Stmts'!L24</f>
        <v>-2338.9894800000002</v>
      </c>
      <c r="M80" s="329">
        <f>'&gt;&gt; Fin Stmts'!M24</f>
        <v>-2558.2761200000004</v>
      </c>
      <c r="N80" s="329">
        <f>'&gt;&gt; Fin Stmts'!N24</f>
        <v>-2017.32728</v>
      </c>
      <c r="O80" s="329">
        <f>'&gt;&gt; Fin Stmts'!O24</f>
        <v>-3233.1475200000004</v>
      </c>
      <c r="P80" s="329">
        <f ca="1">'&gt;&gt; Fin Stmts'!P24</f>
        <v>878.79514801479968</v>
      </c>
      <c r="Q80" s="329">
        <f ca="1">'&gt;&gt; Fin Stmts'!Q24</f>
        <v>802.92130223197182</v>
      </c>
      <c r="R80" s="329">
        <f ca="1">'&gt;&gt; Fin Stmts'!R24</f>
        <v>829.45094837226804</v>
      </c>
      <c r="S80" s="329">
        <f ca="1">'&gt;&gt; Fin Stmts'!S24</f>
        <v>842.92348490103745</v>
      </c>
      <c r="T80" s="329">
        <f ca="1">'&gt;&gt; Fin Stmts'!T24</f>
        <v>859.78194781033642</v>
      </c>
      <c r="U80" s="329">
        <f ca="1">'&gt;&gt; Fin Stmts'!U24</f>
        <v>867.86586022291385</v>
      </c>
      <c r="V80" s="329">
        <f ca="1">'&gt;&gt; Fin Stmts'!V24</f>
        <v>880.03243979764829</v>
      </c>
      <c r="W80" s="329">
        <f ca="1">'&gt;&gt; Fin Stmts'!W24</f>
        <v>893.15730061354736</v>
      </c>
      <c r="X80" s="329">
        <f ca="1">'&gt;&gt; Fin Stmts'!X24</f>
        <v>906.5189098212818</v>
      </c>
      <c r="Y80" s="329">
        <f ca="1">'&gt;&gt; Fin Stmts'!Y24</f>
        <v>914.16543540152759</v>
      </c>
    </row>
    <row r="81" spans="3:27" ht="15" customHeight="1" x14ac:dyDescent="0.2">
      <c r="C81" s="1"/>
      <c r="D81" s="1"/>
      <c r="E81" s="1"/>
      <c r="F81" s="94"/>
      <c r="G81" s="101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3:27" ht="15" customHeight="1" x14ac:dyDescent="0.2">
      <c r="C82" s="1"/>
      <c r="D82" s="1"/>
      <c r="E82" s="100" t="s">
        <v>85</v>
      </c>
      <c r="F82" s="94"/>
      <c r="G82" s="101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 spans="3:27" ht="15" customHeight="1" x14ac:dyDescent="0.2">
      <c r="C83" s="1"/>
      <c r="D83" s="1"/>
      <c r="E83" s="1" t="s">
        <v>149</v>
      </c>
      <c r="F83" s="24" t="s">
        <v>7</v>
      </c>
      <c r="G83" s="101"/>
      <c r="H83" s="274">
        <f t="shared" ref="H83:Y83" si="96">H80/H23</f>
        <v>-0.66384688482389365</v>
      </c>
      <c r="I83" s="274">
        <f t="shared" si="96"/>
        <v>-0.66213494783842775</v>
      </c>
      <c r="J83" s="274">
        <f t="shared" si="96"/>
        <v>-0.66589414520073109</v>
      </c>
      <c r="K83" s="274">
        <f t="shared" si="96"/>
        <v>-0.6196150752418641</v>
      </c>
      <c r="L83" s="274">
        <f t="shared" si="96"/>
        <v>-0.67043384344625767</v>
      </c>
      <c r="M83" s="274">
        <f t="shared" si="96"/>
        <v>-0.67526773402707552</v>
      </c>
      <c r="N83" s="274">
        <f t="shared" si="96"/>
        <v>-0.69779808300962654</v>
      </c>
      <c r="O83" s="274">
        <f t="shared" si="96"/>
        <v>-0.70012765865299242</v>
      </c>
      <c r="P83" s="274">
        <f t="shared" ca="1" si="96"/>
        <v>0.12176291562897548</v>
      </c>
      <c r="Q83" s="274">
        <f t="shared" ca="1" si="96"/>
        <v>9.9286629479803906E-2</v>
      </c>
      <c r="R83" s="274">
        <f t="shared" ca="1" si="96"/>
        <v>9.3704549396818979E-2</v>
      </c>
      <c r="S83" s="274">
        <f t="shared" ca="1" si="96"/>
        <v>9.0198859230544784E-2</v>
      </c>
      <c r="T83" s="274">
        <f t="shared" ca="1" si="96"/>
        <v>8.6919454095000459E-2</v>
      </c>
      <c r="U83" s="274">
        <f t="shared" ca="1" si="96"/>
        <v>8.4592051348978889E-2</v>
      </c>
      <c r="V83" s="274">
        <f t="shared" ca="1" si="96"/>
        <v>8.2635595686772895E-2</v>
      </c>
      <c r="W83" s="274">
        <f t="shared" ca="1" si="96"/>
        <v>8.0850027228829141E-2</v>
      </c>
      <c r="X83" s="274">
        <f t="shared" ca="1" si="96"/>
        <v>7.9050717752018135E-2</v>
      </c>
      <c r="Y83" s="274">
        <f t="shared" ca="1" si="96"/>
        <v>7.7698866987093565E-2</v>
      </c>
      <c r="Z83" s="108"/>
      <c r="AA83" s="109"/>
    </row>
    <row r="84" spans="3:27" ht="15" customHeight="1" x14ac:dyDescent="0.2">
      <c r="D84" s="1"/>
      <c r="E84" s="1"/>
      <c r="F84" s="24"/>
      <c r="G84" s="101"/>
      <c r="Z84" s="109"/>
      <c r="AA84" s="109"/>
    </row>
    <row r="85" spans="3:27" ht="15" customHeight="1" x14ac:dyDescent="0.2">
      <c r="C85" s="90" t="s">
        <v>159</v>
      </c>
      <c r="D85" s="91"/>
      <c r="E85" s="91"/>
      <c r="F85" s="92"/>
      <c r="G85" s="92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109"/>
      <c r="AA85" s="109"/>
    </row>
    <row r="86" spans="3:27" ht="15" customHeight="1" x14ac:dyDescent="0.2">
      <c r="C86" s="1"/>
      <c r="D86" s="1"/>
      <c r="E86" s="1"/>
      <c r="F86" s="24"/>
      <c r="G86" s="101"/>
      <c r="O86" s="291"/>
      <c r="Q86" s="313"/>
      <c r="Z86" s="109"/>
      <c r="AA86" s="109"/>
    </row>
    <row r="87" spans="3:27" ht="15" customHeight="1" x14ac:dyDescent="0.2">
      <c r="C87" s="1"/>
      <c r="D87" s="1"/>
      <c r="E87" s="2" t="s">
        <v>269</v>
      </c>
      <c r="F87" s="24" t="s">
        <v>160</v>
      </c>
      <c r="G87" s="101"/>
      <c r="H87" s="314">
        <v>0.09</v>
      </c>
      <c r="I87" s="315">
        <v>0.18</v>
      </c>
      <c r="J87" s="315">
        <v>0.08</v>
      </c>
      <c r="K87" s="315">
        <v>0.02</v>
      </c>
      <c r="L87" s="315">
        <v>0</v>
      </c>
      <c r="M87" s="315">
        <v>0</v>
      </c>
      <c r="N87" s="315">
        <v>0.05</v>
      </c>
      <c r="O87" s="316">
        <v>0.19</v>
      </c>
      <c r="P87" s="110">
        <f ca="1">(P80*P89)/'&gt;&gt; Inputs'!$G$47</f>
        <v>1.160107104423451</v>
      </c>
      <c r="Q87" s="110">
        <f ca="1">(Q80*Q89)/'&gt;&gt; Inputs'!$G$47</f>
        <v>1.0599452092065402</v>
      </c>
      <c r="R87" s="110">
        <f ca="1">(R80*R89)/'&gt;&gt; Inputs'!$G$47</f>
        <v>1.0949672857789061</v>
      </c>
      <c r="S87" s="110">
        <f ca="1">(S80*S89)/'&gt;&gt; Inputs'!$G$47</f>
        <v>1.1127525288778661</v>
      </c>
      <c r="T87" s="110">
        <f ca="1">(T80*T89)/'&gt;&gt; Inputs'!$G$47</f>
        <v>1.1350075704935574</v>
      </c>
      <c r="U87" s="110">
        <f ca="1">(U80*U89)/'&gt;&gt; Inputs'!$G$47</f>
        <v>1.1456792318500788</v>
      </c>
      <c r="V87" s="110">
        <f ca="1">(V80*V89)/'&gt;&gt; Inputs'!$G$47</f>
        <v>1.1617404668637989</v>
      </c>
      <c r="W87" s="110">
        <f ca="1">(W80*W89)/'&gt;&gt; Inputs'!$G$47</f>
        <v>1.1790667394444903</v>
      </c>
      <c r="X87" s="110">
        <f ca="1">(X80*X89)/'&gt;&gt; Inputs'!$G$47</f>
        <v>1.1967055461714495</v>
      </c>
      <c r="Y87" s="110">
        <f ca="1">(Y80*Y89)/'&gt;&gt; Inputs'!$G$47</f>
        <v>1.2067998083778784</v>
      </c>
      <c r="Z87" s="109"/>
      <c r="AA87" s="109"/>
    </row>
    <row r="88" spans="3:27" ht="15" customHeight="1" thickBot="1" x14ac:dyDescent="0.25">
      <c r="C88" s="1"/>
      <c r="D88" s="1"/>
      <c r="E88" s="30" t="s">
        <v>128</v>
      </c>
      <c r="F88" s="24" t="s">
        <v>7</v>
      </c>
      <c r="G88" s="101"/>
      <c r="H88" s="107"/>
      <c r="I88" s="107">
        <f>IFERROR((I87/H87-1),"NA")</f>
        <v>1</v>
      </c>
      <c r="J88" s="107">
        <f t="shared" ref="J88:P88" si="97">IFERROR((J87/I87-1),"NA")</f>
        <v>-0.55555555555555558</v>
      </c>
      <c r="K88" s="107">
        <f t="shared" si="97"/>
        <v>-0.75</v>
      </c>
      <c r="L88" s="107">
        <f t="shared" si="97"/>
        <v>-1</v>
      </c>
      <c r="M88" s="107" t="str">
        <f t="shared" si="97"/>
        <v>NA</v>
      </c>
      <c r="N88" s="107" t="str">
        <f t="shared" si="97"/>
        <v>NA</v>
      </c>
      <c r="O88" s="107">
        <f t="shared" si="97"/>
        <v>2.8</v>
      </c>
      <c r="P88" s="107">
        <f t="shared" ca="1" si="97"/>
        <v>5.1058268653865841</v>
      </c>
      <c r="Q88" s="107">
        <f t="shared" ref="Q88" ca="1" si="98">IFERROR((Q87/P87-1),"NA")</f>
        <v>-8.6338489640307103E-2</v>
      </c>
      <c r="R88" s="107">
        <f t="shared" ref="R88" ca="1" si="99">IFERROR((R87/Q87-1),"NA")</f>
        <v>3.3041402770793038E-2</v>
      </c>
      <c r="S88" s="107">
        <f t="shared" ref="S88" ca="1" si="100">IFERROR((S87/R87-1),"NA")</f>
        <v>1.6242716408014335E-2</v>
      </c>
      <c r="T88" s="107">
        <f t="shared" ref="T88" ca="1" si="101">IFERROR((T87/S87-1),"NA")</f>
        <v>1.9999991946218154E-2</v>
      </c>
      <c r="U88" s="107">
        <f t="shared" ref="U88" ca="1" si="102">IFERROR((U87/T87-1),"NA")</f>
        <v>9.4022820939254625E-3</v>
      </c>
      <c r="V88" s="107">
        <f t="shared" ref="V88:W88" ca="1" si="103">IFERROR((V87/U87-1),"NA")</f>
        <v>1.4018963220433056E-2</v>
      </c>
      <c r="W88" s="107">
        <f t="shared" ca="1" si="103"/>
        <v>1.4914064780290115E-2</v>
      </c>
      <c r="X88" s="107">
        <f t="shared" ref="X88" ca="1" si="104">IFERROR((X87/W87-1),"NA")</f>
        <v>1.4959973118459535E-2</v>
      </c>
      <c r="Y88" s="107">
        <f t="shared" ref="Y88" ca="1" si="105">IFERROR((Y87/X87-1),"NA")</f>
        <v>8.435042553887051E-3</v>
      </c>
      <c r="Z88" s="109"/>
      <c r="AA88" s="109"/>
    </row>
    <row r="89" spans="3:27" ht="15" customHeight="1" thickBot="1" x14ac:dyDescent="0.25">
      <c r="C89" s="1"/>
      <c r="D89" s="1"/>
      <c r="E89" s="2" t="s">
        <v>161</v>
      </c>
      <c r="F89" s="24" t="s">
        <v>7</v>
      </c>
      <c r="G89" s="101"/>
      <c r="H89" s="339">
        <v>0.59609999999999996</v>
      </c>
      <c r="I89" s="339">
        <v>0.71650000000000003</v>
      </c>
      <c r="J89" s="339">
        <v>0.79059999999999997</v>
      </c>
      <c r="K89" s="339">
        <v>1.5005999999999999</v>
      </c>
      <c r="L89" s="339">
        <v>0</v>
      </c>
      <c r="M89" s="339">
        <v>0</v>
      </c>
      <c r="N89" s="339">
        <v>1.5717000000000001</v>
      </c>
      <c r="O89" s="339">
        <v>3.5577999999999999</v>
      </c>
      <c r="P89" s="317">
        <v>0.5</v>
      </c>
      <c r="Q89" s="317">
        <v>0.5</v>
      </c>
      <c r="R89" s="317">
        <v>0.5</v>
      </c>
      <c r="S89" s="317">
        <v>0.5</v>
      </c>
      <c r="T89" s="317">
        <v>0.5</v>
      </c>
      <c r="U89" s="317">
        <v>0.5</v>
      </c>
      <c r="V89" s="317">
        <v>0.5</v>
      </c>
      <c r="W89" s="317">
        <v>0.5</v>
      </c>
      <c r="X89" s="317">
        <v>0.5</v>
      </c>
      <c r="Y89" s="317">
        <v>0.5</v>
      </c>
      <c r="Z89" s="338">
        <v>0</v>
      </c>
      <c r="AA89" s="18" t="s">
        <v>162</v>
      </c>
    </row>
    <row r="90" spans="3:27" ht="15" customHeight="1" x14ac:dyDescent="0.2">
      <c r="C90" s="1"/>
      <c r="D90" s="1"/>
      <c r="E90" s="1"/>
      <c r="F90" s="24"/>
      <c r="G90" s="101"/>
      <c r="O90" s="111"/>
      <c r="Q90" s="112"/>
      <c r="Z90" s="109"/>
      <c r="AA90" s="109"/>
    </row>
    <row r="91" spans="3:27" ht="15" customHeight="1" x14ac:dyDescent="0.2">
      <c r="C91" s="1"/>
      <c r="D91" s="1"/>
      <c r="E91" s="2" t="s">
        <v>163</v>
      </c>
      <c r="F91" s="24" t="s">
        <v>160</v>
      </c>
      <c r="G91" s="101"/>
      <c r="H91" s="328">
        <f>(H80*H89)/'&gt;&gt; Inputs'!$G$47</f>
        <v>-4.3670605231191537</v>
      </c>
      <c r="I91" s="328">
        <f>(I80*I89)/'&gt;&gt; Inputs'!$G$47</f>
        <v>-6.0369522009023227</v>
      </c>
      <c r="J91" s="328">
        <f>(J80*J89)/'&gt;&gt; Inputs'!$G$47</f>
        <v>-6.2457538519260218</v>
      </c>
      <c r="K91" s="328">
        <f>(K80*K89)/'&gt;&gt; Inputs'!$G$47</f>
        <v>-5.7742022808185398</v>
      </c>
      <c r="L91" s="328">
        <f>(L80*L89)/'&gt;&gt; Inputs'!$G$47</f>
        <v>0</v>
      </c>
      <c r="M91" s="328">
        <f>(M80*M89)/'&gt;&gt; Inputs'!$G$47</f>
        <v>0</v>
      </c>
      <c r="N91" s="328">
        <f>(N80*N89)/'&gt;&gt; Inputs'!$G$47</f>
        <v>-8.3711754870095927</v>
      </c>
      <c r="O91" s="328">
        <f>(O80*O89)/'&gt;&gt; Inputs'!$G$47</f>
        <v>-30.370188198941499</v>
      </c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109"/>
      <c r="AA91" s="109"/>
    </row>
    <row r="92" spans="3:27" ht="15" customHeight="1" thickBot="1" x14ac:dyDescent="0.25">
      <c r="C92" s="1"/>
      <c r="D92" s="1"/>
      <c r="E92" s="2" t="s">
        <v>164</v>
      </c>
      <c r="F92" s="24" t="s">
        <v>160</v>
      </c>
      <c r="G92" s="101"/>
      <c r="H92" s="328">
        <f>H87-H91</f>
        <v>4.4570605231191536</v>
      </c>
      <c r="I92" s="328">
        <f t="shared" ref="I92:O92" si="106">I87-I91</f>
        <v>6.2169522009023224</v>
      </c>
      <c r="J92" s="328">
        <f t="shared" si="106"/>
        <v>6.3257538519260219</v>
      </c>
      <c r="K92" s="328">
        <f t="shared" si="106"/>
        <v>5.7942022808185394</v>
      </c>
      <c r="L92" s="328">
        <f t="shared" si="106"/>
        <v>0</v>
      </c>
      <c r="M92" s="328">
        <f t="shared" si="106"/>
        <v>0</v>
      </c>
      <c r="N92" s="328">
        <f t="shared" si="106"/>
        <v>8.4211754870095934</v>
      </c>
      <c r="O92" s="328">
        <f t="shared" si="106"/>
        <v>30.5601881989415</v>
      </c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1"/>
      <c r="AA92" s="1"/>
    </row>
    <row r="93" spans="3:27" ht="15" customHeight="1" thickBot="1" x14ac:dyDescent="0.25">
      <c r="C93" s="1"/>
      <c r="D93" s="1"/>
      <c r="E93" s="1" t="s">
        <v>165</v>
      </c>
      <c r="F93" s="24" t="s">
        <v>160</v>
      </c>
      <c r="G93" s="101"/>
      <c r="H93" s="318"/>
      <c r="I93" s="209"/>
      <c r="J93" s="209"/>
      <c r="K93" s="209"/>
      <c r="L93" s="209"/>
      <c r="M93" s="209"/>
      <c r="N93" s="319"/>
      <c r="O93" s="320">
        <f t="shared" ref="O93:X93" si="107">O87+$Z$93</f>
        <v>7.9119165678396408</v>
      </c>
      <c r="P93" s="320">
        <f t="shared" ca="1" si="107"/>
        <v>8.8820236722630916</v>
      </c>
      <c r="Q93" s="320">
        <f t="shared" ca="1" si="107"/>
        <v>8.7818617770461813</v>
      </c>
      <c r="R93" s="320">
        <f t="shared" ca="1" si="107"/>
        <v>8.8168838536185472</v>
      </c>
      <c r="S93" s="320">
        <f t="shared" ca="1" si="107"/>
        <v>8.8346690967175068</v>
      </c>
      <c r="T93" s="320">
        <f t="shared" ca="1" si="107"/>
        <v>8.8569241383331985</v>
      </c>
      <c r="U93" s="320">
        <f t="shared" ca="1" si="107"/>
        <v>8.8675957996897186</v>
      </c>
      <c r="V93" s="320">
        <f t="shared" ca="1" si="107"/>
        <v>8.8836570347034396</v>
      </c>
      <c r="W93" s="320">
        <f t="shared" ca="1" si="107"/>
        <v>8.9009833072841307</v>
      </c>
      <c r="X93" s="320">
        <f t="shared" ca="1" si="107"/>
        <v>8.9186221140110895</v>
      </c>
      <c r="Y93" s="321">
        <f ca="1">Y87+$Z$93</f>
        <v>8.928716376217519</v>
      </c>
      <c r="Z93" s="113">
        <f>AVERAGE(H92:O92)</f>
        <v>7.7219165678396404</v>
      </c>
      <c r="AA93" s="18" t="s">
        <v>166</v>
      </c>
    </row>
    <row r="94" spans="3:27" ht="15" customHeight="1" x14ac:dyDescent="0.2">
      <c r="C94" s="1"/>
      <c r="D94" s="1"/>
      <c r="E94" s="18" t="s">
        <v>128</v>
      </c>
      <c r="F94" s="24" t="s">
        <v>7</v>
      </c>
      <c r="G94" s="101"/>
      <c r="H94" s="208"/>
      <c r="I94" s="208"/>
      <c r="J94" s="208"/>
      <c r="K94" s="208"/>
      <c r="L94" s="208"/>
      <c r="M94" s="208"/>
      <c r="N94" s="208"/>
      <c r="O94" s="208"/>
      <c r="P94" s="107">
        <f t="shared" ref="P94:Y94" ca="1" si="108">P93/O93-1</f>
        <v>0.12261341434852113</v>
      </c>
      <c r="Q94" s="107">
        <f t="shared" ca="1" si="108"/>
        <v>-1.1276922795161792E-2</v>
      </c>
      <c r="R94" s="107">
        <f t="shared" ca="1" si="108"/>
        <v>3.9880013443056583E-3</v>
      </c>
      <c r="S94" s="107">
        <f t="shared" ca="1" si="108"/>
        <v>2.0171801505199927E-3</v>
      </c>
      <c r="T94" s="107">
        <f t="shared" ca="1" si="108"/>
        <v>2.5190577453502172E-3</v>
      </c>
      <c r="U94" s="107">
        <f t="shared" ca="1" si="108"/>
        <v>1.2048947456073655E-3</v>
      </c>
      <c r="V94" s="107">
        <f t="shared" ca="1" si="108"/>
        <v>1.8112276852180198E-3</v>
      </c>
      <c r="W94" s="107">
        <f t="shared" ca="1" si="108"/>
        <v>1.9503536114695574E-3</v>
      </c>
      <c r="X94" s="107">
        <f t="shared" ca="1" si="108"/>
        <v>1.9816694535899071E-3</v>
      </c>
      <c r="Y94" s="107">
        <f t="shared" ca="1" si="108"/>
        <v>1.1318185788555812E-3</v>
      </c>
      <c r="Z94" s="114"/>
      <c r="AA94" s="109"/>
    </row>
    <row r="95" spans="3:27" ht="15" customHeight="1" x14ac:dyDescent="0.2">
      <c r="C95" s="1"/>
      <c r="D95" s="1"/>
      <c r="E95" s="18"/>
      <c r="F95" s="24"/>
      <c r="G95" s="101"/>
      <c r="H95" s="208"/>
      <c r="I95" s="208"/>
      <c r="J95" s="208"/>
      <c r="K95" s="208"/>
      <c r="L95" s="208"/>
      <c r="M95" s="208"/>
      <c r="N95" s="208"/>
      <c r="O95" s="208"/>
      <c r="P95" s="1"/>
      <c r="Q95" s="107"/>
      <c r="R95" s="107"/>
      <c r="S95" s="107"/>
      <c r="T95" s="107"/>
      <c r="U95" s="107"/>
      <c r="V95" s="107"/>
      <c r="W95" s="107"/>
      <c r="X95" s="107"/>
      <c r="Y95" s="107"/>
      <c r="Z95" s="114"/>
      <c r="AA95" s="109"/>
    </row>
    <row r="96" spans="3:27" ht="15" customHeight="1" x14ac:dyDescent="0.2">
      <c r="C96" s="90" t="s">
        <v>167</v>
      </c>
      <c r="D96" s="91"/>
      <c r="E96" s="91"/>
      <c r="F96" s="92"/>
      <c r="G96" s="92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109"/>
      <c r="AA96" s="109"/>
    </row>
    <row r="97" spans="3:27" ht="15" customHeight="1" x14ac:dyDescent="0.2">
      <c r="C97" s="1"/>
      <c r="D97" s="1"/>
      <c r="E97" s="1"/>
      <c r="F97" s="24"/>
      <c r="G97" s="101"/>
      <c r="H97" s="208"/>
      <c r="I97" s="208"/>
      <c r="J97" s="208"/>
      <c r="K97" s="208"/>
      <c r="L97" s="208"/>
      <c r="M97" s="208"/>
      <c r="N97" s="208"/>
      <c r="O97" s="208"/>
      <c r="P97" s="1"/>
      <c r="Q97" s="1"/>
      <c r="R97" s="1"/>
      <c r="S97" s="1"/>
      <c r="T97" s="1"/>
      <c r="U97" s="1"/>
      <c r="V97" s="1"/>
      <c r="W97" s="1"/>
      <c r="X97" s="1"/>
      <c r="Y97" s="1"/>
      <c r="Z97" s="109"/>
      <c r="AA97" s="109"/>
    </row>
    <row r="98" spans="3:27" ht="15" customHeight="1" x14ac:dyDescent="0.2">
      <c r="C98" s="1"/>
      <c r="D98" s="1"/>
      <c r="E98" s="2" t="s">
        <v>268</v>
      </c>
      <c r="F98" s="24" t="s">
        <v>264</v>
      </c>
      <c r="G98" s="101"/>
      <c r="H98" s="209"/>
      <c r="I98" s="209"/>
      <c r="J98" s="209"/>
      <c r="K98" s="209"/>
      <c r="L98" s="209"/>
      <c r="M98" s="209"/>
      <c r="N98" s="209"/>
      <c r="O98" s="115"/>
      <c r="P98" s="330">
        <f ca="1">'&gt;&gt; Fin Stmts'!P25</f>
        <v>232.0214208846902</v>
      </c>
      <c r="Q98" s="330">
        <f ca="1">'&gt;&gt; Fin Stmts'!Q25</f>
        <v>211.98904184130805</v>
      </c>
      <c r="R98" s="330">
        <f ca="1">'&gt;&gt; Fin Stmts'!R25</f>
        <v>218.99345715578121</v>
      </c>
      <c r="S98" s="330">
        <f ca="1">'&gt;&gt; Fin Stmts'!S25</f>
        <v>222.55050577557321</v>
      </c>
      <c r="T98" s="330">
        <f ca="1">'&gt;&gt; Fin Stmts'!T25</f>
        <v>227.00151409871148</v>
      </c>
      <c r="U98" s="330">
        <f ca="1">'&gt;&gt; Fin Stmts'!U25</f>
        <v>229.13584637001577</v>
      </c>
      <c r="V98" s="330">
        <f ca="1">'&gt;&gt; Fin Stmts'!V25</f>
        <v>232.34809337275979</v>
      </c>
      <c r="W98" s="330">
        <f ca="1">'&gt;&gt; Fin Stmts'!W25</f>
        <v>235.81334788889805</v>
      </c>
      <c r="X98" s="330">
        <f ca="1">'&gt;&gt; Fin Stmts'!X25</f>
        <v>239.34110923428992</v>
      </c>
      <c r="Y98" s="330">
        <f ca="1">'&gt;&gt; Fin Stmts'!Y25</f>
        <v>241.35996167557568</v>
      </c>
      <c r="Z98" s="109"/>
      <c r="AA98" s="109"/>
    </row>
    <row r="99" spans="3:27" ht="15" customHeight="1" x14ac:dyDescent="0.2">
      <c r="C99" s="1"/>
      <c r="D99" s="1"/>
      <c r="E99" s="18" t="s">
        <v>128</v>
      </c>
      <c r="F99" s="24" t="s">
        <v>7</v>
      </c>
      <c r="G99" s="101"/>
      <c r="H99" s="208"/>
      <c r="I99" s="208"/>
      <c r="J99" s="208"/>
      <c r="K99" s="208"/>
      <c r="L99" s="208"/>
      <c r="M99" s="208"/>
      <c r="N99" s="208"/>
      <c r="O99" s="208"/>
      <c r="P99" s="107"/>
      <c r="Q99" s="107">
        <f t="shared" ref="Q99:Y99" ca="1" si="109">Q98/P98-1</f>
        <v>-8.6338489640307103E-2</v>
      </c>
      <c r="R99" s="107">
        <f t="shared" ca="1" si="109"/>
        <v>3.3041402770793038E-2</v>
      </c>
      <c r="S99" s="107">
        <f t="shared" ca="1" si="109"/>
        <v>1.6242716408014335E-2</v>
      </c>
      <c r="T99" s="107">
        <f t="shared" ca="1" si="109"/>
        <v>1.9999991946218376E-2</v>
      </c>
      <c r="U99" s="107">
        <f t="shared" ca="1" si="109"/>
        <v>9.4022820939254625E-3</v>
      </c>
      <c r="V99" s="107">
        <f t="shared" ca="1" si="109"/>
        <v>1.4018963220432834E-2</v>
      </c>
      <c r="W99" s="107">
        <f t="shared" ca="1" si="109"/>
        <v>1.4914064780290115E-2</v>
      </c>
      <c r="X99" s="107">
        <f t="shared" ca="1" si="109"/>
        <v>1.4959973118459535E-2</v>
      </c>
      <c r="Y99" s="107">
        <f t="shared" ca="1" si="109"/>
        <v>8.435042553887051E-3</v>
      </c>
    </row>
    <row r="100" spans="3:27" ht="15" customHeight="1" x14ac:dyDescent="0.2">
      <c r="C100" s="1"/>
      <c r="D100" s="1"/>
      <c r="E100" s="1"/>
      <c r="F100" s="24"/>
      <c r="G100" s="101" t="s">
        <v>7</v>
      </c>
      <c r="H100" s="208"/>
      <c r="I100" s="208"/>
      <c r="J100" s="208"/>
      <c r="K100" s="208"/>
      <c r="L100" s="208"/>
      <c r="M100" s="208"/>
      <c r="N100" s="208"/>
      <c r="O100" s="208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7" ht="15" customHeight="1" x14ac:dyDescent="0.2">
      <c r="C101" s="116" t="s">
        <v>286</v>
      </c>
      <c r="D101" s="117"/>
      <c r="E101" s="118"/>
      <c r="F101" s="118"/>
      <c r="G101" s="118"/>
      <c r="H101" s="117"/>
      <c r="I101" s="117"/>
      <c r="J101" s="117"/>
      <c r="K101" s="119"/>
      <c r="L101" s="119"/>
      <c r="M101" s="119"/>
      <c r="N101" s="120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</row>
    <row r="102" spans="3:27" ht="15" customHeight="1" x14ac:dyDescent="0.2">
      <c r="C102" s="1" t="s">
        <v>287</v>
      </c>
      <c r="D102" s="2"/>
      <c r="E102" s="2"/>
      <c r="F102" s="24"/>
      <c r="G102" s="24"/>
      <c r="H102" s="121"/>
      <c r="I102" s="121"/>
      <c r="J102" s="121"/>
      <c r="K102" s="121"/>
      <c r="L102" s="121"/>
      <c r="M102" s="121"/>
      <c r="N102" s="121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</row>
    <row r="103" spans="3:27" ht="15" customHeight="1" x14ac:dyDescent="0.2">
      <c r="C103" s="1"/>
      <c r="D103" s="2"/>
      <c r="E103" s="122" t="s">
        <v>276</v>
      </c>
      <c r="F103" s="24" t="s">
        <v>25</v>
      </c>
      <c r="G103" s="24"/>
      <c r="H103" s="123">
        <v>1687.2</v>
      </c>
      <c r="I103" s="123">
        <v>1894.5</v>
      </c>
      <c r="J103" s="123">
        <v>2280.9</v>
      </c>
      <c r="K103" s="123" t="s">
        <v>274</v>
      </c>
      <c r="L103" s="123" t="s">
        <v>274</v>
      </c>
      <c r="M103" s="123" t="s">
        <v>274</v>
      </c>
      <c r="N103" s="123" t="s">
        <v>274</v>
      </c>
      <c r="O103" s="123" t="s">
        <v>274</v>
      </c>
      <c r="P103" s="124">
        <f>J103*(1+P105)</f>
        <v>2508.9900000000002</v>
      </c>
      <c r="Q103" s="124">
        <f t="shared" ref="Q103:Y103" si="110">P103*(1+Q105)</f>
        <v>3261.6870000000004</v>
      </c>
      <c r="R103" s="124">
        <f t="shared" si="110"/>
        <v>3914.0244000000002</v>
      </c>
      <c r="S103" s="124">
        <f t="shared" si="110"/>
        <v>4305.426840000001</v>
      </c>
      <c r="T103" s="124">
        <f t="shared" si="110"/>
        <v>4735.9695240000019</v>
      </c>
      <c r="U103" s="124">
        <f t="shared" si="110"/>
        <v>4972.7680002000025</v>
      </c>
      <c r="V103" s="124">
        <f t="shared" si="110"/>
        <v>5221.4064002100031</v>
      </c>
      <c r="W103" s="124">
        <f t="shared" si="110"/>
        <v>5482.4767202205039</v>
      </c>
      <c r="X103" s="124">
        <f t="shared" si="110"/>
        <v>5756.6005562315295</v>
      </c>
      <c r="Y103" s="124">
        <f t="shared" si="110"/>
        <v>5900.5155701373169</v>
      </c>
    </row>
    <row r="104" spans="3:27" ht="15" customHeight="1" x14ac:dyDescent="0.2">
      <c r="C104" s="1"/>
      <c r="D104" s="1"/>
      <c r="F104" s="94"/>
      <c r="G104" s="3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 spans="3:27" ht="15" customHeight="1" x14ac:dyDescent="0.2">
      <c r="C105" s="1"/>
      <c r="D105" s="1"/>
      <c r="E105" s="18" t="s">
        <v>168</v>
      </c>
      <c r="F105" s="24" t="s">
        <v>7</v>
      </c>
      <c r="G105" s="37"/>
      <c r="H105" s="231">
        <v>0.13830000000000001</v>
      </c>
      <c r="I105" s="231">
        <f>IFERROR((I103/H103-1),"NA")</f>
        <v>0.12286628733997151</v>
      </c>
      <c r="J105" s="231">
        <f t="shared" ref="J105:N105" si="111">IFERROR((J103/I103-1),"NA")</f>
        <v>0.20395882818685673</v>
      </c>
      <c r="K105" s="231" t="str">
        <f t="shared" si="111"/>
        <v>NA</v>
      </c>
      <c r="L105" s="231" t="str">
        <f t="shared" si="111"/>
        <v>NA</v>
      </c>
      <c r="M105" s="231" t="str">
        <f t="shared" si="111"/>
        <v>NA</v>
      </c>
      <c r="N105" s="231" t="str">
        <f t="shared" si="111"/>
        <v>NA</v>
      </c>
      <c r="O105" s="231" t="str">
        <f>IFERROR((O103/N103-1),"NA")</f>
        <v>NA</v>
      </c>
      <c r="P105" s="125">
        <v>0.1</v>
      </c>
      <c r="Q105" s="125">
        <v>0.3</v>
      </c>
      <c r="R105" s="125">
        <v>0.2</v>
      </c>
      <c r="S105" s="125">
        <v>0.1</v>
      </c>
      <c r="T105" s="125">
        <v>0.1</v>
      </c>
      <c r="U105" s="125">
        <v>0.05</v>
      </c>
      <c r="V105" s="125">
        <v>0.05</v>
      </c>
      <c r="W105" s="125">
        <v>0.05</v>
      </c>
      <c r="X105" s="125">
        <v>0.05</v>
      </c>
      <c r="Y105" s="125">
        <v>2.5000000000000001E-2</v>
      </c>
    </row>
    <row r="106" spans="3:27" ht="15" customHeight="1" x14ac:dyDescent="0.2">
      <c r="C106" s="1"/>
      <c r="D106" s="1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2"/>
      <c r="E108" s="122" t="s">
        <v>169</v>
      </c>
      <c r="F108" s="24" t="s">
        <v>25</v>
      </c>
      <c r="G108" s="24"/>
      <c r="H108" s="126">
        <v>86.1</v>
      </c>
      <c r="I108" s="126">
        <v>76</v>
      </c>
      <c r="J108" s="126">
        <v>108.5</v>
      </c>
      <c r="K108" s="126" t="s">
        <v>274</v>
      </c>
      <c r="L108" s="126" t="s">
        <v>274</v>
      </c>
      <c r="M108" s="126" t="s">
        <v>274</v>
      </c>
      <c r="N108" s="126" t="s">
        <v>274</v>
      </c>
      <c r="O108" s="126" t="s">
        <v>274</v>
      </c>
      <c r="P108" s="127">
        <f t="shared" ref="P108:Y108" si="112">P103*P110</f>
        <v>114.83567807695688</v>
      </c>
      <c r="Q108" s="127">
        <f t="shared" si="112"/>
        <v>144.32610607222409</v>
      </c>
      <c r="R108" s="127">
        <f t="shared" si="112"/>
        <v>179.35025167234565</v>
      </c>
      <c r="S108" s="127">
        <f t="shared" si="112"/>
        <v>194.90004972092902</v>
      </c>
      <c r="T108" s="127">
        <f t="shared" si="112"/>
        <v>214.39005469302197</v>
      </c>
      <c r="U108" s="127">
        <f t="shared" si="112"/>
        <v>225.10955742767308</v>
      </c>
      <c r="V108" s="127">
        <f t="shared" si="112"/>
        <v>236.36503529905676</v>
      </c>
      <c r="W108" s="127">
        <f t="shared" si="112"/>
        <v>248.18328706400968</v>
      </c>
      <c r="X108" s="127">
        <f t="shared" si="112"/>
        <v>260.59245141721016</v>
      </c>
      <c r="Y108" s="127">
        <f t="shared" si="112"/>
        <v>266.74212752071497</v>
      </c>
    </row>
    <row r="109" spans="3:27" ht="15" customHeight="1" x14ac:dyDescent="0.2">
      <c r="C109" s="1"/>
      <c r="D109" s="2"/>
      <c r="E109" s="128" t="s">
        <v>170</v>
      </c>
      <c r="F109" s="24" t="s">
        <v>7</v>
      </c>
      <c r="G109" s="24"/>
      <c r="H109" s="129"/>
      <c r="I109" s="292">
        <f>IFERROR((I108/H108-1),"NA")</f>
        <v>-0.11730545876887333</v>
      </c>
      <c r="J109" s="292">
        <f t="shared" ref="J109:O109" si="113">IFERROR((J108/I108-1),"NA")</f>
        <v>0.42763157894736836</v>
      </c>
      <c r="K109" s="292" t="str">
        <f t="shared" si="113"/>
        <v>NA</v>
      </c>
      <c r="L109" s="292" t="str">
        <f t="shared" si="113"/>
        <v>NA</v>
      </c>
      <c r="M109" s="292" t="str">
        <f t="shared" si="113"/>
        <v>NA</v>
      </c>
      <c r="N109" s="292" t="str">
        <f t="shared" si="113"/>
        <v>NA</v>
      </c>
      <c r="O109" s="292" t="str">
        <f t="shared" si="113"/>
        <v>NA</v>
      </c>
      <c r="P109" s="292" t="str">
        <f t="shared" ref="P109" si="114">IFERROR((P108/O108-1),"NA")</f>
        <v>NA</v>
      </c>
      <c r="Q109" s="292">
        <f t="shared" ref="Q109" si="115">IFERROR((Q108/P108-1),"NA")</f>
        <v>0.25680545009282096</v>
      </c>
      <c r="R109" s="292">
        <f t="shared" ref="R109" si="116">IFERROR((R108/Q108-1),"NA")</f>
        <v>0.24267366835626158</v>
      </c>
      <c r="S109" s="292">
        <f t="shared" ref="S109" si="117">IFERROR((S108/R108-1),"NA")</f>
        <v>8.6700731688914789E-2</v>
      </c>
      <c r="T109" s="292">
        <f t="shared" ref="T109" si="118">IFERROR((T108/S108-1),"NA")</f>
        <v>0.10000000000000031</v>
      </c>
      <c r="U109" s="292">
        <f t="shared" ref="U109" si="119">IFERROR((U108/T108-1),"NA")</f>
        <v>5.0000000000000044E-2</v>
      </c>
      <c r="V109" s="292">
        <f t="shared" ref="V109" si="120">IFERROR((V108/U108-1),"NA")</f>
        <v>5.0000000000000044E-2</v>
      </c>
      <c r="W109" s="292">
        <f t="shared" ref="W109" si="121">IFERROR((W108/V108-1),"NA")</f>
        <v>5.0000000000000266E-2</v>
      </c>
      <c r="X109" s="292">
        <f t="shared" ref="X109" si="122">IFERROR((X108/W108-1),"NA")</f>
        <v>5.0000000000000044E-2</v>
      </c>
      <c r="Y109" s="292">
        <f t="shared" ref="Y109" si="123">IFERROR((Y108/X108-1),"NA")</f>
        <v>2.3598826712210252E-2</v>
      </c>
    </row>
    <row r="110" spans="3:27" ht="15" customHeight="1" x14ac:dyDescent="0.2">
      <c r="C110" s="1"/>
      <c r="D110" s="2"/>
      <c r="E110" s="128" t="s">
        <v>171</v>
      </c>
      <c r="F110" s="24" t="s">
        <v>7</v>
      </c>
      <c r="G110" s="24"/>
      <c r="H110" s="107">
        <f>IFERROR(H108/H103,"NA")</f>
        <v>5.1031294452347081E-2</v>
      </c>
      <c r="I110" s="107">
        <f t="shared" ref="I110:O110" si="124">IFERROR(I108/I103,"NA")</f>
        <v>4.0116125626814464E-2</v>
      </c>
      <c r="J110" s="107">
        <f t="shared" si="124"/>
        <v>4.756894208426498E-2</v>
      </c>
      <c r="K110" s="107" t="str">
        <f t="shared" si="124"/>
        <v>NA</v>
      </c>
      <c r="L110" s="107" t="str">
        <f t="shared" si="124"/>
        <v>NA</v>
      </c>
      <c r="M110" s="107" t="str">
        <f t="shared" si="124"/>
        <v>NA</v>
      </c>
      <c r="N110" s="107" t="str">
        <f t="shared" si="124"/>
        <v>NA</v>
      </c>
      <c r="O110" s="107" t="str">
        <f t="shared" si="124"/>
        <v>NA</v>
      </c>
      <c r="P110" s="293">
        <f>HARMEAN(H110:O110)</f>
        <v>4.5769683449099784E-2</v>
      </c>
      <c r="Q110" s="293">
        <f t="shared" ref="Q110:Y110" si="125">HARMEAN(I110:P110)</f>
        <v>4.4248913544501382E-2</v>
      </c>
      <c r="R110" s="293">
        <f t="shared" si="125"/>
        <v>4.5822466429270507E-2</v>
      </c>
      <c r="S110" s="293">
        <f t="shared" si="125"/>
        <v>4.5268461633162713E-2</v>
      </c>
      <c r="T110" s="293">
        <f t="shared" si="125"/>
        <v>4.5268461633162713E-2</v>
      </c>
      <c r="U110" s="293">
        <f t="shared" si="125"/>
        <v>4.5268461633162713E-2</v>
      </c>
      <c r="V110" s="293">
        <f t="shared" si="125"/>
        <v>4.5268461633162713E-2</v>
      </c>
      <c r="W110" s="293">
        <f t="shared" si="125"/>
        <v>4.526846163316272E-2</v>
      </c>
      <c r="X110" s="293">
        <f t="shared" si="125"/>
        <v>4.526846163316272E-2</v>
      </c>
      <c r="Y110" s="293">
        <f t="shared" si="125"/>
        <v>4.5206579721728847E-2</v>
      </c>
    </row>
    <row r="111" spans="3:27" ht="15" customHeight="1" x14ac:dyDescent="0.2">
      <c r="C111" s="251"/>
      <c r="D111" s="251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</row>
    <row r="113" spans="3:25" ht="15" customHeight="1" x14ac:dyDescent="0.2">
      <c r="C113" s="116" t="s">
        <v>272</v>
      </c>
      <c r="D113" s="117"/>
      <c r="E113" s="117"/>
      <c r="F113" s="118"/>
      <c r="G113" s="118"/>
      <c r="H113" s="117"/>
      <c r="I113" s="117"/>
      <c r="J113" s="117"/>
      <c r="K113" s="119"/>
      <c r="L113" s="119"/>
      <c r="M113" s="119"/>
      <c r="N113" s="120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</row>
    <row r="114" spans="3:25" ht="15" customHeight="1" x14ac:dyDescent="0.2">
      <c r="C114" s="1"/>
      <c r="D114" s="2"/>
      <c r="E114" s="2"/>
      <c r="F114" s="24"/>
      <c r="G114" s="24"/>
      <c r="H114" s="121"/>
      <c r="I114" s="121"/>
      <c r="J114" s="121"/>
      <c r="K114" s="121"/>
      <c r="L114" s="121"/>
      <c r="M114" s="121"/>
      <c r="N114" s="121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</row>
    <row r="115" spans="3:25" ht="15" customHeight="1" x14ac:dyDescent="0.2">
      <c r="C115" s="1"/>
      <c r="D115" s="2"/>
      <c r="E115" s="122" t="s">
        <v>277</v>
      </c>
      <c r="F115" s="24" t="s">
        <v>25</v>
      </c>
      <c r="G115" s="24"/>
      <c r="H115" s="123">
        <v>907.2</v>
      </c>
      <c r="I115" s="123">
        <v>999.9</v>
      </c>
      <c r="J115" s="123">
        <v>1048.2</v>
      </c>
      <c r="K115" s="123">
        <v>1096.8</v>
      </c>
      <c r="L115" s="123">
        <v>1126.5999999999999</v>
      </c>
      <c r="M115" s="123">
        <v>1225.7</v>
      </c>
      <c r="N115" s="123">
        <v>1387.4</v>
      </c>
      <c r="O115" s="123">
        <v>1356.9</v>
      </c>
      <c r="P115" s="124">
        <f>O115*(1+P117)</f>
        <v>1438.6876029437828</v>
      </c>
      <c r="Q115" s="124">
        <f t="shared" ref="Q115:Y115" si="126">P115*(1+Q117)</f>
        <v>1525.404981107029</v>
      </c>
      <c r="R115" s="124">
        <f t="shared" si="126"/>
        <v>1609.3585961238757</v>
      </c>
      <c r="S115" s="124">
        <f t="shared" si="126"/>
        <v>1699.2870571193939</v>
      </c>
      <c r="T115" s="124">
        <f t="shared" si="126"/>
        <v>1796.2612989503018</v>
      </c>
      <c r="U115" s="124">
        <f t="shared" si="126"/>
        <v>1905.4826286849602</v>
      </c>
      <c r="V115" s="124">
        <f t="shared" si="126"/>
        <v>2014.8762718061716</v>
      </c>
      <c r="W115" s="124">
        <f t="shared" si="126"/>
        <v>2111.7829661701248</v>
      </c>
      <c r="X115" s="124">
        <f t="shared" si="126"/>
        <v>2231.8494468712238</v>
      </c>
      <c r="Y115" s="124">
        <f t="shared" si="126"/>
        <v>2357.7882983842765</v>
      </c>
    </row>
    <row r="116" spans="3:25" ht="15" customHeight="1" x14ac:dyDescent="0.2">
      <c r="C116" s="1"/>
      <c r="D116" s="1"/>
      <c r="F116" s="94"/>
      <c r="G116" s="3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 spans="3:25" ht="15" customHeight="1" x14ac:dyDescent="0.2">
      <c r="C117" s="1"/>
      <c r="D117" s="1"/>
      <c r="E117" s="18" t="s">
        <v>168</v>
      </c>
      <c r="F117" s="24" t="s">
        <v>7</v>
      </c>
      <c r="G117" s="37"/>
      <c r="H117" s="231"/>
      <c r="I117" s="231">
        <f>IFERROR((I115/H115-1),"NA")</f>
        <v>0.10218253968253954</v>
      </c>
      <c r="J117" s="231">
        <f t="shared" ref="J117:N117" si="127">IFERROR((J115/I115-1),"NA")</f>
        <v>4.8304830483048455E-2</v>
      </c>
      <c r="K117" s="231">
        <f t="shared" si="127"/>
        <v>4.6365197481396558E-2</v>
      </c>
      <c r="L117" s="231">
        <f t="shared" si="127"/>
        <v>2.7169948942377786E-2</v>
      </c>
      <c r="M117" s="231">
        <f t="shared" si="127"/>
        <v>8.7963784839339754E-2</v>
      </c>
      <c r="N117" s="231">
        <f t="shared" si="127"/>
        <v>0.13192461450599668</v>
      </c>
      <c r="O117" s="231">
        <f>IFERROR((O115/N115-1),"NA")</f>
        <v>-2.1983566383162789E-2</v>
      </c>
      <c r="P117" s="125">
        <f>AVERAGE(H117:O117)</f>
        <v>6.0275335650219426E-2</v>
      </c>
      <c r="Q117" s="125">
        <f t="shared" ref="Q117:Y117" si="128">AVERAGE(I117:P117)</f>
        <v>6.0275335650219426E-2</v>
      </c>
      <c r="R117" s="125">
        <f t="shared" si="128"/>
        <v>5.5036935146179411E-2</v>
      </c>
      <c r="S117" s="125">
        <f t="shared" si="128"/>
        <v>5.587844822907078E-2</v>
      </c>
      <c r="T117" s="125">
        <f t="shared" si="128"/>
        <v>5.7067604572530059E-2</v>
      </c>
      <c r="U117" s="125">
        <f t="shared" si="128"/>
        <v>6.0804811526299095E-2</v>
      </c>
      <c r="V117" s="125">
        <f t="shared" si="128"/>
        <v>5.740993986216901E-2</v>
      </c>
      <c r="W117" s="125">
        <f t="shared" si="128"/>
        <v>4.8095605531690552E-2</v>
      </c>
      <c r="X117" s="125">
        <f t="shared" si="128"/>
        <v>5.6855502021047222E-2</v>
      </c>
      <c r="Y117" s="125">
        <f t="shared" si="128"/>
        <v>5.6428022817400697E-2</v>
      </c>
    </row>
    <row r="118" spans="3:25" ht="15" customHeight="1" x14ac:dyDescent="0.2">
      <c r="C118" s="1"/>
      <c r="D118" s="1"/>
    </row>
    <row r="119" spans="3:25" ht="15" customHeight="1" x14ac:dyDescent="0.2">
      <c r="C119" s="1"/>
      <c r="D119" s="1"/>
    </row>
    <row r="120" spans="3:25" ht="15" customHeight="1" x14ac:dyDescent="0.2">
      <c r="C120" s="1"/>
      <c r="D120" s="2"/>
      <c r="E120" s="122" t="s">
        <v>169</v>
      </c>
      <c r="F120" s="24" t="s">
        <v>25</v>
      </c>
      <c r="G120" s="24"/>
      <c r="H120" s="126">
        <v>37.466999999999999</v>
      </c>
      <c r="I120" s="126">
        <v>47.1</v>
      </c>
      <c r="J120" s="126">
        <v>54.93</v>
      </c>
      <c r="K120" s="126">
        <v>57.85</v>
      </c>
      <c r="L120" s="126">
        <v>63.62</v>
      </c>
      <c r="M120" s="126">
        <v>28.6</v>
      </c>
      <c r="N120" s="126">
        <v>33.9</v>
      </c>
      <c r="O120" s="126">
        <v>35.200000000000003</v>
      </c>
      <c r="P120" s="127">
        <f t="shared" ref="P120:Y120" si="129">P115*P122</f>
        <v>51.49113861026494</v>
      </c>
      <c r="Q120" s="127">
        <f t="shared" si="129"/>
        <v>53.699366497752031</v>
      </c>
      <c r="R120" s="127">
        <f t="shared" si="129"/>
        <v>54.920311277750734</v>
      </c>
      <c r="S120" s="127">
        <f t="shared" si="129"/>
        <v>55.566478047127617</v>
      </c>
      <c r="T120" s="127">
        <f t="shared" si="129"/>
        <v>56.073803164957816</v>
      </c>
      <c r="U120" s="127">
        <f t="shared" si="129"/>
        <v>56.334261937358995</v>
      </c>
      <c r="V120" s="127">
        <f t="shared" si="129"/>
        <v>61.625360636195083</v>
      </c>
      <c r="W120" s="127">
        <f t="shared" si="129"/>
        <v>66.687741001617468</v>
      </c>
      <c r="X120" s="127">
        <f t="shared" si="129"/>
        <v>72.447263447239422</v>
      </c>
      <c r="Y120" s="127">
        <f t="shared" si="129"/>
        <v>75.655504277957078</v>
      </c>
    </row>
    <row r="121" spans="3:25" ht="15" customHeight="1" x14ac:dyDescent="0.2">
      <c r="C121" s="1"/>
      <c r="D121" s="2"/>
      <c r="E121" s="128" t="s">
        <v>170</v>
      </c>
      <c r="F121" s="24" t="s">
        <v>7</v>
      </c>
      <c r="G121" s="24"/>
      <c r="H121" s="129"/>
      <c r="I121" s="292">
        <v>0</v>
      </c>
      <c r="J121" s="292">
        <f t="shared" ref="J121" si="130">IFERROR((J120/I120-1),"NA")</f>
        <v>0.16624203821656036</v>
      </c>
      <c r="K121" s="292">
        <f t="shared" ref="K121" si="131">IFERROR((K120/J120-1),"NA")</f>
        <v>5.3158565446932426E-2</v>
      </c>
      <c r="L121" s="292">
        <f t="shared" ref="L121" si="132">IFERROR((L120/K120-1),"NA")</f>
        <v>9.9740708729472605E-2</v>
      </c>
      <c r="M121" s="292">
        <f t="shared" ref="M121" si="133">IFERROR((M120/L120-1),"NA")</f>
        <v>-0.55045583149952848</v>
      </c>
      <c r="N121" s="292">
        <f t="shared" ref="N121" si="134">IFERROR((N120/M120-1),"NA")</f>
        <v>0.1853146853146852</v>
      </c>
      <c r="O121" s="292">
        <f t="shared" ref="O121" si="135">IFERROR((O120/N120-1),"NA")</f>
        <v>3.8348082595870414E-2</v>
      </c>
      <c r="P121" s="292">
        <f t="shared" ref="P121" si="136">IFERROR((P120/O120-1),"NA")</f>
        <v>0.46281643779161752</v>
      </c>
      <c r="Q121" s="292">
        <f t="shared" ref="Q121" si="137">IFERROR((Q120/P120-1),"NA")</f>
        <v>4.2885590551825059E-2</v>
      </c>
      <c r="R121" s="292">
        <f t="shared" ref="R121" si="138">IFERROR((R120/Q120-1),"NA")</f>
        <v>2.2736670088087774E-2</v>
      </c>
      <c r="S121" s="292">
        <f t="shared" ref="S121" si="139">IFERROR((S120/R120-1),"NA")</f>
        <v>1.1765533631246106E-2</v>
      </c>
      <c r="T121" s="292">
        <f t="shared" ref="T121" si="140">IFERROR((T120/S120-1),"NA")</f>
        <v>9.1300571074510728E-3</v>
      </c>
      <c r="U121" s="292">
        <f t="shared" ref="U121" si="141">IFERROR((U120/T120-1),"NA")</f>
        <v>4.6449278932438887E-3</v>
      </c>
      <c r="V121" s="292">
        <f t="shared" ref="V121" si="142">IFERROR((V120/U120-1),"NA")</f>
        <v>9.3923280733127168E-2</v>
      </c>
      <c r="W121" s="292">
        <f t="shared" ref="W121" si="143">IFERROR((W120/V120-1),"NA")</f>
        <v>8.214767935084577E-2</v>
      </c>
      <c r="X121" s="292">
        <f t="shared" ref="X121" si="144">IFERROR((X120/W120-1),"NA")</f>
        <v>8.6365535241061275E-2</v>
      </c>
      <c r="Y121" s="292">
        <f t="shared" ref="Y121" si="145">IFERROR((Y120/X120-1),"NA")</f>
        <v>4.4283809740503166E-2</v>
      </c>
    </row>
    <row r="122" spans="3:25" ht="15" customHeight="1" x14ac:dyDescent="0.2">
      <c r="C122" s="1"/>
      <c r="D122" s="2"/>
      <c r="E122" s="128" t="s">
        <v>171</v>
      </c>
      <c r="F122" s="24" t="s">
        <v>7</v>
      </c>
      <c r="G122" s="24"/>
      <c r="H122" s="107">
        <f>IFERROR(H120/H115,"NA")</f>
        <v>4.1299603174603169E-2</v>
      </c>
      <c r="I122" s="107">
        <f t="shared" ref="I122:O122" si="146">IFERROR(I120/I115,"NA")</f>
        <v>4.7104710471047105E-2</v>
      </c>
      <c r="J122" s="107">
        <f t="shared" si="146"/>
        <v>5.2404121350887234E-2</v>
      </c>
      <c r="K122" s="107">
        <f t="shared" si="146"/>
        <v>5.2744347191830784E-2</v>
      </c>
      <c r="L122" s="107">
        <f t="shared" si="146"/>
        <v>5.6470797088585128E-2</v>
      </c>
      <c r="M122" s="107">
        <f t="shared" si="146"/>
        <v>2.3333605286774903E-2</v>
      </c>
      <c r="N122" s="107">
        <f t="shared" si="146"/>
        <v>2.4434193455384168E-2</v>
      </c>
      <c r="O122" s="107">
        <f t="shared" si="146"/>
        <v>2.5941484265605424E-2</v>
      </c>
      <c r="P122" s="293">
        <f>HARMEAN(H122:O122)</f>
        <v>3.5790354003819809E-2</v>
      </c>
      <c r="Q122" s="293">
        <f t="shared" ref="Q122:Y122" si="147">HARMEAN(I122:P122)</f>
        <v>3.5203350692339354E-2</v>
      </c>
      <c r="R122" s="293">
        <f t="shared" si="147"/>
        <v>3.4125589790880519E-2</v>
      </c>
      <c r="S122" s="293">
        <f t="shared" si="147"/>
        <v>3.2699877171619894E-2</v>
      </c>
      <c r="T122" s="293">
        <f t="shared" si="147"/>
        <v>3.1216952231685999E-2</v>
      </c>
      <c r="U122" s="293">
        <f t="shared" si="147"/>
        <v>2.9564300975148342E-2</v>
      </c>
      <c r="V122" s="293">
        <f t="shared" si="147"/>
        <v>3.0585183566111975E-2</v>
      </c>
      <c r="W122" s="293">
        <f t="shared" si="147"/>
        <v>3.1578880060085267E-2</v>
      </c>
      <c r="X122" s="293">
        <f t="shared" si="147"/>
        <v>3.2460640904251631E-2</v>
      </c>
      <c r="Y122" s="293">
        <f t="shared" si="147"/>
        <v>3.2087488232001825E-2</v>
      </c>
    </row>
    <row r="123" spans="3:25" ht="15" customHeight="1" x14ac:dyDescent="0.2">
      <c r="C123" s="251"/>
      <c r="D123" s="251"/>
      <c r="E123" s="251"/>
      <c r="F123" s="251"/>
      <c r="G123" s="251"/>
      <c r="H123" s="251"/>
      <c r="I123" s="251"/>
      <c r="J123" s="251"/>
      <c r="K123" s="251"/>
      <c r="L123" s="251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51"/>
      <c r="X123" s="251"/>
      <c r="Y123" s="251"/>
    </row>
    <row r="125" spans="3:25" ht="15" customHeight="1" x14ac:dyDescent="0.2">
      <c r="C125" s="116" t="s">
        <v>273</v>
      </c>
      <c r="D125" s="117"/>
      <c r="E125" s="117"/>
      <c r="F125" s="118"/>
      <c r="G125" s="118"/>
      <c r="H125" s="117"/>
      <c r="I125" s="117"/>
      <c r="J125" s="117"/>
      <c r="K125" s="119"/>
      <c r="L125" s="119"/>
      <c r="M125" s="119"/>
      <c r="N125" s="120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</row>
    <row r="126" spans="3:25" ht="15" customHeight="1" x14ac:dyDescent="0.2">
      <c r="C126" s="1"/>
      <c r="D126" s="2"/>
      <c r="E126" s="2"/>
      <c r="F126" s="24"/>
      <c r="G126" s="24"/>
      <c r="H126" s="121"/>
      <c r="I126" s="121"/>
      <c r="J126" s="121"/>
      <c r="K126" s="121"/>
      <c r="L126" s="121"/>
      <c r="M126" s="121"/>
      <c r="N126" s="121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</row>
    <row r="127" spans="3:25" ht="15" customHeight="1" x14ac:dyDescent="0.2">
      <c r="C127" s="1"/>
      <c r="D127" s="2"/>
      <c r="E127" s="122" t="s">
        <v>278</v>
      </c>
      <c r="F127" s="24" t="s">
        <v>25</v>
      </c>
      <c r="G127" s="24"/>
      <c r="H127" s="123">
        <v>552.46</v>
      </c>
      <c r="I127" s="123">
        <v>675.44</v>
      </c>
      <c r="J127" s="123">
        <v>654.92999999999995</v>
      </c>
      <c r="K127" s="123">
        <v>650.75</v>
      </c>
      <c r="L127" s="123">
        <v>604.94000000000005</v>
      </c>
      <c r="M127" s="123">
        <v>586.32000000000005</v>
      </c>
      <c r="N127" s="123">
        <v>687.23</v>
      </c>
      <c r="O127" s="123">
        <v>712.6</v>
      </c>
      <c r="P127" s="348">
        <v>720.34</v>
      </c>
      <c r="Q127" s="124">
        <f t="shared" ref="Q127:Y127" si="148">P127*(1+Q129)</f>
        <v>750.56389061043797</v>
      </c>
      <c r="R127" s="124">
        <f t="shared" si="148"/>
        <v>779.1384509192776</v>
      </c>
      <c r="S127" s="124">
        <f t="shared" si="148"/>
        <v>791.20728424378979</v>
      </c>
      <c r="T127" s="124">
        <f t="shared" si="148"/>
        <v>810.23146413165955</v>
      </c>
      <c r="U127" s="124">
        <f t="shared" si="148"/>
        <v>831.92827749131447</v>
      </c>
      <c r="V127" s="124">
        <f t="shared" si="148"/>
        <v>864.0270331230289</v>
      </c>
      <c r="W127" s="124">
        <f t="shared" si="148"/>
        <v>903.58078007011466</v>
      </c>
      <c r="X127" s="124">
        <f t="shared" si="148"/>
        <v>929.86403825099092</v>
      </c>
      <c r="Y127" s="124">
        <f t="shared" si="148"/>
        <v>957.94188378409547</v>
      </c>
    </row>
    <row r="128" spans="3:25" ht="15" customHeight="1" x14ac:dyDescent="0.2">
      <c r="C128" s="1"/>
      <c r="D128" s="1"/>
      <c r="F128" s="94"/>
      <c r="G128" s="3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 spans="3:25" ht="15" customHeight="1" x14ac:dyDescent="0.2">
      <c r="C129" s="1"/>
      <c r="D129" s="1"/>
      <c r="E129" s="18" t="s">
        <v>168</v>
      </c>
      <c r="F129" s="24" t="s">
        <v>7</v>
      </c>
      <c r="G129" s="37"/>
      <c r="H129" s="231"/>
      <c r="I129" s="231">
        <f>IFERROR((I127/H127-1),"NA")</f>
        <v>0.22260435144625856</v>
      </c>
      <c r="J129" s="231">
        <f t="shared" ref="J129:N129" si="149">IFERROR((J127/I127-1),"NA")</f>
        <v>-3.0365391448537449E-2</v>
      </c>
      <c r="K129" s="231">
        <f t="shared" si="149"/>
        <v>-6.3823614737451573E-3</v>
      </c>
      <c r="L129" s="231">
        <f t="shared" si="149"/>
        <v>-7.0395697272377933E-2</v>
      </c>
      <c r="M129" s="231">
        <f t="shared" si="149"/>
        <v>-3.0779912057394165E-2</v>
      </c>
      <c r="N129" s="231">
        <f t="shared" si="149"/>
        <v>0.17210738163460215</v>
      </c>
      <c r="O129" s="231">
        <f>IFERROR((O127/N127-1),"NA")</f>
        <v>3.6916316226008661E-2</v>
      </c>
      <c r="P129" s="231">
        <f>IFERROR((P127/O127-1),"NA")</f>
        <v>1.0861633454953612E-2</v>
      </c>
      <c r="Q129" s="125">
        <f>AVERAGE(H129:O129)</f>
        <v>4.1957812436402099E-2</v>
      </c>
      <c r="R129" s="125">
        <f t="shared" ref="R129:Y129" si="150">AVERAGE(I129:P129)</f>
        <v>3.8070790063721036E-2</v>
      </c>
      <c r="S129" s="125">
        <f t="shared" si="150"/>
        <v>1.5489972687488977E-2</v>
      </c>
      <c r="T129" s="125">
        <f t="shared" si="150"/>
        <v>2.4044495376521285E-2</v>
      </c>
      <c r="U129" s="125">
        <f t="shared" si="150"/>
        <v>2.6778537146675552E-2</v>
      </c>
      <c r="V129" s="125">
        <f t="shared" si="150"/>
        <v>3.8583561227787957E-2</v>
      </c>
      <c r="W129" s="125">
        <f t="shared" si="150"/>
        <v>4.5778367378296672E-2</v>
      </c>
      <c r="X129" s="125">
        <f t="shared" si="150"/>
        <v>2.9087889827444896E-2</v>
      </c>
      <c r="Y129" s="125">
        <f t="shared" si="150"/>
        <v>3.0195646221480896E-2</v>
      </c>
    </row>
    <row r="130" spans="3:25" ht="15" customHeight="1" x14ac:dyDescent="0.2">
      <c r="C130" s="1"/>
      <c r="D130" s="1"/>
    </row>
    <row r="131" spans="3:25" ht="15" customHeight="1" x14ac:dyDescent="0.2">
      <c r="C131" s="1"/>
      <c r="D131" s="1"/>
    </row>
    <row r="132" spans="3:25" ht="15" customHeight="1" x14ac:dyDescent="0.2">
      <c r="C132" s="1"/>
      <c r="D132" s="2"/>
      <c r="E132" s="122" t="s">
        <v>169</v>
      </c>
      <c r="F132" s="24" t="s">
        <v>25</v>
      </c>
      <c r="G132" s="24"/>
      <c r="H132" s="126">
        <v>28.416</v>
      </c>
      <c r="I132" s="126">
        <v>29.631</v>
      </c>
      <c r="J132" s="126">
        <v>16.100000000000001</v>
      </c>
      <c r="K132" s="126">
        <v>16.216999999999999</v>
      </c>
      <c r="L132" s="126">
        <v>31.053999999999998</v>
      </c>
      <c r="M132" s="126">
        <v>32.200000000000003</v>
      </c>
      <c r="N132" s="126">
        <v>30.238</v>
      </c>
      <c r="O132" s="126">
        <v>34.234999999999999</v>
      </c>
      <c r="P132" s="347">
        <v>113.74</v>
      </c>
      <c r="Q132" s="127">
        <f t="shared" ref="Q132:Y132" si="151">Q127*Q134</f>
        <v>28.543002752207052</v>
      </c>
      <c r="R132" s="127">
        <f t="shared" si="151"/>
        <v>29.144643122498248</v>
      </c>
      <c r="S132" s="127">
        <f t="shared" si="151"/>
        <v>31.66053459449531</v>
      </c>
      <c r="T132" s="127">
        <f t="shared" si="151"/>
        <v>35.077736323043098</v>
      </c>
      <c r="U132" s="127">
        <f t="shared" si="151"/>
        <v>35.325430944570449</v>
      </c>
      <c r="V132" s="127">
        <f t="shared" si="151"/>
        <v>35.676881561481991</v>
      </c>
      <c r="W132" s="127">
        <f t="shared" si="151"/>
        <v>37.025222786521987</v>
      </c>
      <c r="X132" s="127">
        <f t="shared" si="151"/>
        <v>37.414326553997391</v>
      </c>
      <c r="Y132" s="127">
        <f t="shared" si="151"/>
        <v>38.676584036783041</v>
      </c>
    </row>
    <row r="133" spans="3:25" ht="15" customHeight="1" x14ac:dyDescent="0.2">
      <c r="C133" s="1"/>
      <c r="D133" s="2"/>
      <c r="E133" s="128" t="s">
        <v>170</v>
      </c>
      <c r="F133" s="24" t="s">
        <v>7</v>
      </c>
      <c r="G133" s="24"/>
      <c r="H133" s="129"/>
      <c r="I133" s="292">
        <f>IFERROR((I132/H132-1),"NA")</f>
        <v>4.2757601351351315E-2</v>
      </c>
      <c r="J133" s="292">
        <f t="shared" ref="J133" si="152">IFERROR((J132/I132-1),"NA")</f>
        <v>-0.45665012993149068</v>
      </c>
      <c r="K133" s="292">
        <f t="shared" ref="K133" si="153">IFERROR((K132/J132-1),"NA")</f>
        <v>7.2670807453414366E-3</v>
      </c>
      <c r="L133" s="292">
        <f t="shared" ref="L133" si="154">IFERROR((L132/K132-1),"NA")</f>
        <v>0.91490411296787322</v>
      </c>
      <c r="M133" s="292">
        <f t="shared" ref="M133" si="155">IFERROR((M132/L132-1),"NA")</f>
        <v>3.690345849165988E-2</v>
      </c>
      <c r="N133" s="292">
        <f t="shared" ref="N133" si="156">IFERROR((N132/M132-1),"NA")</f>
        <v>-6.0931677018633668E-2</v>
      </c>
      <c r="O133" s="292">
        <f t="shared" ref="O133" si="157">IFERROR((O132/N132-1),"NA")</f>
        <v>0.13218466829816777</v>
      </c>
      <c r="P133" s="292">
        <f t="shared" ref="P133" si="158">IFERROR((P132/O132-1),"NA")</f>
        <v>2.3223309478603769</v>
      </c>
      <c r="Q133" s="292">
        <f t="shared" ref="Q133" si="159">IFERROR((Q132/P132-1),"NA")</f>
        <v>-0.74905044177767666</v>
      </c>
      <c r="R133" s="292">
        <f t="shared" ref="R133" si="160">IFERROR((R132/Q132-1),"NA")</f>
        <v>2.1078383921771415E-2</v>
      </c>
      <c r="S133" s="292">
        <f t="shared" ref="S133" si="161">IFERROR((S132/R132-1),"NA")</f>
        <v>8.6324319066885868E-2</v>
      </c>
      <c r="T133" s="292">
        <f t="shared" ref="T133" si="162">IFERROR((T132/S132-1),"NA")</f>
        <v>0.10793253406219883</v>
      </c>
      <c r="U133" s="292">
        <f t="shared" ref="U133" si="163">IFERROR((U132/T132-1),"NA")</f>
        <v>7.0613057594779427E-3</v>
      </c>
      <c r="V133" s="292">
        <f t="shared" ref="V133" si="164">IFERROR((V132/U132-1),"NA")</f>
        <v>9.948940678544238E-3</v>
      </c>
      <c r="W133" s="292">
        <f t="shared" ref="W133" si="165">IFERROR((W132/V132-1),"NA")</f>
        <v>3.779313566732001E-2</v>
      </c>
      <c r="X133" s="292">
        <f t="shared" ref="X133" si="166">IFERROR((X132/W132-1),"NA")</f>
        <v>1.0509153981837605E-2</v>
      </c>
      <c r="Y133" s="292">
        <f t="shared" ref="Y133" si="167">IFERROR((Y132/X132-1),"NA")</f>
        <v>3.3737276574093311E-2</v>
      </c>
    </row>
    <row r="134" spans="3:25" ht="15" customHeight="1" x14ac:dyDescent="0.2">
      <c r="C134" s="1"/>
      <c r="D134" s="2"/>
      <c r="E134" s="128" t="s">
        <v>171</v>
      </c>
      <c r="F134" s="24" t="s">
        <v>7</v>
      </c>
      <c r="G134" s="24"/>
      <c r="H134" s="107">
        <f>IFERROR(H132/H127,"NA")</f>
        <v>5.1435398037866994E-2</v>
      </c>
      <c r="I134" s="107">
        <f t="shared" ref="I134:O134" si="168">IFERROR(I132/I127,"NA")</f>
        <v>4.3869181570531796E-2</v>
      </c>
      <c r="J134" s="107">
        <f t="shared" si="168"/>
        <v>2.4582779839066773E-2</v>
      </c>
      <c r="K134" s="107">
        <f t="shared" si="168"/>
        <v>2.4920476373415289E-2</v>
      </c>
      <c r="L134" s="107">
        <f t="shared" si="168"/>
        <v>5.1334016596687265E-2</v>
      </c>
      <c r="M134" s="107">
        <f t="shared" si="168"/>
        <v>5.4918815663801336E-2</v>
      </c>
      <c r="N134" s="107">
        <f t="shared" si="168"/>
        <v>4.3999825385969762E-2</v>
      </c>
      <c r="O134" s="107">
        <f t="shared" si="168"/>
        <v>4.8042380016839741E-2</v>
      </c>
      <c r="P134" s="293">
        <f>HARMEAN(H134:O134)</f>
        <v>3.9162948851336629E-2</v>
      </c>
      <c r="Q134" s="293">
        <f t="shared" ref="Q134:Y134" si="169">HARMEAN(I134:P134)</f>
        <v>3.8028744933349859E-2</v>
      </c>
      <c r="R134" s="293">
        <f t="shared" si="169"/>
        <v>3.7406244150974099E-2</v>
      </c>
      <c r="S134" s="293">
        <f t="shared" si="169"/>
        <v>4.0015474105190296E-2</v>
      </c>
      <c r="T134" s="293">
        <f t="shared" si="169"/>
        <v>4.3293475847221721E-2</v>
      </c>
      <c r="U134" s="293">
        <f t="shared" si="169"/>
        <v>4.2462111098200112E-2</v>
      </c>
      <c r="V134" s="293">
        <f t="shared" si="169"/>
        <v>4.1291395053379025E-2</v>
      </c>
      <c r="W134" s="293">
        <f t="shared" si="169"/>
        <v>4.0976107065545331E-2</v>
      </c>
      <c r="X134" s="293">
        <f t="shared" si="169"/>
        <v>4.0236341029352113E-2</v>
      </c>
      <c r="Y134" s="293">
        <f t="shared" si="169"/>
        <v>4.0374666450538159E-2</v>
      </c>
    </row>
    <row r="135" spans="3:25" ht="15" customHeight="1" x14ac:dyDescent="0.2">
      <c r="C135" s="251"/>
      <c r="D135" s="251"/>
      <c r="E135" s="251"/>
      <c r="F135" s="251"/>
      <c r="G135" s="251"/>
      <c r="H135" s="251"/>
      <c r="I135" s="251"/>
      <c r="J135" s="251"/>
      <c r="K135" s="251"/>
      <c r="L135" s="251"/>
      <c r="M135" s="251"/>
      <c r="N135" s="251"/>
      <c r="O135" s="251"/>
      <c r="P135" s="251"/>
      <c r="Q135" s="251"/>
      <c r="R135" s="251"/>
      <c r="S135" s="251"/>
      <c r="T135" s="251"/>
      <c r="U135" s="251"/>
      <c r="V135" s="251"/>
      <c r="W135" s="251"/>
      <c r="X135" s="251"/>
      <c r="Y135" s="251"/>
    </row>
    <row r="137" spans="3:25" ht="15" customHeight="1" x14ac:dyDescent="0.2">
      <c r="C137" s="116" t="s">
        <v>279</v>
      </c>
      <c r="D137" s="117"/>
      <c r="E137" s="117"/>
      <c r="F137" s="118"/>
      <c r="G137" s="118"/>
      <c r="H137" s="117"/>
      <c r="I137" s="117"/>
      <c r="J137" s="117"/>
      <c r="K137" s="119"/>
      <c r="L137" s="119"/>
      <c r="M137" s="119"/>
      <c r="N137" s="120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</row>
    <row r="138" spans="3:25" ht="15" customHeight="1" x14ac:dyDescent="0.2">
      <c r="C138" s="1"/>
      <c r="D138" s="2"/>
      <c r="E138" s="2"/>
      <c r="F138" s="24"/>
      <c r="G138" s="24"/>
      <c r="H138" s="121"/>
      <c r="I138" s="121"/>
      <c r="J138" s="121"/>
      <c r="K138" s="121"/>
      <c r="L138" s="121"/>
      <c r="M138" s="121"/>
      <c r="N138" s="121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</row>
    <row r="139" spans="3:25" ht="15" customHeight="1" x14ac:dyDescent="0.2">
      <c r="C139" s="1"/>
      <c r="D139" s="2"/>
      <c r="E139" s="122" t="s">
        <v>280</v>
      </c>
      <c r="F139" s="24" t="s">
        <v>25</v>
      </c>
      <c r="G139" s="24"/>
      <c r="H139" s="123">
        <v>54.2</v>
      </c>
      <c r="I139" s="123">
        <v>60.8</v>
      </c>
      <c r="J139" s="123">
        <v>33.1</v>
      </c>
      <c r="K139" s="123">
        <v>71.971999999999994</v>
      </c>
      <c r="L139" s="123">
        <v>72</v>
      </c>
      <c r="M139" s="123">
        <v>87.025999999999996</v>
      </c>
      <c r="N139" s="123">
        <v>95.1</v>
      </c>
      <c r="O139" s="123">
        <v>95.9</v>
      </c>
      <c r="P139" s="124">
        <f ca="1">O139*(1+P141)</f>
        <v>96.706729758149336</v>
      </c>
      <c r="Q139" s="124">
        <f t="shared" ref="Q139:Y139" ca="1" si="170">P139*(1+Q141)</f>
        <v>96.706729758149336</v>
      </c>
      <c r="R139" s="124">
        <f t="shared" ca="1" si="170"/>
        <v>96.706729758149336</v>
      </c>
      <c r="S139" s="124">
        <f t="shared" ca="1" si="170"/>
        <v>96.706729758149336</v>
      </c>
      <c r="T139" s="124">
        <f t="shared" ca="1" si="170"/>
        <v>96.706729758149336</v>
      </c>
      <c r="U139" s="124">
        <f t="shared" ca="1" si="170"/>
        <v>96.706729758149336</v>
      </c>
      <c r="V139" s="124">
        <f t="shared" ca="1" si="170"/>
        <v>96.706729758149336</v>
      </c>
      <c r="W139" s="124">
        <f t="shared" ca="1" si="170"/>
        <v>96.706729758149336</v>
      </c>
      <c r="X139" s="124">
        <f t="shared" ca="1" si="170"/>
        <v>96.706729758149336</v>
      </c>
      <c r="Y139" s="124">
        <f t="shared" ca="1" si="170"/>
        <v>96.706729758149336</v>
      </c>
    </row>
    <row r="140" spans="3:25" ht="15" customHeight="1" x14ac:dyDescent="0.2">
      <c r="C140" s="1"/>
      <c r="D140" s="1"/>
      <c r="F140" s="94"/>
      <c r="G140" s="3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 spans="3:25" ht="15" customHeight="1" x14ac:dyDescent="0.2">
      <c r="C141" s="1"/>
      <c r="D141" s="1"/>
      <c r="E141" s="18" t="s">
        <v>168</v>
      </c>
      <c r="F141" s="24" t="s">
        <v>7</v>
      </c>
      <c r="G141" s="37"/>
      <c r="H141" s="231"/>
      <c r="I141" s="231">
        <f>IFERROR((I139/H139-1),"NA")</f>
        <v>0.12177121771217703</v>
      </c>
      <c r="J141" s="231">
        <f t="shared" ref="J141:N141" si="171">IFERROR((J139/I139-1),"NA")</f>
        <v>-0.45559210526315785</v>
      </c>
      <c r="K141" s="231">
        <f t="shared" si="171"/>
        <v>1.1743806646525679</v>
      </c>
      <c r="L141" s="231">
        <f t="shared" si="171"/>
        <v>3.8904018229324322E-4</v>
      </c>
      <c r="M141" s="231">
        <f t="shared" si="171"/>
        <v>0.20869444444444429</v>
      </c>
      <c r="N141" s="231">
        <f t="shared" si="171"/>
        <v>9.277687127984735E-2</v>
      </c>
      <c r="O141" s="231">
        <f>IFERROR((O139/N139-1),"NA")</f>
        <v>8.4121976866458059E-3</v>
      </c>
      <c r="P141" s="231">
        <f ca="1">IFERROR((P139/O139-1),"NA")</f>
        <v>8.4121976866458059E-3</v>
      </c>
      <c r="Q141" s="125">
        <v>0</v>
      </c>
      <c r="R141" s="125">
        <v>0</v>
      </c>
      <c r="S141" s="125">
        <v>0</v>
      </c>
      <c r="T141" s="125">
        <v>0</v>
      </c>
      <c r="U141" s="125">
        <v>0</v>
      </c>
      <c r="V141" s="125">
        <v>0</v>
      </c>
      <c r="W141" s="125">
        <v>0</v>
      </c>
      <c r="X141" s="125">
        <v>0</v>
      </c>
      <c r="Y141" s="125">
        <v>0</v>
      </c>
    </row>
    <row r="142" spans="3:25" ht="15" customHeight="1" x14ac:dyDescent="0.2">
      <c r="C142" s="1"/>
      <c r="D142" s="1"/>
    </row>
    <row r="143" spans="3:25" ht="15" customHeight="1" x14ac:dyDescent="0.2">
      <c r="C143" s="1"/>
      <c r="D143" s="1"/>
    </row>
    <row r="144" spans="3:25" ht="15" customHeight="1" x14ac:dyDescent="0.2">
      <c r="C144" s="1"/>
      <c r="D144" s="2"/>
      <c r="E144" s="122" t="s">
        <v>169</v>
      </c>
      <c r="F144" s="24" t="s">
        <v>25</v>
      </c>
      <c r="G144" s="24"/>
      <c r="H144" s="123">
        <v>9.5</v>
      </c>
      <c r="I144" s="123">
        <v>10.1</v>
      </c>
      <c r="J144" s="123">
        <v>9.5</v>
      </c>
      <c r="K144" s="123">
        <v>-0.5</v>
      </c>
      <c r="L144" s="123">
        <v>2.14</v>
      </c>
      <c r="M144" s="123">
        <v>18</v>
      </c>
      <c r="N144" s="123" t="s">
        <v>274</v>
      </c>
      <c r="O144" s="123" t="s">
        <v>274</v>
      </c>
      <c r="P144" s="127">
        <f t="shared" ref="P144:Y144" ca="1" si="172">P139*P146</f>
        <v>0</v>
      </c>
      <c r="Q144" s="127">
        <f t="shared" ca="1" si="172"/>
        <v>0</v>
      </c>
      <c r="R144" s="127">
        <f t="shared" ca="1" si="172"/>
        <v>0</v>
      </c>
      <c r="S144" s="127">
        <f t="shared" ca="1" si="172"/>
        <v>0</v>
      </c>
      <c r="T144" s="127">
        <f t="shared" ca="1" si="172"/>
        <v>0</v>
      </c>
      <c r="U144" s="127">
        <f t="shared" ca="1" si="172"/>
        <v>0</v>
      </c>
      <c r="V144" s="127">
        <f t="shared" ca="1" si="172"/>
        <v>0</v>
      </c>
      <c r="W144" s="127">
        <f t="shared" ca="1" si="172"/>
        <v>0</v>
      </c>
      <c r="X144" s="127">
        <f t="shared" ca="1" si="172"/>
        <v>0</v>
      </c>
      <c r="Y144" s="127">
        <f t="shared" ca="1" si="172"/>
        <v>0</v>
      </c>
    </row>
    <row r="145" spans="3:25" ht="15" customHeight="1" x14ac:dyDescent="0.2">
      <c r="C145" s="1"/>
      <c r="D145" s="2"/>
      <c r="E145" s="128" t="s">
        <v>170</v>
      </c>
      <c r="F145" s="24" t="s">
        <v>7</v>
      </c>
      <c r="G145" s="24"/>
      <c r="H145" s="129"/>
      <c r="I145" s="292">
        <f>IFERROR((I144/H144-1),"NA")</f>
        <v>6.315789473684208E-2</v>
      </c>
      <c r="J145" s="292">
        <f t="shared" ref="J145" si="173">IFERROR((J144/I144-1),"NA")</f>
        <v>-5.9405940594059348E-2</v>
      </c>
      <c r="K145" s="292">
        <f t="shared" ref="K145" si="174">IFERROR((K144/J144-1),"NA")</f>
        <v>-1.0526315789473684</v>
      </c>
      <c r="L145" s="292">
        <f t="shared" ref="L145" si="175">IFERROR((L144/K144-1),"NA")</f>
        <v>-5.28</v>
      </c>
      <c r="M145" s="292">
        <f t="shared" ref="M145" si="176">IFERROR((M144/L144-1),"NA")</f>
        <v>7.4112149532710276</v>
      </c>
      <c r="N145" s="292" t="str">
        <f t="shared" ref="N145" si="177">IFERROR((N144/M144-1),"NA")</f>
        <v>NA</v>
      </c>
      <c r="O145" s="292" t="str">
        <f t="shared" ref="O145" si="178">IFERROR((O144/N144-1),"NA")</f>
        <v>NA</v>
      </c>
      <c r="P145" s="292" t="str">
        <f t="shared" ref="P145" ca="1" si="179">IFERROR((P144/O144-1),"NA")</f>
        <v>NA</v>
      </c>
      <c r="Q145" s="292" t="str">
        <f t="shared" ref="Q145" ca="1" si="180">IFERROR((Q144/P144-1),"NA")</f>
        <v>NA</v>
      </c>
      <c r="R145" s="292" t="str">
        <f t="shared" ref="R145" ca="1" si="181">IFERROR((R144/Q144-1),"NA")</f>
        <v>NA</v>
      </c>
      <c r="S145" s="292" t="str">
        <f t="shared" ref="S145" ca="1" si="182">IFERROR((S144/R144-1),"NA")</f>
        <v>NA</v>
      </c>
      <c r="T145" s="292" t="str">
        <f t="shared" ref="T145" ca="1" si="183">IFERROR((T144/S144-1),"NA")</f>
        <v>NA</v>
      </c>
      <c r="U145" s="292" t="str">
        <f t="shared" ref="U145" ca="1" si="184">IFERROR((U144/T144-1),"NA")</f>
        <v>NA</v>
      </c>
      <c r="V145" s="292" t="str">
        <f t="shared" ref="V145" ca="1" si="185">IFERROR((V144/U144-1),"NA")</f>
        <v>NA</v>
      </c>
      <c r="W145" s="292" t="str">
        <f t="shared" ref="W145" ca="1" si="186">IFERROR((W144/V144-1),"NA")</f>
        <v>NA</v>
      </c>
      <c r="X145" s="292" t="str">
        <f t="shared" ref="X145" ca="1" si="187">IFERROR((X144/W144-1),"NA")</f>
        <v>NA</v>
      </c>
      <c r="Y145" s="292" t="str">
        <f t="shared" ref="Y145" ca="1" si="188">IFERROR((Y144/X144-1),"NA")</f>
        <v>NA</v>
      </c>
    </row>
    <row r="146" spans="3:25" ht="15" customHeight="1" x14ac:dyDescent="0.2">
      <c r="C146" s="1"/>
      <c r="D146" s="2"/>
      <c r="E146" s="128" t="s">
        <v>171</v>
      </c>
      <c r="F146" s="24" t="s">
        <v>7</v>
      </c>
      <c r="G146" s="24"/>
      <c r="H146" s="107">
        <f>IFERROR(H144/H139,"NA")</f>
        <v>0.17527675276752766</v>
      </c>
      <c r="I146" s="107">
        <f t="shared" ref="I146:O146" si="189">IFERROR(I144/I139,"NA")</f>
        <v>0.16611842105263158</v>
      </c>
      <c r="J146" s="107">
        <f t="shared" si="189"/>
        <v>0.28700906344410876</v>
      </c>
      <c r="K146" s="107">
        <f t="shared" si="189"/>
        <v>-6.947146112377036E-3</v>
      </c>
      <c r="L146" s="107">
        <f t="shared" si="189"/>
        <v>2.9722222222222223E-2</v>
      </c>
      <c r="M146" s="107">
        <f t="shared" si="189"/>
        <v>0.20683473904350425</v>
      </c>
      <c r="N146" s="107" t="str">
        <f t="shared" si="189"/>
        <v>NA</v>
      </c>
      <c r="O146" s="107" t="str">
        <f t="shared" si="189"/>
        <v>NA</v>
      </c>
      <c r="P146" s="293">
        <v>0</v>
      </c>
      <c r="Q146" s="294">
        <v>0</v>
      </c>
      <c r="R146" s="294">
        <v>0</v>
      </c>
      <c r="S146" s="294">
        <v>0</v>
      </c>
      <c r="T146" s="294">
        <v>0</v>
      </c>
      <c r="U146" s="294">
        <v>0</v>
      </c>
      <c r="V146" s="294">
        <v>0</v>
      </c>
      <c r="W146" s="294">
        <v>0</v>
      </c>
      <c r="X146" s="294">
        <v>0</v>
      </c>
      <c r="Y146" s="295">
        <v>0</v>
      </c>
    </row>
    <row r="147" spans="3:25" ht="15" customHeight="1" x14ac:dyDescent="0.2">
      <c r="C147" s="130"/>
      <c r="D147" s="131"/>
      <c r="E147" s="131"/>
      <c r="F147" s="132"/>
      <c r="G147" s="132"/>
      <c r="H147" s="131"/>
      <c r="I147" s="131"/>
      <c r="J147" s="131"/>
      <c r="K147" s="133"/>
      <c r="L147" s="133"/>
      <c r="M147" s="133"/>
      <c r="N147" s="134"/>
      <c r="O147" s="134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</row>
    <row r="149" spans="3:25" ht="15" customHeight="1" x14ac:dyDescent="0.2">
      <c r="C149" s="116" t="s">
        <v>275</v>
      </c>
      <c r="D149" s="117"/>
      <c r="E149" s="117"/>
      <c r="F149" s="118"/>
      <c r="G149" s="118"/>
      <c r="H149" s="117"/>
      <c r="I149" s="117"/>
      <c r="J149" s="117"/>
      <c r="K149" s="119"/>
      <c r="L149" s="119"/>
      <c r="M149" s="119"/>
      <c r="N149" s="120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</row>
    <row r="151" spans="3:25" ht="15" customHeight="1" x14ac:dyDescent="0.2">
      <c r="E151" s="122" t="s">
        <v>281</v>
      </c>
      <c r="F151" s="24" t="s">
        <v>25</v>
      </c>
      <c r="G151" s="24"/>
      <c r="H151" s="123">
        <v>58</v>
      </c>
      <c r="I151" s="123">
        <v>59</v>
      </c>
      <c r="J151" s="123">
        <v>22.326000000000001</v>
      </c>
      <c r="K151" s="123">
        <v>22.326000000000001</v>
      </c>
      <c r="L151" s="123">
        <v>1125.3</v>
      </c>
      <c r="M151" s="123">
        <v>1287.98</v>
      </c>
      <c r="N151" s="123" t="s">
        <v>284</v>
      </c>
      <c r="O151" s="123">
        <v>1563.94</v>
      </c>
      <c r="P151" s="124">
        <f>O151*(1+P153)</f>
        <v>1563.94</v>
      </c>
      <c r="Q151" s="124">
        <f t="shared" ref="Q151:Y151" si="190">P151*(1+Q153)</f>
        <v>1563.94</v>
      </c>
      <c r="R151" s="124">
        <f t="shared" si="190"/>
        <v>1563.94</v>
      </c>
      <c r="S151" s="124">
        <f t="shared" si="190"/>
        <v>1563.94</v>
      </c>
      <c r="T151" s="124">
        <f t="shared" si="190"/>
        <v>1563.94</v>
      </c>
      <c r="U151" s="124">
        <f t="shared" si="190"/>
        <v>1563.94</v>
      </c>
      <c r="V151" s="124">
        <f t="shared" si="190"/>
        <v>1563.94</v>
      </c>
      <c r="W151" s="124">
        <f t="shared" si="190"/>
        <v>1563.94</v>
      </c>
      <c r="X151" s="124">
        <f t="shared" si="190"/>
        <v>1563.94</v>
      </c>
      <c r="Y151" s="124">
        <f t="shared" si="190"/>
        <v>1563.94</v>
      </c>
    </row>
    <row r="152" spans="3:25" ht="15" customHeight="1" x14ac:dyDescent="0.2">
      <c r="F152" s="94"/>
      <c r="G152" s="3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 spans="3:25" ht="15" customHeight="1" x14ac:dyDescent="0.2">
      <c r="E153" s="18" t="s">
        <v>168</v>
      </c>
      <c r="F153" s="24" t="s">
        <v>7</v>
      </c>
      <c r="G153" s="37"/>
      <c r="H153" s="231"/>
      <c r="I153" s="231">
        <f>IFERROR((I151/H151-1),"NA")</f>
        <v>1.7241379310344751E-2</v>
      </c>
      <c r="J153" s="231">
        <f t="shared" ref="J153:N153" si="191">IFERROR((J151/I151-1),"NA")</f>
        <v>-0.62159322033898312</v>
      </c>
      <c r="K153" s="231">
        <f t="shared" si="191"/>
        <v>0</v>
      </c>
      <c r="L153" s="231">
        <f t="shared" si="191"/>
        <v>49.40311744154797</v>
      </c>
      <c r="M153" s="231">
        <f t="shared" si="191"/>
        <v>0.14456589353950067</v>
      </c>
      <c r="N153" s="231" t="str">
        <f t="shared" si="191"/>
        <v>NA</v>
      </c>
      <c r="O153" s="231" t="str">
        <f>IFERROR((O151/N151-1),"NA")</f>
        <v>NA</v>
      </c>
      <c r="P153" s="125">
        <v>0</v>
      </c>
      <c r="Q153" s="125">
        <v>0</v>
      </c>
      <c r="R153" s="125">
        <v>0</v>
      </c>
      <c r="S153" s="125">
        <v>0</v>
      </c>
      <c r="T153" s="125">
        <v>0</v>
      </c>
      <c r="U153" s="125">
        <v>0</v>
      </c>
      <c r="V153" s="125">
        <v>0</v>
      </c>
      <c r="W153" s="125">
        <v>0</v>
      </c>
      <c r="X153" s="125">
        <v>0</v>
      </c>
      <c r="Y153" s="125">
        <v>0</v>
      </c>
    </row>
    <row r="156" spans="3:25" ht="15" customHeight="1" x14ac:dyDescent="0.2">
      <c r="E156" s="122" t="s">
        <v>169</v>
      </c>
      <c r="F156" s="24" t="s">
        <v>25</v>
      </c>
      <c r="G156" s="24"/>
      <c r="H156" s="123">
        <v>50.8</v>
      </c>
      <c r="I156" s="123">
        <v>52.2</v>
      </c>
      <c r="J156" s="123">
        <v>50</v>
      </c>
      <c r="K156" s="123">
        <v>58.97</v>
      </c>
      <c r="L156" s="123">
        <v>62.38</v>
      </c>
      <c r="M156" s="123">
        <v>69.2</v>
      </c>
      <c r="N156" s="123">
        <v>55.646000000000001</v>
      </c>
      <c r="O156" s="123">
        <v>64.23</v>
      </c>
      <c r="P156" s="127">
        <v>64.010999999999996</v>
      </c>
      <c r="Q156" s="127">
        <f t="shared" ref="Q156:Y156" si="192">Q151*Q158</f>
        <v>0</v>
      </c>
      <c r="R156" s="127">
        <f t="shared" si="192"/>
        <v>0</v>
      </c>
      <c r="S156" s="127">
        <f t="shared" si="192"/>
        <v>0</v>
      </c>
      <c r="T156" s="127">
        <f t="shared" si="192"/>
        <v>0</v>
      </c>
      <c r="U156" s="127">
        <f t="shared" si="192"/>
        <v>0</v>
      </c>
      <c r="V156" s="127">
        <f t="shared" si="192"/>
        <v>0</v>
      </c>
      <c r="W156" s="127">
        <f t="shared" si="192"/>
        <v>0</v>
      </c>
      <c r="X156" s="127">
        <f t="shared" si="192"/>
        <v>0</v>
      </c>
      <c r="Y156" s="127">
        <f t="shared" si="192"/>
        <v>0</v>
      </c>
    </row>
    <row r="157" spans="3:25" ht="15" customHeight="1" x14ac:dyDescent="0.2">
      <c r="E157" s="128" t="s">
        <v>170</v>
      </c>
      <c r="F157" s="24" t="s">
        <v>7</v>
      </c>
      <c r="G157" s="24"/>
      <c r="H157" s="129"/>
      <c r="I157" s="292">
        <f>IFERROR((I156/H156-1),"NA")</f>
        <v>2.7559055118110409E-2</v>
      </c>
      <c r="J157" s="292">
        <f t="shared" ref="J157" si="193">IFERROR((J156/I156-1),"NA")</f>
        <v>-4.2145593869731823E-2</v>
      </c>
      <c r="K157" s="292">
        <f t="shared" ref="K157" si="194">IFERROR((K156/J156-1),"NA")</f>
        <v>0.1794</v>
      </c>
      <c r="L157" s="292">
        <f t="shared" ref="L157" si="195">IFERROR((L156/K156-1),"NA")</f>
        <v>5.782601322706471E-2</v>
      </c>
      <c r="M157" s="292">
        <f t="shared" ref="M157" si="196">IFERROR((M156/L156-1),"NA")</f>
        <v>0.10932991343379284</v>
      </c>
      <c r="N157" s="292">
        <f t="shared" ref="N157" si="197">IFERROR((N156/M156-1),"NA")</f>
        <v>-0.19586705202312138</v>
      </c>
      <c r="O157" s="292">
        <f t="shared" ref="O157" si="198">IFERROR((O156/N156-1),"NA")</f>
        <v>0.15426086331452393</v>
      </c>
      <c r="P157" s="292">
        <f t="shared" ref="P157" si="199">IFERROR((P156/O156-1),"NA")</f>
        <v>-3.4096216721160033E-3</v>
      </c>
      <c r="Q157" s="292">
        <f t="shared" ref="Q157" si="200">IFERROR((Q156/P156-1),"NA")</f>
        <v>-1</v>
      </c>
      <c r="R157" s="292" t="str">
        <f t="shared" ref="R157" si="201">IFERROR((R156/Q156-1),"NA")</f>
        <v>NA</v>
      </c>
      <c r="S157" s="292" t="str">
        <f t="shared" ref="S157" si="202">IFERROR((S156/R156-1),"NA")</f>
        <v>NA</v>
      </c>
      <c r="T157" s="292" t="str">
        <f t="shared" ref="T157" si="203">IFERROR((T156/S156-1),"NA")</f>
        <v>NA</v>
      </c>
      <c r="U157" s="292" t="str">
        <f t="shared" ref="U157" si="204">IFERROR((U156/T156-1),"NA")</f>
        <v>NA</v>
      </c>
      <c r="V157" s="292" t="str">
        <f t="shared" ref="V157" si="205">IFERROR((V156/U156-1),"NA")</f>
        <v>NA</v>
      </c>
      <c r="W157" s="292" t="str">
        <f t="shared" ref="W157" si="206">IFERROR((W156/V156-1),"NA")</f>
        <v>NA</v>
      </c>
      <c r="X157" s="292" t="str">
        <f t="shared" ref="X157" si="207">IFERROR((X156/W156-1),"NA")</f>
        <v>NA</v>
      </c>
      <c r="Y157" s="292" t="str">
        <f t="shared" ref="Y157" si="208">IFERROR((Y156/X156-1),"NA")</f>
        <v>NA</v>
      </c>
    </row>
    <row r="158" spans="3:25" ht="15" customHeight="1" x14ac:dyDescent="0.2">
      <c r="E158" s="128" t="s">
        <v>171</v>
      </c>
      <c r="F158" s="24" t="s">
        <v>7</v>
      </c>
      <c r="G158" s="24"/>
      <c r="H158" s="107">
        <f>IFERROR(H156/H151,"NA")</f>
        <v>0.87586206896551722</v>
      </c>
      <c r="I158" s="107">
        <f t="shared" ref="I158:O158" si="209">IFERROR(I156/I151,"NA")</f>
        <v>0.88474576271186445</v>
      </c>
      <c r="J158" s="107">
        <f t="shared" si="209"/>
        <v>2.239541341933172</v>
      </c>
      <c r="K158" s="107">
        <f t="shared" si="209"/>
        <v>2.6413150586759833</v>
      </c>
      <c r="L158" s="107">
        <f t="shared" si="209"/>
        <v>5.5434106460499427E-2</v>
      </c>
      <c r="M158" s="107">
        <f t="shared" si="209"/>
        <v>5.372754235314213E-2</v>
      </c>
      <c r="N158" s="107" t="str">
        <f t="shared" si="209"/>
        <v>NA</v>
      </c>
      <c r="O158" s="107">
        <f t="shared" si="209"/>
        <v>4.1069350486591556E-2</v>
      </c>
      <c r="P158" s="293">
        <v>0</v>
      </c>
      <c r="Q158" s="294">
        <v>0</v>
      </c>
      <c r="R158" s="294">
        <v>0</v>
      </c>
      <c r="S158" s="294">
        <v>0</v>
      </c>
      <c r="T158" s="294">
        <v>0</v>
      </c>
      <c r="U158" s="294">
        <v>0</v>
      </c>
      <c r="V158" s="294">
        <v>0</v>
      </c>
      <c r="W158" s="294">
        <v>0</v>
      </c>
      <c r="X158" s="294">
        <v>0</v>
      </c>
      <c r="Y158" s="295">
        <v>0</v>
      </c>
    </row>
    <row r="160" spans="3:25" ht="15" customHeight="1" x14ac:dyDescent="0.2">
      <c r="C160" s="116" t="s">
        <v>282</v>
      </c>
      <c r="D160" s="117"/>
      <c r="E160" s="117"/>
      <c r="F160" s="118"/>
      <c r="G160" s="118"/>
      <c r="H160" s="117"/>
      <c r="I160" s="117"/>
      <c r="J160" s="117"/>
      <c r="K160" s="119"/>
      <c r="L160" s="119"/>
      <c r="M160" s="119"/>
      <c r="N160" s="120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</row>
    <row r="162" spans="1:27" ht="15" customHeight="1" x14ac:dyDescent="0.2">
      <c r="E162" s="122" t="s">
        <v>283</v>
      </c>
      <c r="F162" s="24" t="s">
        <v>25</v>
      </c>
      <c r="G162" s="24"/>
      <c r="H162" s="123">
        <v>920.8</v>
      </c>
      <c r="I162" s="123">
        <v>1130</v>
      </c>
      <c r="J162" s="123">
        <v>454.02</v>
      </c>
      <c r="K162" s="123">
        <v>510.3</v>
      </c>
      <c r="L162" s="123">
        <v>559.92999999999995</v>
      </c>
      <c r="M162" s="123">
        <v>601.51</v>
      </c>
      <c r="N162" s="123">
        <v>721.26</v>
      </c>
      <c r="O162" s="123">
        <v>888.6</v>
      </c>
      <c r="P162" s="124">
        <f>O162*(1+P164)</f>
        <v>888.6</v>
      </c>
      <c r="Q162" s="124">
        <f t="shared" ref="Q162" si="210">P162*(1+Q164)</f>
        <v>888.6</v>
      </c>
      <c r="R162" s="124">
        <f t="shared" ref="R162" si="211">Q162*(1+R164)</f>
        <v>888.6</v>
      </c>
      <c r="S162" s="124">
        <f t="shared" ref="S162" si="212">R162*(1+S164)</f>
        <v>888.6</v>
      </c>
      <c r="T162" s="124">
        <f t="shared" ref="T162" si="213">S162*(1+T164)</f>
        <v>888.6</v>
      </c>
      <c r="U162" s="124">
        <f t="shared" ref="U162" si="214">T162*(1+U164)</f>
        <v>888.6</v>
      </c>
      <c r="V162" s="124">
        <f t="shared" ref="V162" si="215">U162*(1+V164)</f>
        <v>888.6</v>
      </c>
      <c r="W162" s="124">
        <f t="shared" ref="W162" si="216">V162*(1+W164)</f>
        <v>888.6</v>
      </c>
      <c r="X162" s="124">
        <f t="shared" ref="X162" si="217">W162*(1+X164)</f>
        <v>888.6</v>
      </c>
      <c r="Y162" s="124">
        <f t="shared" ref="Y162" si="218">X162*(1+Y164)</f>
        <v>888.6</v>
      </c>
    </row>
    <row r="163" spans="1:27" ht="15" customHeight="1" x14ac:dyDescent="0.2">
      <c r="F163" s="94"/>
      <c r="G163" s="3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 spans="1:27" ht="15" customHeight="1" x14ac:dyDescent="0.2">
      <c r="E164" s="18" t="s">
        <v>168</v>
      </c>
      <c r="F164" s="24" t="s">
        <v>7</v>
      </c>
      <c r="G164" s="37"/>
      <c r="H164" s="231"/>
      <c r="I164" s="231">
        <f>IFERROR((I162/H162-1),"NA")</f>
        <v>0.22719374456993924</v>
      </c>
      <c r="J164" s="231">
        <f t="shared" ref="J164" si="219">IFERROR((J162/I162-1),"NA")</f>
        <v>-0.59821238938053101</v>
      </c>
      <c r="K164" s="231">
        <f t="shared" ref="K164" si="220">IFERROR((K162/J162-1),"NA")</f>
        <v>0.12395929694727115</v>
      </c>
      <c r="L164" s="231">
        <f t="shared" ref="L164" si="221">IFERROR((L162/K162-1),"NA")</f>
        <v>9.7256515775034247E-2</v>
      </c>
      <c r="M164" s="231">
        <f t="shared" ref="M164" si="222">IFERROR((M162/L162-1),"NA")</f>
        <v>7.4259282410301442E-2</v>
      </c>
      <c r="N164" s="231">
        <f t="shared" ref="N164" si="223">IFERROR((N162/M162-1),"NA")</f>
        <v>0.19908230952103878</v>
      </c>
      <c r="O164" s="231">
        <f>IFERROR((O162/N162-1),"NA")</f>
        <v>0.23201064803260962</v>
      </c>
      <c r="P164" s="125">
        <v>0</v>
      </c>
      <c r="Q164" s="125">
        <v>0</v>
      </c>
      <c r="R164" s="125">
        <v>0</v>
      </c>
      <c r="S164" s="125">
        <v>0</v>
      </c>
      <c r="T164" s="125">
        <v>0</v>
      </c>
      <c r="U164" s="125">
        <v>0</v>
      </c>
      <c r="V164" s="125">
        <v>0</v>
      </c>
      <c r="W164" s="125">
        <v>0</v>
      </c>
      <c r="X164" s="125">
        <v>0</v>
      </c>
      <c r="Y164" s="125">
        <v>0</v>
      </c>
    </row>
    <row r="167" spans="1:27" ht="15" customHeight="1" x14ac:dyDescent="0.2">
      <c r="E167" s="122" t="s">
        <v>169</v>
      </c>
      <c r="F167" s="24" t="s">
        <v>25</v>
      </c>
      <c r="G167" s="24"/>
      <c r="H167" s="123">
        <v>40.9</v>
      </c>
      <c r="I167" s="123">
        <v>29.8</v>
      </c>
      <c r="J167" s="123">
        <v>38.5</v>
      </c>
      <c r="K167" s="123">
        <v>21.9</v>
      </c>
      <c r="L167" s="123">
        <v>24.65</v>
      </c>
      <c r="M167" s="123">
        <v>24.4</v>
      </c>
      <c r="N167" s="123">
        <v>30.312000000000001</v>
      </c>
      <c r="O167" s="123">
        <v>42.76</v>
      </c>
      <c r="P167" s="127">
        <v>49.237000000000002</v>
      </c>
      <c r="Q167" s="127">
        <f t="shared" ref="Q167:Y167" si="224">Q162*Q169</f>
        <v>0</v>
      </c>
      <c r="R167" s="127">
        <f t="shared" si="224"/>
        <v>0</v>
      </c>
      <c r="S167" s="127">
        <f t="shared" si="224"/>
        <v>0</v>
      </c>
      <c r="T167" s="127">
        <f t="shared" si="224"/>
        <v>0</v>
      </c>
      <c r="U167" s="127">
        <f t="shared" si="224"/>
        <v>0</v>
      </c>
      <c r="V167" s="127">
        <f t="shared" si="224"/>
        <v>0</v>
      </c>
      <c r="W167" s="127">
        <f t="shared" si="224"/>
        <v>0</v>
      </c>
      <c r="X167" s="127">
        <f t="shared" si="224"/>
        <v>0</v>
      </c>
      <c r="Y167" s="127">
        <f t="shared" si="224"/>
        <v>0</v>
      </c>
    </row>
    <row r="168" spans="1:27" ht="15" customHeight="1" x14ac:dyDescent="0.2">
      <c r="E168" s="128" t="s">
        <v>170</v>
      </c>
      <c r="F168" s="24" t="s">
        <v>7</v>
      </c>
      <c r="G168" s="24"/>
      <c r="H168" s="129"/>
      <c r="I168" s="292">
        <f>IFERROR((I167/H167-1),"NA")</f>
        <v>-0.27139364303178481</v>
      </c>
      <c r="J168" s="292">
        <f t="shared" ref="J168" si="225">IFERROR((J167/I167-1),"NA")</f>
        <v>0.29194630872483218</v>
      </c>
      <c r="K168" s="292">
        <f t="shared" ref="K168" si="226">IFERROR((K167/J167-1),"NA")</f>
        <v>-0.4311688311688312</v>
      </c>
      <c r="L168" s="292">
        <f t="shared" ref="L168" si="227">IFERROR((L167/K167-1),"NA")</f>
        <v>0.12557077625570767</v>
      </c>
      <c r="M168" s="292">
        <f t="shared" ref="M168" si="228">IFERROR((M167/L167-1),"NA")</f>
        <v>-1.0141987829614618E-2</v>
      </c>
      <c r="N168" s="292">
        <f t="shared" ref="N168" si="229">IFERROR((N167/M167-1),"NA")</f>
        <v>0.24229508196721317</v>
      </c>
      <c r="O168" s="292">
        <f t="shared" ref="O168" si="230">IFERROR((O167/N167-1),"NA")</f>
        <v>0.41066244391660067</v>
      </c>
      <c r="P168" s="292">
        <f t="shared" ref="P168" si="231">IFERROR((P167/O167-1),"NA")</f>
        <v>0.15147333956969145</v>
      </c>
      <c r="Q168" s="292">
        <f t="shared" ref="Q168" si="232">IFERROR((Q167/P167-1),"NA")</f>
        <v>-1</v>
      </c>
      <c r="R168" s="292" t="str">
        <f t="shared" ref="R168" si="233">IFERROR((R167/Q167-1),"NA")</f>
        <v>NA</v>
      </c>
      <c r="S168" s="292" t="str">
        <f t="shared" ref="S168" si="234">IFERROR((S167/R167-1),"NA")</f>
        <v>NA</v>
      </c>
      <c r="T168" s="292" t="str">
        <f t="shared" ref="T168" si="235">IFERROR((T167/S167-1),"NA")</f>
        <v>NA</v>
      </c>
      <c r="U168" s="292" t="str">
        <f t="shared" ref="U168" si="236">IFERROR((U167/T167-1),"NA")</f>
        <v>NA</v>
      </c>
      <c r="V168" s="292" t="str">
        <f t="shared" ref="V168" si="237">IFERROR((V167/U167-1),"NA")</f>
        <v>NA</v>
      </c>
      <c r="W168" s="292" t="str">
        <f t="shared" ref="W168" si="238">IFERROR((W167/V167-1),"NA")</f>
        <v>NA</v>
      </c>
      <c r="X168" s="292" t="str">
        <f t="shared" ref="X168" si="239">IFERROR((X167/W167-1),"NA")</f>
        <v>NA</v>
      </c>
      <c r="Y168" s="292" t="str">
        <f t="shared" ref="Y168" si="240">IFERROR((Y167/X167-1),"NA")</f>
        <v>NA</v>
      </c>
    </row>
    <row r="169" spans="1:27" ht="15" customHeight="1" x14ac:dyDescent="0.2">
      <c r="E169" s="128" t="s">
        <v>171</v>
      </c>
      <c r="F169" s="24" t="s">
        <v>7</v>
      </c>
      <c r="G169" s="24"/>
      <c r="H169" s="107">
        <f>IFERROR(H167/H162,"NA")</f>
        <v>4.441789748045178E-2</v>
      </c>
      <c r="I169" s="107">
        <f t="shared" ref="I169:O169" si="241">IFERROR(I167/I162,"NA")</f>
        <v>2.6371681415929205E-2</v>
      </c>
      <c r="J169" s="107">
        <f t="shared" si="241"/>
        <v>8.4798026518655575E-2</v>
      </c>
      <c r="K169" s="107">
        <f t="shared" si="241"/>
        <v>4.2915931804820687E-2</v>
      </c>
      <c r="L169" s="107">
        <f t="shared" si="241"/>
        <v>4.4023360062865002E-2</v>
      </c>
      <c r="M169" s="107">
        <f t="shared" si="241"/>
        <v>4.0564579142491397E-2</v>
      </c>
      <c r="N169" s="107">
        <f t="shared" si="241"/>
        <v>4.2026453706014474E-2</v>
      </c>
      <c r="O169" s="107">
        <f t="shared" si="241"/>
        <v>4.812063920774251E-2</v>
      </c>
      <c r="P169" s="293">
        <v>0</v>
      </c>
      <c r="Q169" s="294">
        <v>0</v>
      </c>
      <c r="R169" s="294">
        <v>0</v>
      </c>
      <c r="S169" s="294">
        <v>0</v>
      </c>
      <c r="T169" s="294">
        <v>0</v>
      </c>
      <c r="U169" s="294">
        <v>0</v>
      </c>
      <c r="V169" s="294">
        <v>0</v>
      </c>
      <c r="W169" s="294">
        <v>0</v>
      </c>
      <c r="X169" s="294">
        <v>0</v>
      </c>
      <c r="Y169" s="295">
        <v>0</v>
      </c>
    </row>
    <row r="170" spans="1:27" ht="15" customHeight="1" x14ac:dyDescent="0.2">
      <c r="E170" t="s">
        <v>285</v>
      </c>
      <c r="N170" s="346">
        <v>4.1599999999999998E-2</v>
      </c>
    </row>
    <row r="171" spans="1:27" ht="15" customHeight="1" x14ac:dyDescent="0.2">
      <c r="A171" s="41"/>
      <c r="B171" s="41" t="s">
        <v>45</v>
      </c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</sheetData>
  <mergeCells count="1">
    <mergeCell ref="H2:O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H13" sqref="H1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25" width="10.5" customWidth="1"/>
    <col min="26" max="37" width="9.1640625" customWidth="1"/>
  </cols>
  <sheetData>
    <row r="2" spans="3:25" x14ac:dyDescent="0.2">
      <c r="C2" s="1" t="s">
        <v>172</v>
      </c>
      <c r="E2" s="2"/>
      <c r="F2" s="2"/>
      <c r="G2" s="2"/>
      <c r="H2" s="368" t="s">
        <v>86</v>
      </c>
      <c r="I2" s="369"/>
      <c r="J2" s="369"/>
      <c r="K2" s="369"/>
      <c r="L2" s="369"/>
      <c r="M2" s="369"/>
      <c r="N2" s="369"/>
      <c r="O2" s="369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87</v>
      </c>
      <c r="E4" s="3"/>
      <c r="F4" s="5" t="s">
        <v>88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89</v>
      </c>
      <c r="F5" s="8" t="s">
        <v>90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91</v>
      </c>
      <c r="F6" s="10" t="s">
        <v>92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93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">
      <c r="C8" s="7"/>
      <c r="D8" s="7"/>
      <c r="E8" s="7" t="s">
        <v>94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95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">
      <c r="C11" s="258" t="s">
        <v>173</v>
      </c>
      <c r="D11" s="80"/>
      <c r="E11" s="80"/>
      <c r="F11" s="79"/>
      <c r="G11" s="79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</row>
    <row r="13" spans="3:25" ht="15" customHeight="1" x14ac:dyDescent="0.2">
      <c r="C13" s="2"/>
      <c r="D13" s="2"/>
      <c r="E13" s="2" t="s">
        <v>261</v>
      </c>
      <c r="F13" s="24" t="s">
        <v>25</v>
      </c>
      <c r="G13" s="24"/>
      <c r="H13" s="27">
        <f>'&gt;&gt; Segments'!H23</f>
        <v>4179.8599999999997</v>
      </c>
      <c r="I13" s="27">
        <f>'&gt;&gt; Segments'!I23</f>
        <v>4819.6400000000003</v>
      </c>
      <c r="J13" s="27">
        <f>'&gt;&gt; Segments'!J23</f>
        <v>4493.4760000000006</v>
      </c>
      <c r="K13" s="27">
        <f>'&gt;&gt; Segments'!K23</f>
        <v>2352.1480000000001</v>
      </c>
      <c r="L13" s="27">
        <f>'&gt;&gt; Segments'!L23</f>
        <v>3488.77</v>
      </c>
      <c r="M13" s="27">
        <f>'&gt;&gt; Segments'!M23</f>
        <v>3788.5360000000001</v>
      </c>
      <c r="N13" s="27">
        <f>'&gt;&gt; Segments'!N23</f>
        <v>2890.99</v>
      </c>
      <c r="O13" s="27">
        <f>'&gt;&gt; Segments'!O23</f>
        <v>4617.9400000000005</v>
      </c>
      <c r="P13" s="27">
        <f ca="1">'&gt;&gt; Segments'!P23</f>
        <v>7217.2643327019341</v>
      </c>
      <c r="Q13" s="27">
        <f ca="1">'&gt;&gt; Segments'!Q23</f>
        <v>8086.9026014756164</v>
      </c>
      <c r="R13" s="27">
        <f ca="1">'&gt;&gt; Segments'!R23</f>
        <v>8851.7681768013044</v>
      </c>
      <c r="S13" s="27">
        <f ca="1">'&gt;&gt; Segments'!S23</f>
        <v>9345.1679111213343</v>
      </c>
      <c r="T13" s="27">
        <f ca="1">'&gt;&gt; Segments'!T23</f>
        <v>9891.7090168401137</v>
      </c>
      <c r="U13" s="27">
        <f ca="1">'&gt;&gt; Segments'!U23</f>
        <v>10259.425636134427</v>
      </c>
      <c r="V13" s="27">
        <f ca="1">'&gt;&gt; Segments'!V23</f>
        <v>10649.556434897353</v>
      </c>
      <c r="W13" s="27">
        <f ca="1">'&gt;&gt; Segments'!W23</f>
        <v>11047.087196218894</v>
      </c>
      <c r="X13" s="27">
        <f ca="1">'&gt;&gt; Segments'!X23</f>
        <v>11467.560771111894</v>
      </c>
      <c r="Y13" s="27">
        <f ca="1">'&gt;&gt; Segments'!Y23</f>
        <v>11765.492482063839</v>
      </c>
    </row>
    <row r="14" spans="3:25" ht="15" customHeight="1" x14ac:dyDescent="0.2">
      <c r="C14" s="2"/>
      <c r="D14" s="2"/>
      <c r="E14" s="2" t="s">
        <v>174</v>
      </c>
      <c r="F14" s="24" t="s">
        <v>25</v>
      </c>
      <c r="G14" s="24"/>
      <c r="H14" s="175">
        <v>-274.10000000000002</v>
      </c>
      <c r="I14" s="176">
        <v>-290.39999999999998</v>
      </c>
      <c r="J14" s="176">
        <v>-306.39999999999998</v>
      </c>
      <c r="K14" s="176">
        <v>-330.1</v>
      </c>
      <c r="L14" s="176">
        <v>-506.2</v>
      </c>
      <c r="M14" s="176">
        <v>-988.2</v>
      </c>
      <c r="N14" s="176">
        <v>-55.4</v>
      </c>
      <c r="O14" s="177">
        <v>-79</v>
      </c>
      <c r="P14" s="27">
        <f ca="1">P15-P13</f>
        <v>-5984.5865160147123</v>
      </c>
      <c r="Q14" s="27">
        <f t="shared" ref="Q14:Y14" ca="1" si="7">Q15-Q13</f>
        <v>-6971.734126153433</v>
      </c>
      <c r="R14" s="27">
        <f t="shared" ca="1" si="7"/>
        <v>-7699.7529707287104</v>
      </c>
      <c r="S14" s="27">
        <f t="shared" ca="1" si="7"/>
        <v>-8174.4408487587825</v>
      </c>
      <c r="T14" s="27">
        <f t="shared" ca="1" si="7"/>
        <v>-8697.5674226590909</v>
      </c>
      <c r="U14" s="27">
        <f t="shared" ca="1" si="7"/>
        <v>-9054.0563858248242</v>
      </c>
      <c r="V14" s="27">
        <f t="shared" ca="1" si="7"/>
        <v>-9427.2891574006189</v>
      </c>
      <c r="W14" s="27">
        <f t="shared" ca="1" si="7"/>
        <v>-9806.5909453667446</v>
      </c>
      <c r="X14" s="27">
        <f t="shared" ca="1" si="7"/>
        <v>-10208.506729693447</v>
      </c>
      <c r="Y14" s="27">
        <f t="shared" ca="1" si="7"/>
        <v>-10495.818266228383</v>
      </c>
    </row>
    <row r="15" spans="3:25" ht="15" customHeight="1" x14ac:dyDescent="0.2">
      <c r="C15" s="1"/>
      <c r="D15" s="1"/>
      <c r="E15" s="1" t="s">
        <v>84</v>
      </c>
      <c r="F15" s="24" t="s">
        <v>25</v>
      </c>
      <c r="G15" s="94"/>
      <c r="H15" s="70">
        <f t="shared" ref="H15:O15" si="8">SUM(H13:H14)</f>
        <v>3905.7599999999998</v>
      </c>
      <c r="I15" s="70">
        <f t="shared" si="8"/>
        <v>4529.2400000000007</v>
      </c>
      <c r="J15" s="70">
        <f t="shared" si="8"/>
        <v>4187.0760000000009</v>
      </c>
      <c r="K15" s="70">
        <f t="shared" si="8"/>
        <v>2022.0480000000002</v>
      </c>
      <c r="L15" s="70">
        <f t="shared" si="8"/>
        <v>2982.57</v>
      </c>
      <c r="M15" s="70">
        <f t="shared" si="8"/>
        <v>2800.3360000000002</v>
      </c>
      <c r="N15" s="70">
        <f t="shared" si="8"/>
        <v>2835.5899999999997</v>
      </c>
      <c r="O15" s="70">
        <f t="shared" si="8"/>
        <v>4538.9400000000005</v>
      </c>
      <c r="P15" s="70">
        <f ca="1">'&gt;&gt; Segments'!P44</f>
        <v>1232.6778166872218</v>
      </c>
      <c r="Q15" s="70">
        <f ca="1">'&gt;&gt; Segments'!Q44</f>
        <v>1115.1684753221832</v>
      </c>
      <c r="R15" s="70">
        <f ca="1">'&gt;&gt; Segments'!R44</f>
        <v>1152.0152060725945</v>
      </c>
      <c r="S15" s="70">
        <f ca="1">'&gt;&gt; Segments'!S44</f>
        <v>1170.727062362552</v>
      </c>
      <c r="T15" s="70">
        <f ca="1">'&gt;&gt; Segments'!T44</f>
        <v>1194.1415941810228</v>
      </c>
      <c r="U15" s="70">
        <f ca="1">'&gt;&gt; Segments'!U44</f>
        <v>1205.3692503096026</v>
      </c>
      <c r="V15" s="70">
        <f ca="1">'&gt;&gt; Segments'!V44</f>
        <v>1222.2672774967339</v>
      </c>
      <c r="W15" s="70">
        <f ca="1">'&gt;&gt; Segments'!W44</f>
        <v>1240.4962508521492</v>
      </c>
      <c r="X15" s="70">
        <f ca="1">'&gt;&gt; Segments'!X44</f>
        <v>1259.054041418447</v>
      </c>
      <c r="Y15" s="70">
        <f ca="1">'&gt;&gt; Segments'!Y44</f>
        <v>1269.674215835455</v>
      </c>
    </row>
    <row r="16" spans="3:25" ht="15" customHeight="1" x14ac:dyDescent="0.2">
      <c r="C16" s="2"/>
      <c r="D16" s="2"/>
      <c r="E16" s="2" t="s">
        <v>152</v>
      </c>
      <c r="F16" s="24" t="s">
        <v>25</v>
      </c>
      <c r="G16" s="24"/>
      <c r="H16" s="27">
        <f>'&gt;&gt; Segments'!H57</f>
        <v>2.153</v>
      </c>
      <c r="I16" s="27">
        <f>'&gt;&gt; Segments'!I57</f>
        <v>2.3759999999999999</v>
      </c>
      <c r="J16" s="27">
        <f>'&gt;&gt; Segments'!J57</f>
        <v>4.6379999999999999</v>
      </c>
      <c r="K16" s="27">
        <f>'&gt;&gt; Segments'!K57</f>
        <v>5.76</v>
      </c>
      <c r="L16" s="27">
        <f>'&gt;&gt; Segments'!L57</f>
        <v>9.1609999999999996</v>
      </c>
      <c r="M16" s="27">
        <f>'&gt;&gt; Segments'!M57</f>
        <v>14.615</v>
      </c>
      <c r="N16" s="27">
        <f>'&gt;&gt; Segments'!N57</f>
        <v>10.691000000000001</v>
      </c>
      <c r="O16" s="27">
        <f>'&gt;&gt; Segments'!O57</f>
        <v>10.124000000000001</v>
      </c>
      <c r="P16" s="27">
        <f>'&gt;&gt; Segments'!P57</f>
        <v>12.129</v>
      </c>
      <c r="Q16" s="27">
        <f>'&gt;&gt; Segments'!Q57</f>
        <v>0</v>
      </c>
      <c r="R16" s="27">
        <f>'&gt;&gt; Segments'!R57</f>
        <v>0</v>
      </c>
      <c r="S16" s="27">
        <f>'&gt;&gt; Segments'!S57</f>
        <v>0</v>
      </c>
      <c r="T16" s="27">
        <f>'&gt;&gt; Segments'!T57</f>
        <v>0</v>
      </c>
      <c r="U16" s="27">
        <f>'&gt;&gt; Segments'!U57</f>
        <v>0</v>
      </c>
      <c r="V16" s="27">
        <f>'&gt;&gt; Segments'!V57</f>
        <v>0</v>
      </c>
      <c r="W16" s="27">
        <f>'&gt;&gt; Segments'!W57</f>
        <v>0</v>
      </c>
      <c r="X16" s="27">
        <f>'&gt;&gt; Segments'!X57</f>
        <v>0</v>
      </c>
      <c r="Y16" s="27">
        <f>'&gt;&gt; Segments'!Y57</f>
        <v>0</v>
      </c>
    </row>
    <row r="17" spans="3:25" ht="15" customHeight="1" x14ac:dyDescent="0.2">
      <c r="C17" s="1"/>
      <c r="D17" s="1"/>
      <c r="E17" s="1" t="s">
        <v>101</v>
      </c>
      <c r="F17" s="94" t="s">
        <v>25</v>
      </c>
      <c r="G17" s="94"/>
      <c r="H17" s="97">
        <f>H15-H16</f>
        <v>3903.607</v>
      </c>
      <c r="I17" s="97">
        <f t="shared" ref="I17:Y17" si="9">I15-I16</f>
        <v>4526.8640000000005</v>
      </c>
      <c r="J17" s="97">
        <f t="shared" si="9"/>
        <v>4182.438000000001</v>
      </c>
      <c r="K17" s="97">
        <f t="shared" si="9"/>
        <v>2016.2880000000002</v>
      </c>
      <c r="L17" s="97">
        <f t="shared" si="9"/>
        <v>2973.4090000000001</v>
      </c>
      <c r="M17" s="97">
        <f t="shared" si="9"/>
        <v>2785.7210000000005</v>
      </c>
      <c r="N17" s="97">
        <f t="shared" si="9"/>
        <v>2824.8989999999999</v>
      </c>
      <c r="O17" s="97">
        <f t="shared" si="9"/>
        <v>4528.8160000000007</v>
      </c>
      <c r="P17" s="97">
        <f t="shared" ca="1" si="9"/>
        <v>1220.5488166872219</v>
      </c>
      <c r="Q17" s="97">
        <f t="shared" ca="1" si="9"/>
        <v>1115.1684753221832</v>
      </c>
      <c r="R17" s="97">
        <f t="shared" ca="1" si="9"/>
        <v>1152.0152060725945</v>
      </c>
      <c r="S17" s="97">
        <f t="shared" ca="1" si="9"/>
        <v>1170.727062362552</v>
      </c>
      <c r="T17" s="97">
        <f t="shared" ca="1" si="9"/>
        <v>1194.1415941810228</v>
      </c>
      <c r="U17" s="97">
        <f t="shared" ca="1" si="9"/>
        <v>1205.3692503096026</v>
      </c>
      <c r="V17" s="97">
        <f t="shared" ca="1" si="9"/>
        <v>1222.2672774967339</v>
      </c>
      <c r="W17" s="97">
        <f t="shared" ca="1" si="9"/>
        <v>1240.4962508521492</v>
      </c>
      <c r="X17" s="97">
        <f t="shared" ca="1" si="9"/>
        <v>1259.054041418447</v>
      </c>
      <c r="Y17" s="97">
        <f t="shared" ca="1" si="9"/>
        <v>1269.674215835455</v>
      </c>
    </row>
    <row r="18" spans="3:25" ht="15" customHeight="1" x14ac:dyDescent="0.2">
      <c r="C18" s="2"/>
      <c r="D18" s="2"/>
      <c r="E18" s="2" t="s">
        <v>175</v>
      </c>
      <c r="F18" s="24" t="s">
        <v>25</v>
      </c>
      <c r="G18" s="24"/>
      <c r="H18" s="175">
        <v>15.1</v>
      </c>
      <c r="I18" s="176">
        <v>13.4</v>
      </c>
      <c r="J18" s="176">
        <v>13.5</v>
      </c>
      <c r="K18" s="176">
        <v>13.2</v>
      </c>
      <c r="L18" s="176">
        <v>-0.2</v>
      </c>
      <c r="M18" s="176">
        <v>-0.1</v>
      </c>
      <c r="N18" s="176">
        <v>0</v>
      </c>
      <c r="O18" s="177">
        <v>0</v>
      </c>
      <c r="P18" s="27">
        <f>'&gt;&gt; Segments'!P75</f>
        <v>0</v>
      </c>
      <c r="Q18" s="27">
        <f>'&gt;&gt; Segments'!Q75</f>
        <v>0</v>
      </c>
      <c r="R18" s="27">
        <f>'&gt;&gt; Segments'!R75</f>
        <v>0</v>
      </c>
      <c r="S18" s="27">
        <f>'&gt;&gt; Segments'!S75</f>
        <v>0</v>
      </c>
      <c r="T18" s="27">
        <f>'&gt;&gt; Segments'!T75</f>
        <v>0</v>
      </c>
      <c r="U18" s="27">
        <f>'&gt;&gt; Segments'!U75</f>
        <v>0</v>
      </c>
      <c r="V18" s="27">
        <f>'&gt;&gt; Segments'!V75</f>
        <v>0</v>
      </c>
      <c r="W18" s="27">
        <f>'&gt;&gt; Segments'!W75</f>
        <v>0</v>
      </c>
      <c r="X18" s="27">
        <f>'&gt;&gt; Segments'!X75</f>
        <v>0</v>
      </c>
      <c r="Y18" s="27">
        <f>'&gt;&gt; Segments'!Y75</f>
        <v>0</v>
      </c>
    </row>
    <row r="19" spans="3:25" ht="15" customHeight="1" x14ac:dyDescent="0.2">
      <c r="C19" s="2"/>
      <c r="D19" s="2"/>
      <c r="E19" s="2" t="s">
        <v>176</v>
      </c>
      <c r="F19" s="24" t="s">
        <v>25</v>
      </c>
      <c r="G19" s="24"/>
      <c r="H19" s="175">
        <v>1.1000000000000001</v>
      </c>
      <c r="I19" s="176">
        <v>1.1000000000000001</v>
      </c>
      <c r="J19" s="176">
        <v>1</v>
      </c>
      <c r="K19" s="176">
        <v>0.5</v>
      </c>
      <c r="L19" s="176">
        <v>0</v>
      </c>
      <c r="M19" s="176">
        <v>0</v>
      </c>
      <c r="N19" s="176">
        <v>0</v>
      </c>
      <c r="O19" s="177">
        <v>0</v>
      </c>
      <c r="P19" s="72">
        <f>O19</f>
        <v>0</v>
      </c>
      <c r="Q19" s="72">
        <f t="shared" ref="Q19:Y19" si="10">P19</f>
        <v>0</v>
      </c>
      <c r="R19" s="72">
        <f t="shared" si="10"/>
        <v>0</v>
      </c>
      <c r="S19" s="72">
        <f t="shared" si="10"/>
        <v>0</v>
      </c>
      <c r="T19" s="72">
        <f t="shared" si="10"/>
        <v>0</v>
      </c>
      <c r="U19" s="72">
        <f t="shared" si="10"/>
        <v>0</v>
      </c>
      <c r="V19" s="72">
        <f t="shared" si="10"/>
        <v>0</v>
      </c>
      <c r="W19" s="72">
        <f t="shared" si="10"/>
        <v>0</v>
      </c>
      <c r="X19" s="72">
        <f t="shared" si="10"/>
        <v>0</v>
      </c>
      <c r="Y19" s="72">
        <f t="shared" si="10"/>
        <v>0</v>
      </c>
    </row>
    <row r="20" spans="3:25" ht="15" customHeight="1" x14ac:dyDescent="0.2">
      <c r="C20" s="2"/>
      <c r="D20" s="2"/>
      <c r="E20" s="2" t="s">
        <v>177</v>
      </c>
      <c r="F20" s="24" t="s">
        <v>25</v>
      </c>
      <c r="G20" s="24"/>
      <c r="H20" s="175"/>
      <c r="I20" s="176"/>
      <c r="J20" s="176"/>
      <c r="K20" s="176"/>
      <c r="L20" s="176"/>
      <c r="M20" s="176"/>
      <c r="N20" s="176"/>
      <c r="O20" s="179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3:25" ht="15" customHeight="1" x14ac:dyDescent="0.2">
      <c r="C21" s="1"/>
      <c r="D21" s="1"/>
      <c r="E21" s="1" t="s">
        <v>178</v>
      </c>
      <c r="F21" s="94" t="s">
        <v>25</v>
      </c>
      <c r="G21" s="94"/>
      <c r="H21" s="97">
        <f t="shared" ref="H21:Y21" si="11">SUM(H17:H20)</f>
        <v>3919.8069999999998</v>
      </c>
      <c r="I21" s="97">
        <f t="shared" si="11"/>
        <v>4541.3640000000005</v>
      </c>
      <c r="J21" s="97">
        <f t="shared" si="11"/>
        <v>4196.938000000001</v>
      </c>
      <c r="K21" s="97">
        <f t="shared" si="11"/>
        <v>2029.9880000000003</v>
      </c>
      <c r="L21" s="97">
        <f t="shared" si="11"/>
        <v>2973.2090000000003</v>
      </c>
      <c r="M21" s="97">
        <f t="shared" si="11"/>
        <v>2785.6210000000005</v>
      </c>
      <c r="N21" s="97">
        <f t="shared" si="11"/>
        <v>2824.8989999999999</v>
      </c>
      <c r="O21" s="97">
        <f>SUM(O17:O20)</f>
        <v>4528.8160000000007</v>
      </c>
      <c r="P21" s="97">
        <f t="shared" ca="1" si="11"/>
        <v>1220.5488166872219</v>
      </c>
      <c r="Q21" s="97">
        <f t="shared" ca="1" si="11"/>
        <v>1115.1684753221832</v>
      </c>
      <c r="R21" s="97">
        <f t="shared" ca="1" si="11"/>
        <v>1152.0152060725945</v>
      </c>
      <c r="S21" s="97">
        <f t="shared" ca="1" si="11"/>
        <v>1170.727062362552</v>
      </c>
      <c r="T21" s="97">
        <f t="shared" ca="1" si="11"/>
        <v>1194.1415941810228</v>
      </c>
      <c r="U21" s="97">
        <f t="shared" ca="1" si="11"/>
        <v>1205.3692503096026</v>
      </c>
      <c r="V21" s="97">
        <f t="shared" ca="1" si="11"/>
        <v>1222.2672774967339</v>
      </c>
      <c r="W21" s="97">
        <f t="shared" ca="1" si="11"/>
        <v>1240.4962508521492</v>
      </c>
      <c r="X21" s="97">
        <f t="shared" ca="1" si="11"/>
        <v>1259.054041418447</v>
      </c>
      <c r="Y21" s="97">
        <f t="shared" ca="1" si="11"/>
        <v>1269.674215835455</v>
      </c>
    </row>
    <row r="22" spans="3:25" ht="15" customHeight="1" x14ac:dyDescent="0.2">
      <c r="C22" s="2"/>
      <c r="D22" s="2"/>
      <c r="E22" s="2" t="s">
        <v>179</v>
      </c>
      <c r="F22" s="24" t="s">
        <v>25</v>
      </c>
      <c r="G22" s="24"/>
      <c r="H22" s="298">
        <v>-17</v>
      </c>
      <c r="I22" s="299">
        <v>-31.9</v>
      </c>
      <c r="J22" s="299">
        <v>-12.2</v>
      </c>
      <c r="K22" s="299">
        <v>-0.7</v>
      </c>
      <c r="L22" s="301">
        <v>73.099999999999994</v>
      </c>
      <c r="M22" s="299">
        <v>212.4</v>
      </c>
      <c r="N22" s="299">
        <v>-6.5</v>
      </c>
      <c r="O22" s="300">
        <v>-6.5</v>
      </c>
      <c r="P22" s="97">
        <f ca="1">-P21*'&gt;&gt; Inputs'!$G$46</f>
        <v>-341.75366867242218</v>
      </c>
      <c r="Q22" s="97">
        <f ca="1">-Q21*'&gt;&gt; Inputs'!$G$46</f>
        <v>-312.24717309021133</v>
      </c>
      <c r="R22" s="97">
        <f ca="1">-R21*'&gt;&gt; Inputs'!$G$46</f>
        <v>-322.56425770032649</v>
      </c>
      <c r="S22" s="97">
        <f ca="1">-S21*'&gt;&gt; Inputs'!$G$46</f>
        <v>-327.80357746151458</v>
      </c>
      <c r="T22" s="97">
        <f ca="1">-T21*'&gt;&gt; Inputs'!$G$46</f>
        <v>-334.35964637068639</v>
      </c>
      <c r="U22" s="97">
        <f ca="1">-U21*'&gt;&gt; Inputs'!$G$46</f>
        <v>-337.5033900866888</v>
      </c>
      <c r="V22" s="97">
        <f ca="1">-V21*'&gt;&gt; Inputs'!$G$46</f>
        <v>-342.23483769908552</v>
      </c>
      <c r="W22" s="97">
        <f ca="1">-W21*'&gt;&gt; Inputs'!$G$46</f>
        <v>-347.3389502386018</v>
      </c>
      <c r="X22" s="97">
        <f ca="1">-X21*'&gt;&gt; Inputs'!$G$46</f>
        <v>-352.53513159716522</v>
      </c>
      <c r="Y22" s="97">
        <f ca="1">-Y21*'&gt;&gt; Inputs'!$G$46</f>
        <v>-355.50878043392743</v>
      </c>
    </row>
    <row r="23" spans="3:25" ht="15" customHeight="1" x14ac:dyDescent="0.2">
      <c r="C23" s="1"/>
      <c r="D23" s="1"/>
      <c r="E23" s="1" t="s">
        <v>180</v>
      </c>
      <c r="F23" s="94" t="s">
        <v>25</v>
      </c>
      <c r="G23" s="94"/>
      <c r="H23" s="302">
        <v>47.473999999999997</v>
      </c>
      <c r="I23" s="303">
        <v>78.53</v>
      </c>
      <c r="J23" s="303">
        <v>29.616</v>
      </c>
      <c r="K23" s="303">
        <v>4.165</v>
      </c>
      <c r="L23" s="301">
        <v>-198.279</v>
      </c>
      <c r="M23" s="303">
        <v>-552.62900000000002</v>
      </c>
      <c r="N23" s="303">
        <v>16.600000000000001</v>
      </c>
      <c r="O23" s="304">
        <v>27.6</v>
      </c>
    </row>
    <row r="24" spans="3:25" ht="15" customHeight="1" x14ac:dyDescent="0.2">
      <c r="C24" s="1"/>
      <c r="D24" s="1"/>
      <c r="E24" s="1" t="s">
        <v>181</v>
      </c>
      <c r="F24" s="94" t="s">
        <v>25</v>
      </c>
      <c r="G24" s="37"/>
      <c r="H24" s="97">
        <f>H23-(H21 * (1-'&gt;&gt; Inputs'!$G$46))</f>
        <v>-2774.7870399999997</v>
      </c>
      <c r="I24" s="97">
        <f>I23-(I21 * (1-'&gt;&gt; Inputs'!$G$46))</f>
        <v>-3191.2520800000002</v>
      </c>
      <c r="J24" s="97">
        <f>J23-(J21 * (1-'&gt;&gt; Inputs'!$G$46))</f>
        <v>-2992.1793600000005</v>
      </c>
      <c r="K24" s="97">
        <f>K23-(K21 * (1-'&gt;&gt; Inputs'!$G$46))</f>
        <v>-1457.4263600000002</v>
      </c>
      <c r="L24" s="97">
        <f>L23-(L21 * (1-'&gt;&gt; Inputs'!$G$46))</f>
        <v>-2338.9894800000002</v>
      </c>
      <c r="M24" s="97">
        <f>M23-(M21 * (1-'&gt;&gt; Inputs'!$G$46))</f>
        <v>-2558.2761200000004</v>
      </c>
      <c r="N24" s="97">
        <f>N23-(N21 * (1-'&gt;&gt; Inputs'!$G$46))</f>
        <v>-2017.32728</v>
      </c>
      <c r="O24" s="97">
        <f>O23-(O21 * (1-'&gt;&gt; Inputs'!$G$46))</f>
        <v>-3233.1475200000004</v>
      </c>
      <c r="P24" s="97">
        <f t="shared" ref="P24:Y24" ca="1" si="12">SUM(P21:P22)</f>
        <v>878.79514801479968</v>
      </c>
      <c r="Q24" s="97">
        <f t="shared" ca="1" si="12"/>
        <v>802.92130223197182</v>
      </c>
      <c r="R24" s="97">
        <f t="shared" ca="1" si="12"/>
        <v>829.45094837226804</v>
      </c>
      <c r="S24" s="97">
        <f t="shared" ca="1" si="12"/>
        <v>842.92348490103745</v>
      </c>
      <c r="T24" s="97">
        <f t="shared" ca="1" si="12"/>
        <v>859.78194781033642</v>
      </c>
      <c r="U24" s="97">
        <f t="shared" ca="1" si="12"/>
        <v>867.86586022291385</v>
      </c>
      <c r="V24" s="97">
        <f t="shared" ca="1" si="12"/>
        <v>880.03243979764829</v>
      </c>
      <c r="W24" s="97">
        <f t="shared" ca="1" si="12"/>
        <v>893.15730061354736</v>
      </c>
      <c r="X24" s="97">
        <f t="shared" ca="1" si="12"/>
        <v>906.5189098212818</v>
      </c>
      <c r="Y24" s="97">
        <f t="shared" ca="1" si="12"/>
        <v>914.16543540152759</v>
      </c>
    </row>
    <row r="25" spans="3:25" ht="15" customHeight="1" x14ac:dyDescent="0.2">
      <c r="C25" s="2"/>
      <c r="D25" s="2"/>
      <c r="E25" s="2" t="s">
        <v>182</v>
      </c>
      <c r="F25" s="136" t="s">
        <v>264</v>
      </c>
      <c r="G25" s="24"/>
      <c r="H25" s="50">
        <f>( H24 / '&gt;&gt; Inputs'!$G$47) * 100</f>
        <v>-732.60535532950075</v>
      </c>
      <c r="I25" s="50">
        <f>( I24 / '&gt;&gt; Inputs'!$G$47) * 100</f>
        <v>-842.56136788587901</v>
      </c>
      <c r="J25" s="50">
        <f>( J24 / '&gt;&gt; Inputs'!$G$47) * 100</f>
        <v>-790.0017520776654</v>
      </c>
      <c r="K25" s="50">
        <f>( K24 / '&gt;&gt; Inputs'!$G$47) * 100</f>
        <v>-384.79290156061177</v>
      </c>
      <c r="L25" s="50">
        <f>( L24 / '&gt;&gt; Inputs'!$G$47) * 100</f>
        <v>-617.54512847492776</v>
      </c>
      <c r="M25" s="50">
        <f>( M24 / '&gt;&gt; Inputs'!$G$47) * 100</f>
        <v>-675.44166774095106</v>
      </c>
      <c r="N25" s="50">
        <f>( N24 / '&gt;&gt; Inputs'!$G$47) * 100</f>
        <v>-532.61916949860608</v>
      </c>
      <c r="O25" s="50">
        <f>( O24 / '&gt;&gt; Inputs'!$G$47) * 100</f>
        <v>-853.62269376978736</v>
      </c>
      <c r="P25" s="50">
        <f ca="1">( P24 / '&gt;&gt; Inputs'!$G$47) * 100</f>
        <v>232.0214208846902</v>
      </c>
      <c r="Q25" s="50">
        <f ca="1">( Q24 / '&gt;&gt; Inputs'!$G$47) * 100</f>
        <v>211.98904184130805</v>
      </c>
      <c r="R25" s="50">
        <f ca="1">( R24 / '&gt;&gt; Inputs'!$G$47) * 100</f>
        <v>218.99345715578121</v>
      </c>
      <c r="S25" s="50">
        <f ca="1">( S24 / '&gt;&gt; Inputs'!$G$47) * 100</f>
        <v>222.55050577557321</v>
      </c>
      <c r="T25" s="50">
        <f ca="1">( T24 / '&gt;&gt; Inputs'!$G$47) * 100</f>
        <v>227.00151409871148</v>
      </c>
      <c r="U25" s="50">
        <f ca="1">( U24 / '&gt;&gt; Inputs'!$G$47) * 100</f>
        <v>229.13584637001577</v>
      </c>
      <c r="V25" s="50">
        <f ca="1">( V24 / '&gt;&gt; Inputs'!$G$47) * 100</f>
        <v>232.34809337275979</v>
      </c>
      <c r="W25" s="50">
        <f ca="1">( W24 / '&gt;&gt; Inputs'!$G$47) * 100</f>
        <v>235.81334788889805</v>
      </c>
      <c r="X25" s="50">
        <f ca="1">( X24 / '&gt;&gt; Inputs'!$G$47) * 100</f>
        <v>239.34110923428992</v>
      </c>
      <c r="Y25" s="50">
        <f ca="1">( Y24 / '&gt;&gt; Inputs'!$G$47) * 100</f>
        <v>241.35996167557568</v>
      </c>
    </row>
    <row r="26" spans="3:25" ht="15" customHeight="1" x14ac:dyDescent="0.2">
      <c r="C26" s="2"/>
      <c r="D26" s="2"/>
      <c r="E26" s="2"/>
      <c r="F26" s="24"/>
      <c r="G26" s="24"/>
      <c r="H26" s="2"/>
      <c r="I26" s="2"/>
      <c r="J26" s="2"/>
      <c r="K26" s="62"/>
      <c r="L26" s="62"/>
      <c r="M26" s="62"/>
      <c r="N26" s="102"/>
      <c r="O26" s="62"/>
      <c r="P26" s="324"/>
      <c r="Q26" s="62"/>
      <c r="R26" s="62"/>
      <c r="S26" s="62"/>
      <c r="T26" s="62"/>
      <c r="U26" s="62"/>
      <c r="V26" s="62"/>
      <c r="W26" s="62"/>
      <c r="X26" s="62"/>
      <c r="Y26" s="62"/>
    </row>
    <row r="27" spans="3:25" ht="15" customHeight="1" x14ac:dyDescent="0.2">
      <c r="C27" s="130" t="s">
        <v>183</v>
      </c>
      <c r="D27" s="131"/>
      <c r="E27" s="131"/>
      <c r="F27" s="132"/>
      <c r="G27" s="132"/>
      <c r="H27" s="131"/>
      <c r="I27" s="131"/>
      <c r="J27" s="131"/>
      <c r="K27" s="133"/>
      <c r="L27" s="133"/>
      <c r="M27" s="133"/>
      <c r="N27" s="134"/>
      <c r="O27" s="80"/>
      <c r="P27" s="133"/>
      <c r="Q27" s="133"/>
      <c r="R27" s="133"/>
      <c r="S27" s="133"/>
      <c r="T27" s="133"/>
      <c r="U27" s="133"/>
      <c r="V27" s="133"/>
      <c r="W27" s="133"/>
      <c r="X27" s="133"/>
      <c r="Y27" s="133"/>
    </row>
    <row r="28" spans="3:25" ht="15" customHeight="1" x14ac:dyDescent="0.2">
      <c r="P28" s="161"/>
      <c r="Q28" s="161"/>
      <c r="R28" s="161"/>
      <c r="S28" s="161"/>
      <c r="T28" s="161"/>
      <c r="U28" s="161"/>
      <c r="V28" s="161"/>
      <c r="W28" s="161"/>
      <c r="X28" s="161"/>
      <c r="Y28" s="161"/>
    </row>
    <row r="29" spans="3:25" ht="15" customHeight="1" x14ac:dyDescent="0.2">
      <c r="E29" s="2" t="s">
        <v>184</v>
      </c>
      <c r="F29" s="24" t="s">
        <v>25</v>
      </c>
      <c r="G29" s="24"/>
      <c r="H29" s="175">
        <v>1.7</v>
      </c>
      <c r="I29" s="176">
        <v>17.600000000000001</v>
      </c>
      <c r="J29" s="176">
        <v>0.8</v>
      </c>
      <c r="K29" s="176">
        <v>5.3</v>
      </c>
      <c r="L29" s="176">
        <v>43.3</v>
      </c>
      <c r="M29" s="176">
        <v>16.100000000000001</v>
      </c>
      <c r="N29" s="176">
        <v>2.4</v>
      </c>
      <c r="O29" s="177">
        <v>4.9000000000000004</v>
      </c>
      <c r="P29" s="72">
        <f ca="1">O29*(1+P30)</f>
        <v>90.269203433826249</v>
      </c>
      <c r="Q29" s="72">
        <f t="shared" ref="Q29:Y29" ca="1" si="13">P29*(1+Q30)</f>
        <v>10.722035270801278</v>
      </c>
      <c r="R29" s="72">
        <f t="shared" ca="1" si="13"/>
        <v>1.3390150577986224</v>
      </c>
      <c r="S29" s="72">
        <f t="shared" ca="1" si="13"/>
        <v>0.16616652289704978</v>
      </c>
      <c r="T29" s="72">
        <f t="shared" ca="1" si="13"/>
        <v>2.0653972613244344E-2</v>
      </c>
      <c r="U29" s="72">
        <f t="shared" ca="1" si="13"/>
        <v>5.6505281717208001E-3</v>
      </c>
      <c r="V29" s="72">
        <f t="shared" ca="1" si="13"/>
        <v>2.3894080842411856E-3</v>
      </c>
      <c r="W29" s="72">
        <f t="shared" ca="1" si="13"/>
        <v>1.3670960522491513E-3</v>
      </c>
      <c r="X29" s="72">
        <f t="shared" ca="1" si="13"/>
        <v>9.8626721894563667E-4</v>
      </c>
      <c r="Y29" s="72">
        <f t="shared" ca="1" si="13"/>
        <v>8.5875878480403734E-4</v>
      </c>
    </row>
    <row r="30" spans="3:25" ht="15" customHeight="1" x14ac:dyDescent="0.2">
      <c r="E30" s="137" t="s">
        <v>128</v>
      </c>
      <c r="F30" s="24" t="s">
        <v>7</v>
      </c>
      <c r="G30" s="24"/>
      <c r="H30" s="72"/>
      <c r="I30" s="180">
        <f>IFERROR((I29/H29-1),"NA")</f>
        <v>9.3529411764705888</v>
      </c>
      <c r="J30" s="180">
        <f t="shared" ref="J30:O30" si="14">IFERROR((J29/I29-1),"NA")</f>
        <v>-0.95454545454545459</v>
      </c>
      <c r="K30" s="180">
        <f t="shared" si="14"/>
        <v>5.6249999999999991</v>
      </c>
      <c r="L30" s="180">
        <f t="shared" si="14"/>
        <v>7.1698113207547163</v>
      </c>
      <c r="M30" s="180">
        <f t="shared" si="14"/>
        <v>-0.62817551963048501</v>
      </c>
      <c r="N30" s="180">
        <f t="shared" si="14"/>
        <v>-0.85093167701863359</v>
      </c>
      <c r="O30" s="180">
        <f t="shared" si="14"/>
        <v>1.041666666666667</v>
      </c>
      <c r="P30" s="178">
        <f ca="1">F117</f>
        <v>17.42228641506658</v>
      </c>
      <c r="Q30" s="322">
        <f t="shared" ref="Q30:Y30" ca="1" si="15">G117</f>
        <v>-0.88122155881588904</v>
      </c>
      <c r="R30" s="322">
        <f t="shared" ca="1" si="15"/>
        <v>-0.87511558916010213</v>
      </c>
      <c r="S30" s="322">
        <f t="shared" ca="1" si="15"/>
        <v>-0.87590391763761632</v>
      </c>
      <c r="T30" s="322">
        <f t="shared" ca="1" si="15"/>
        <v>-0.87570316659968428</v>
      </c>
      <c r="U30" s="322">
        <f t="shared" ca="1" si="15"/>
        <v>-0.72641930549973699</v>
      </c>
      <c r="V30" s="322">
        <f t="shared" ca="1" si="15"/>
        <v>-0.57713544439978959</v>
      </c>
      <c r="W30" s="322">
        <f t="shared" ca="1" si="15"/>
        <v>-0.4278515832998423</v>
      </c>
      <c r="X30" s="322">
        <f t="shared" ca="1" si="15"/>
        <v>-0.27856772219989495</v>
      </c>
      <c r="Y30" s="323">
        <f t="shared" ca="1" si="15"/>
        <v>-0.12928386109994761</v>
      </c>
    </row>
    <row r="31" spans="3:25" ht="15" customHeight="1" x14ac:dyDescent="0.2">
      <c r="E31" s="2" t="s">
        <v>185</v>
      </c>
      <c r="F31" s="24" t="s">
        <v>25</v>
      </c>
      <c r="G31" s="24"/>
      <c r="H31" s="175">
        <v>33.700000000000003</v>
      </c>
      <c r="I31" s="176">
        <v>21.2</v>
      </c>
      <c r="J31" s="176">
        <v>23.8</v>
      </c>
      <c r="K31" s="176">
        <v>11.9</v>
      </c>
      <c r="L31" s="176">
        <v>18.7</v>
      </c>
      <c r="M31" s="176">
        <v>20.6</v>
      </c>
      <c r="N31" s="176">
        <v>19</v>
      </c>
      <c r="O31" s="177">
        <v>17.8</v>
      </c>
      <c r="P31" s="72">
        <f ca="1">O31*(1+P32)</f>
        <v>327.91669818818514</v>
      </c>
      <c r="Q31" s="72">
        <f t="shared" ref="Q31:Y31" ca="1" si="16">P31*(1+Q32)</f>
        <v>38.94943424903321</v>
      </c>
      <c r="R31" s="72">
        <f t="shared" ca="1" si="16"/>
        <v>4.8641771487378529</v>
      </c>
      <c r="S31" s="72">
        <f t="shared" ca="1" si="16"/>
        <v>0.60362532807499714</v>
      </c>
      <c r="T31" s="72">
        <f t="shared" ca="1" si="16"/>
        <v>7.5028716839948842E-2</v>
      </c>
      <c r="U31" s="72">
        <f t="shared" ca="1" si="16"/>
        <v>2.0526408460536782E-2</v>
      </c>
      <c r="V31" s="72">
        <f t="shared" ca="1" si="16"/>
        <v>8.6798905917332848E-3</v>
      </c>
      <c r="W31" s="72">
        <f t="shared" ca="1" si="16"/>
        <v>4.9661856591907937E-3</v>
      </c>
      <c r="X31" s="72">
        <f t="shared" ca="1" si="16"/>
        <v>3.5827666320882301E-3</v>
      </c>
      <c r="Y31" s="72">
        <f t="shared" ca="1" si="16"/>
        <v>3.1195727284718082E-3</v>
      </c>
    </row>
    <row r="32" spans="3:25" ht="15" customHeight="1" x14ac:dyDescent="0.2">
      <c r="E32" s="137" t="s">
        <v>128</v>
      </c>
      <c r="F32" s="24" t="s">
        <v>7</v>
      </c>
      <c r="G32" s="24"/>
      <c r="H32" s="72"/>
      <c r="I32" s="180">
        <f>IFERROR((I31/H31-1),"NA")</f>
        <v>-0.37091988130563802</v>
      </c>
      <c r="J32" s="180">
        <f t="shared" ref="J32:O32" si="17">IFERROR((J31/I31-1),"NA")</f>
        <v>0.12264150943396235</v>
      </c>
      <c r="K32" s="180">
        <f t="shared" si="17"/>
        <v>-0.5</v>
      </c>
      <c r="L32" s="180">
        <f t="shared" si="17"/>
        <v>0.5714285714285714</v>
      </c>
      <c r="M32" s="180">
        <f t="shared" si="17"/>
        <v>0.10160427807486649</v>
      </c>
      <c r="N32" s="180">
        <f t="shared" si="17"/>
        <v>-7.7669902912621436E-2</v>
      </c>
      <c r="O32" s="180">
        <f t="shared" si="17"/>
        <v>-6.315789473684208E-2</v>
      </c>
      <c r="P32" s="178">
        <f ca="1">F117</f>
        <v>17.42228641506658</v>
      </c>
      <c r="Q32" s="322">
        <f t="shared" ref="Q32:Y32" ca="1" si="18">G117</f>
        <v>-0.88122155881588904</v>
      </c>
      <c r="R32" s="322">
        <f t="shared" ca="1" si="18"/>
        <v>-0.87511558916010213</v>
      </c>
      <c r="S32" s="322">
        <f t="shared" ca="1" si="18"/>
        <v>-0.87590391763761632</v>
      </c>
      <c r="T32" s="322">
        <f t="shared" ca="1" si="18"/>
        <v>-0.87570316659968428</v>
      </c>
      <c r="U32" s="322">
        <f t="shared" ca="1" si="18"/>
        <v>-0.72641930549973699</v>
      </c>
      <c r="V32" s="322">
        <f t="shared" ca="1" si="18"/>
        <v>-0.57713544439978959</v>
      </c>
      <c r="W32" s="322">
        <f t="shared" ca="1" si="18"/>
        <v>-0.4278515832998423</v>
      </c>
      <c r="X32" s="322">
        <f t="shared" ca="1" si="18"/>
        <v>-0.27856772219989495</v>
      </c>
      <c r="Y32" s="323">
        <f t="shared" ca="1" si="18"/>
        <v>-0.12928386109994761</v>
      </c>
    </row>
    <row r="33" spans="5:25" ht="15" customHeight="1" x14ac:dyDescent="0.2">
      <c r="E33" s="2" t="s">
        <v>186</v>
      </c>
      <c r="F33" s="24" t="s">
        <v>25</v>
      </c>
      <c r="G33" s="24"/>
      <c r="H33" s="175">
        <v>2.2999999999999998</v>
      </c>
      <c r="I33" s="176">
        <v>2.2000000000000002</v>
      </c>
      <c r="J33" s="176">
        <v>3</v>
      </c>
      <c r="K33" s="176">
        <v>3.3</v>
      </c>
      <c r="L33" s="176">
        <v>4.4000000000000004</v>
      </c>
      <c r="M33" s="176">
        <v>2</v>
      </c>
      <c r="N33" s="176">
        <v>5.0999999999999996</v>
      </c>
      <c r="O33" s="177">
        <v>5.5</v>
      </c>
      <c r="P33" s="72">
        <f ca="1">O33*(1+P34)</f>
        <v>101.32257528286618</v>
      </c>
      <c r="Q33" s="72">
        <f t="shared" ref="Q33:Y33" ca="1" si="19">P33*(1+Q34)</f>
        <v>12.034937548858576</v>
      </c>
      <c r="R33" s="72">
        <f t="shared" ca="1" si="19"/>
        <v>1.5029760852841678</v>
      </c>
      <c r="S33" s="72">
        <f t="shared" ca="1" si="19"/>
        <v>0.18651344406811707</v>
      </c>
      <c r="T33" s="72">
        <f t="shared" ca="1" si="19"/>
        <v>2.3183030484253853E-2</v>
      </c>
      <c r="U33" s="72">
        <f t="shared" ca="1" si="19"/>
        <v>6.3424295805029375E-3</v>
      </c>
      <c r="V33" s="72">
        <f t="shared" ca="1" si="19"/>
        <v>2.6819886659850034E-3</v>
      </c>
      <c r="W33" s="72">
        <f t="shared" ca="1" si="19"/>
        <v>1.5344955688510878E-3</v>
      </c>
      <c r="X33" s="72">
        <f t="shared" ca="1" si="19"/>
        <v>1.1070346335104082E-3</v>
      </c>
      <c r="Y33" s="72">
        <f t="shared" ca="1" si="19"/>
        <v>9.6391292171881719E-4</v>
      </c>
    </row>
    <row r="34" spans="5:25" ht="15" customHeight="1" x14ac:dyDescent="0.2">
      <c r="E34" s="137" t="s">
        <v>128</v>
      </c>
      <c r="F34" s="24" t="s">
        <v>7</v>
      </c>
      <c r="G34" s="24"/>
      <c r="H34" s="72"/>
      <c r="I34" s="180">
        <f>IFERROR((I33/H33-1),"NA")</f>
        <v>-4.3478260869565077E-2</v>
      </c>
      <c r="J34" s="180">
        <f t="shared" ref="J34:O34" si="20">IFERROR((J33/I33-1),"NA")</f>
        <v>0.36363636363636354</v>
      </c>
      <c r="K34" s="180">
        <f t="shared" si="20"/>
        <v>9.9999999999999867E-2</v>
      </c>
      <c r="L34" s="180">
        <f t="shared" si="20"/>
        <v>0.33333333333333348</v>
      </c>
      <c r="M34" s="180">
        <f t="shared" si="20"/>
        <v>-0.54545454545454541</v>
      </c>
      <c r="N34" s="180">
        <f t="shared" si="20"/>
        <v>1.5499999999999998</v>
      </c>
      <c r="O34" s="180">
        <f t="shared" si="20"/>
        <v>7.8431372549019773E-2</v>
      </c>
      <c r="P34" s="178">
        <f ca="1">F117</f>
        <v>17.42228641506658</v>
      </c>
      <c r="Q34" s="322">
        <f t="shared" ref="Q34:X34" ca="1" si="21">G117</f>
        <v>-0.88122155881588904</v>
      </c>
      <c r="R34" s="322">
        <f t="shared" ca="1" si="21"/>
        <v>-0.87511558916010213</v>
      </c>
      <c r="S34" s="322">
        <f t="shared" ca="1" si="21"/>
        <v>-0.87590391763761632</v>
      </c>
      <c r="T34" s="322">
        <f t="shared" ca="1" si="21"/>
        <v>-0.87570316659968428</v>
      </c>
      <c r="U34" s="322">
        <f t="shared" ca="1" si="21"/>
        <v>-0.72641930549973699</v>
      </c>
      <c r="V34" s="322">
        <f t="shared" ca="1" si="21"/>
        <v>-0.57713544439978959</v>
      </c>
      <c r="W34" s="322">
        <f t="shared" ca="1" si="21"/>
        <v>-0.4278515832998423</v>
      </c>
      <c r="X34" s="322">
        <f t="shared" ca="1" si="21"/>
        <v>-0.27856772219989495</v>
      </c>
      <c r="Y34" s="323">
        <f ca="1">O117</f>
        <v>-0.12928386109994761</v>
      </c>
    </row>
    <row r="35" spans="5:25" ht="15" customHeight="1" x14ac:dyDescent="0.2">
      <c r="E35" s="2" t="s">
        <v>187</v>
      </c>
      <c r="F35" s="24" t="s">
        <v>25</v>
      </c>
      <c r="G35" s="24"/>
      <c r="H35" s="175">
        <v>108.9</v>
      </c>
      <c r="I35" s="176">
        <v>136.69999999999999</v>
      </c>
      <c r="J35" s="176">
        <v>136.6</v>
      </c>
      <c r="K35" s="176">
        <v>143.5</v>
      </c>
      <c r="L35" s="176">
        <v>151.6</v>
      </c>
      <c r="M35" s="176">
        <v>125.2</v>
      </c>
      <c r="N35" s="176">
        <v>4.0999999999999996</v>
      </c>
      <c r="O35" s="177">
        <v>8.6</v>
      </c>
      <c r="P35" s="72">
        <f ca="1">O35*(1+P36)</f>
        <v>158.43166316957257</v>
      </c>
      <c r="Q35" s="72">
        <f t="shared" ref="Q35:Y35" ca="1" si="22">P35*(1+Q36)</f>
        <v>18.818265985487955</v>
      </c>
      <c r="R35" s="72">
        <f t="shared" ca="1" si="22"/>
        <v>2.3501080606261535</v>
      </c>
      <c r="S35" s="72">
        <f t="shared" ca="1" si="22"/>
        <v>0.29163920345196492</v>
      </c>
      <c r="T35" s="72">
        <f t="shared" ca="1" si="22"/>
        <v>3.6249829484469663E-2</v>
      </c>
      <c r="U35" s="72">
        <f t="shared" ca="1" si="22"/>
        <v>9.9172535258773217E-3</v>
      </c>
      <c r="V35" s="72">
        <f t="shared" ca="1" si="22"/>
        <v>4.1936550049947331E-3</v>
      </c>
      <c r="W35" s="72">
        <f t="shared" ca="1" si="22"/>
        <v>2.3993930712944284E-3</v>
      </c>
      <c r="X35" s="72">
        <f t="shared" ca="1" si="22"/>
        <v>1.7309996087617292E-3</v>
      </c>
      <c r="Y35" s="72">
        <f t="shared" ca="1" si="22"/>
        <v>1.5072092957785141E-3</v>
      </c>
    </row>
    <row r="36" spans="5:25" ht="15" customHeight="1" x14ac:dyDescent="0.2">
      <c r="E36" s="137" t="s">
        <v>128</v>
      </c>
      <c r="F36" s="24" t="s">
        <v>7</v>
      </c>
      <c r="G36" s="24"/>
      <c r="H36" s="72"/>
      <c r="I36" s="180">
        <f>IFERROR((I35/H35-1),"NA")</f>
        <v>0.25528007346189141</v>
      </c>
      <c r="J36" s="180">
        <f t="shared" ref="J36:O36" si="23">IFERROR((J35/I35-1),"NA")</f>
        <v>-7.3152889539129795E-4</v>
      </c>
      <c r="K36" s="180">
        <f t="shared" si="23"/>
        <v>5.051244509516839E-2</v>
      </c>
      <c r="L36" s="180">
        <f t="shared" si="23"/>
        <v>5.6445993031358777E-2</v>
      </c>
      <c r="M36" s="180">
        <f t="shared" si="23"/>
        <v>-0.1741424802110817</v>
      </c>
      <c r="N36" s="180">
        <f t="shared" si="23"/>
        <v>-0.96725239616613423</v>
      </c>
      <c r="O36" s="180">
        <f t="shared" si="23"/>
        <v>1.0975609756097562</v>
      </c>
      <c r="P36" s="178">
        <f ca="1">F117</f>
        <v>17.42228641506658</v>
      </c>
      <c r="Q36" s="322">
        <f t="shared" ref="Q36:Y36" ca="1" si="24">G117</f>
        <v>-0.88122155881588904</v>
      </c>
      <c r="R36" s="322">
        <f t="shared" ca="1" si="24"/>
        <v>-0.87511558916010213</v>
      </c>
      <c r="S36" s="322">
        <f t="shared" ca="1" si="24"/>
        <v>-0.87590391763761632</v>
      </c>
      <c r="T36" s="322">
        <f t="shared" ca="1" si="24"/>
        <v>-0.87570316659968428</v>
      </c>
      <c r="U36" s="322">
        <f t="shared" ca="1" si="24"/>
        <v>-0.72641930549973699</v>
      </c>
      <c r="V36" s="322">
        <f t="shared" ca="1" si="24"/>
        <v>-0.57713544439978959</v>
      </c>
      <c r="W36" s="322">
        <f t="shared" ca="1" si="24"/>
        <v>-0.4278515832998423</v>
      </c>
      <c r="X36" s="322">
        <f t="shared" ca="1" si="24"/>
        <v>-0.27856772219989495</v>
      </c>
      <c r="Y36" s="323">
        <f t="shared" ca="1" si="24"/>
        <v>-0.12928386109994761</v>
      </c>
    </row>
    <row r="37" spans="5:25" ht="15" customHeight="1" x14ac:dyDescent="0.2">
      <c r="E37" s="1" t="s">
        <v>188</v>
      </c>
      <c r="F37" s="24" t="s">
        <v>25</v>
      </c>
      <c r="G37" s="24"/>
      <c r="H37" s="72">
        <f>H29+H31+H33+H35</f>
        <v>146.60000000000002</v>
      </c>
      <c r="I37" s="72">
        <f t="shared" ref="I37:Y37" si="25">I29+I31+I33+I35</f>
        <v>177.7</v>
      </c>
      <c r="J37" s="72">
        <f t="shared" si="25"/>
        <v>164.2</v>
      </c>
      <c r="K37" s="72">
        <f t="shared" si="25"/>
        <v>164</v>
      </c>
      <c r="L37" s="72">
        <f t="shared" si="25"/>
        <v>218</v>
      </c>
      <c r="M37" s="72">
        <f t="shared" si="25"/>
        <v>163.9</v>
      </c>
      <c r="N37" s="72">
        <f t="shared" si="25"/>
        <v>30.6</v>
      </c>
      <c r="O37" s="72">
        <f t="shared" si="25"/>
        <v>36.800000000000004</v>
      </c>
      <c r="P37" s="73">
        <f t="shared" ca="1" si="25"/>
        <v>677.94014007445026</v>
      </c>
      <c r="Q37" s="73">
        <f t="shared" ca="1" si="25"/>
        <v>80.524673054181022</v>
      </c>
      <c r="R37" s="73">
        <f t="shared" ca="1" si="25"/>
        <v>10.056276352446798</v>
      </c>
      <c r="S37" s="73">
        <f t="shared" ca="1" si="25"/>
        <v>1.2479444984921289</v>
      </c>
      <c r="T37" s="73">
        <f t="shared" ca="1" si="25"/>
        <v>0.15511554942191672</v>
      </c>
      <c r="U37" s="73">
        <f t="shared" ca="1" si="25"/>
        <v>4.243661973863784E-2</v>
      </c>
      <c r="V37" s="73">
        <f t="shared" ca="1" si="25"/>
        <v>1.7944942346954207E-2</v>
      </c>
      <c r="W37" s="73">
        <f t="shared" ca="1" si="25"/>
        <v>1.0267170351585461E-2</v>
      </c>
      <c r="X37" s="73">
        <f t="shared" ca="1" si="25"/>
        <v>7.4070680933060037E-3</v>
      </c>
      <c r="Y37" s="73">
        <f t="shared" ca="1" si="25"/>
        <v>6.4494537307731772E-3</v>
      </c>
    </row>
    <row r="38" spans="5:25" ht="15" customHeight="1" x14ac:dyDescent="0.2">
      <c r="E38" s="1"/>
      <c r="F38" s="24"/>
      <c r="G38" s="24"/>
      <c r="H38" s="72"/>
      <c r="I38" s="72"/>
      <c r="J38" s="72"/>
      <c r="K38" s="72"/>
      <c r="L38" s="72"/>
      <c r="M38" s="72"/>
      <c r="N38" s="72"/>
      <c r="O38" s="72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 spans="5:25" ht="15" customHeight="1" x14ac:dyDescent="0.2">
      <c r="E39" s="1"/>
      <c r="F39" s="24"/>
      <c r="G39" s="24"/>
      <c r="H39" s="72"/>
      <c r="I39" s="72"/>
      <c r="J39" s="72"/>
      <c r="K39" s="72"/>
      <c r="L39" s="72"/>
      <c r="M39" s="72"/>
      <c r="N39" s="72"/>
      <c r="O39" s="72"/>
      <c r="P39" s="106"/>
      <c r="Q39" s="106"/>
      <c r="R39" s="106"/>
      <c r="S39" s="106"/>
      <c r="T39" s="106"/>
      <c r="U39" s="106"/>
      <c r="V39" s="106"/>
      <c r="W39" s="106"/>
      <c r="X39" s="106"/>
      <c r="Y39" s="106"/>
    </row>
    <row r="40" spans="5:25" ht="15" customHeight="1" x14ac:dyDescent="0.2">
      <c r="E40" s="2" t="s">
        <v>189</v>
      </c>
      <c r="F40" s="24" t="s">
        <v>25</v>
      </c>
      <c r="G40" s="24"/>
      <c r="H40" s="175">
        <v>1121.0999999999999</v>
      </c>
      <c r="I40" s="176">
        <v>1128.9000000000001</v>
      </c>
      <c r="J40" s="176">
        <v>1191.9000000000001</v>
      </c>
      <c r="K40" s="176">
        <v>1175.3</v>
      </c>
      <c r="L40" s="176">
        <v>890.5</v>
      </c>
      <c r="M40" s="176">
        <v>869.8</v>
      </c>
      <c r="N40" s="176">
        <v>876.6</v>
      </c>
      <c r="O40" s="177">
        <v>906.7</v>
      </c>
      <c r="P40" s="72">
        <f t="shared" ref="P40:Y40" si="26">O40-P81</f>
        <v>972.95500000000004</v>
      </c>
      <c r="Q40" s="72">
        <f t="shared" si="26"/>
        <v>1042.5227500000001</v>
      </c>
      <c r="R40" s="72">
        <f t="shared" si="26"/>
        <v>1115.5688875000001</v>
      </c>
      <c r="S40" s="72">
        <f t="shared" si="26"/>
        <v>1192.2673318750001</v>
      </c>
      <c r="T40" s="72">
        <f t="shared" si="26"/>
        <v>1272.8006984687502</v>
      </c>
      <c r="U40" s="72">
        <f t="shared" si="26"/>
        <v>1357.3607333921877</v>
      </c>
      <c r="V40" s="72">
        <f t="shared" si="26"/>
        <v>1446.1487700617972</v>
      </c>
      <c r="W40" s="72">
        <f t="shared" si="26"/>
        <v>1539.3762085648871</v>
      </c>
      <c r="X40" s="72">
        <f t="shared" si="26"/>
        <v>1637.2650189931314</v>
      </c>
      <c r="Y40" s="72">
        <f t="shared" si="26"/>
        <v>1740.048269942788</v>
      </c>
    </row>
    <row r="41" spans="5:25" ht="15" customHeight="1" x14ac:dyDescent="0.2">
      <c r="E41" s="137" t="s">
        <v>128</v>
      </c>
      <c r="F41" s="24" t="s">
        <v>7</v>
      </c>
      <c r="G41" s="24"/>
      <c r="H41" s="72"/>
      <c r="I41" s="180">
        <f>IFERROR((I40/H40-1),"NA")</f>
        <v>6.9574525020070777E-3</v>
      </c>
      <c r="J41" s="180">
        <f t="shared" ref="J41:O41" si="27">IFERROR((J40/I40-1),"NA")</f>
        <v>5.5806537337230955E-2</v>
      </c>
      <c r="K41" s="180">
        <f t="shared" si="27"/>
        <v>-1.3927342897894213E-2</v>
      </c>
      <c r="L41" s="180">
        <f t="shared" si="27"/>
        <v>-0.24232110950395636</v>
      </c>
      <c r="M41" s="180">
        <f t="shared" si="27"/>
        <v>-2.3245367770915237E-2</v>
      </c>
      <c r="N41" s="180">
        <f t="shared" si="27"/>
        <v>7.8178891699240971E-3</v>
      </c>
      <c r="O41" s="181">
        <f t="shared" si="27"/>
        <v>3.4337211955281832E-2</v>
      </c>
      <c r="P41" s="181">
        <f>IFERROR((P40/O40-1),"NA")</f>
        <v>7.3072681151428176E-2</v>
      </c>
      <c r="Q41" s="181">
        <f t="shared" ref="Q41:Y41" si="28">IFERROR((Q40/P40-1),"NA")</f>
        <v>7.1501508291750504E-2</v>
      </c>
      <c r="R41" s="181">
        <f t="shared" si="28"/>
        <v>7.0066708376387954E-2</v>
      </c>
      <c r="S41" s="181">
        <f t="shared" si="28"/>
        <v>6.8752763934535555E-2</v>
      </c>
      <c r="T41" s="181">
        <f t="shared" si="28"/>
        <v>6.7546400409294494E-2</v>
      </c>
      <c r="U41" s="181">
        <f t="shared" si="28"/>
        <v>6.6436194625889122E-2</v>
      </c>
      <c r="V41" s="181">
        <f t="shared" si="28"/>
        <v>6.5412262551399092E-2</v>
      </c>
      <c r="W41" s="181">
        <f t="shared" si="28"/>
        <v>6.4466008223418081E-2</v>
      </c>
      <c r="X41" s="181">
        <f t="shared" si="28"/>
        <v>6.3589920309021108E-2</v>
      </c>
      <c r="Y41" s="181">
        <f t="shared" si="28"/>
        <v>6.277740607495863E-2</v>
      </c>
    </row>
    <row r="42" spans="5:25" ht="15" customHeight="1" x14ac:dyDescent="0.2">
      <c r="E42" s="2" t="s">
        <v>190</v>
      </c>
      <c r="F42" s="24" t="s">
        <v>25</v>
      </c>
      <c r="G42" s="24"/>
      <c r="H42" s="175">
        <v>4.4000000000000004</v>
      </c>
      <c r="I42" s="176">
        <v>8.1</v>
      </c>
      <c r="J42" s="176">
        <v>14.3</v>
      </c>
      <c r="K42" s="176">
        <v>22.1</v>
      </c>
      <c r="L42" s="176">
        <v>10</v>
      </c>
      <c r="M42" s="176">
        <v>27.1</v>
      </c>
      <c r="N42" s="176">
        <v>5.9</v>
      </c>
      <c r="O42" s="177">
        <v>1.8</v>
      </c>
      <c r="P42" s="72">
        <f t="shared" ref="P42:Y42" si="29">O42-P80</f>
        <v>1.8</v>
      </c>
      <c r="Q42" s="72">
        <f t="shared" si="29"/>
        <v>1.8</v>
      </c>
      <c r="R42" s="72">
        <f t="shared" si="29"/>
        <v>1.8</v>
      </c>
      <c r="S42" s="72">
        <f t="shared" si="29"/>
        <v>1.8</v>
      </c>
      <c r="T42" s="72">
        <f t="shared" si="29"/>
        <v>1.8</v>
      </c>
      <c r="U42" s="72">
        <f t="shared" si="29"/>
        <v>1.8</v>
      </c>
      <c r="V42" s="72">
        <f t="shared" si="29"/>
        <v>1.8</v>
      </c>
      <c r="W42" s="72">
        <f t="shared" si="29"/>
        <v>1.8</v>
      </c>
      <c r="X42" s="72">
        <f t="shared" si="29"/>
        <v>1.8</v>
      </c>
      <c r="Y42" s="72">
        <f t="shared" si="29"/>
        <v>1.8</v>
      </c>
    </row>
    <row r="43" spans="5:25" ht="15" customHeight="1" x14ac:dyDescent="0.2">
      <c r="E43" s="137" t="s">
        <v>128</v>
      </c>
      <c r="F43" s="24" t="s">
        <v>7</v>
      </c>
      <c r="G43" s="24"/>
      <c r="H43" s="72"/>
      <c r="I43" s="180">
        <f>IFERROR((I42/H42-1),"NA")</f>
        <v>0.84090909090909061</v>
      </c>
      <c r="J43" s="180">
        <f t="shared" ref="J43:O43" si="30">IFERROR((J42/I42-1),"NA")</f>
        <v>0.76543209876543217</v>
      </c>
      <c r="K43" s="180">
        <f t="shared" si="30"/>
        <v>0.54545454545454541</v>
      </c>
      <c r="L43" s="180">
        <f t="shared" si="30"/>
        <v>-0.54751131221719462</v>
      </c>
      <c r="M43" s="180">
        <f t="shared" si="30"/>
        <v>1.71</v>
      </c>
      <c r="N43" s="180">
        <f t="shared" si="30"/>
        <v>-0.78228782287822884</v>
      </c>
      <c r="O43" s="181">
        <f t="shared" si="30"/>
        <v>-0.69491525423728817</v>
      </c>
      <c r="P43" s="181">
        <f>IFERROR((P42/O42-1),"NA")</f>
        <v>0</v>
      </c>
      <c r="Q43" s="181">
        <f t="shared" ref="Q43:Y43" si="31">IFERROR((Q42/P42-1),"NA")</f>
        <v>0</v>
      </c>
      <c r="R43" s="181">
        <f t="shared" si="31"/>
        <v>0</v>
      </c>
      <c r="S43" s="181">
        <f t="shared" si="31"/>
        <v>0</v>
      </c>
      <c r="T43" s="181">
        <f t="shared" si="31"/>
        <v>0</v>
      </c>
      <c r="U43" s="181">
        <f t="shared" si="31"/>
        <v>0</v>
      </c>
      <c r="V43" s="181">
        <f t="shared" si="31"/>
        <v>0</v>
      </c>
      <c r="W43" s="181">
        <f t="shared" si="31"/>
        <v>0</v>
      </c>
      <c r="X43" s="181">
        <f t="shared" si="31"/>
        <v>0</v>
      </c>
      <c r="Y43" s="181">
        <f t="shared" si="31"/>
        <v>0</v>
      </c>
    </row>
    <row r="44" spans="5:25" ht="15" customHeight="1" x14ac:dyDescent="0.2">
      <c r="E44" s="2" t="s">
        <v>191</v>
      </c>
      <c r="F44" s="24" t="s">
        <v>25</v>
      </c>
      <c r="G44" s="24"/>
      <c r="H44" s="175"/>
      <c r="I44" s="176"/>
      <c r="J44" s="176"/>
      <c r="K44" s="176"/>
      <c r="L44" s="176"/>
      <c r="M44" s="176"/>
      <c r="N44" s="176"/>
      <c r="O44" s="177"/>
      <c r="P44" s="33">
        <f>O44</f>
        <v>0</v>
      </c>
      <c r="Q44" s="33">
        <f t="shared" ref="Q44:Y44" si="32">P44</f>
        <v>0</v>
      </c>
      <c r="R44" s="33">
        <f t="shared" si="32"/>
        <v>0</v>
      </c>
      <c r="S44" s="33">
        <f t="shared" si="32"/>
        <v>0</v>
      </c>
      <c r="T44" s="33">
        <f t="shared" si="32"/>
        <v>0</v>
      </c>
      <c r="U44" s="33">
        <f t="shared" si="32"/>
        <v>0</v>
      </c>
      <c r="V44" s="33">
        <f t="shared" si="32"/>
        <v>0</v>
      </c>
      <c r="W44" s="33">
        <f t="shared" si="32"/>
        <v>0</v>
      </c>
      <c r="X44" s="33">
        <f t="shared" si="32"/>
        <v>0</v>
      </c>
      <c r="Y44" s="33">
        <f t="shared" si="32"/>
        <v>0</v>
      </c>
    </row>
    <row r="45" spans="5:25" ht="15" customHeight="1" x14ac:dyDescent="0.2">
      <c r="E45" s="137" t="s">
        <v>128</v>
      </c>
      <c r="F45" s="24" t="s">
        <v>7</v>
      </c>
      <c r="G45" s="24"/>
      <c r="H45" s="72"/>
      <c r="I45" s="180" t="str">
        <f>IFERROR((I44/H44-1),"NA")</f>
        <v>NA</v>
      </c>
      <c r="J45" s="180" t="str">
        <f t="shared" ref="J45:O45" si="33">IFERROR((J44/I44-1),"NA")</f>
        <v>NA</v>
      </c>
      <c r="K45" s="180" t="str">
        <f t="shared" si="33"/>
        <v>NA</v>
      </c>
      <c r="L45" s="180" t="str">
        <f t="shared" si="33"/>
        <v>NA</v>
      </c>
      <c r="M45" s="180" t="str">
        <f t="shared" si="33"/>
        <v>NA</v>
      </c>
      <c r="N45" s="180" t="str">
        <f t="shared" si="33"/>
        <v>NA</v>
      </c>
      <c r="O45" s="181" t="str">
        <f t="shared" si="33"/>
        <v>NA</v>
      </c>
      <c r="P45" s="181" t="str">
        <f>IFERROR((P44/O44-1),"NA")</f>
        <v>NA</v>
      </c>
      <c r="Q45" s="181" t="str">
        <f t="shared" ref="Q45:Y45" si="34">IFERROR((Q44/P44-1),"NA")</f>
        <v>NA</v>
      </c>
      <c r="R45" s="181" t="str">
        <f t="shared" si="34"/>
        <v>NA</v>
      </c>
      <c r="S45" s="181" t="str">
        <f t="shared" si="34"/>
        <v>NA</v>
      </c>
      <c r="T45" s="181" t="str">
        <f t="shared" si="34"/>
        <v>NA</v>
      </c>
      <c r="U45" s="181" t="str">
        <f t="shared" si="34"/>
        <v>NA</v>
      </c>
      <c r="V45" s="181" t="str">
        <f t="shared" si="34"/>
        <v>NA</v>
      </c>
      <c r="W45" s="181" t="str">
        <f t="shared" si="34"/>
        <v>NA</v>
      </c>
      <c r="X45" s="181" t="str">
        <f t="shared" si="34"/>
        <v>NA</v>
      </c>
      <c r="Y45" s="181" t="str">
        <f t="shared" si="34"/>
        <v>NA</v>
      </c>
    </row>
    <row r="46" spans="5:25" ht="15" customHeight="1" x14ac:dyDescent="0.2">
      <c r="E46" s="2" t="s">
        <v>192</v>
      </c>
      <c r="F46" s="24" t="s">
        <v>25</v>
      </c>
      <c r="G46" s="24"/>
      <c r="H46" s="175">
        <v>17.5</v>
      </c>
      <c r="I46" s="176">
        <v>18</v>
      </c>
      <c r="J46" s="176">
        <v>20</v>
      </c>
      <c r="K46" s="176">
        <v>19.399999999999999</v>
      </c>
      <c r="L46" s="176">
        <v>14.2</v>
      </c>
      <c r="M46" s="176">
        <v>3.7</v>
      </c>
      <c r="N46" s="176">
        <v>19.7</v>
      </c>
      <c r="O46" s="177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">
      <c r="E47" s="137" t="s">
        <v>128</v>
      </c>
      <c r="F47" s="24" t="s">
        <v>7</v>
      </c>
      <c r="G47" s="24"/>
      <c r="H47" s="72"/>
      <c r="I47" s="180">
        <f>IFERROR((I46/H46-1),"NA")</f>
        <v>2.857142857142847E-2</v>
      </c>
      <c r="J47" s="180">
        <f t="shared" ref="J47:O47" si="36">IFERROR((J46/I46-1),"NA")</f>
        <v>0.11111111111111116</v>
      </c>
      <c r="K47" s="180">
        <f t="shared" si="36"/>
        <v>-3.0000000000000027E-2</v>
      </c>
      <c r="L47" s="180">
        <f t="shared" si="36"/>
        <v>-0.268041237113402</v>
      </c>
      <c r="M47" s="180">
        <f t="shared" si="36"/>
        <v>-0.73943661971830976</v>
      </c>
      <c r="N47" s="180">
        <f t="shared" si="36"/>
        <v>4.3243243243243237</v>
      </c>
      <c r="O47" s="180">
        <f t="shared" si="36"/>
        <v>-8.1218274111675037E-2</v>
      </c>
      <c r="P47" s="180">
        <f>IFERROR((P46/O46-1),"NA")</f>
        <v>0</v>
      </c>
      <c r="Q47" s="180">
        <f t="shared" ref="Q47:Y47" si="37">IFERROR((Q46/P46-1),"NA")</f>
        <v>0</v>
      </c>
      <c r="R47" s="180">
        <f t="shared" si="37"/>
        <v>0</v>
      </c>
      <c r="S47" s="180">
        <f t="shared" si="37"/>
        <v>0</v>
      </c>
      <c r="T47" s="180">
        <f t="shared" si="37"/>
        <v>0</v>
      </c>
      <c r="U47" s="180">
        <f t="shared" si="37"/>
        <v>0</v>
      </c>
      <c r="V47" s="180">
        <f t="shared" si="37"/>
        <v>0</v>
      </c>
      <c r="W47" s="180">
        <f t="shared" si="37"/>
        <v>0</v>
      </c>
      <c r="X47" s="180">
        <f t="shared" si="37"/>
        <v>0</v>
      </c>
      <c r="Y47" s="180">
        <f t="shared" si="37"/>
        <v>0</v>
      </c>
    </row>
    <row r="48" spans="5:25" ht="15" customHeight="1" x14ac:dyDescent="0.2">
      <c r="E48" s="1" t="s">
        <v>193</v>
      </c>
      <c r="F48" s="24" t="s">
        <v>25</v>
      </c>
      <c r="G48" s="24"/>
      <c r="H48" s="72">
        <f>H40+H42+H44+H46</f>
        <v>1143</v>
      </c>
      <c r="I48" s="72">
        <f t="shared" ref="I48:Y48" si="38">I40+I42+I44+I46</f>
        <v>1155</v>
      </c>
      <c r="J48" s="72">
        <f t="shared" si="38"/>
        <v>1226.2</v>
      </c>
      <c r="K48" s="72">
        <f t="shared" si="38"/>
        <v>1216.8</v>
      </c>
      <c r="L48" s="72">
        <f t="shared" si="38"/>
        <v>914.7</v>
      </c>
      <c r="M48" s="72">
        <f t="shared" si="38"/>
        <v>900.6</v>
      </c>
      <c r="N48" s="72">
        <f t="shared" si="38"/>
        <v>902.2</v>
      </c>
      <c r="O48" s="72">
        <f t="shared" si="38"/>
        <v>926.6</v>
      </c>
      <c r="P48" s="73">
        <f t="shared" si="38"/>
        <v>992.85500000000002</v>
      </c>
      <c r="Q48" s="73">
        <f t="shared" si="38"/>
        <v>1062.42275</v>
      </c>
      <c r="R48" s="73">
        <f t="shared" si="38"/>
        <v>1135.4688874999999</v>
      </c>
      <c r="S48" s="73">
        <f t="shared" si="38"/>
        <v>1212.1673318749999</v>
      </c>
      <c r="T48" s="73">
        <f t="shared" si="38"/>
        <v>1292.70069846875</v>
      </c>
      <c r="U48" s="73">
        <f t="shared" si="38"/>
        <v>1377.2607333921876</v>
      </c>
      <c r="V48" s="73">
        <f t="shared" si="38"/>
        <v>1466.0487700617971</v>
      </c>
      <c r="W48" s="73">
        <f t="shared" si="38"/>
        <v>1559.2762085648869</v>
      </c>
      <c r="X48" s="73">
        <f t="shared" si="38"/>
        <v>1657.1650189931313</v>
      </c>
      <c r="Y48" s="73">
        <f t="shared" si="38"/>
        <v>1759.9482699427879</v>
      </c>
    </row>
    <row r="49" spans="5:25" ht="15" customHeight="1" x14ac:dyDescent="0.2">
      <c r="E49" s="1" t="s">
        <v>194</v>
      </c>
      <c r="F49" s="24" t="s">
        <v>25</v>
      </c>
      <c r="G49" s="24"/>
      <c r="H49" s="72">
        <f>SUM(H48,H37)</f>
        <v>1289.5999999999999</v>
      </c>
      <c r="I49" s="72">
        <f t="shared" ref="I49:Y49" si="39">SUM(I48,I37)</f>
        <v>1332.7</v>
      </c>
      <c r="J49" s="72">
        <f t="shared" si="39"/>
        <v>1390.4</v>
      </c>
      <c r="K49" s="72">
        <f t="shared" si="39"/>
        <v>1380.8</v>
      </c>
      <c r="L49" s="72">
        <f t="shared" si="39"/>
        <v>1132.7</v>
      </c>
      <c r="M49" s="72">
        <f t="shared" si="39"/>
        <v>1064.5</v>
      </c>
      <c r="N49" s="72">
        <f t="shared" si="39"/>
        <v>932.80000000000007</v>
      </c>
      <c r="O49" s="72">
        <f t="shared" si="39"/>
        <v>963.4</v>
      </c>
      <c r="P49" s="73">
        <f t="shared" ca="1" si="39"/>
        <v>1670.7951400744503</v>
      </c>
      <c r="Q49" s="73">
        <f t="shared" ca="1" si="39"/>
        <v>1142.9474230541809</v>
      </c>
      <c r="R49" s="73">
        <f t="shared" ca="1" si="39"/>
        <v>1145.5251638524467</v>
      </c>
      <c r="S49" s="73">
        <f t="shared" ca="1" si="39"/>
        <v>1213.4152763734921</v>
      </c>
      <c r="T49" s="73">
        <f t="shared" ca="1" si="39"/>
        <v>1292.8558140181719</v>
      </c>
      <c r="U49" s="73">
        <f t="shared" ca="1" si="39"/>
        <v>1377.3031700119263</v>
      </c>
      <c r="V49" s="73">
        <f t="shared" ca="1" si="39"/>
        <v>1466.066715004144</v>
      </c>
      <c r="W49" s="73">
        <f t="shared" ca="1" si="39"/>
        <v>1559.2864757352386</v>
      </c>
      <c r="X49" s="73">
        <f t="shared" ca="1" si="39"/>
        <v>1657.1724260612245</v>
      </c>
      <c r="Y49" s="73">
        <f t="shared" ca="1" si="39"/>
        <v>1759.9547193965186</v>
      </c>
    </row>
    <row r="50" spans="5:25" ht="15" customHeight="1" x14ac:dyDescent="0.2">
      <c r="E50" s="2"/>
      <c r="F50" s="24"/>
      <c r="G50" s="24"/>
      <c r="H50" s="50"/>
      <c r="I50" s="50"/>
      <c r="J50" s="50"/>
      <c r="K50" s="85"/>
      <c r="L50" s="85"/>
      <c r="M50" s="85"/>
      <c r="N50" s="85"/>
      <c r="O50" s="85"/>
      <c r="P50" s="275"/>
      <c r="Q50" s="275"/>
      <c r="R50" s="275"/>
      <c r="S50" s="275"/>
      <c r="T50" s="275"/>
      <c r="U50" s="275"/>
      <c r="V50" s="275"/>
      <c r="W50" s="275"/>
      <c r="X50" s="275"/>
      <c r="Y50" s="275"/>
    </row>
    <row r="51" spans="5:25" ht="15" customHeight="1" x14ac:dyDescent="0.2">
      <c r="E51" s="2" t="s">
        <v>195</v>
      </c>
      <c r="F51" s="24" t="s">
        <v>25</v>
      </c>
      <c r="G51" s="24"/>
      <c r="H51" s="175">
        <v>-154.5</v>
      </c>
      <c r="I51" s="176">
        <v>-191</v>
      </c>
      <c r="J51" s="176">
        <v>-155.5</v>
      </c>
      <c r="K51" s="176">
        <v>-169.3</v>
      </c>
      <c r="L51" s="176">
        <v>-170.5</v>
      </c>
      <c r="M51" s="176">
        <v>-147.30000000000001</v>
      </c>
      <c r="N51" s="176">
        <v>-20.2</v>
      </c>
      <c r="O51" s="177">
        <v>-20.117000000000001</v>
      </c>
      <c r="P51" s="72">
        <f>O51*(1+P52)</f>
        <v>-20.117000000000001</v>
      </c>
      <c r="Q51" s="72">
        <f t="shared" ref="Q51:Y51" si="40">P51*(1+Q52)</f>
        <v>-20.117000000000001</v>
      </c>
      <c r="R51" s="72">
        <f t="shared" si="40"/>
        <v>-20.117000000000001</v>
      </c>
      <c r="S51" s="72">
        <f t="shared" si="40"/>
        <v>-20.117000000000001</v>
      </c>
      <c r="T51" s="72">
        <f t="shared" si="40"/>
        <v>-20.117000000000001</v>
      </c>
      <c r="U51" s="72">
        <f t="shared" si="40"/>
        <v>-20.117000000000001</v>
      </c>
      <c r="V51" s="72">
        <f t="shared" si="40"/>
        <v>-20.117000000000001</v>
      </c>
      <c r="W51" s="72">
        <f t="shared" si="40"/>
        <v>-20.117000000000001</v>
      </c>
      <c r="X51" s="72">
        <f t="shared" si="40"/>
        <v>-20.117000000000001</v>
      </c>
      <c r="Y51" s="72">
        <f t="shared" si="40"/>
        <v>-20.117000000000001</v>
      </c>
    </row>
    <row r="52" spans="5:25" ht="15" customHeight="1" x14ac:dyDescent="0.2">
      <c r="E52" s="137" t="s">
        <v>128</v>
      </c>
      <c r="F52" s="24" t="s">
        <v>7</v>
      </c>
      <c r="G52" s="24"/>
      <c r="H52" s="72"/>
      <c r="I52" s="180">
        <f>IFERROR((I51/H51-1),"NA")</f>
        <v>0.2362459546925566</v>
      </c>
      <c r="J52" s="180">
        <f t="shared" ref="J52:N52" si="41">IFERROR((J51/I51-1),"NA")</f>
        <v>-0.18586387434554974</v>
      </c>
      <c r="K52" s="180">
        <f t="shared" si="41"/>
        <v>8.8745980707395589E-2</v>
      </c>
      <c r="L52" s="180">
        <f t="shared" si="41"/>
        <v>7.0880094506791114E-3</v>
      </c>
      <c r="M52" s="180">
        <f t="shared" si="41"/>
        <v>-0.13607038123167148</v>
      </c>
      <c r="N52" s="180">
        <f t="shared" si="41"/>
        <v>-0.86286490156143925</v>
      </c>
      <c r="O52" s="180">
        <f>IFERROR((O51/N51-1),"NA")</f>
        <v>-4.1089108910890015E-3</v>
      </c>
      <c r="P52" s="178">
        <v>0</v>
      </c>
      <c r="Q52" s="322">
        <v>0</v>
      </c>
      <c r="R52" s="322">
        <v>0</v>
      </c>
      <c r="S52" s="322">
        <v>0</v>
      </c>
      <c r="T52" s="322">
        <v>0</v>
      </c>
      <c r="U52" s="322">
        <v>0</v>
      </c>
      <c r="V52" s="322">
        <v>0</v>
      </c>
      <c r="W52" s="322">
        <v>0</v>
      </c>
      <c r="X52" s="322">
        <v>0</v>
      </c>
      <c r="Y52" s="323">
        <v>0</v>
      </c>
    </row>
    <row r="53" spans="5:25" ht="15" customHeight="1" x14ac:dyDescent="0.2">
      <c r="E53" s="2" t="s">
        <v>196</v>
      </c>
      <c r="F53" s="24" t="s">
        <v>25</v>
      </c>
      <c r="G53" s="24"/>
      <c r="H53" s="175">
        <v>-69.5</v>
      </c>
      <c r="I53" s="176">
        <v>0</v>
      </c>
      <c r="J53" s="176">
        <v>-50</v>
      </c>
      <c r="K53" s="176">
        <v>0</v>
      </c>
      <c r="L53" s="176">
        <v>0</v>
      </c>
      <c r="M53" s="176">
        <v>0</v>
      </c>
      <c r="N53" s="176">
        <v>0</v>
      </c>
      <c r="O53" s="177">
        <v>-55.8</v>
      </c>
      <c r="P53" s="72">
        <f>O53*(1+P54)</f>
        <v>-55.8</v>
      </c>
      <c r="Q53" s="72">
        <f t="shared" ref="Q53:Y53" si="42">P53*(1+Q54)</f>
        <v>-55.8</v>
      </c>
      <c r="R53" s="72">
        <f t="shared" si="42"/>
        <v>-55.8</v>
      </c>
      <c r="S53" s="72">
        <f t="shared" si="42"/>
        <v>-55.8</v>
      </c>
      <c r="T53" s="72">
        <f t="shared" si="42"/>
        <v>-55.8</v>
      </c>
      <c r="U53" s="72">
        <f t="shared" si="42"/>
        <v>-55.8</v>
      </c>
      <c r="V53" s="72">
        <f t="shared" si="42"/>
        <v>-55.8</v>
      </c>
      <c r="W53" s="72">
        <f t="shared" si="42"/>
        <v>-55.8</v>
      </c>
      <c r="X53" s="72">
        <f t="shared" si="42"/>
        <v>-55.8</v>
      </c>
      <c r="Y53" s="72">
        <f t="shared" si="42"/>
        <v>-55.8</v>
      </c>
    </row>
    <row r="54" spans="5:25" ht="15" customHeight="1" x14ac:dyDescent="0.2">
      <c r="E54" s="137" t="s">
        <v>128</v>
      </c>
      <c r="F54" s="24" t="s">
        <v>7</v>
      </c>
      <c r="G54" s="24"/>
      <c r="H54" s="72"/>
      <c r="I54" s="180">
        <f>IFERROR((I53/H53-1),"NA")</f>
        <v>-1</v>
      </c>
      <c r="J54" s="180" t="str">
        <f t="shared" ref="J54:N54" si="43">IFERROR((J53/I53-1),"NA")</f>
        <v>NA</v>
      </c>
      <c r="K54" s="180">
        <f t="shared" si="43"/>
        <v>-1</v>
      </c>
      <c r="L54" s="180" t="str">
        <f t="shared" si="43"/>
        <v>NA</v>
      </c>
      <c r="M54" s="180" t="str">
        <f t="shared" si="43"/>
        <v>NA</v>
      </c>
      <c r="N54" s="180" t="str">
        <f t="shared" si="43"/>
        <v>NA</v>
      </c>
      <c r="O54" s="180" t="str">
        <f>IFERROR((O53/N53-1),"NA")</f>
        <v>NA</v>
      </c>
      <c r="P54" s="178">
        <v>0</v>
      </c>
      <c r="Q54" s="322">
        <v>0</v>
      </c>
      <c r="R54" s="322">
        <v>0</v>
      </c>
      <c r="S54" s="322">
        <v>0</v>
      </c>
      <c r="T54" s="322">
        <v>0</v>
      </c>
      <c r="U54" s="322">
        <v>0</v>
      </c>
      <c r="V54" s="322">
        <v>0</v>
      </c>
      <c r="W54" s="322">
        <v>0</v>
      </c>
      <c r="X54" s="322">
        <v>0</v>
      </c>
      <c r="Y54" s="323">
        <v>0</v>
      </c>
    </row>
    <row r="55" spans="5:25" ht="15" customHeight="1" x14ac:dyDescent="0.2">
      <c r="E55" s="2" t="s">
        <v>197</v>
      </c>
      <c r="F55" s="24" t="s">
        <v>25</v>
      </c>
      <c r="G55" s="24"/>
      <c r="H55" s="175">
        <v>0</v>
      </c>
      <c r="I55" s="176">
        <v>-0.2</v>
      </c>
      <c r="J55" s="176">
        <v>-0.2</v>
      </c>
      <c r="K55" s="176">
        <v>-0.2</v>
      </c>
      <c r="L55" s="176">
        <v>-0.2</v>
      </c>
      <c r="M55" s="176">
        <v>-0.8</v>
      </c>
      <c r="N55" s="176">
        <v>-0.1</v>
      </c>
      <c r="O55" s="177">
        <v>-0.1</v>
      </c>
      <c r="P55" s="72">
        <f>O55*(1+P56)</f>
        <v>-0.1</v>
      </c>
      <c r="Q55" s="72">
        <f t="shared" ref="Q55" si="44">P55*(1+Q56)</f>
        <v>-0.1</v>
      </c>
      <c r="R55" s="72">
        <f t="shared" ref="R55" si="45">Q55*(1+R56)</f>
        <v>-0.1</v>
      </c>
      <c r="S55" s="72">
        <f t="shared" ref="S55" si="46">R55*(1+S56)</f>
        <v>-0.1</v>
      </c>
      <c r="T55" s="72">
        <f t="shared" ref="T55" si="47">S55*(1+T56)</f>
        <v>-0.1</v>
      </c>
      <c r="U55" s="72">
        <f t="shared" ref="U55" si="48">T55*(1+U56)</f>
        <v>-0.1</v>
      </c>
      <c r="V55" s="72">
        <f t="shared" ref="V55" si="49">U55*(1+V56)</f>
        <v>-0.1</v>
      </c>
      <c r="W55" s="72">
        <f t="shared" ref="W55" si="50">V55*(1+W56)</f>
        <v>-0.1</v>
      </c>
      <c r="X55" s="72">
        <f t="shared" ref="X55" si="51">W55*(1+X56)</f>
        <v>-0.1</v>
      </c>
      <c r="Y55" s="72">
        <f t="shared" ref="Y55" si="52">X55*(1+Y56)</f>
        <v>-0.1</v>
      </c>
    </row>
    <row r="56" spans="5:25" ht="15" customHeight="1" x14ac:dyDescent="0.2">
      <c r="E56" s="137" t="s">
        <v>128</v>
      </c>
      <c r="F56" s="24" t="s">
        <v>7</v>
      </c>
      <c r="G56" s="24"/>
      <c r="H56" s="72"/>
      <c r="I56" s="180" t="str">
        <f>IFERROR((I55/H55-1),"NA")</f>
        <v>NA</v>
      </c>
      <c r="J56" s="180">
        <f t="shared" ref="J56:N56" si="53">IFERROR((J55/I55-1),"NA")</f>
        <v>0</v>
      </c>
      <c r="K56" s="180">
        <f t="shared" si="53"/>
        <v>0</v>
      </c>
      <c r="L56" s="180">
        <f t="shared" si="53"/>
        <v>0</v>
      </c>
      <c r="M56" s="180">
        <f t="shared" si="53"/>
        <v>3</v>
      </c>
      <c r="N56" s="180">
        <f t="shared" si="53"/>
        <v>-0.875</v>
      </c>
      <c r="O56" s="180">
        <f>IFERROR((O55/N55-1),"NA")</f>
        <v>0</v>
      </c>
      <c r="P56" s="178">
        <v>0</v>
      </c>
      <c r="Q56" s="322">
        <v>0</v>
      </c>
      <c r="R56" s="322">
        <v>0</v>
      </c>
      <c r="S56" s="322">
        <v>0</v>
      </c>
      <c r="T56" s="322">
        <v>0</v>
      </c>
      <c r="U56" s="322">
        <v>0</v>
      </c>
      <c r="V56" s="322">
        <v>0</v>
      </c>
      <c r="W56" s="322">
        <v>0</v>
      </c>
      <c r="X56" s="322">
        <v>0</v>
      </c>
      <c r="Y56" s="323">
        <v>0</v>
      </c>
    </row>
    <row r="57" spans="5:25" ht="15" customHeight="1" x14ac:dyDescent="0.2">
      <c r="E57" s="2" t="s">
        <v>198</v>
      </c>
      <c r="F57" s="24" t="s">
        <v>25</v>
      </c>
      <c r="G57" s="24"/>
      <c r="H57" s="175">
        <v>-0.3</v>
      </c>
      <c r="I57" s="176">
        <v>-4.0999999999999996</v>
      </c>
      <c r="J57" s="176">
        <v>-8.3000000000000007</v>
      </c>
      <c r="K57" s="176">
        <v>-13.6</v>
      </c>
      <c r="L57" s="176">
        <v>-4.2</v>
      </c>
      <c r="M57" s="176">
        <v>-105.3</v>
      </c>
      <c r="N57" s="176">
        <v>-35.6</v>
      </c>
      <c r="O57" s="177">
        <v>-21.4</v>
      </c>
      <c r="P57" s="72">
        <f>O57*(1+P58)</f>
        <v>-21.4</v>
      </c>
      <c r="Q57" s="72">
        <f t="shared" ref="Q57" si="54">P57*(1+Q58)</f>
        <v>-21.4</v>
      </c>
      <c r="R57" s="72">
        <f t="shared" ref="R57" si="55">Q57*(1+R58)</f>
        <v>-21.4</v>
      </c>
      <c r="S57" s="72">
        <f t="shared" ref="S57" si="56">R57*(1+S58)</f>
        <v>-21.4</v>
      </c>
      <c r="T57" s="72">
        <f t="shared" ref="T57" si="57">S57*(1+T58)</f>
        <v>-21.4</v>
      </c>
      <c r="U57" s="72">
        <f t="shared" ref="U57" si="58">T57*(1+U58)</f>
        <v>-21.4</v>
      </c>
      <c r="V57" s="72">
        <f t="shared" ref="V57" si="59">U57*(1+V58)</f>
        <v>-21.4</v>
      </c>
      <c r="W57" s="72">
        <f t="shared" ref="W57" si="60">V57*(1+W58)</f>
        <v>-21.4</v>
      </c>
      <c r="X57" s="72">
        <f t="shared" ref="X57" si="61">W57*(1+X58)</f>
        <v>-21.4</v>
      </c>
      <c r="Y57" s="72">
        <f t="shared" ref="Y57" si="62">X57*(1+Y58)</f>
        <v>-21.4</v>
      </c>
    </row>
    <row r="58" spans="5:25" ht="15" customHeight="1" x14ac:dyDescent="0.2">
      <c r="E58" s="137" t="s">
        <v>128</v>
      </c>
      <c r="F58" s="24" t="s">
        <v>7</v>
      </c>
      <c r="G58" s="24"/>
      <c r="H58" s="72"/>
      <c r="I58" s="180">
        <f>IFERROR((I57/H57-1),"NA")</f>
        <v>12.666666666666666</v>
      </c>
      <c r="J58" s="180">
        <f t="shared" ref="J58:N58" si="63">IFERROR((J57/I57-1),"NA")</f>
        <v>1.0243902439024395</v>
      </c>
      <c r="K58" s="180">
        <f t="shared" si="63"/>
        <v>0.6385542168674696</v>
      </c>
      <c r="L58" s="180">
        <f t="shared" si="63"/>
        <v>-0.69117647058823528</v>
      </c>
      <c r="M58" s="180">
        <f t="shared" si="63"/>
        <v>24.071428571428569</v>
      </c>
      <c r="N58" s="180">
        <f t="shared" si="63"/>
        <v>-0.66191832858499522</v>
      </c>
      <c r="O58" s="180">
        <f>IFERROR((O57/N57-1),"NA")</f>
        <v>-0.39887640449438211</v>
      </c>
      <c r="P58" s="178">
        <v>0</v>
      </c>
      <c r="Q58" s="322">
        <v>0</v>
      </c>
      <c r="R58" s="322">
        <v>0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0</v>
      </c>
      <c r="Y58" s="323">
        <v>0</v>
      </c>
    </row>
    <row r="59" spans="5:25" ht="15" customHeight="1" x14ac:dyDescent="0.2">
      <c r="E59" s="1" t="s">
        <v>199</v>
      </c>
      <c r="F59" s="24" t="s">
        <v>25</v>
      </c>
      <c r="G59" s="24"/>
      <c r="H59" s="70">
        <f t="shared" ref="H59:O59" si="64">H51+H53+H55+H57</f>
        <v>-224.3</v>
      </c>
      <c r="I59" s="70">
        <f t="shared" si="64"/>
        <v>-195.29999999999998</v>
      </c>
      <c r="J59" s="70">
        <f t="shared" si="64"/>
        <v>-214</v>
      </c>
      <c r="K59" s="70">
        <f t="shared" si="64"/>
        <v>-183.1</v>
      </c>
      <c r="L59" s="70">
        <f t="shared" si="64"/>
        <v>-174.89999999999998</v>
      </c>
      <c r="M59" s="70">
        <f t="shared" si="64"/>
        <v>-253.40000000000003</v>
      </c>
      <c r="N59" s="70">
        <f t="shared" si="64"/>
        <v>-55.900000000000006</v>
      </c>
      <c r="O59" s="70">
        <f t="shared" si="64"/>
        <v>-97.417000000000002</v>
      </c>
      <c r="P59" s="73">
        <f t="shared" ref="P59:Y59" si="65">P51+P53+P55+P57</f>
        <v>-97.417000000000002</v>
      </c>
      <c r="Q59" s="73">
        <f t="shared" si="65"/>
        <v>-97.417000000000002</v>
      </c>
      <c r="R59" s="73">
        <f t="shared" si="65"/>
        <v>-97.417000000000002</v>
      </c>
      <c r="S59" s="73">
        <f t="shared" si="65"/>
        <v>-97.417000000000002</v>
      </c>
      <c r="T59" s="73">
        <f t="shared" si="65"/>
        <v>-97.417000000000002</v>
      </c>
      <c r="U59" s="73">
        <f t="shared" si="65"/>
        <v>-97.417000000000002</v>
      </c>
      <c r="V59" s="73">
        <f t="shared" si="65"/>
        <v>-97.417000000000002</v>
      </c>
      <c r="W59" s="73">
        <f t="shared" si="65"/>
        <v>-97.417000000000002</v>
      </c>
      <c r="X59" s="73">
        <f t="shared" si="65"/>
        <v>-97.417000000000002</v>
      </c>
      <c r="Y59" s="73">
        <f t="shared" si="65"/>
        <v>-97.417000000000002</v>
      </c>
    </row>
    <row r="60" spans="5:25" ht="15" customHeight="1" x14ac:dyDescent="0.2">
      <c r="E60" s="1"/>
      <c r="F60" s="24"/>
      <c r="G60" s="2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2" spans="5:25" ht="15" customHeight="1" x14ac:dyDescent="0.2">
      <c r="E62" s="2" t="s">
        <v>200</v>
      </c>
      <c r="F62" s="24" t="s">
        <v>25</v>
      </c>
      <c r="G62" s="24"/>
      <c r="H62" s="175">
        <v>0</v>
      </c>
      <c r="I62" s="176">
        <v>-2.5</v>
      </c>
      <c r="J62" s="176">
        <v>-2.2999999999999998</v>
      </c>
      <c r="K62" s="176">
        <v>-3.2</v>
      </c>
      <c r="L62" s="176">
        <v>-3.9</v>
      </c>
      <c r="M62" s="176">
        <v>-1.6</v>
      </c>
      <c r="N62" s="176">
        <v>-0.6</v>
      </c>
      <c r="O62" s="177">
        <v>-0.6</v>
      </c>
      <c r="P62" s="72">
        <f>O62*(1+P63)</f>
        <v>-0.6</v>
      </c>
      <c r="Q62" s="72">
        <f t="shared" ref="Q62" si="66">P62*(1+Q63)</f>
        <v>-0.6</v>
      </c>
      <c r="R62" s="72">
        <f t="shared" ref="R62" si="67">Q62*(1+R63)</f>
        <v>-0.6</v>
      </c>
      <c r="S62" s="72">
        <f t="shared" ref="S62" si="68">R62*(1+S63)</f>
        <v>-0.6</v>
      </c>
      <c r="T62" s="72">
        <f t="shared" ref="T62" si="69">S62*(1+T63)</f>
        <v>-0.6</v>
      </c>
      <c r="U62" s="72">
        <f t="shared" ref="U62" si="70">T62*(1+U63)</f>
        <v>-0.6</v>
      </c>
      <c r="V62" s="72">
        <f t="shared" ref="V62" si="71">U62*(1+V63)</f>
        <v>-0.6</v>
      </c>
      <c r="W62" s="72">
        <f t="shared" ref="W62" si="72">V62*(1+W63)</f>
        <v>-0.6</v>
      </c>
      <c r="X62" s="72">
        <f t="shared" ref="X62" si="73">W62*(1+X63)</f>
        <v>-0.6</v>
      </c>
      <c r="Y62" s="72">
        <f t="shared" ref="Y62" si="74">X62*(1+Y63)</f>
        <v>-0.6</v>
      </c>
    </row>
    <row r="63" spans="5:25" ht="15" customHeight="1" x14ac:dyDescent="0.2">
      <c r="E63" s="137" t="s">
        <v>128</v>
      </c>
      <c r="F63" s="24" t="s">
        <v>7</v>
      </c>
      <c r="G63" s="24"/>
      <c r="H63" s="72"/>
      <c r="I63" s="180" t="str">
        <f>IFERROR((I62/H62-1),"NA")</f>
        <v>NA</v>
      </c>
      <c r="J63" s="180">
        <f t="shared" ref="J63:N63" si="75">IFERROR((J62/I62-1),"NA")</f>
        <v>-8.0000000000000071E-2</v>
      </c>
      <c r="K63" s="180">
        <f t="shared" si="75"/>
        <v>0.39130434782608714</v>
      </c>
      <c r="L63" s="180">
        <f t="shared" si="75"/>
        <v>0.21875</v>
      </c>
      <c r="M63" s="180">
        <f t="shared" si="75"/>
        <v>-0.58974358974358965</v>
      </c>
      <c r="N63" s="180">
        <f t="shared" si="75"/>
        <v>-0.625</v>
      </c>
      <c r="O63" s="180">
        <f>IFERROR((O62/N62-1),"NA")</f>
        <v>0</v>
      </c>
      <c r="P63" s="178">
        <v>0</v>
      </c>
      <c r="Q63" s="322">
        <v>0</v>
      </c>
      <c r="R63" s="322">
        <v>0</v>
      </c>
      <c r="S63" s="322">
        <v>0</v>
      </c>
      <c r="T63" s="322">
        <v>0</v>
      </c>
      <c r="U63" s="322">
        <v>0</v>
      </c>
      <c r="V63" s="322">
        <v>0</v>
      </c>
      <c r="W63" s="322">
        <v>0</v>
      </c>
      <c r="X63" s="322">
        <v>0</v>
      </c>
      <c r="Y63" s="323">
        <v>0</v>
      </c>
    </row>
    <row r="64" spans="5:25" ht="15" customHeight="1" x14ac:dyDescent="0.2">
      <c r="E64" s="2" t="s">
        <v>201</v>
      </c>
      <c r="F64" s="24" t="s">
        <v>25</v>
      </c>
      <c r="G64" s="24"/>
      <c r="H64" s="175">
        <v>-150</v>
      </c>
      <c r="I64" s="176">
        <v>-170</v>
      </c>
      <c r="J64" s="176">
        <v>-208.6</v>
      </c>
      <c r="K64" s="176">
        <v>-246.6</v>
      </c>
      <c r="L64" s="176">
        <v>-274.60000000000002</v>
      </c>
      <c r="M64" s="176">
        <v>-199.7</v>
      </c>
      <c r="N64" s="176">
        <v>-259.60000000000002</v>
      </c>
      <c r="O64" s="177">
        <v>-264.8</v>
      </c>
      <c r="P64" s="72">
        <f>O64*(1+P65)</f>
        <v>-291.40572504476722</v>
      </c>
      <c r="Q64" s="72">
        <f t="shared" ref="Q64:Y64" si="76">P64*(1+Q65)</f>
        <v>-319.08879363752334</v>
      </c>
      <c r="R64" s="72">
        <f t="shared" si="76"/>
        <v>-340.97390636972341</v>
      </c>
      <c r="S64" s="72">
        <f t="shared" si="76"/>
        <v>-354.67803671207281</v>
      </c>
      <c r="T64" s="72">
        <f t="shared" si="76"/>
        <v>-360.26071190179965</v>
      </c>
      <c r="U64" s="72">
        <f t="shared" si="76"/>
        <v>-417.89895677072832</v>
      </c>
      <c r="V64" s="72">
        <f t="shared" si="76"/>
        <v>-426.26981414826218</v>
      </c>
      <c r="W64" s="72">
        <f t="shared" si="76"/>
        <v>-451.95376594700639</v>
      </c>
      <c r="X64" s="72">
        <f t="shared" si="76"/>
        <v>-484.41971077227015</v>
      </c>
      <c r="Y64" s="72">
        <f t="shared" si="76"/>
        <v>-518.82444070426777</v>
      </c>
    </row>
    <row r="65" spans="3:26" ht="15" customHeight="1" x14ac:dyDescent="0.2">
      <c r="E65" s="137" t="s">
        <v>128</v>
      </c>
      <c r="F65" s="24" t="s">
        <v>7</v>
      </c>
      <c r="G65" s="24"/>
      <c r="H65" s="72"/>
      <c r="I65" s="180">
        <f>IFERROR((I64/H64-1),"NA")</f>
        <v>0.1333333333333333</v>
      </c>
      <c r="J65" s="180">
        <f t="shared" ref="J65:N65" si="77">IFERROR((J64/I64-1),"NA")</f>
        <v>0.22705882352941176</v>
      </c>
      <c r="K65" s="180">
        <f t="shared" si="77"/>
        <v>0.18216682646212856</v>
      </c>
      <c r="L65" s="180">
        <f t="shared" si="77"/>
        <v>0.11354420113544217</v>
      </c>
      <c r="M65" s="180">
        <f t="shared" si="77"/>
        <v>-0.2727603787327022</v>
      </c>
      <c r="N65" s="180">
        <f t="shared" si="77"/>
        <v>0.29994992488733119</v>
      </c>
      <c r="O65" s="180">
        <f>IFERROR((O64/N64-1),"NA")</f>
        <v>2.003081664098616E-2</v>
      </c>
      <c r="P65" s="178">
        <f>AVERAGE(I65:$O$65)</f>
        <v>0.10047479246513299</v>
      </c>
      <c r="Q65" s="322">
        <f>AVERAGE(J65:$O$65)</f>
        <v>9.499836898709961E-2</v>
      </c>
      <c r="R65" s="322">
        <f>AVERAGE(K65:$O$65)</f>
        <v>6.8586278078637181E-2</v>
      </c>
      <c r="S65" s="322">
        <f>AVERAGE(L65:$O$65)</f>
        <v>4.0191140982764328E-2</v>
      </c>
      <c r="T65" s="322">
        <f>AVERAGE(M65:$O$65)</f>
        <v>1.5740120931871715E-2</v>
      </c>
      <c r="U65" s="322">
        <f>AVERAGE(N65:$O$65)</f>
        <v>0.15999037076415867</v>
      </c>
      <c r="V65" s="322">
        <f>AVERAGE(O65:$O$65)</f>
        <v>2.003081664098616E-2</v>
      </c>
      <c r="W65" s="322">
        <f>AVERAGE($O65:P$65)</f>
        <v>6.0252804553059577E-2</v>
      </c>
      <c r="X65" s="322">
        <f>AVERAGE($O65:Q$65)</f>
        <v>7.183465936440625E-2</v>
      </c>
      <c r="Y65" s="323">
        <f>AVERAGE($O65:R$65)</f>
        <v>7.1022564042963976E-2</v>
      </c>
    </row>
    <row r="66" spans="3:26" ht="15" customHeight="1" x14ac:dyDescent="0.2">
      <c r="E66" s="2" t="s">
        <v>202</v>
      </c>
      <c r="F66" s="24" t="s">
        <v>25</v>
      </c>
      <c r="G66" s="24"/>
      <c r="H66" s="175">
        <v>-163</v>
      </c>
      <c r="I66" s="176">
        <v>-172.2</v>
      </c>
      <c r="J66" s="176">
        <v>-195.8</v>
      </c>
      <c r="K66" s="176">
        <v>-191.4</v>
      </c>
      <c r="L66" s="176">
        <v>-150.5</v>
      </c>
      <c r="M66" s="176">
        <v>-207.4</v>
      </c>
      <c r="N66" s="176">
        <v>-112.4</v>
      </c>
      <c r="O66" s="177">
        <v>-110.9</v>
      </c>
      <c r="P66" s="72">
        <f>O66*(1+P67)</f>
        <v>-110.9</v>
      </c>
      <c r="Q66" s="72">
        <f t="shared" ref="Q66" si="78">P66*(1+Q67)</f>
        <v>-110.9</v>
      </c>
      <c r="R66" s="72">
        <f t="shared" ref="R66" si="79">Q66*(1+R67)</f>
        <v>-110.9</v>
      </c>
      <c r="S66" s="72">
        <f t="shared" ref="S66" si="80">R66*(1+S67)</f>
        <v>-110.9</v>
      </c>
      <c r="T66" s="72">
        <f t="shared" ref="T66" si="81">S66*(1+T67)</f>
        <v>-110.9</v>
      </c>
      <c r="U66" s="72">
        <f t="shared" ref="U66" si="82">T66*(1+U67)</f>
        <v>-110.9</v>
      </c>
      <c r="V66" s="72">
        <f t="shared" ref="V66" si="83">U66*(1+V67)</f>
        <v>-110.9</v>
      </c>
      <c r="W66" s="72">
        <f t="shared" ref="W66" si="84">V66*(1+W67)</f>
        <v>-110.9</v>
      </c>
      <c r="X66" s="72">
        <f t="shared" ref="X66" si="85">W66*(1+X67)</f>
        <v>-110.9</v>
      </c>
      <c r="Y66" s="72">
        <f t="shared" ref="Y66" si="86">X66*(1+Y67)</f>
        <v>-110.9</v>
      </c>
      <c r="Z66" s="139"/>
    </row>
    <row r="67" spans="3:26" ht="15" customHeight="1" x14ac:dyDescent="0.2">
      <c r="E67" s="137" t="s">
        <v>128</v>
      </c>
      <c r="F67" s="24" t="s">
        <v>7</v>
      </c>
      <c r="G67" s="24"/>
      <c r="H67" s="72"/>
      <c r="I67" s="180">
        <f>IFERROR((I66/H66-1),"NA")</f>
        <v>5.6441717791410939E-2</v>
      </c>
      <c r="J67" s="180">
        <f t="shared" ref="J67:N67" si="87">IFERROR((J66/I66-1),"NA")</f>
        <v>0.13704994192799091</v>
      </c>
      <c r="K67" s="180">
        <f t="shared" si="87"/>
        <v>-2.2471910112359605E-2</v>
      </c>
      <c r="L67" s="180">
        <f t="shared" si="87"/>
        <v>-0.21368861024033436</v>
      </c>
      <c r="M67" s="180">
        <f t="shared" si="87"/>
        <v>0.37807308970099673</v>
      </c>
      <c r="N67" s="180">
        <f t="shared" si="87"/>
        <v>-0.45805207328833175</v>
      </c>
      <c r="O67" s="180">
        <f>IFERROR((O66/N66-1),"NA")</f>
        <v>-1.3345195729537407E-2</v>
      </c>
      <c r="P67" s="178">
        <v>0</v>
      </c>
      <c r="Q67" s="322">
        <v>0</v>
      </c>
      <c r="R67" s="322">
        <v>0</v>
      </c>
      <c r="S67" s="322">
        <v>0</v>
      </c>
      <c r="T67" s="322">
        <v>0</v>
      </c>
      <c r="U67" s="322">
        <v>0</v>
      </c>
      <c r="V67" s="322">
        <v>0</v>
      </c>
      <c r="W67" s="322">
        <v>0</v>
      </c>
      <c r="X67" s="322">
        <v>0</v>
      </c>
      <c r="Y67" s="323">
        <v>0</v>
      </c>
    </row>
    <row r="68" spans="3:26" ht="15" customHeight="1" x14ac:dyDescent="0.2">
      <c r="E68" s="1" t="s">
        <v>231</v>
      </c>
      <c r="F68" s="24" t="s">
        <v>25</v>
      </c>
      <c r="G68" s="24"/>
      <c r="H68" s="70">
        <f>H62+H64+H66</f>
        <v>-313</v>
      </c>
      <c r="I68" s="70">
        <f t="shared" ref="I68:Y68" si="88">I62+I64+I66</f>
        <v>-344.7</v>
      </c>
      <c r="J68" s="70">
        <f t="shared" si="88"/>
        <v>-406.70000000000005</v>
      </c>
      <c r="K68" s="70">
        <f t="shared" si="88"/>
        <v>-441.2</v>
      </c>
      <c r="L68" s="70">
        <f t="shared" si="88"/>
        <v>-429</v>
      </c>
      <c r="M68" s="70">
        <f t="shared" si="88"/>
        <v>-408.7</v>
      </c>
      <c r="N68" s="70">
        <f t="shared" si="88"/>
        <v>-372.6</v>
      </c>
      <c r="O68" s="70">
        <f t="shared" si="88"/>
        <v>-376.30000000000007</v>
      </c>
      <c r="P68" s="70">
        <f t="shared" si="88"/>
        <v>-402.90572504476722</v>
      </c>
      <c r="Q68" s="70">
        <f t="shared" si="88"/>
        <v>-430.58879363752339</v>
      </c>
      <c r="R68" s="70">
        <f t="shared" si="88"/>
        <v>-452.47390636972341</v>
      </c>
      <c r="S68" s="70">
        <f t="shared" si="88"/>
        <v>-466.17803671207287</v>
      </c>
      <c r="T68" s="70">
        <f t="shared" si="88"/>
        <v>-471.76071190179971</v>
      </c>
      <c r="U68" s="70">
        <f t="shared" si="88"/>
        <v>-529.39895677072832</v>
      </c>
      <c r="V68" s="70">
        <f t="shared" si="88"/>
        <v>-537.76981414826218</v>
      </c>
      <c r="W68" s="70">
        <f t="shared" si="88"/>
        <v>-563.45376594700645</v>
      </c>
      <c r="X68" s="70">
        <f t="shared" si="88"/>
        <v>-595.91971077227015</v>
      </c>
      <c r="Y68" s="70">
        <f t="shared" si="88"/>
        <v>-630.32444070426777</v>
      </c>
    </row>
    <row r="69" spans="3:26" ht="15" customHeight="1" x14ac:dyDescent="0.2">
      <c r="E69" s="1" t="s">
        <v>203</v>
      </c>
      <c r="F69" s="24" t="s">
        <v>25</v>
      </c>
      <c r="G69" s="24"/>
      <c r="H69" s="97">
        <f t="shared" ref="H69:Y69" si="89">SUM(H59,H68)</f>
        <v>-537.29999999999995</v>
      </c>
      <c r="I69" s="97">
        <f t="shared" si="89"/>
        <v>-540</v>
      </c>
      <c r="J69" s="97">
        <f t="shared" si="89"/>
        <v>-620.70000000000005</v>
      </c>
      <c r="K69" s="97">
        <f t="shared" si="89"/>
        <v>-624.29999999999995</v>
      </c>
      <c r="L69" s="97">
        <f t="shared" si="89"/>
        <v>-603.9</v>
      </c>
      <c r="M69" s="97">
        <f t="shared" si="89"/>
        <v>-662.1</v>
      </c>
      <c r="N69" s="97">
        <f t="shared" si="89"/>
        <v>-428.5</v>
      </c>
      <c r="O69" s="97">
        <f t="shared" si="89"/>
        <v>-473.7170000000001</v>
      </c>
      <c r="P69" s="97">
        <f t="shared" si="89"/>
        <v>-500.32272504476725</v>
      </c>
      <c r="Q69" s="97">
        <f t="shared" si="89"/>
        <v>-528.00579363752342</v>
      </c>
      <c r="R69" s="97">
        <f t="shared" si="89"/>
        <v>-549.89090636972344</v>
      </c>
      <c r="S69" s="97">
        <f t="shared" si="89"/>
        <v>-563.5950367120729</v>
      </c>
      <c r="T69" s="97">
        <f t="shared" si="89"/>
        <v>-569.17771190179974</v>
      </c>
      <c r="U69" s="97">
        <f t="shared" si="89"/>
        <v>-626.81595677072835</v>
      </c>
      <c r="V69" s="97">
        <f t="shared" si="89"/>
        <v>-635.18681414826221</v>
      </c>
      <c r="W69" s="97">
        <f t="shared" si="89"/>
        <v>-660.87076594700648</v>
      </c>
      <c r="X69" s="97">
        <f t="shared" si="89"/>
        <v>-693.33671077227018</v>
      </c>
      <c r="Y69" s="97">
        <f t="shared" si="89"/>
        <v>-727.7414407042678</v>
      </c>
    </row>
    <row r="70" spans="3:26" ht="15" customHeight="1" x14ac:dyDescent="0.2">
      <c r="E70" s="2"/>
      <c r="F70" s="24"/>
      <c r="G70" s="24"/>
      <c r="H70" s="50"/>
      <c r="I70" s="50"/>
      <c r="J70" s="50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spans="3:26" ht="15" customHeight="1" x14ac:dyDescent="0.2">
      <c r="E71" s="1" t="s">
        <v>229</v>
      </c>
      <c r="F71" s="24" t="s">
        <v>25</v>
      </c>
      <c r="G71" s="24"/>
      <c r="H71" s="97">
        <f t="shared" ref="H71:O71" si="90">SUM(H49,H69)</f>
        <v>752.3</v>
      </c>
      <c r="I71" s="97">
        <f t="shared" si="90"/>
        <v>792.7</v>
      </c>
      <c r="J71" s="97">
        <f t="shared" si="90"/>
        <v>769.7</v>
      </c>
      <c r="K71" s="97">
        <f t="shared" si="90"/>
        <v>756.5</v>
      </c>
      <c r="L71" s="97">
        <f t="shared" si="90"/>
        <v>528.80000000000007</v>
      </c>
      <c r="M71" s="97">
        <f t="shared" si="90"/>
        <v>402.4</v>
      </c>
      <c r="N71" s="97">
        <f t="shared" si="90"/>
        <v>504.30000000000007</v>
      </c>
      <c r="O71" s="97">
        <f t="shared" si="90"/>
        <v>489.68299999999988</v>
      </c>
      <c r="P71" s="97">
        <f ca="1">SUM(P49,P69)</f>
        <v>1170.4724150296829</v>
      </c>
      <c r="Q71" s="97">
        <f t="shared" ref="Q71:Y71" ca="1" si="91">SUM(Q49,Q69)</f>
        <v>614.94162941665752</v>
      </c>
      <c r="R71" s="97">
        <f t="shared" ca="1" si="91"/>
        <v>595.63425748272323</v>
      </c>
      <c r="S71" s="97">
        <f t="shared" ca="1" si="91"/>
        <v>649.82023966141924</v>
      </c>
      <c r="T71" s="97">
        <f t="shared" ca="1" si="91"/>
        <v>723.6781021163722</v>
      </c>
      <c r="U71" s="97">
        <f t="shared" ca="1" si="91"/>
        <v>750.48721324119799</v>
      </c>
      <c r="V71" s="97">
        <f t="shared" ca="1" si="91"/>
        <v>830.87990085588183</v>
      </c>
      <c r="W71" s="97">
        <f t="shared" ca="1" si="91"/>
        <v>898.41570978823211</v>
      </c>
      <c r="X71" s="97">
        <f t="shared" ca="1" si="91"/>
        <v>963.83571528895436</v>
      </c>
      <c r="Y71" s="97">
        <f t="shared" ca="1" si="91"/>
        <v>1032.2132786922507</v>
      </c>
    </row>
    <row r="72" spans="3:26" ht="15" customHeight="1" x14ac:dyDescent="0.2">
      <c r="C72" s="2"/>
      <c r="D72" s="2"/>
      <c r="E72" s="140"/>
      <c r="F72" s="24"/>
      <c r="G72" s="24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-217.8</v>
      </c>
      <c r="I73" s="27">
        <f t="shared" si="92"/>
        <v>-155.1</v>
      </c>
      <c r="J73" s="27">
        <f t="shared" si="92"/>
        <v>-260.29999999999995</v>
      </c>
      <c r="K73" s="27">
        <f t="shared" si="92"/>
        <v>-244.69999999999996</v>
      </c>
      <c r="L73" s="27">
        <f t="shared" si="92"/>
        <v>-235.4</v>
      </c>
      <c r="M73" s="27">
        <f t="shared" si="92"/>
        <v>-186</v>
      </c>
      <c r="N73" s="27">
        <f t="shared" si="92"/>
        <v>-257.90000000000009</v>
      </c>
      <c r="O73" s="27">
        <f t="shared" si="92"/>
        <v>-316.40000000000009</v>
      </c>
      <c r="P73" s="27">
        <f t="shared" ca="1" si="92"/>
        <v>-257.63652161094103</v>
      </c>
      <c r="Q73" s="27">
        <f t="shared" ca="1" si="92"/>
        <v>-364.86675836672214</v>
      </c>
      <c r="R73" s="27">
        <f t="shared" ca="1" si="92"/>
        <v>-396.13489131192483</v>
      </c>
      <c r="S73" s="27">
        <f t="shared" ca="1" si="92"/>
        <v>-411.0118701891758</v>
      </c>
      <c r="T73" s="27">
        <f t="shared" ca="1" si="92"/>
        <v>-416.74005792918649</v>
      </c>
      <c r="U73" s="27">
        <f t="shared" ca="1" si="92"/>
        <v>-474.39330624255666</v>
      </c>
      <c r="V73" s="27">
        <f t="shared" ca="1" si="92"/>
        <v>-482.767424740178</v>
      </c>
      <c r="W73" s="27">
        <f t="shared" ca="1" si="92"/>
        <v>-508.45239885095418</v>
      </c>
      <c r="X73" s="27">
        <f t="shared" ca="1" si="92"/>
        <v>-540.91872450505127</v>
      </c>
      <c r="Y73" s="27">
        <f t="shared" ca="1" si="92"/>
        <v>-575.32358194548294</v>
      </c>
    </row>
    <row r="74" spans="3:26" ht="15" customHeight="1" x14ac:dyDescent="0.2">
      <c r="C74" s="2"/>
      <c r="D74" s="2"/>
      <c r="E74" s="1" t="s">
        <v>252</v>
      </c>
      <c r="F74" s="24" t="s">
        <v>25</v>
      </c>
      <c r="G74" s="24"/>
      <c r="H74" s="27">
        <f t="shared" ref="H74:Y74" si="93">H31+H33+H51</f>
        <v>-118.5</v>
      </c>
      <c r="I74" s="27">
        <f t="shared" si="93"/>
        <v>-167.6</v>
      </c>
      <c r="J74" s="27">
        <f t="shared" si="93"/>
        <v>-128.69999999999999</v>
      </c>
      <c r="K74" s="27">
        <f t="shared" si="93"/>
        <v>-154.10000000000002</v>
      </c>
      <c r="L74" s="27">
        <f t="shared" si="93"/>
        <v>-147.4</v>
      </c>
      <c r="M74" s="27">
        <f t="shared" si="93"/>
        <v>-124.70000000000002</v>
      </c>
      <c r="N74" s="27">
        <f t="shared" si="93"/>
        <v>3.9000000000000021</v>
      </c>
      <c r="O74" s="27">
        <f t="shared" si="93"/>
        <v>3.1829999999999998</v>
      </c>
      <c r="P74" s="27">
        <f t="shared" ca="1" si="93"/>
        <v>409.1222734710513</v>
      </c>
      <c r="Q74" s="27">
        <f t="shared" ca="1" si="93"/>
        <v>30.867371797891781</v>
      </c>
      <c r="R74" s="27">
        <f t="shared" ca="1" si="93"/>
        <v>-13.749846765977981</v>
      </c>
      <c r="S74" s="27">
        <f t="shared" ca="1" si="93"/>
        <v>-19.326861227856888</v>
      </c>
      <c r="T74" s="27">
        <f t="shared" ca="1" si="93"/>
        <v>-20.018788252675797</v>
      </c>
      <c r="U74" s="27">
        <f t="shared" ca="1" si="93"/>
        <v>-20.090131161958961</v>
      </c>
      <c r="V74" s="27">
        <f t="shared" ca="1" si="93"/>
        <v>-20.105638120742281</v>
      </c>
      <c r="W74" s="27">
        <f t="shared" ca="1" si="93"/>
        <v>-20.110499318771961</v>
      </c>
      <c r="X74" s="27">
        <f t="shared" ca="1" si="93"/>
        <v>-20.112310198734402</v>
      </c>
      <c r="Y74" s="27">
        <f t="shared" ca="1" si="93"/>
        <v>-20.112916514349809</v>
      </c>
    </row>
    <row r="75" spans="3:26" ht="15" customHeight="1" x14ac:dyDescent="0.2">
      <c r="C75" s="2"/>
      <c r="D75" s="2"/>
      <c r="E75" s="2" t="s">
        <v>253</v>
      </c>
      <c r="F75" s="24"/>
      <c r="G75" s="24"/>
      <c r="H75" s="27"/>
      <c r="I75" s="27">
        <f t="shared" ref="I75:Y75" si="94">H74-I74</f>
        <v>49.099999999999994</v>
      </c>
      <c r="J75" s="27">
        <f t="shared" si="94"/>
        <v>-38.900000000000006</v>
      </c>
      <c r="K75" s="27">
        <f t="shared" si="94"/>
        <v>25.400000000000034</v>
      </c>
      <c r="L75" s="27">
        <f t="shared" si="94"/>
        <v>-6.7000000000000171</v>
      </c>
      <c r="M75" s="27">
        <f t="shared" si="94"/>
        <v>-22.699999999999989</v>
      </c>
      <c r="N75" s="27">
        <f t="shared" si="94"/>
        <v>-128.60000000000002</v>
      </c>
      <c r="O75" s="27">
        <f t="shared" si="94"/>
        <v>0.7170000000000023</v>
      </c>
      <c r="P75" s="27">
        <f ca="1">O74-P74</f>
        <v>-405.93927347105131</v>
      </c>
      <c r="Q75" s="27">
        <f t="shared" ca="1" si="94"/>
        <v>378.25490167315951</v>
      </c>
      <c r="R75" s="27">
        <f t="shared" ca="1" si="94"/>
        <v>44.617218563869763</v>
      </c>
      <c r="S75" s="27">
        <f t="shared" ca="1" si="94"/>
        <v>5.5770144618789068</v>
      </c>
      <c r="T75" s="27">
        <f t="shared" ca="1" si="94"/>
        <v>0.69192702481890933</v>
      </c>
      <c r="U75" s="27">
        <f t="shared" ca="1" si="94"/>
        <v>7.1342909283163891E-2</v>
      </c>
      <c r="V75" s="27">
        <f t="shared" ca="1" si="94"/>
        <v>1.5506958783319646E-2</v>
      </c>
      <c r="W75" s="27">
        <f t="shared" ca="1" si="94"/>
        <v>4.8611980296797697E-3</v>
      </c>
      <c r="X75" s="27">
        <f t="shared" ca="1" si="94"/>
        <v>1.8108799624414473E-3</v>
      </c>
      <c r="Y75" s="27">
        <f t="shared" ca="1" si="94"/>
        <v>6.0631561540702705E-4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30" t="s">
        <v>212</v>
      </c>
      <c r="D77" s="131"/>
      <c r="E77" s="131"/>
      <c r="F77" s="132"/>
      <c r="G77" s="132"/>
      <c r="H77" s="142"/>
      <c r="I77" s="142"/>
      <c r="J77" s="142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</row>
    <row r="78" spans="3:26" ht="15" customHeight="1" x14ac:dyDescent="0.2">
      <c r="C78" s="2"/>
      <c r="D78" s="2"/>
      <c r="E78" s="2"/>
      <c r="F78" s="24"/>
      <c r="G78" s="24"/>
      <c r="H78" s="50"/>
      <c r="I78" s="50"/>
      <c r="J78" s="50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3:26" ht="15" customHeight="1" x14ac:dyDescent="0.2">
      <c r="E79" s="2" t="s">
        <v>204</v>
      </c>
      <c r="F79" s="24" t="s">
        <v>25</v>
      </c>
      <c r="G79" s="24"/>
      <c r="H79" s="175"/>
      <c r="I79" s="176"/>
      <c r="J79" s="176"/>
      <c r="K79" s="176"/>
      <c r="L79" s="176"/>
      <c r="M79" s="176"/>
      <c r="N79" s="176"/>
      <c r="O79" s="177">
        <v>7.3</v>
      </c>
      <c r="P79" s="306"/>
      <c r="Q79" s="307"/>
      <c r="R79" s="307"/>
      <c r="S79" s="307"/>
      <c r="T79" s="307"/>
      <c r="U79" s="307"/>
      <c r="V79" s="307"/>
      <c r="W79" s="307"/>
      <c r="X79" s="307"/>
      <c r="Y79" s="179"/>
    </row>
    <row r="80" spans="3:26" ht="15" customHeight="1" thickBot="1" x14ac:dyDescent="0.25">
      <c r="E80" s="2" t="s">
        <v>205</v>
      </c>
      <c r="F80" s="24" t="s">
        <v>25</v>
      </c>
      <c r="G80" s="24"/>
      <c r="H80" s="175"/>
      <c r="I80" s="176"/>
      <c r="J80" s="176"/>
      <c r="K80" s="176"/>
      <c r="L80" s="176">
        <v>13.3</v>
      </c>
      <c r="M80" s="176">
        <v>1.9</v>
      </c>
      <c r="N80" s="176">
        <v>2.4</v>
      </c>
      <c r="O80" s="177">
        <v>5.0999999999999996</v>
      </c>
      <c r="P80" s="175"/>
      <c r="Q80" s="176"/>
      <c r="R80" s="176"/>
      <c r="S80" s="176"/>
      <c r="T80" s="176"/>
      <c r="U80" s="176"/>
      <c r="V80" s="176"/>
      <c r="W80" s="176"/>
      <c r="X80" s="176"/>
      <c r="Y80" s="177"/>
    </row>
    <row r="81" spans="3:27" ht="15" customHeight="1" thickBot="1" x14ac:dyDescent="0.25">
      <c r="E81" s="2" t="s">
        <v>206</v>
      </c>
      <c r="F81" s="24" t="s">
        <v>25</v>
      </c>
      <c r="G81" s="24"/>
      <c r="H81" s="175">
        <v>-81.2</v>
      </c>
      <c r="I81" s="176">
        <v>-94.6</v>
      </c>
      <c r="J81" s="176">
        <v>-162.30000000000001</v>
      </c>
      <c r="K81" s="176">
        <v>-77.7</v>
      </c>
      <c r="L81" s="176">
        <v>-33.9</v>
      </c>
      <c r="M81" s="176">
        <v>-33.4</v>
      </c>
      <c r="N81" s="176">
        <v>-59.1</v>
      </c>
      <c r="O81" s="177">
        <v>-63.1</v>
      </c>
      <c r="P81" s="33">
        <f>O81*(1+$Z$81)</f>
        <v>-66.25500000000001</v>
      </c>
      <c r="Q81" s="33">
        <f t="shared" ref="Q81:Y81" si="95">P81*(1+$Z$81)</f>
        <v>-69.567750000000018</v>
      </c>
      <c r="R81" s="33">
        <f t="shared" si="95"/>
        <v>-73.046137500000029</v>
      </c>
      <c r="S81" s="33">
        <f t="shared" si="95"/>
        <v>-76.698444375000037</v>
      </c>
      <c r="T81" s="33">
        <f t="shared" si="95"/>
        <v>-80.533366593750046</v>
      </c>
      <c r="U81" s="33">
        <f t="shared" si="95"/>
        <v>-84.560034923437556</v>
      </c>
      <c r="V81" s="33">
        <f t="shared" si="95"/>
        <v>-88.78803666960944</v>
      </c>
      <c r="W81" s="33">
        <f t="shared" si="95"/>
        <v>-93.227438503089914</v>
      </c>
      <c r="X81" s="33">
        <f t="shared" si="95"/>
        <v>-97.888810428244412</v>
      </c>
      <c r="Y81" s="33">
        <f t="shared" si="95"/>
        <v>-102.78325094965663</v>
      </c>
      <c r="Z81" s="138">
        <v>0.05</v>
      </c>
      <c r="AA81" s="18" t="s">
        <v>162</v>
      </c>
    </row>
    <row r="82" spans="3:27" ht="15" customHeight="1" x14ac:dyDescent="0.2">
      <c r="E82" s="1" t="s">
        <v>259</v>
      </c>
      <c r="F82" s="24" t="s">
        <v>25</v>
      </c>
      <c r="G82" s="24"/>
      <c r="H82" s="72">
        <f>SUM(H79:H81)</f>
        <v>-81.2</v>
      </c>
      <c r="I82" s="72">
        <f t="shared" ref="I82:O82" si="96">SUM(I79:I81)</f>
        <v>-94.6</v>
      </c>
      <c r="J82" s="72">
        <f t="shared" si="96"/>
        <v>-162.30000000000001</v>
      </c>
      <c r="K82" s="72">
        <f t="shared" si="96"/>
        <v>-77.7</v>
      </c>
      <c r="L82" s="72">
        <f t="shared" si="96"/>
        <v>-20.599999999999998</v>
      </c>
      <c r="M82" s="72">
        <f t="shared" si="96"/>
        <v>-31.5</v>
      </c>
      <c r="N82" s="72">
        <f t="shared" si="96"/>
        <v>-56.7</v>
      </c>
      <c r="O82" s="72">
        <f t="shared" si="96"/>
        <v>-50.7</v>
      </c>
      <c r="P82" s="33">
        <f>AVERAGE(H81:O81)</f>
        <v>-75.662499999999994</v>
      </c>
      <c r="Q82" s="33">
        <f t="shared" ref="Q82:Y82" si="97">AVERAGE(I81:P81)</f>
        <v>-73.794374999999988</v>
      </c>
      <c r="R82" s="33">
        <f t="shared" si="97"/>
        <v>-70.665343750000005</v>
      </c>
      <c r="S82" s="33">
        <f t="shared" si="97"/>
        <v>-59.508610937500002</v>
      </c>
      <c r="T82" s="33">
        <f t="shared" si="97"/>
        <v>-59.383416484375019</v>
      </c>
      <c r="U82" s="33">
        <f t="shared" si="97"/>
        <v>-65.212587308593783</v>
      </c>
      <c r="V82" s="33">
        <f t="shared" si="97"/>
        <v>-71.607591674023453</v>
      </c>
      <c r="W82" s="33">
        <f t="shared" si="97"/>
        <v>-75.318596257724636</v>
      </c>
      <c r="X82" s="33">
        <f t="shared" si="97"/>
        <v>-79.084526070610892</v>
      </c>
      <c r="Y82" s="33">
        <f t="shared" si="97"/>
        <v>-83.038752374141424</v>
      </c>
      <c r="Z82" s="285"/>
      <c r="AA82" s="18"/>
    </row>
    <row r="83" spans="3:27" ht="15" customHeight="1" x14ac:dyDescent="0.2">
      <c r="E83" s="2"/>
      <c r="F83" s="24"/>
      <c r="G83" s="24"/>
      <c r="H83" s="135"/>
      <c r="I83" s="135"/>
      <c r="J83" s="135"/>
      <c r="K83" s="135"/>
      <c r="L83" s="135"/>
      <c r="M83" s="135"/>
      <c r="N83" s="135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6"/>
    </row>
    <row r="84" spans="3:27" ht="15" customHeight="1" x14ac:dyDescent="0.2">
      <c r="E84" s="2" t="s">
        <v>207</v>
      </c>
      <c r="F84" s="24" t="s">
        <v>25</v>
      </c>
      <c r="G84" s="24"/>
      <c r="H84" s="289">
        <f>(H64+H53)-H29</f>
        <v>-221.2</v>
      </c>
      <c r="I84" s="289">
        <f t="shared" ref="I84:O84" si="98">(I64+I53)-I29</f>
        <v>-187.6</v>
      </c>
      <c r="J84" s="289">
        <f t="shared" si="98"/>
        <v>-259.40000000000003</v>
      </c>
      <c r="K84" s="289">
        <f t="shared" si="98"/>
        <v>-251.9</v>
      </c>
      <c r="L84" s="289">
        <f t="shared" si="98"/>
        <v>-317.90000000000003</v>
      </c>
      <c r="M84" s="289">
        <f t="shared" si="98"/>
        <v>-215.79999999999998</v>
      </c>
      <c r="N84" s="289">
        <f t="shared" si="98"/>
        <v>-262</v>
      </c>
      <c r="O84" s="289">
        <f t="shared" si="98"/>
        <v>-325.5</v>
      </c>
      <c r="P84" s="144"/>
      <c r="Q84" s="144"/>
      <c r="R84" s="27"/>
      <c r="S84" s="144"/>
      <c r="T84" s="144"/>
      <c r="U84" s="144"/>
      <c r="V84" s="144"/>
      <c r="W84" s="144"/>
      <c r="X84" s="144"/>
      <c r="Y84" s="144"/>
    </row>
    <row r="85" spans="3:27" ht="15" customHeight="1" x14ac:dyDescent="0.2">
      <c r="E85" s="2" t="s">
        <v>208</v>
      </c>
      <c r="F85" s="24" t="s">
        <v>25</v>
      </c>
      <c r="G85" s="24"/>
      <c r="H85" s="286">
        <v>-71.900000000000006</v>
      </c>
      <c r="I85" s="287">
        <v>-37.5</v>
      </c>
      <c r="J85" s="287">
        <v>-46.9</v>
      </c>
      <c r="K85" s="287">
        <v>-20.3</v>
      </c>
      <c r="L85" s="287">
        <v>0</v>
      </c>
      <c r="M85" s="287">
        <v>0</v>
      </c>
      <c r="N85" s="287">
        <v>0</v>
      </c>
      <c r="O85" s="288">
        <v>-42.4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">
      <c r="E86" s="2"/>
      <c r="F86" s="24"/>
      <c r="G86" s="24"/>
      <c r="H86" s="50"/>
      <c r="I86" s="50"/>
      <c r="J86" s="50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3:27" ht="15" customHeight="1" x14ac:dyDescent="0.2">
      <c r="C87" s="130" t="s">
        <v>256</v>
      </c>
      <c r="D87" s="131"/>
      <c r="E87" s="131"/>
      <c r="F87" s="132"/>
      <c r="G87" s="132"/>
      <c r="H87" s="142"/>
      <c r="I87" s="142"/>
      <c r="J87" s="142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</row>
    <row r="89" spans="3:27" ht="15" customHeight="1" x14ac:dyDescent="0.2">
      <c r="E89" s="149" t="s">
        <v>215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</row>
    <row r="90" spans="3:27" ht="15" customHeight="1" x14ac:dyDescent="0.2">
      <c r="E90" s="341"/>
      <c r="F90" s="340"/>
      <c r="G90" s="340"/>
      <c r="H90" s="340">
        <f t="shared" ref="H90:N90" si="99">EOMONTH(I90,-12)</f>
        <v>42978</v>
      </c>
      <c r="I90" s="340">
        <f t="shared" si="99"/>
        <v>43343</v>
      </c>
      <c r="J90" s="340">
        <f t="shared" si="99"/>
        <v>43708</v>
      </c>
      <c r="K90" s="340">
        <f t="shared" si="99"/>
        <v>44074</v>
      </c>
      <c r="L90" s="340">
        <f t="shared" si="99"/>
        <v>44439</v>
      </c>
      <c r="M90" s="340">
        <f t="shared" si="99"/>
        <v>44804</v>
      </c>
      <c r="N90" s="340">
        <f t="shared" si="99"/>
        <v>45169</v>
      </c>
      <c r="O90" s="343">
        <v>45526</v>
      </c>
      <c r="P90" s="163" t="s">
        <v>214</v>
      </c>
      <c r="Q90" s="87"/>
      <c r="R90" s="87"/>
    </row>
    <row r="91" spans="3:27" ht="15" customHeight="1" x14ac:dyDescent="0.2">
      <c r="E91" s="150" t="s">
        <v>216</v>
      </c>
      <c r="H91" s="147">
        <f>(H24+H85)/H24</f>
        <v>1.0259118984496916</v>
      </c>
      <c r="I91" s="147">
        <f t="shared" ref="I91:O91" si="100">(I24+I85)/I24</f>
        <v>1.0117508736570882</v>
      </c>
      <c r="J91" s="147">
        <f t="shared" si="100"/>
        <v>1.0156741940763871</v>
      </c>
      <c r="K91" s="147">
        <f t="shared" si="100"/>
        <v>1.0139286625775041</v>
      </c>
      <c r="L91" s="147">
        <f t="shared" si="100"/>
        <v>1</v>
      </c>
      <c r="M91" s="147">
        <f t="shared" si="100"/>
        <v>1</v>
      </c>
      <c r="N91" s="147">
        <f t="shared" si="100"/>
        <v>1</v>
      </c>
      <c r="O91" s="147">
        <f t="shared" si="100"/>
        <v>1.0131141557066967</v>
      </c>
      <c r="P91" s="151">
        <f>AVERAGE(H91:O91)</f>
        <v>1.010047473058421</v>
      </c>
      <c r="Q91" s="87"/>
      <c r="R91" s="87"/>
    </row>
    <row r="92" spans="3:27" ht="15" customHeight="1" x14ac:dyDescent="0.2">
      <c r="E92" s="150" t="s">
        <v>217</v>
      </c>
      <c r="H92" s="147">
        <f t="shared" ref="H92:O92" si="101">(H24/H13)</f>
        <v>-0.66384688482389365</v>
      </c>
      <c r="I92" s="147">
        <f t="shared" si="101"/>
        <v>-0.66213494783842775</v>
      </c>
      <c r="J92" s="147">
        <f t="shared" si="101"/>
        <v>-0.66589414520073109</v>
      </c>
      <c r="K92" s="147">
        <f t="shared" si="101"/>
        <v>-0.6196150752418641</v>
      </c>
      <c r="L92" s="147">
        <f t="shared" si="101"/>
        <v>-0.67043384344625767</v>
      </c>
      <c r="M92" s="147">
        <f t="shared" si="101"/>
        <v>-0.67526773402707552</v>
      </c>
      <c r="N92" s="147">
        <f t="shared" si="101"/>
        <v>-0.69779808300962654</v>
      </c>
      <c r="O92" s="147">
        <f t="shared" si="101"/>
        <v>-0.70012765865299242</v>
      </c>
      <c r="P92" s="151">
        <f>AVERAGE(H92:O92)</f>
        <v>-0.66938979653010866</v>
      </c>
      <c r="Q92" s="87"/>
      <c r="R92" s="87"/>
    </row>
    <row r="93" spans="3:27" ht="15" customHeight="1" x14ac:dyDescent="0.2">
      <c r="E93" s="150" t="s">
        <v>218</v>
      </c>
      <c r="H93" s="147">
        <f t="shared" ref="H93:O93" si="102">H13/H49</f>
        <v>3.2412065756823822</v>
      </c>
      <c r="I93" s="147">
        <f t="shared" si="102"/>
        <v>3.616447812711038</v>
      </c>
      <c r="J93" s="147">
        <f t="shared" si="102"/>
        <v>3.2317865362485616</v>
      </c>
      <c r="K93" s="147">
        <f t="shared" si="102"/>
        <v>1.7034675550405562</v>
      </c>
      <c r="L93" s="147">
        <f t="shared" si="102"/>
        <v>3.0800476737000086</v>
      </c>
      <c r="M93" s="147">
        <f t="shared" si="102"/>
        <v>3.5589816815406294</v>
      </c>
      <c r="N93" s="147">
        <f t="shared" si="102"/>
        <v>3.099260291595197</v>
      </c>
      <c r="O93" s="147">
        <f t="shared" si="102"/>
        <v>4.793377620925888</v>
      </c>
      <c r="P93" s="151">
        <f>AVERAGE(H93:O93)</f>
        <v>3.2905719684305326</v>
      </c>
      <c r="Q93" s="87"/>
      <c r="R93" s="87"/>
    </row>
    <row r="94" spans="3:27" ht="15" customHeight="1" x14ac:dyDescent="0.2">
      <c r="E94" s="150" t="s">
        <v>219</v>
      </c>
      <c r="H94" s="147">
        <f t="shared" ref="H94:O94" si="103">H49/H71</f>
        <v>1.7142097567459791</v>
      </c>
      <c r="I94" s="147">
        <f t="shared" si="103"/>
        <v>1.681216096884067</v>
      </c>
      <c r="J94" s="147">
        <f t="shared" si="103"/>
        <v>1.8064180849681695</v>
      </c>
      <c r="K94" s="147">
        <f t="shared" si="103"/>
        <v>1.8252478519497686</v>
      </c>
      <c r="L94" s="147">
        <f t="shared" si="103"/>
        <v>2.142019667170953</v>
      </c>
      <c r="M94" s="147">
        <f t="shared" si="103"/>
        <v>2.6453777335984099</v>
      </c>
      <c r="N94" s="147">
        <f t="shared" si="103"/>
        <v>1.849692643267896</v>
      </c>
      <c r="O94" s="147">
        <f t="shared" si="103"/>
        <v>1.9673952332427309</v>
      </c>
      <c r="P94" s="151">
        <f>AVERAGE(H94:O94)</f>
        <v>1.9539471334784968</v>
      </c>
      <c r="Q94" s="87"/>
      <c r="R94" s="87"/>
    </row>
    <row r="95" spans="3:27" ht="15" customHeight="1" x14ac:dyDescent="0.2">
      <c r="E95" s="87"/>
      <c r="K95" s="153"/>
      <c r="L95" s="87"/>
      <c r="M95" s="87"/>
      <c r="N95" s="87"/>
      <c r="O95" s="87"/>
      <c r="P95" s="87"/>
      <c r="Q95" s="87"/>
      <c r="R95" s="87"/>
    </row>
    <row r="96" spans="3:27" ht="15" customHeight="1" x14ac:dyDescent="0.2">
      <c r="E96" s="87" t="s">
        <v>220</v>
      </c>
      <c r="F96" s="154"/>
      <c r="G96" s="154"/>
      <c r="H96" s="171">
        <f t="shared" ref="H96:O96" si="104">H91*H92*H93*H94</f>
        <v>-3.7839785192077637</v>
      </c>
      <c r="I96" s="171">
        <f t="shared" si="104"/>
        <v>-4.0731072032294682</v>
      </c>
      <c r="J96" s="171">
        <f t="shared" si="104"/>
        <v>-3.9483946472651685</v>
      </c>
      <c r="K96" s="171">
        <f t="shared" si="104"/>
        <v>-1.9533725842696632</v>
      </c>
      <c r="L96" s="171">
        <f t="shared" si="104"/>
        <v>-4.4232024962178516</v>
      </c>
      <c r="M96" s="171">
        <f t="shared" si="104"/>
        <v>-6.3575450298210763</v>
      </c>
      <c r="N96" s="171">
        <f t="shared" si="104"/>
        <v>-4.0002523894507229</v>
      </c>
      <c r="O96" s="171">
        <f t="shared" si="104"/>
        <v>-6.6891183071497302</v>
      </c>
      <c r="P96" s="171">
        <f>AVERAGE(H96:O96)</f>
        <v>-4.4036213970764297</v>
      </c>
      <c r="Q96" s="87"/>
      <c r="R96" s="87"/>
    </row>
    <row r="97" spans="5:18" ht="15" customHeight="1" x14ac:dyDescent="0.2">
      <c r="E97" s="87"/>
      <c r="F97" s="87"/>
      <c r="G97" s="87"/>
      <c r="H97" s="156"/>
      <c r="I97" s="87"/>
      <c r="J97" s="87"/>
      <c r="K97" s="156"/>
      <c r="L97" s="87"/>
      <c r="M97" s="87"/>
      <c r="N97" s="87"/>
      <c r="O97" s="87"/>
      <c r="P97" s="87"/>
      <c r="Q97" s="87"/>
      <c r="R97" s="87"/>
    </row>
    <row r="98" spans="5:18" ht="15" customHeight="1" x14ac:dyDescent="0.2">
      <c r="E98" s="149" t="s">
        <v>221</v>
      </c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</row>
    <row r="99" spans="5:18" ht="15" customHeight="1" x14ac:dyDescent="0.2">
      <c r="E99" s="341"/>
      <c r="F99" s="341"/>
      <c r="G99" s="341"/>
      <c r="H99" s="340">
        <f t="shared" ref="H99:N99" si="105">EOMONTH(I99,-12)</f>
        <v>42978</v>
      </c>
      <c r="I99" s="340">
        <f t="shared" si="105"/>
        <v>43343</v>
      </c>
      <c r="J99" s="340">
        <f t="shared" si="105"/>
        <v>43708</v>
      </c>
      <c r="K99" s="340">
        <f t="shared" si="105"/>
        <v>44074</v>
      </c>
      <c r="L99" s="340">
        <f t="shared" si="105"/>
        <v>44439</v>
      </c>
      <c r="M99" s="340">
        <f t="shared" si="105"/>
        <v>44804</v>
      </c>
      <c r="N99" s="340">
        <f t="shared" si="105"/>
        <v>45169</v>
      </c>
      <c r="O99" s="343">
        <v>45526</v>
      </c>
      <c r="P99" s="163" t="s">
        <v>214</v>
      </c>
      <c r="Q99" s="87"/>
      <c r="R99" s="87"/>
    </row>
    <row r="100" spans="5:18" ht="15" customHeight="1" x14ac:dyDescent="0.2">
      <c r="E100" s="150" t="s">
        <v>180</v>
      </c>
      <c r="H100" s="76">
        <f>H23</f>
        <v>47.473999999999997</v>
      </c>
      <c r="I100" s="76">
        <f t="shared" ref="I100:O100" si="106">I23</f>
        <v>78.53</v>
      </c>
      <c r="J100" s="76">
        <f t="shared" si="106"/>
        <v>29.616</v>
      </c>
      <c r="K100" s="76">
        <f t="shared" si="106"/>
        <v>4.165</v>
      </c>
      <c r="L100" s="76">
        <f t="shared" si="106"/>
        <v>-198.279</v>
      </c>
      <c r="M100" s="76">
        <f t="shared" si="106"/>
        <v>-552.62900000000002</v>
      </c>
      <c r="N100" s="76">
        <f t="shared" si="106"/>
        <v>16.600000000000001</v>
      </c>
      <c r="O100" s="76">
        <f t="shared" si="106"/>
        <v>27.6</v>
      </c>
      <c r="P100" s="76">
        <f>AVERAGE(H100:O100)</f>
        <v>-68.365375</v>
      </c>
      <c r="Q100" s="87"/>
      <c r="R100" s="87"/>
    </row>
    <row r="101" spans="5:18" ht="15" customHeight="1" x14ac:dyDescent="0.2">
      <c r="E101" s="150" t="s">
        <v>222</v>
      </c>
      <c r="H101" s="76">
        <f>H71</f>
        <v>752.3</v>
      </c>
      <c r="I101" s="76">
        <f t="shared" ref="I101:O101" si="107">I71</f>
        <v>792.7</v>
      </c>
      <c r="J101" s="76">
        <f t="shared" si="107"/>
        <v>769.7</v>
      </c>
      <c r="K101" s="76">
        <f t="shared" si="107"/>
        <v>756.5</v>
      </c>
      <c r="L101" s="76">
        <f t="shared" si="107"/>
        <v>528.80000000000007</v>
      </c>
      <c r="M101" s="76">
        <f t="shared" si="107"/>
        <v>402.4</v>
      </c>
      <c r="N101" s="76">
        <f t="shared" si="107"/>
        <v>504.30000000000007</v>
      </c>
      <c r="O101" s="76">
        <f t="shared" si="107"/>
        <v>489.68299999999988</v>
      </c>
      <c r="P101" s="76">
        <f>AVERAGE(H101:O101)</f>
        <v>624.54787499999998</v>
      </c>
      <c r="Q101" s="87"/>
      <c r="R101" s="87"/>
    </row>
    <row r="102" spans="5:18" ht="15" customHeight="1" x14ac:dyDescent="0.2">
      <c r="E102" s="150" t="s">
        <v>211</v>
      </c>
      <c r="H102" s="148">
        <f>'&gt;&gt; Segments'!H89</f>
        <v>0.59609999999999996</v>
      </c>
      <c r="I102" s="148">
        <f>'&gt;&gt; Segments'!I89</f>
        <v>0.71650000000000003</v>
      </c>
      <c r="J102" s="148">
        <f>'&gt;&gt; Segments'!J89</f>
        <v>0.79059999999999997</v>
      </c>
      <c r="K102" s="148">
        <f>'&gt;&gt; Segments'!K89</f>
        <v>1.5005999999999999</v>
      </c>
      <c r="L102" s="148">
        <f>'&gt;&gt; Segments'!L89</f>
        <v>0</v>
      </c>
      <c r="M102" s="148">
        <f>'&gt;&gt; Segments'!M89</f>
        <v>0</v>
      </c>
      <c r="N102" s="148">
        <f>'&gt;&gt; Segments'!N89</f>
        <v>1.5717000000000001</v>
      </c>
      <c r="O102" s="148">
        <f>'&gt;&gt; Segments'!O89</f>
        <v>3.5577999999999999</v>
      </c>
      <c r="P102" s="151">
        <f>AVERAGE(H102:O102)</f>
        <v>1.0916625</v>
      </c>
      <c r="Q102" s="87"/>
      <c r="R102" s="87"/>
    </row>
    <row r="103" spans="5:18" ht="15" customHeight="1" x14ac:dyDescent="0.2">
      <c r="E103" s="87"/>
      <c r="K103" s="152"/>
      <c r="L103" s="152"/>
      <c r="M103" s="152"/>
      <c r="N103" s="152"/>
      <c r="O103" s="152"/>
      <c r="P103" s="173"/>
      <c r="Q103" s="87"/>
      <c r="R103" s="87"/>
    </row>
    <row r="104" spans="5:18" ht="15" customHeight="1" x14ac:dyDescent="0.2">
      <c r="E104" s="87" t="s">
        <v>223</v>
      </c>
      <c r="K104" s="154"/>
      <c r="L104" s="154"/>
      <c r="M104" s="154"/>
      <c r="N104" s="154"/>
      <c r="O104" s="172"/>
      <c r="P104" s="171">
        <f>(P100/P101)*(1-P102)</f>
        <v>1.0033724293654027E-2</v>
      </c>
      <c r="Q104" s="87"/>
      <c r="R104" s="87"/>
    </row>
    <row r="105" spans="5:18" ht="15" customHeight="1" x14ac:dyDescent="0.2">
      <c r="E105" s="87"/>
      <c r="F105" s="157"/>
      <c r="G105" s="157"/>
      <c r="H105" s="157"/>
      <c r="I105" s="157"/>
      <c r="J105" s="157"/>
      <c r="K105" s="155"/>
      <c r="L105" s="87"/>
      <c r="M105" s="87"/>
      <c r="N105" s="87"/>
      <c r="O105" s="87"/>
      <c r="P105" s="87"/>
      <c r="Q105" s="87"/>
      <c r="R105" s="87"/>
    </row>
    <row r="106" spans="5:18" ht="15" customHeight="1" x14ac:dyDescent="0.2">
      <c r="E106" s="149" t="s">
        <v>233</v>
      </c>
      <c r="F106" s="157"/>
      <c r="R106" s="87"/>
    </row>
    <row r="107" spans="5:18" ht="15" customHeight="1" x14ac:dyDescent="0.2">
      <c r="E107" s="341"/>
      <c r="F107" s="340">
        <f>EOMONTH(N4,12)</f>
        <v>45657</v>
      </c>
      <c r="G107" s="342">
        <f>EOMONTH(O4,12)</f>
        <v>46022</v>
      </c>
      <c r="H107" s="163">
        <f t="shared" ref="H107:P107" si="108">EOMONTH(G107,12)</f>
        <v>46387</v>
      </c>
      <c r="I107" s="163">
        <f t="shared" si="108"/>
        <v>46752</v>
      </c>
      <c r="J107" s="163">
        <f t="shared" si="108"/>
        <v>47118</v>
      </c>
      <c r="K107" s="163">
        <f t="shared" si="108"/>
        <v>47483</v>
      </c>
      <c r="L107" s="163">
        <f t="shared" si="108"/>
        <v>47848</v>
      </c>
      <c r="M107" s="163">
        <f t="shared" si="108"/>
        <v>48213</v>
      </c>
      <c r="N107" s="163">
        <f t="shared" si="108"/>
        <v>48579</v>
      </c>
      <c r="O107" s="163">
        <f t="shared" si="108"/>
        <v>48944</v>
      </c>
      <c r="P107" s="163">
        <f t="shared" si="108"/>
        <v>49309</v>
      </c>
      <c r="R107" s="87"/>
    </row>
    <row r="108" spans="5:18" ht="15" customHeight="1" x14ac:dyDescent="0.2">
      <c r="E108" s="150" t="s">
        <v>225</v>
      </c>
      <c r="F108" s="158">
        <f>'&gt;&gt; Segments'!O87</f>
        <v>0.19</v>
      </c>
      <c r="G108" s="158">
        <f ca="1">'&gt;&gt; Segments'!P93</f>
        <v>8.8820236722630916</v>
      </c>
      <c r="H108" s="158">
        <f ca="1">'&gt;&gt; Segments'!Q93</f>
        <v>8.7818617770461813</v>
      </c>
      <c r="I108" s="158">
        <f ca="1">'&gt;&gt; Segments'!R93</f>
        <v>8.8168838536185472</v>
      </c>
      <c r="J108" s="158">
        <f ca="1">'&gt;&gt; Segments'!S93</f>
        <v>8.8346690967175068</v>
      </c>
      <c r="K108" s="158">
        <f ca="1">'&gt;&gt; Segments'!T93</f>
        <v>8.8569241383331985</v>
      </c>
      <c r="L108" s="158">
        <f ca="1">'&gt;&gt; Segments'!U93</f>
        <v>8.8675957996897186</v>
      </c>
      <c r="M108" s="158">
        <f ca="1">'&gt;&gt; Segments'!V93</f>
        <v>8.8836570347034396</v>
      </c>
      <c r="N108" s="158">
        <f ca="1">'&gt;&gt; Segments'!W93</f>
        <v>8.9009833072841307</v>
      </c>
      <c r="O108" s="158">
        <f ca="1">'&gt;&gt; Segments'!X93</f>
        <v>8.9186221140110895</v>
      </c>
      <c r="P108" s="158">
        <f ca="1">'&gt;&gt; Segments'!Y93</f>
        <v>8.928716376217519</v>
      </c>
      <c r="R108" s="87"/>
    </row>
    <row r="109" spans="5:18" ht="15" customHeight="1" x14ac:dyDescent="0.2">
      <c r="E109" s="87"/>
      <c r="F109" s="152"/>
      <c r="G109" s="153"/>
      <c r="H109" s="153"/>
      <c r="I109" s="153"/>
      <c r="J109" s="87"/>
      <c r="K109" s="87"/>
      <c r="L109" s="87"/>
      <c r="M109" s="87"/>
      <c r="N109" s="87"/>
      <c r="O109" s="87"/>
      <c r="P109" s="87"/>
      <c r="R109" s="87"/>
    </row>
    <row r="110" spans="5:18" ht="15" customHeight="1" x14ac:dyDescent="0.2">
      <c r="E110" s="87" t="s">
        <v>234</v>
      </c>
      <c r="F110" s="154"/>
      <c r="G110" s="154">
        <f t="shared" ref="G110:P110" ca="1" si="109">G108/F108-1</f>
        <v>45.747493011911011</v>
      </c>
      <c r="H110" s="154">
        <f t="shared" ca="1" si="109"/>
        <v>-1.1276922795161792E-2</v>
      </c>
      <c r="I110" s="154">
        <f t="shared" ca="1" si="109"/>
        <v>3.9880013443056583E-3</v>
      </c>
      <c r="J110" s="154">
        <f t="shared" ca="1" si="109"/>
        <v>2.0171801505199927E-3</v>
      </c>
      <c r="K110" s="154">
        <f t="shared" ca="1" si="109"/>
        <v>2.5190577453502172E-3</v>
      </c>
      <c r="L110" s="154">
        <f t="shared" ca="1" si="109"/>
        <v>1.2048947456073655E-3</v>
      </c>
      <c r="M110" s="154">
        <f t="shared" ca="1" si="109"/>
        <v>1.8112276852180198E-3</v>
      </c>
      <c r="N110" s="154">
        <f t="shared" ca="1" si="109"/>
        <v>1.9503536114695574E-3</v>
      </c>
      <c r="O110" s="154">
        <f t="shared" ca="1" si="109"/>
        <v>1.9816694535899071E-3</v>
      </c>
      <c r="P110" s="154">
        <f t="shared" ca="1" si="109"/>
        <v>1.1318185788555812E-3</v>
      </c>
      <c r="R110" s="87"/>
    </row>
    <row r="111" spans="5:18" ht="15" customHeight="1" x14ac:dyDescent="0.2">
      <c r="E111" s="87"/>
      <c r="F111" s="87"/>
    </row>
    <row r="112" spans="5:18" ht="15" customHeight="1" x14ac:dyDescent="0.2">
      <c r="E112" s="174" t="s">
        <v>235</v>
      </c>
      <c r="F112" s="366" t="s">
        <v>224</v>
      </c>
      <c r="G112" s="366"/>
      <c r="H112" s="366"/>
      <c r="I112" s="366"/>
      <c r="J112" s="370"/>
      <c r="K112" s="371" t="s">
        <v>226</v>
      </c>
      <c r="L112" s="371"/>
      <c r="M112" s="371"/>
      <c r="N112" s="371"/>
      <c r="O112" s="372"/>
      <c r="P112" s="165" t="s">
        <v>83</v>
      </c>
      <c r="Q112" s="254" t="s">
        <v>227</v>
      </c>
    </row>
    <row r="113" spans="1:27" ht="15" customHeight="1" x14ac:dyDescent="0.2">
      <c r="E113" s="162"/>
      <c r="F113" s="164">
        <f>EOMONTH('&gt;&gt; Inputs'!$G$17,12)</f>
        <v>46022</v>
      </c>
      <c r="G113" s="167">
        <f t="shared" ref="G113:P113" si="110">EOMONTH(F113,12)</f>
        <v>46387</v>
      </c>
      <c r="H113" s="167">
        <f t="shared" si="110"/>
        <v>46752</v>
      </c>
      <c r="I113" s="167">
        <f t="shared" si="110"/>
        <v>47118</v>
      </c>
      <c r="J113" s="168">
        <f t="shared" si="110"/>
        <v>47483</v>
      </c>
      <c r="K113" s="169">
        <f t="shared" si="110"/>
        <v>47848</v>
      </c>
      <c r="L113" s="169">
        <f t="shared" si="110"/>
        <v>48213</v>
      </c>
      <c r="M113" s="169">
        <f t="shared" si="110"/>
        <v>48579</v>
      </c>
      <c r="N113" s="169">
        <f t="shared" si="110"/>
        <v>48944</v>
      </c>
      <c r="O113" s="170">
        <f t="shared" si="110"/>
        <v>49309</v>
      </c>
      <c r="P113" s="253">
        <f t="shared" si="110"/>
        <v>49674</v>
      </c>
      <c r="Q113" s="252"/>
    </row>
    <row r="114" spans="1:27" ht="15" customHeight="1" x14ac:dyDescent="0.2">
      <c r="E114" s="87" t="s">
        <v>228</v>
      </c>
      <c r="F114" s="166">
        <f t="shared" ref="F114:J114" si="111">$P$96</f>
        <v>-4.4036213970764297</v>
      </c>
      <c r="G114" s="139">
        <f t="shared" si="111"/>
        <v>-4.4036213970764297</v>
      </c>
      <c r="H114" s="139">
        <f t="shared" si="111"/>
        <v>-4.4036213970764297</v>
      </c>
      <c r="I114" s="139">
        <f t="shared" si="111"/>
        <v>-4.4036213970764297</v>
      </c>
      <c r="J114" s="139">
        <f t="shared" si="111"/>
        <v>-4.4036213970764297</v>
      </c>
      <c r="K114" s="139">
        <f>J114-(($J$114-$P$114)/6)</f>
        <v>-3.6663511642303583</v>
      </c>
      <c r="L114" s="139">
        <f t="shared" ref="L114:O114" si="112">K114-(($J$114-$P$114)/6)</f>
        <v>-2.9290809313842869</v>
      </c>
      <c r="M114" s="139">
        <f t="shared" si="112"/>
        <v>-2.1918106985382155</v>
      </c>
      <c r="N114" s="139">
        <f t="shared" si="112"/>
        <v>-1.4545404656921441</v>
      </c>
      <c r="O114" s="139">
        <f t="shared" si="112"/>
        <v>-0.71727023284607261</v>
      </c>
      <c r="P114" s="259">
        <f>'&gt;&gt; Dash'!F$43</f>
        <v>0.02</v>
      </c>
      <c r="Q114" s="255">
        <v>0.2</v>
      </c>
    </row>
    <row r="115" spans="1:27" ht="15" customHeight="1" x14ac:dyDescent="0.2">
      <c r="E115" s="87" t="s">
        <v>223</v>
      </c>
      <c r="F115" s="139">
        <f t="shared" ref="F115:J115" si="113">$P$104</f>
        <v>1.0033724293654027E-2</v>
      </c>
      <c r="G115" s="139">
        <f t="shared" si="113"/>
        <v>1.0033724293654027E-2</v>
      </c>
      <c r="H115" s="139">
        <f t="shared" si="113"/>
        <v>1.0033724293654027E-2</v>
      </c>
      <c r="I115" s="139">
        <f t="shared" si="113"/>
        <v>1.0033724293654027E-2</v>
      </c>
      <c r="J115" s="139">
        <f t="shared" si="113"/>
        <v>1.0033724293654027E-2</v>
      </c>
      <c r="K115" s="139">
        <f>J115-(($J$115-$P$115)/6)</f>
        <v>1.1694770244711689E-2</v>
      </c>
      <c r="L115" s="139">
        <f t="shared" ref="L115:O115" si="114">K115-(($J$115-$P$115)/6)</f>
        <v>1.3355816195769352E-2</v>
      </c>
      <c r="M115" s="139">
        <f t="shared" si="114"/>
        <v>1.5016862146827015E-2</v>
      </c>
      <c r="N115" s="139">
        <f t="shared" si="114"/>
        <v>1.6677908097884678E-2</v>
      </c>
      <c r="O115" s="139">
        <f t="shared" si="114"/>
        <v>1.8338954048942341E-2</v>
      </c>
      <c r="P115" s="260">
        <f>'&gt;&gt; Dash'!F$43</f>
        <v>0.02</v>
      </c>
      <c r="Q115" s="256">
        <v>0.4</v>
      </c>
    </row>
    <row r="116" spans="1:27" ht="15" customHeight="1" x14ac:dyDescent="0.2">
      <c r="E116" s="87" t="s">
        <v>267</v>
      </c>
      <c r="F116" s="159">
        <f t="shared" ref="F116:J116" ca="1" si="115">G110</f>
        <v>45.747493011911011</v>
      </c>
      <c r="G116" s="159">
        <f t="shared" ca="1" si="115"/>
        <v>-1.1276922795161792E-2</v>
      </c>
      <c r="H116" s="159">
        <f t="shared" ca="1" si="115"/>
        <v>3.9880013443056583E-3</v>
      </c>
      <c r="I116" s="159">
        <f t="shared" ca="1" si="115"/>
        <v>2.0171801505199927E-3</v>
      </c>
      <c r="J116" s="159">
        <f t="shared" ca="1" si="115"/>
        <v>2.5190577453502172E-3</v>
      </c>
      <c r="K116" s="139">
        <f ca="1">J116-(($J$116-$P$116)/6)</f>
        <v>5.4325481211251817E-3</v>
      </c>
      <c r="L116" s="139">
        <f t="shared" ref="L116:O116" ca="1" si="116">K116-(($J$116-$P$116)/6)</f>
        <v>8.3460384969001461E-3</v>
      </c>
      <c r="M116" s="139">
        <f t="shared" ca="1" si="116"/>
        <v>1.1259528872675111E-2</v>
      </c>
      <c r="N116" s="139">
        <f t="shared" ca="1" si="116"/>
        <v>1.4173019248450075E-2</v>
      </c>
      <c r="O116" s="139">
        <f t="shared" ca="1" si="116"/>
        <v>1.7086509624225039E-2</v>
      </c>
      <c r="P116" s="261">
        <f>'&gt;&gt; Dash'!F$43</f>
        <v>0.02</v>
      </c>
      <c r="Q116" s="257">
        <v>0.4</v>
      </c>
    </row>
    <row r="117" spans="1:27" ht="15" customHeight="1" x14ac:dyDescent="0.2">
      <c r="E117" s="232" t="s">
        <v>230</v>
      </c>
      <c r="F117" s="233">
        <f t="shared" ref="F117:P117" ca="1" si="117">SUMPRODUCT(F114:F116,$Q$114:$Q$116)</f>
        <v>17.42228641506658</v>
      </c>
      <c r="G117" s="233">
        <f t="shared" ca="1" si="117"/>
        <v>-0.88122155881588904</v>
      </c>
      <c r="H117" s="233">
        <f t="shared" ca="1" si="117"/>
        <v>-0.87511558916010213</v>
      </c>
      <c r="I117" s="233">
        <f t="shared" ca="1" si="117"/>
        <v>-0.87590391763761632</v>
      </c>
      <c r="J117" s="233">
        <f t="shared" ca="1" si="117"/>
        <v>-0.87570316659968428</v>
      </c>
      <c r="K117" s="233">
        <f t="shared" ca="1" si="117"/>
        <v>-0.72641930549973699</v>
      </c>
      <c r="L117" s="233">
        <f t="shared" ca="1" si="117"/>
        <v>-0.57713544439978959</v>
      </c>
      <c r="M117" s="233">
        <f t="shared" ca="1" si="117"/>
        <v>-0.4278515832998423</v>
      </c>
      <c r="N117" s="233">
        <f t="shared" ca="1" si="117"/>
        <v>-0.27856772219989495</v>
      </c>
      <c r="O117" s="233">
        <f t="shared" ca="1" si="117"/>
        <v>-0.12928386109994761</v>
      </c>
      <c r="P117" s="234">
        <f t="shared" si="117"/>
        <v>0.02</v>
      </c>
      <c r="Q117" s="86"/>
    </row>
    <row r="118" spans="1:27" ht="15" customHeight="1" x14ac:dyDescent="0.2">
      <c r="S118" s="160"/>
    </row>
    <row r="121" spans="1:27" ht="15" customHeight="1" x14ac:dyDescent="0.2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">
      <c r="B304" s="146" t="s">
        <v>213</v>
      </c>
    </row>
    <row r="522" spans="12:12" ht="15.75" customHeight="1" x14ac:dyDescent="0.2">
      <c r="L522" s="145" t="s">
        <v>209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&gt;&gt; Model</vt:lpstr>
      <vt:lpstr>&gt;&gt; Inputs</vt:lpstr>
      <vt:lpstr>&gt;&gt; Dash</vt:lpstr>
      <vt:lpstr>&gt;&gt; DCF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2024-12-29T06:05:27Z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