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Shared drives\Website Content\Downloads\Excel\"/>
    </mc:Choice>
  </mc:AlternateContent>
  <xr:revisionPtr revIDLastSave="0" documentId="13_ncr:1_{197C38F9-45B8-43AA-90BF-47E3AC464B15}" xr6:coauthVersionLast="45" xr6:coauthVersionMax="45" xr10:uidLastSave="{00000000-0000-0000-0000-000000000000}"/>
  <bookViews>
    <workbookView xWindow="57480" yWindow="-120" windowWidth="29040" windowHeight="15840" tabRatio="685" xr2:uid="{00000000-000D-0000-FFFF-FFFF00000000}"/>
  </bookViews>
  <sheets>
    <sheet name="Cover Page" sheetId="26" r:id="rId1"/>
    <sheet name="DCF Model" sheetId="25" r:id="rId2"/>
  </sheets>
  <definedNames>
    <definedName name="_xlchart.v1.0" hidden="1">'DCF Model'!$L$36:$L$38</definedName>
    <definedName name="_xlchart.v1.1" hidden="1">'DCF Model'!$N$36:$N$38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 iterateCount="1000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5" l="1"/>
  <c r="G29" i="25"/>
  <c r="H29" i="25"/>
  <c r="I29" i="25"/>
  <c r="E29" i="25"/>
  <c r="I37" i="25" l="1"/>
  <c r="N36" i="25" s="1"/>
  <c r="C12" i="26"/>
  <c r="F19" i="25" l="1"/>
  <c r="G19" i="25" s="1"/>
  <c r="G18" i="25" s="1"/>
  <c r="G17" i="25" s="1"/>
  <c r="E18" i="25"/>
  <c r="E17" i="25" s="1"/>
  <c r="F18" i="25" l="1"/>
  <c r="F17" i="25" s="1"/>
  <c r="H19" i="25"/>
  <c r="I19" i="25" s="1"/>
  <c r="I18" i="25" s="1"/>
  <c r="F24" i="25"/>
  <c r="G24" i="25"/>
  <c r="H24" i="25"/>
  <c r="I24" i="25"/>
  <c r="E24" i="25"/>
  <c r="I34" i="25"/>
  <c r="I33" i="25"/>
  <c r="D34" i="25"/>
  <c r="D33" i="25"/>
  <c r="G20" i="25" l="1"/>
  <c r="F20" i="25"/>
  <c r="I17" i="25"/>
  <c r="J18" i="25"/>
  <c r="H18" i="25"/>
  <c r="I20" i="25" s="1"/>
  <c r="I32" i="25"/>
  <c r="D18" i="25"/>
  <c r="E20" i="25" s="1"/>
  <c r="H17" i="25" l="1"/>
  <c r="H20" i="25"/>
  <c r="I35" i="25"/>
  <c r="D27" i="25" s="1"/>
  <c r="D29" i="25" s="1"/>
  <c r="E22" i="25" l="1"/>
  <c r="E26" i="25" l="1"/>
  <c r="E28" i="25" s="1"/>
  <c r="F22" i="25" l="1"/>
  <c r="F26" i="25" l="1"/>
  <c r="F28" i="25" s="1"/>
  <c r="G22" i="25"/>
  <c r="G26" i="25" s="1"/>
  <c r="G28" i="25" s="1"/>
  <c r="H22" i="25" l="1"/>
  <c r="I22" i="25" l="1"/>
  <c r="H26" i="25" l="1"/>
  <c r="H28" i="25" s="1"/>
  <c r="N19" i="25" l="1"/>
  <c r="I26" i="25"/>
  <c r="N18" i="25" l="1"/>
  <c r="N20" i="25" s="1"/>
  <c r="I28" i="25"/>
  <c r="J27" i="25" l="1"/>
  <c r="J28" i="25" l="1"/>
  <c r="D32" i="25" s="1"/>
  <c r="D35" i="25" s="1"/>
  <c r="D37" i="25" s="1"/>
  <c r="J29" i="25"/>
  <c r="N33" i="25" s="1"/>
  <c r="N32" i="25" l="1"/>
  <c r="N37" i="25"/>
  <c r="N38" i="25" s="1"/>
</calcChain>
</file>

<file path=xl/sharedStrings.xml><?xml version="1.0" encoding="utf-8"?>
<sst xmlns="http://schemas.openxmlformats.org/spreadsheetml/2006/main" count="72" uniqueCount="65">
  <si>
    <t>Cash</t>
  </si>
  <si>
    <t>Debt</t>
  </si>
  <si>
    <t>Assumptions</t>
  </si>
  <si>
    <t>DCF Model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</si>
  <si>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</si>
  <si>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</si>
  <si>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</si>
  <si>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</si>
  <si>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</si>
  <si>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</si>
  <si>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</si>
  <si>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</si>
  <si>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</si>
  <si>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</si>
  <si>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</si>
  <si>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</si>
  <si>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</si>
  <si>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</si>
  <si>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</si>
  <si>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</si>
  <si>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</si>
  <si>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Shares Outstanding</t>
  </si>
  <si>
    <t>Entry</t>
  </si>
  <si>
    <t>Exit</t>
  </si>
  <si>
    <t>Date</t>
  </si>
  <si>
    <t>Current Price</t>
  </si>
  <si>
    <t>Market Cap</t>
  </si>
  <si>
    <t>Plus: Debt</t>
  </si>
  <si>
    <t>Less: Cash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</si>
  <si>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</si>
  <si>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</si>
  <si>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</si>
  <si>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</si>
  <si>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</si>
  <si>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</si>
  <si>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</si>
  <si>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</si>
  <si>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</si>
  <si>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Capex</t>
  </si>
  <si>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</si>
  <si>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</si>
  <si>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</si>
  <si>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</si>
  <si>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Instructions</t>
  </si>
  <si>
    <t>Fiscal Year End</t>
  </si>
  <si>
    <t>Transaction CF</t>
  </si>
  <si>
    <t>Year Fraction</t>
  </si>
  <si>
    <t>Time Periods</t>
  </si>
  <si>
    <t>Step 1: Get EBIT and D&amp;A from the income statement</t>
  </si>
  <si>
    <t>Step 2: Calculate the net working capital</t>
  </si>
  <si>
    <t>There are two ways to find NWC:</t>
  </si>
  <si>
    <t>1. NWC = Current Assets (less cash) - Current Liabilities (less debt)</t>
  </si>
  <si>
    <t>2. NWC = Accounts Receivable + Inventory - Accounts Payable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</si>
  <si>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</si>
  <si>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</si>
  <si>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</si>
  <si>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</si>
  <si>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</si>
  <si>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Market Value vs Intrinsic Value</t>
  </si>
  <si>
    <t>Upside</t>
  </si>
  <si>
    <t>Internal Rate of Return (IRR)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</si>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</sst>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_-* #,##0_-;\-* #,##0_-;_-* &quot;-&quot;??_-;_-@_-"/>
    <numFmt numFmtId="166" formatCode="_(* #,##0_);_(* \(#,##0\);_(* &quot;-&quot;??_);_(@_)"/>
    <numFmt numFmtId="167" formatCode="0.0\x"/>
    <numFmt numFmtId="168" formatCode="_-* #,##0.00_-;\(#,##0.00\)_-;_-* &quot;-&quot;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i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0"/>
      <color rgb="FF0000FF"/>
      <name val="Open Sans"/>
      <family val="2"/>
    </font>
    <font>
      <i/>
      <sz val="10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1"/>
      <color rgb="FF0000FF"/>
      <name val="Arial Narrow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</cellStyleXfs>
  <cellXfs count="68">
    <xf numFmtId="0" fontId="0" fillId="0" borderId="0" xfId="0"/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3" fillId="2" borderId="0" xfId="1" applyNumberFormat="1" applyFont="1" applyFill="1"/>
    <xf numFmtId="164" fontId="4" fillId="2" borderId="0" xfId="1" applyNumberFormat="1" applyFont="1" applyFill="1"/>
    <xf numFmtId="164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64" fontId="7" fillId="0" borderId="0" xfId="1" applyNumberFormat="1" applyFont="1"/>
    <xf numFmtId="164" fontId="8" fillId="0" borderId="0" xfId="1" applyNumberFormat="1" applyFont="1"/>
    <xf numFmtId="164" fontId="7" fillId="0" borderId="0" xfId="1" applyNumberFormat="1" applyFont="1" applyAlignment="1">
      <alignment horizontal="center"/>
    </xf>
    <xf numFmtId="164" fontId="9" fillId="0" borderId="0" xfId="1" applyNumberFormat="1" applyFont="1"/>
    <xf numFmtId="164" fontId="11" fillId="0" borderId="0" xfId="1" applyNumberFormat="1" applyFont="1"/>
    <xf numFmtId="9" fontId="9" fillId="0" borderId="0" xfId="2" applyFont="1" applyAlignment="1">
      <alignment horizontal="right"/>
    </xf>
    <xf numFmtId="167" fontId="9" fillId="0" borderId="0" xfId="1" applyNumberFormat="1" applyFont="1" applyAlignment="1">
      <alignment horizontal="right"/>
    </xf>
    <xf numFmtId="14" fontId="9" fillId="0" borderId="0" xfId="1" applyNumberFormat="1" applyFont="1"/>
    <xf numFmtId="43" fontId="9" fillId="0" borderId="0" xfId="1" applyFont="1" applyAlignment="1">
      <alignment horizontal="right"/>
    </xf>
    <xf numFmtId="165" fontId="9" fillId="0" borderId="0" xfId="1" applyNumberFormat="1" applyFont="1" applyAlignment="1">
      <alignment horizontal="right"/>
    </xf>
    <xf numFmtId="164" fontId="7" fillId="0" borderId="1" xfId="1" applyNumberFormat="1" applyFont="1" applyBorder="1"/>
    <xf numFmtId="164" fontId="7" fillId="0" borderId="0" xfId="1" applyNumberFormat="1" applyFont="1" applyBorder="1"/>
    <xf numFmtId="166" fontId="7" fillId="0" borderId="0" xfId="1" applyNumberFormat="1" applyFont="1"/>
    <xf numFmtId="164" fontId="9" fillId="0" borderId="0" xfId="1" applyNumberFormat="1" applyFont="1" applyBorder="1"/>
    <xf numFmtId="166" fontId="9" fillId="0" borderId="0" xfId="1" applyNumberFormat="1" applyFont="1"/>
    <xf numFmtId="164" fontId="7" fillId="0" borderId="0" xfId="1" applyNumberFormat="1" applyFont="1" applyFill="1"/>
    <xf numFmtId="9" fontId="7" fillId="0" borderId="0" xfId="2" applyFont="1"/>
    <xf numFmtId="168" fontId="7" fillId="0" borderId="0" xfId="1" applyNumberFormat="1" applyFont="1"/>
    <xf numFmtId="0" fontId="15" fillId="0" borderId="0" xfId="0" applyFont="1"/>
    <xf numFmtId="43" fontId="12" fillId="0" borderId="0" xfId="1" applyFont="1" applyBorder="1"/>
    <xf numFmtId="164" fontId="12" fillId="0" borderId="0" xfId="1" applyNumberFormat="1" applyFont="1"/>
    <xf numFmtId="164" fontId="11" fillId="0" borderId="0" xfId="1" applyNumberFormat="1" applyFont="1" applyBorder="1"/>
    <xf numFmtId="9" fontId="9" fillId="0" borderId="0" xfId="2" applyFont="1" applyBorder="1" applyAlignment="1">
      <alignment horizontal="right"/>
    </xf>
    <xf numFmtId="14" fontId="9" fillId="0" borderId="0" xfId="1" applyNumberFormat="1" applyFont="1" applyFill="1"/>
    <xf numFmtId="164" fontId="10" fillId="3" borderId="0" xfId="1" applyNumberFormat="1" applyFont="1" applyFill="1" applyBorder="1"/>
    <xf numFmtId="164" fontId="9" fillId="3" borderId="0" xfId="1" applyNumberFormat="1" applyFont="1" applyFill="1" applyBorder="1"/>
    <xf numFmtId="164" fontId="8" fillId="3" borderId="0" xfId="1" applyNumberFormat="1" applyFont="1" applyFill="1"/>
    <xf numFmtId="164" fontId="7" fillId="3" borderId="0" xfId="1" applyNumberFormat="1" applyFont="1" applyFill="1"/>
    <xf numFmtId="14" fontId="12" fillId="0" borderId="0" xfId="1" applyNumberFormat="1" applyFont="1" applyBorder="1"/>
    <xf numFmtId="14" fontId="12" fillId="0" borderId="0" xfId="1" applyNumberFormat="1" applyFont="1" applyFill="1" applyBorder="1"/>
    <xf numFmtId="164" fontId="12" fillId="0" borderId="0" xfId="1" applyNumberFormat="1" applyFont="1" applyBorder="1"/>
    <xf numFmtId="1" fontId="12" fillId="0" borderId="0" xfId="1" applyNumberFormat="1" applyFont="1"/>
    <xf numFmtId="1" fontId="16" fillId="0" borderId="0" xfId="1" applyNumberFormat="1" applyFont="1"/>
    <xf numFmtId="14" fontId="17" fillId="0" borderId="0" xfId="1" applyNumberFormat="1" applyFont="1" applyBorder="1"/>
    <xf numFmtId="164" fontId="8" fillId="3" borderId="0" xfId="1" applyNumberFormat="1" applyFont="1" applyFill="1" applyBorder="1"/>
    <xf numFmtId="164" fontId="7" fillId="3" borderId="0" xfId="1" applyNumberFormat="1" applyFont="1" applyFill="1" applyBorder="1"/>
    <xf numFmtId="164" fontId="8" fillId="3" borderId="0" xfId="1" applyNumberFormat="1" applyFont="1" applyFill="1" applyBorder="1" applyAlignment="1">
      <alignment horizontal="right"/>
    </xf>
    <xf numFmtId="0" fontId="8" fillId="3" borderId="0" xfId="1" applyNumberFormat="1" applyFont="1" applyFill="1" applyBorder="1"/>
    <xf numFmtId="9" fontId="7" fillId="0" borderId="0" xfId="2" applyFont="1" applyBorder="1"/>
    <xf numFmtId="164" fontId="7" fillId="3" borderId="0" xfId="1" applyNumberFormat="1" applyFont="1" applyFill="1" applyAlignment="1">
      <alignment horizontal="center"/>
    </xf>
    <xf numFmtId="164" fontId="7" fillId="0" borderId="0" xfId="1" applyNumberFormat="1" applyFont="1" applyAlignment="1">
      <alignment horizontal="left" indent="5"/>
    </xf>
    <xf numFmtId="0" fontId="18" fillId="4" borderId="0" xfId="5" applyFont="1" applyFill="1"/>
    <xf numFmtId="0" fontId="18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20" fillId="0" borderId="0" xfId="5" applyFont="1" applyFill="1" applyBorder="1" applyAlignment="1">
      <alignment horizontal="right"/>
    </xf>
    <xf numFmtId="0" fontId="18" fillId="0" borderId="0" xfId="5" applyFont="1" applyFill="1" applyBorder="1" applyProtection="1">
      <protection locked="0"/>
    </xf>
    <xf numFmtId="0" fontId="20" fillId="0" borderId="0" xfId="5" applyFont="1" applyFill="1" applyBorder="1" applyProtection="1">
      <protection locked="0"/>
    </xf>
    <xf numFmtId="0" fontId="22" fillId="0" borderId="0" xfId="6" applyFont="1" applyFill="1" applyBorder="1" applyProtection="1">
      <protection locked="0"/>
    </xf>
    <xf numFmtId="0" fontId="18" fillId="0" borderId="1" xfId="5" applyFont="1" applyFill="1" applyBorder="1"/>
    <xf numFmtId="0" fontId="23" fillId="0" borderId="1" xfId="4" applyFont="1" applyFill="1" applyBorder="1" applyProtection="1">
      <protection locked="0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8" fillId="4" borderId="0" xfId="7" applyFont="1" applyFill="1"/>
    <xf numFmtId="0" fontId="18" fillId="0" borderId="0" xfId="7" applyFont="1" applyFill="1" applyBorder="1"/>
    <xf numFmtId="0" fontId="24" fillId="2" borderId="0" xfId="7" applyFont="1" applyFill="1" applyBorder="1"/>
    <xf numFmtId="0" fontId="18" fillId="2" borderId="0" xfId="7" applyFont="1" applyFill="1" applyBorder="1"/>
    <xf numFmtId="0" fontId="18" fillId="5" borderId="0" xfId="7" applyFont="1" applyFill="1"/>
    <xf numFmtId="0" fontId="24" fillId="2" borderId="0" xfId="7" applyFont="1" applyFill="1"/>
    <xf numFmtId="0" fontId="13" fillId="0" borderId="0" xfId="4" applyAlignment="1">
      <alignment horizontal="right"/>
    </xf>
    <xf numFmtId="0" fontId="13" fillId="0" borderId="0" xfId="4" applyFill="1" applyBorder="1"/>
  </cellXfs>
  <cellStyles count="8">
    <cellStyle name="Comma" xfId="1" builtinId="3"/>
    <cellStyle name="Hyperlink" xfId="4" builtinId="8"/>
    <cellStyle name="Hyperlink 2" xfId="6" xr:uid="{00000000-0005-0000-0000-000002000000}"/>
    <cellStyle name="Hyperlink 3" xfId="3" xr:uid="{00000000-0005-0000-0000-000003000000}"/>
    <cellStyle name="Normal" xfId="0" builtinId="0"/>
    <cellStyle name="Normal 2" xfId="5" xr:uid="{00000000-0005-0000-0000-000005000000}"/>
    <cellStyle name="Normal 2 2 2" xfId="7" xr:uid="{65687AD3-88B9-461F-8736-3AEEF181566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Model'!$E$18:$I$18</c:f>
              <c:numCache>
                <c:formatCode>m/d/yyyy</c:formatCode>
                <c:ptCount val="5"/>
                <c:pt idx="0">
                  <c:v>43281</c:v>
                </c:pt>
                <c:pt idx="1">
                  <c:v>43646</c:v>
                </c:pt>
                <c:pt idx="2">
                  <c:v>44012</c:v>
                </c:pt>
                <c:pt idx="3">
                  <c:v>44377</c:v>
                </c:pt>
                <c:pt idx="4">
                  <c:v>44742</c:v>
                </c:pt>
              </c:numCache>
            </c:numRef>
          </c:cat>
          <c:val>
            <c:numRef>
              <c:f>'DCF Model'!$E$28:$I$28</c:f>
              <c:numCache>
                <c:formatCode>_-* #,##0_-;\(#,##0\)_-;_-* "-"_-;_-@_-</c:formatCode>
                <c:ptCount val="5"/>
                <c:pt idx="0">
                  <c:v>17747.131000000001</c:v>
                </c:pt>
                <c:pt idx="1">
                  <c:v>37715.192064999996</c:v>
                </c:pt>
                <c:pt idx="2">
                  <c:v>41501.07372819999</c:v>
                </c:pt>
                <c:pt idx="3">
                  <c:v>43510.461665686991</c:v>
                </c:pt>
                <c:pt idx="4">
                  <c:v>47008.029943582238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A-4754-B867-94CF948C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42849320"/>
        <c:axId val="542849648"/>
      </c:barChart>
      <c:dateAx>
        <c:axId val="542849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64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284964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Market Value vs Intrinsic Value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8DE9D384-90CA-46AD-9838-15A56339DF8B}" formatIdx="1">
          <cx:spPr>
            <a:solidFill>
              <a:schemeClr val="bg2"/>
            </a:solidFill>
          </cx:spPr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ED942D"/>
              </a:solidFill>
            </cx:spPr>
          </cx:dataPt>
          <cx:dataLabels pos="outEnd">
            <cx:numFmt formatCode="$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numFmt formatCode="$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?utm_source=excel&amp;utm_medium=template&amp;utm_campaign=excel_template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?utm_source=excel&amp;utm_medium=template&amp;utm_campaign=excel_template" TargetMode="Externa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655477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5AB05-3D31-4BAF-9EAF-88E8181B1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107951</xdr:colOff>
      <xdr:row>42</xdr:row>
      <xdr:rowOff>129314</xdr:rowOff>
    </xdr:from>
    <xdr:to>
      <xdr:col>13</xdr:col>
      <xdr:colOff>848361</xdr:colOff>
      <xdr:row>46</xdr:row>
      <xdr:rowOff>104773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3C2993-3553-4689-91E4-AE8D129BF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1" y="8714514"/>
          <a:ext cx="742950" cy="788259"/>
        </a:xfrm>
        <a:prstGeom prst="rect">
          <a:avLst/>
        </a:prstGeom>
      </xdr:spPr>
    </xdr:pic>
    <xdr:clientData/>
  </xdr:twoCellAnchor>
  <xdr:twoCellAnchor>
    <xdr:from>
      <xdr:col>4</xdr:col>
      <xdr:colOff>714376</xdr:colOff>
      <xdr:row>3</xdr:row>
      <xdr:rowOff>28575</xdr:rowOff>
    </xdr:from>
    <xdr:to>
      <xdr:col>9</xdr:col>
      <xdr:colOff>771525</xdr:colOff>
      <xdr:row>14</xdr:row>
      <xdr:rowOff>51063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1E59A-1A30-40A8-B4F9-0770A24C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257174</xdr:colOff>
      <xdr:row>3</xdr:row>
      <xdr:rowOff>47626</xdr:rowOff>
    </xdr:from>
    <xdr:to>
      <xdr:col>13</xdr:col>
      <xdr:colOff>781049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79C28A-B758-47E1-9CB3-ABF566CBF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5599" y="701676"/>
              <a:ext cx="3149600" cy="2276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?utm_source=excel&amp;utm_medium=template&amp;utm_campaign=excel_templa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?utm_source=excel&amp;utm_medium=template&amp;utm_campaign=excel_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tabSelected="1" zoomScaleNormal="100" workbookViewId="0"/>
  </sheetViews>
  <sheetFormatPr defaultColWidth="9.08984375" defaultRowHeight="14" x14ac:dyDescent="0.3"/>
  <cols>
    <col min="1" max="2" width="11" style="49" customWidth="1"/>
    <col min="3" max="3" width="29.08984375" style="49" customWidth="1"/>
    <col min="4" max="13" width="11" style="49" customWidth="1"/>
    <col min="14" max="14" width="14.90625" style="49" customWidth="1"/>
    <col min="15" max="22" width="11" style="49" customWidth="1"/>
    <col min="23" max="25" width="9.08984375" style="49"/>
    <col min="26" max="26" width="9.08984375" style="49" customWidth="1"/>
    <col min="27" max="16384" width="9.08984375" style="4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ht="19.5" customHeight="1" x14ac:dyDescent="0.3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2:15" ht="19.5" customHeight="1" x14ac:dyDescent="0.3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2:15" ht="19.5" customHeight="1" x14ac:dyDescent="0.3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2:15" ht="19.5" customHeight="1" x14ac:dyDescent="0.3"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2:15" ht="19.5" customHeight="1" x14ac:dyDescent="0.3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2:15" ht="19.5" customHeight="1" x14ac:dyDescent="0.3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2:15" ht="19.5" customHeight="1" x14ac:dyDescent="0.3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2:15" ht="19.5" customHeight="1" x14ac:dyDescent="0.3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2:15" ht="27" x14ac:dyDescent="0.5">
      <c r="B12" s="50"/>
      <c r="C12" s="51" t="str">
        <f>'DCF Model'!B2</f>
        <v>DCF Model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2" t="s">
        <v>53</v>
      </c>
      <c r="O12" s="50"/>
    </row>
    <row r="13" spans="2:15" ht="19.5" customHeight="1" x14ac:dyDescent="0.3">
      <c r="B13" s="50"/>
      <c r="C13" s="53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2:15" ht="19.5" customHeight="1" x14ac:dyDescent="0.3">
      <c r="B14" s="50"/>
      <c r="C14" s="54" t="s">
        <v>54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2:15" ht="19.5" customHeight="1" x14ac:dyDescent="0.3">
      <c r="B15" s="50"/>
      <c r="C15" s="57" t="s">
        <v>3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2:15" ht="19.5" customHeight="1" x14ac:dyDescent="0.3">
      <c r="B16" s="50"/>
      <c r="C16" s="55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2:15" ht="19.5" customHeight="1" x14ac:dyDescent="0.3">
      <c r="B17" s="50"/>
      <c r="C17" s="55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2:15" ht="19.5" customHeight="1" x14ac:dyDescent="0.3">
      <c r="B18" s="50"/>
      <c r="C18" s="55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2:15" ht="19.5" customHeight="1" x14ac:dyDescent="0.3">
      <c r="B19" s="50"/>
      <c r="C19" s="50" t="s">
        <v>55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2:15" ht="19.5" customHeight="1" x14ac:dyDescent="0.3">
      <c r="B20" s="50"/>
      <c r="C20" s="56" t="s">
        <v>56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0"/>
    </row>
    <row r="21" spans="2:15" ht="19.5" customHeight="1" x14ac:dyDescent="0.3">
      <c r="B21" s="50"/>
      <c r="C21" s="50" t="s">
        <v>57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2:15" ht="19.5" customHeight="1" x14ac:dyDescent="0.35">
      <c r="B22" s="50"/>
      <c r="C22" s="67" t="s">
        <v>42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2:15" ht="19.5" customHeight="1" x14ac:dyDescent="0.3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2:15" s="60" customFormat="1" ht="19.5" customHeight="1" x14ac:dyDescent="0.3">
      <c r="B24" s="61"/>
      <c r="C24" s="62" t="s">
        <v>61</v>
      </c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1"/>
    </row>
    <row r="25" spans="2:15" s="60" customFormat="1" ht="19.5" customHeight="1" x14ac:dyDescent="0.3">
      <c r="B25" s="64"/>
      <c r="C25" s="65" t="s">
        <v>62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4"/>
    </row>
    <row r="26" spans="2:15" s="60" customFormat="1" ht="19.5" customHeight="1" x14ac:dyDescent="0.3">
      <c r="B26" s="64"/>
      <c r="C26" s="65" t="s">
        <v>63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4"/>
    </row>
    <row r="27" spans="2:15" s="60" customFormat="1" ht="19.5" customHeight="1" x14ac:dyDescent="0.3">
      <c r="B27" s="64"/>
      <c r="C27" s="65" t="s">
        <v>64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4"/>
    </row>
    <row r="28" spans="2:15" s="60" customFormat="1" ht="19.5" customHeight="1" x14ac:dyDescent="0.3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4"/>
    </row>
    <row r="29" spans="2:15" s="60" customFormat="1" ht="19.5" customHeight="1" x14ac:dyDescent="0.3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00000000-0004-0000-0000-000000000000}"/>
    <hyperlink ref="C15" location="'DCF Model'!A1" display="DCF Model" xr:uid="{00000000-0004-0000-0000-000001000000}"/>
  </hyperlinks>
  <pageMargins left="0.7" right="0.7" top="0.75" bottom="0.75" header="0.3" footer="0.3"/>
  <pageSetup scale="64" orientation="landscape" r:id="rId2"/>
  <ignoredErrors>
    <ignoredError sqref="C12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showGridLines="0" zoomScaleNormal="100" workbookViewId="0"/>
  </sheetViews>
  <sheetFormatPr defaultColWidth="9.08984375" defaultRowHeight="15.5" x14ac:dyDescent="0.35"/>
  <cols>
    <col min="1" max="1" width="3.54296875" style="1" customWidth="1"/>
    <col min="2" max="2" width="12.6328125" style="1" customWidth="1"/>
    <col min="3" max="3" width="12.453125" style="1" customWidth="1"/>
    <col min="4" max="4" width="11.36328125" style="2" customWidth="1"/>
    <col min="5" max="9" width="11.54296875" style="1" customWidth="1"/>
    <col min="10" max="14" width="12.54296875" style="1" customWidth="1"/>
    <col min="15" max="16384" width="9.08984375" style="1"/>
  </cols>
  <sheetData>
    <row r="1" spans="1:15" ht="18" x14ac:dyDescent="0.5">
      <c r="A1" s="3" t="s">
        <v>39</v>
      </c>
      <c r="B1" s="4"/>
      <c r="C1" s="4"/>
      <c r="D1" s="5"/>
      <c r="E1" s="5"/>
      <c r="F1" s="5"/>
      <c r="G1" s="5"/>
      <c r="H1" s="3"/>
      <c r="I1" s="4"/>
      <c r="J1" s="4"/>
      <c r="K1" s="5"/>
      <c r="L1" s="5"/>
      <c r="M1" s="5"/>
      <c r="N1" s="5"/>
    </row>
    <row r="2" spans="1:15" ht="18" x14ac:dyDescent="0.5">
      <c r="A2" s="4"/>
      <c r="B2" s="6" t="s">
        <v>3</v>
      </c>
      <c r="C2" s="7"/>
      <c r="D2" s="7"/>
      <c r="E2" s="7"/>
      <c r="F2" s="5"/>
      <c r="G2" s="5"/>
      <c r="H2" s="4"/>
      <c r="I2" s="6"/>
      <c r="J2" s="7"/>
      <c r="K2" s="7"/>
      <c r="L2" s="7"/>
      <c r="M2" s="5"/>
      <c r="N2" s="5"/>
    </row>
    <row r="3" spans="1:15" ht="16" x14ac:dyDescent="0.4">
      <c r="A3" s="8"/>
      <c r="B3" s="9"/>
      <c r="C3" s="8"/>
      <c r="D3" s="10"/>
      <c r="E3" s="11"/>
      <c r="F3" s="11"/>
      <c r="G3" s="11"/>
      <c r="H3" s="11"/>
      <c r="I3" s="11"/>
      <c r="J3" s="8"/>
      <c r="K3" s="8"/>
      <c r="L3" s="8"/>
      <c r="M3" s="8"/>
      <c r="N3" s="8"/>
      <c r="O3" s="8"/>
    </row>
    <row r="4" spans="1:15" ht="16" x14ac:dyDescent="0.4">
      <c r="A4" s="8"/>
      <c r="B4" s="32" t="s">
        <v>2</v>
      </c>
      <c r="C4" s="33"/>
      <c r="D4" s="33"/>
      <c r="E4" s="11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6" x14ac:dyDescent="0.4">
      <c r="A5" s="8"/>
      <c r="B5" s="29" t="s">
        <v>11</v>
      </c>
      <c r="C5" s="21"/>
      <c r="D5" s="30">
        <v>0.25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6" x14ac:dyDescent="0.4">
      <c r="A6" s="8"/>
      <c r="B6" s="12" t="s">
        <v>12</v>
      </c>
      <c r="C6" s="8"/>
      <c r="D6" s="13">
        <v>0.12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6" x14ac:dyDescent="0.4">
      <c r="A7" s="8"/>
      <c r="B7" s="8" t="s">
        <v>13</v>
      </c>
      <c r="C7" s="8"/>
      <c r="D7" s="13">
        <v>0.03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6" x14ac:dyDescent="0.4">
      <c r="A8" s="8"/>
      <c r="B8" s="8" t="s">
        <v>14</v>
      </c>
      <c r="C8" s="8"/>
      <c r="D8" s="14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6" x14ac:dyDescent="0.4">
      <c r="A9" s="8"/>
      <c r="B9" s="8" t="s">
        <v>19</v>
      </c>
      <c r="C9" s="8"/>
      <c r="D9" s="15">
        <v>43100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6" x14ac:dyDescent="0.4">
      <c r="A10" s="8"/>
      <c r="B10" s="8" t="s">
        <v>44</v>
      </c>
      <c r="C10" s="8"/>
      <c r="D10" s="31">
        <v>43281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6" x14ac:dyDescent="0.4">
      <c r="A11" s="8"/>
      <c r="B11" s="8" t="s">
        <v>25</v>
      </c>
      <c r="C11" s="8"/>
      <c r="D11" s="16">
        <v>25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6" x14ac:dyDescent="0.4">
      <c r="A12" s="8"/>
      <c r="B12" s="8" t="s">
        <v>21</v>
      </c>
      <c r="C12" s="8"/>
      <c r="D12" s="17">
        <v>20000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6" x14ac:dyDescent="0.4">
      <c r="A13" s="8"/>
      <c r="B13" s="8" t="s">
        <v>1</v>
      </c>
      <c r="C13" s="8"/>
      <c r="D13" s="17">
        <v>30000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6" x14ac:dyDescent="0.4">
      <c r="A14" s="8"/>
      <c r="B14" s="8" t="s">
        <v>0</v>
      </c>
      <c r="C14" s="8"/>
      <c r="D14" s="17">
        <v>239549.5203651849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6" x14ac:dyDescent="0.4">
      <c r="A15" s="8"/>
      <c r="B15" s="8" t="s">
        <v>38</v>
      </c>
      <c r="C15" s="8"/>
      <c r="D15" s="11">
        <v>15000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6" x14ac:dyDescent="0.4">
      <c r="A16" s="8"/>
      <c r="B16" s="8"/>
      <c r="C16" s="8"/>
      <c r="D16" s="15"/>
      <c r="J16" s="8"/>
      <c r="K16" s="8"/>
      <c r="L16" s="8"/>
      <c r="M16" s="8"/>
      <c r="N16" s="8"/>
      <c r="O16" s="8"/>
    </row>
    <row r="17" spans="1:15" ht="16" x14ac:dyDescent="0.4">
      <c r="A17" s="8"/>
      <c r="B17" s="42" t="s">
        <v>20</v>
      </c>
      <c r="C17" s="43"/>
      <c r="D17" s="44" t="s">
        <v>22</v>
      </c>
      <c r="E17" s="45">
        <f>YEAR(E18)</f>
        <v>2018</v>
      </c>
      <c r="F17" s="45">
        <f t="shared" ref="F17:I17" si="0">YEAR(F18)</f>
        <v>2019</v>
      </c>
      <c r="G17" s="45">
        <f t="shared" si="0"/>
        <v>2020</v>
      </c>
      <c r="H17" s="45">
        <f t="shared" si="0"/>
        <v>2021</v>
      </c>
      <c r="I17" s="45">
        <f t="shared" si="0"/>
        <v>2022</v>
      </c>
      <c r="J17" s="44" t="s">
        <v>23</v>
      </c>
      <c r="K17" s="8"/>
      <c r="L17" s="42" t="s">
        <v>9</v>
      </c>
      <c r="M17" s="43"/>
      <c r="N17" s="43"/>
      <c r="O17" s="8"/>
    </row>
    <row r="18" spans="1:15" ht="16" x14ac:dyDescent="0.4">
      <c r="A18" s="8"/>
      <c r="B18" s="19" t="s">
        <v>24</v>
      </c>
      <c r="C18" s="19"/>
      <c r="D18" s="36">
        <f>D9</f>
        <v>43100</v>
      </c>
      <c r="E18" s="37">
        <f>DATE(YEAR($D$10)+E19,6,30)</f>
        <v>43281</v>
      </c>
      <c r="F18" s="37">
        <f>DATE(YEAR($D$10)+F19,6,30)</f>
        <v>43646</v>
      </c>
      <c r="G18" s="37">
        <f>DATE(YEAR($D$10)+G19,6,30)</f>
        <v>44012</v>
      </c>
      <c r="H18" s="37">
        <f>DATE(YEAR($D$10)+H19,6,30)</f>
        <v>44377</v>
      </c>
      <c r="I18" s="37">
        <f>DATE(YEAR($D$10)+I19,6,30)</f>
        <v>44742</v>
      </c>
      <c r="J18" s="41">
        <f>I18</f>
        <v>44742</v>
      </c>
      <c r="K18" s="8"/>
      <c r="L18" s="19" t="s">
        <v>10</v>
      </c>
      <c r="M18" s="19"/>
      <c r="N18" s="19">
        <f>(I26*(1+D7))/(D6-D7)</f>
        <v>537980.78713210789</v>
      </c>
      <c r="O18" s="8"/>
    </row>
    <row r="19" spans="1:15" ht="16" x14ac:dyDescent="0.4">
      <c r="A19" s="8"/>
      <c r="B19" s="38" t="s">
        <v>47</v>
      </c>
      <c r="C19" s="38"/>
      <c r="D19" s="36"/>
      <c r="E19" s="40">
        <v>0</v>
      </c>
      <c r="F19" s="39">
        <f>E19+1</f>
        <v>1</v>
      </c>
      <c r="G19" s="39">
        <f>F19+1</f>
        <v>2</v>
      </c>
      <c r="H19" s="39">
        <f t="shared" ref="H19:I19" si="1">G19+1</f>
        <v>3</v>
      </c>
      <c r="I19" s="39">
        <f t="shared" si="1"/>
        <v>4</v>
      </c>
      <c r="J19" s="36"/>
      <c r="K19" s="8"/>
      <c r="L19" s="8" t="s">
        <v>17</v>
      </c>
      <c r="M19" s="8"/>
      <c r="N19" s="20">
        <f>D8*(I21+I23)</f>
        <v>546277.73326543428</v>
      </c>
      <c r="O19" s="8"/>
    </row>
    <row r="20" spans="1:15" ht="16" x14ac:dyDescent="0.4">
      <c r="A20" s="8"/>
      <c r="B20" s="28" t="s">
        <v>46</v>
      </c>
      <c r="C20" s="8"/>
      <c r="D20" s="8"/>
      <c r="E20" s="27">
        <f>YEARFRAC(D18,E18)</f>
        <v>0.5</v>
      </c>
      <c r="F20" s="27">
        <f>YEARFRAC(E18,F18)</f>
        <v>1</v>
      </c>
      <c r="G20" s="27">
        <f>YEARFRAC(F18,G18)</f>
        <v>1</v>
      </c>
      <c r="H20" s="27">
        <f>YEARFRAC(G18,H18)</f>
        <v>1</v>
      </c>
      <c r="I20" s="27">
        <f>YEARFRAC(H18,I18)</f>
        <v>1</v>
      </c>
      <c r="J20" s="8"/>
      <c r="K20" s="8"/>
      <c r="L20" s="8" t="s">
        <v>18</v>
      </c>
      <c r="M20" s="8"/>
      <c r="N20" s="18">
        <f>AVERAGE(N18:N19)</f>
        <v>542129.26019877102</v>
      </c>
      <c r="O20" s="8"/>
    </row>
    <row r="21" spans="1:15" ht="16" x14ac:dyDescent="0.4">
      <c r="A21" s="8"/>
      <c r="B21" s="8" t="s">
        <v>4</v>
      </c>
      <c r="C21" s="8"/>
      <c r="D21" s="8"/>
      <c r="E21" s="21">
        <v>47814.456000000006</v>
      </c>
      <c r="F21" s="21">
        <v>51094.853419999992</v>
      </c>
      <c r="G21" s="21">
        <v>55861.390037599995</v>
      </c>
      <c r="H21" s="21">
        <v>58692.857260915989</v>
      </c>
      <c r="I21" s="21">
        <v>63038.584948776319</v>
      </c>
      <c r="J21" s="8"/>
      <c r="K21" s="8"/>
      <c r="L21" s="8"/>
      <c r="M21" s="8"/>
      <c r="N21" s="8"/>
      <c r="O21" s="8"/>
    </row>
    <row r="22" spans="1:15" ht="16" x14ac:dyDescent="0.4">
      <c r="A22" s="8"/>
      <c r="B22" s="8" t="s">
        <v>5</v>
      </c>
      <c r="C22" s="8"/>
      <c r="D22" s="8"/>
      <c r="E22" s="20">
        <f>E21*$D$5</f>
        <v>11953.614000000001</v>
      </c>
      <c r="F22" s="20">
        <f>F21*$D$5</f>
        <v>12773.713354999998</v>
      </c>
      <c r="G22" s="20">
        <f>G21*$D$5</f>
        <v>13965.347509399999</v>
      </c>
      <c r="H22" s="20">
        <f>H21*$D$5</f>
        <v>14673.214315228997</v>
      </c>
      <c r="I22" s="20">
        <f>I21*$D$5</f>
        <v>15759.64623719408</v>
      </c>
      <c r="J22" s="8"/>
      <c r="K22" s="8"/>
      <c r="L22" s="8"/>
      <c r="M22" s="8"/>
      <c r="N22" s="8"/>
      <c r="O22" s="8"/>
    </row>
    <row r="23" spans="1:15" ht="16" x14ac:dyDescent="0.4">
      <c r="A23" s="8"/>
      <c r="B23" s="8" t="s">
        <v>8</v>
      </c>
      <c r="C23" s="8"/>
      <c r="D23" s="8"/>
      <c r="E23" s="22">
        <v>15008.420000000002</v>
      </c>
      <c r="F23" s="22">
        <v>15005.052000000003</v>
      </c>
      <c r="G23" s="22">
        <v>15003.031200000001</v>
      </c>
      <c r="H23" s="22">
        <v>15001.818719999999</v>
      </c>
      <c r="I23" s="22">
        <v>15001.091232000001</v>
      </c>
      <c r="J23" s="8"/>
      <c r="K23" s="8"/>
      <c r="L23" s="8"/>
      <c r="M23" s="8"/>
      <c r="N23" s="8"/>
      <c r="O23" s="8"/>
    </row>
    <row r="24" spans="1:15" ht="16" x14ac:dyDescent="0.4">
      <c r="A24" s="8"/>
      <c r="B24" s="8" t="s">
        <v>6</v>
      </c>
      <c r="C24" s="8"/>
      <c r="D24" s="8"/>
      <c r="E24" s="12">
        <f>$D$15</f>
        <v>15000</v>
      </c>
      <c r="F24" s="12">
        <f t="shared" ref="F24:I24" si="2">$D$15</f>
        <v>15000</v>
      </c>
      <c r="G24" s="12">
        <f t="shared" si="2"/>
        <v>15000</v>
      </c>
      <c r="H24" s="12">
        <f t="shared" si="2"/>
        <v>15000</v>
      </c>
      <c r="I24" s="12">
        <f t="shared" si="2"/>
        <v>15000</v>
      </c>
      <c r="J24" s="8"/>
      <c r="K24" s="8"/>
      <c r="L24" s="8"/>
      <c r="M24" s="8"/>
      <c r="N24" s="8"/>
      <c r="O24" s="8"/>
    </row>
    <row r="25" spans="1:15" ht="16" x14ac:dyDescent="0.4">
      <c r="A25" s="8"/>
      <c r="B25" s="8" t="s">
        <v>7</v>
      </c>
      <c r="C25" s="8"/>
      <c r="D25" s="8"/>
      <c r="E25" s="11">
        <v>375</v>
      </c>
      <c r="F25" s="11">
        <v>611</v>
      </c>
      <c r="G25" s="11">
        <v>398</v>
      </c>
      <c r="H25" s="11">
        <v>511</v>
      </c>
      <c r="I25" s="11">
        <v>272</v>
      </c>
      <c r="J25" s="8"/>
      <c r="K25" s="8"/>
      <c r="L25" s="8"/>
      <c r="M25" s="8"/>
      <c r="N25" s="8"/>
      <c r="O25" s="8"/>
    </row>
    <row r="26" spans="1:15" ht="16" x14ac:dyDescent="0.4">
      <c r="A26" s="8"/>
      <c r="B26" s="8" t="s">
        <v>15</v>
      </c>
      <c r="C26" s="8"/>
      <c r="D26" s="8"/>
      <c r="E26" s="18">
        <f>E21-E22+E23-E24-E25</f>
        <v>35494.262000000002</v>
      </c>
      <c r="F26" s="18">
        <f>F21-F22+F23-F24-F25</f>
        <v>37715.192064999996</v>
      </c>
      <c r="G26" s="18">
        <f>G21-G22+G23-G24-G25</f>
        <v>41501.07372819999</v>
      </c>
      <c r="H26" s="18">
        <f>H21-H22+H23-H24-H25</f>
        <v>43510.461665686991</v>
      </c>
      <c r="I26" s="18">
        <f>I21-I22+I23-I24-I25</f>
        <v>47008.029943582238</v>
      </c>
      <c r="J26" s="8"/>
      <c r="K26" s="8"/>
      <c r="L26" s="8"/>
      <c r="M26" s="8"/>
      <c r="N26" s="8"/>
      <c r="O26" s="8"/>
    </row>
    <row r="27" spans="1:15" ht="16" x14ac:dyDescent="0.4">
      <c r="A27" s="8"/>
      <c r="B27" s="8" t="s">
        <v>16</v>
      </c>
      <c r="C27" s="8"/>
      <c r="D27" s="23">
        <f>-I35</f>
        <v>-290450.47963481513</v>
      </c>
      <c r="E27" s="8"/>
      <c r="F27" s="8"/>
      <c r="G27" s="8"/>
      <c r="H27" s="8"/>
      <c r="I27" s="8"/>
      <c r="J27" s="23">
        <f>N20</f>
        <v>542129.26019877102</v>
      </c>
      <c r="K27" s="8"/>
      <c r="L27" s="8"/>
      <c r="M27" s="8"/>
      <c r="N27" s="8"/>
      <c r="O27" s="8"/>
    </row>
    <row r="28" spans="1:15" ht="16" x14ac:dyDescent="0.4">
      <c r="A28" s="8"/>
      <c r="B28" s="8" t="s">
        <v>45</v>
      </c>
      <c r="C28" s="8"/>
      <c r="D28" s="18">
        <v>0</v>
      </c>
      <c r="E28" s="18">
        <f>(E27+E26)*E20</f>
        <v>17747.131000000001</v>
      </c>
      <c r="F28" s="18">
        <f t="shared" ref="F28:I29" si="3">(F27+F26)*F20</f>
        <v>37715.192064999996</v>
      </c>
      <c r="G28" s="18">
        <f t="shared" si="3"/>
        <v>41501.07372819999</v>
      </c>
      <c r="H28" s="18">
        <f t="shared" si="3"/>
        <v>43510.461665686991</v>
      </c>
      <c r="I28" s="18">
        <f t="shared" si="3"/>
        <v>47008.029943582238</v>
      </c>
      <c r="J28" s="18">
        <f t="shared" ref="J28:J29" si="4">J27+J26</f>
        <v>542129.26019877102</v>
      </c>
      <c r="K28" s="8"/>
      <c r="L28" s="8"/>
      <c r="M28" s="8"/>
      <c r="N28" s="8"/>
      <c r="O28" s="8"/>
    </row>
    <row r="29" spans="1:15" ht="16" x14ac:dyDescent="0.4">
      <c r="A29" s="8"/>
      <c r="B29" s="8" t="s">
        <v>45</v>
      </c>
      <c r="C29" s="8"/>
      <c r="D29" s="19">
        <f>D27+D26</f>
        <v>-290450.47963481513</v>
      </c>
      <c r="E29" s="19">
        <f>(E27+E26)*E20</f>
        <v>17747.131000000001</v>
      </c>
      <c r="F29" s="19">
        <f t="shared" ref="F29:I29" si="5">(F27+F26)*F20</f>
        <v>37715.192064999996</v>
      </c>
      <c r="G29" s="19">
        <f t="shared" si="5"/>
        <v>41501.07372819999</v>
      </c>
      <c r="H29" s="19">
        <f t="shared" si="5"/>
        <v>43510.461665686991</v>
      </c>
      <c r="I29" s="19">
        <f t="shared" si="5"/>
        <v>47008.029943582238</v>
      </c>
      <c r="J29" s="19">
        <f>J27</f>
        <v>542129.26019877102</v>
      </c>
      <c r="K29" s="8"/>
      <c r="L29" s="8"/>
      <c r="M29" s="8"/>
      <c r="N29" s="8"/>
      <c r="O29" s="8"/>
    </row>
    <row r="30" spans="1:15" ht="16" x14ac:dyDescent="0.4">
      <c r="A30" s="8"/>
      <c r="B30" s="8"/>
      <c r="C30" s="8"/>
      <c r="D30" s="10"/>
      <c r="E30" s="8"/>
      <c r="G30" s="8"/>
      <c r="H30" s="8"/>
      <c r="I30" s="8"/>
      <c r="J30" s="8"/>
      <c r="L30" s="8"/>
      <c r="M30" s="8"/>
      <c r="N30" s="8"/>
      <c r="O30" s="8"/>
    </row>
    <row r="31" spans="1:15" ht="16" x14ac:dyDescent="0.4">
      <c r="A31" s="8"/>
      <c r="B31" s="42" t="s">
        <v>34</v>
      </c>
      <c r="C31" s="43"/>
      <c r="D31" s="43"/>
      <c r="E31" s="8"/>
      <c r="G31" s="42" t="s">
        <v>35</v>
      </c>
      <c r="H31" s="43"/>
      <c r="I31" s="43"/>
      <c r="J31" s="8"/>
      <c r="L31" s="42" t="s">
        <v>36</v>
      </c>
      <c r="M31" s="43"/>
      <c r="N31" s="43"/>
      <c r="O31" s="8"/>
    </row>
    <row r="32" spans="1:15" ht="16" x14ac:dyDescent="0.4">
      <c r="A32" s="8"/>
      <c r="B32" s="19" t="s">
        <v>29</v>
      </c>
      <c r="C32" s="19"/>
      <c r="D32" s="19">
        <f>XNPV(D6,D28:J28,D18:J18)</f>
        <v>462982.97544626752</v>
      </c>
      <c r="E32" s="8"/>
      <c r="G32" s="19" t="s">
        <v>26</v>
      </c>
      <c r="H32" s="19"/>
      <c r="I32" s="19">
        <f>D12*D11</f>
        <v>500000</v>
      </c>
      <c r="J32" s="8"/>
      <c r="L32" s="19" t="s">
        <v>37</v>
      </c>
      <c r="M32" s="19"/>
      <c r="N32" s="46">
        <f>D37/I37-1</f>
        <v>0.34506499162290472</v>
      </c>
      <c r="O32" s="8"/>
    </row>
    <row r="33" spans="1:15" ht="16" x14ac:dyDescent="0.4">
      <c r="A33" s="8"/>
      <c r="B33" s="8" t="s">
        <v>30</v>
      </c>
      <c r="C33" s="8"/>
      <c r="D33" s="8">
        <f>+D14</f>
        <v>239549.5203651849</v>
      </c>
      <c r="E33" s="8"/>
      <c r="G33" s="8" t="s">
        <v>27</v>
      </c>
      <c r="H33" s="8"/>
      <c r="I33" s="8">
        <f>D13</f>
        <v>30000</v>
      </c>
      <c r="J33" s="8"/>
      <c r="L33" s="8" t="s">
        <v>60</v>
      </c>
      <c r="M33" s="8"/>
      <c r="N33" s="24">
        <f>XIRR(D29:J29,D18:J18)</f>
        <v>0.26347765326499939</v>
      </c>
      <c r="O33" s="8"/>
    </row>
    <row r="34" spans="1:15" ht="16" x14ac:dyDescent="0.4">
      <c r="A34" s="8"/>
      <c r="B34" s="8" t="s">
        <v>31</v>
      </c>
      <c r="C34" s="8"/>
      <c r="D34" s="8">
        <f>+D13</f>
        <v>30000</v>
      </c>
      <c r="E34" s="8"/>
      <c r="G34" s="8" t="s">
        <v>28</v>
      </c>
      <c r="H34" s="8"/>
      <c r="I34" s="8">
        <f>+D14</f>
        <v>239549.5203651849</v>
      </c>
      <c r="J34" s="8"/>
      <c r="L34" s="8"/>
      <c r="M34" s="8"/>
      <c r="N34" s="8"/>
      <c r="O34" s="8"/>
    </row>
    <row r="35" spans="1:15" ht="16" x14ac:dyDescent="0.4">
      <c r="A35" s="8"/>
      <c r="B35" s="8" t="s">
        <v>32</v>
      </c>
      <c r="C35" s="8"/>
      <c r="D35" s="18">
        <f>D32+D33-D34</f>
        <v>672532.49581145239</v>
      </c>
      <c r="E35" s="8"/>
      <c r="G35" s="8" t="s">
        <v>29</v>
      </c>
      <c r="H35" s="8"/>
      <c r="I35" s="18">
        <f>I32+I33-I34</f>
        <v>290450.47963481513</v>
      </c>
      <c r="J35" s="8"/>
      <c r="L35" s="42" t="s">
        <v>58</v>
      </c>
      <c r="M35" s="43"/>
      <c r="N35" s="43"/>
      <c r="O35" s="8"/>
    </row>
    <row r="36" spans="1:15" ht="16" x14ac:dyDescent="0.4">
      <c r="A36" s="8"/>
      <c r="B36" s="8"/>
      <c r="C36" s="8"/>
      <c r="D36" s="8"/>
      <c r="E36" s="8"/>
      <c r="G36" s="8"/>
      <c r="H36" s="8"/>
      <c r="I36" s="25"/>
      <c r="J36" s="8"/>
      <c r="L36" s="8" t="s">
        <v>35</v>
      </c>
      <c r="M36" s="8"/>
      <c r="N36" s="25">
        <f>I37</f>
        <v>25</v>
      </c>
      <c r="O36" s="8"/>
    </row>
    <row r="37" spans="1:15" ht="16" x14ac:dyDescent="0.4">
      <c r="A37" s="8"/>
      <c r="B37" s="8" t="s">
        <v>33</v>
      </c>
      <c r="C37" s="8"/>
      <c r="D37" s="25">
        <f>D35/D12</f>
        <v>33.62662479057262</v>
      </c>
      <c r="E37" s="8"/>
      <c r="G37" s="8" t="s">
        <v>33</v>
      </c>
      <c r="H37" s="8"/>
      <c r="I37" s="25">
        <f>D11</f>
        <v>25</v>
      </c>
      <c r="J37" s="8"/>
      <c r="L37" s="8" t="s">
        <v>59</v>
      </c>
      <c r="M37" s="8"/>
      <c r="N37" s="25">
        <f>D37-I37</f>
        <v>8.6266247905726203</v>
      </c>
      <c r="O37" s="8"/>
    </row>
    <row r="38" spans="1:15" ht="16" x14ac:dyDescent="0.4">
      <c r="A38" s="8"/>
      <c r="B38" s="8"/>
      <c r="C38" s="8"/>
      <c r="D38" s="8"/>
      <c r="E38" s="8"/>
      <c r="G38" s="8"/>
      <c r="H38" s="8"/>
      <c r="I38" s="8"/>
      <c r="J38" s="8"/>
      <c r="L38" s="8" t="s">
        <v>34</v>
      </c>
      <c r="M38" s="8"/>
      <c r="N38" s="25">
        <f>SUM(N36:N37)</f>
        <v>33.62662479057262</v>
      </c>
      <c r="O38" s="8"/>
    </row>
    <row r="39" spans="1:15" ht="16" x14ac:dyDescent="0.4">
      <c r="A39" s="8"/>
      <c r="C39" s="8"/>
      <c r="D39" s="10"/>
      <c r="E39" s="8"/>
      <c r="G39" s="8"/>
      <c r="H39" s="8"/>
      <c r="I39" s="9"/>
      <c r="J39" s="8"/>
      <c r="L39" s="8"/>
      <c r="M39" s="8"/>
      <c r="N39" s="8"/>
      <c r="O39" s="8"/>
    </row>
    <row r="40" spans="1:15" ht="16" x14ac:dyDescent="0.4">
      <c r="A40" s="8"/>
      <c r="C40" s="8"/>
      <c r="D40" s="10"/>
      <c r="E40" s="8"/>
      <c r="F40" s="8"/>
      <c r="G40" s="8"/>
      <c r="H40" s="9"/>
      <c r="I40" s="8"/>
      <c r="K40" s="8"/>
      <c r="L40" s="8"/>
      <c r="M40" s="8"/>
      <c r="N40" s="8"/>
      <c r="O40" s="8"/>
    </row>
    <row r="41" spans="1:15" ht="16" x14ac:dyDescent="0.4">
      <c r="A41" s="8"/>
      <c r="B41" s="34" t="s">
        <v>43</v>
      </c>
      <c r="C41" s="35"/>
      <c r="D41" s="47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8"/>
    </row>
    <row r="42" spans="1:15" ht="16" x14ac:dyDescent="0.4">
      <c r="A42" s="8"/>
      <c r="B42" s="8" t="s">
        <v>48</v>
      </c>
      <c r="C42" s="8"/>
      <c r="D42" s="10"/>
      <c r="E42" s="8"/>
      <c r="F42" s="8"/>
      <c r="G42" s="8"/>
      <c r="H42" s="8"/>
      <c r="N42" s="58" t="s">
        <v>40</v>
      </c>
      <c r="O42" s="8"/>
    </row>
    <row r="43" spans="1:15" ht="16" x14ac:dyDescent="0.4">
      <c r="A43" s="8"/>
      <c r="B43" s="8" t="s">
        <v>49</v>
      </c>
      <c r="C43" s="8"/>
      <c r="D43" s="10"/>
      <c r="E43" s="8"/>
      <c r="F43" s="8"/>
      <c r="G43" s="8"/>
      <c r="H43" s="8"/>
      <c r="N43" s="26"/>
      <c r="O43" s="8"/>
    </row>
    <row r="44" spans="1:15" ht="16" x14ac:dyDescent="0.4">
      <c r="A44" s="8"/>
      <c r="B44" s="48" t="s">
        <v>50</v>
      </c>
      <c r="C44" s="8"/>
      <c r="D44" s="10"/>
      <c r="E44" s="8"/>
      <c r="F44" s="8"/>
      <c r="G44" s="8"/>
      <c r="H44" s="8"/>
      <c r="N44" s="26"/>
      <c r="O44" s="8"/>
    </row>
    <row r="45" spans="1:15" ht="16" x14ac:dyDescent="0.4">
      <c r="A45" s="8"/>
      <c r="B45" s="48" t="s">
        <v>51</v>
      </c>
      <c r="C45" s="8"/>
      <c r="D45" s="10"/>
      <c r="E45" s="8"/>
      <c r="F45" s="8"/>
      <c r="G45" s="8"/>
      <c r="H45" s="8"/>
      <c r="N45" s="26"/>
      <c r="O45" s="8"/>
    </row>
    <row r="46" spans="1:15" ht="16" x14ac:dyDescent="0.4">
      <c r="A46" s="8"/>
      <c r="B46" s="48" t="s">
        <v>52</v>
      </c>
      <c r="C46" s="8"/>
      <c r="D46" s="10"/>
      <c r="E46" s="8"/>
      <c r="F46" s="8"/>
      <c r="G46" s="8"/>
      <c r="H46" s="8"/>
      <c r="N46" s="26"/>
      <c r="O46" s="8"/>
    </row>
    <row r="47" spans="1:15" ht="16" x14ac:dyDescent="0.4">
      <c r="A47" s="8"/>
      <c r="B47" s="8"/>
      <c r="C47" s="8"/>
      <c r="D47" s="10"/>
      <c r="E47" s="8"/>
      <c r="F47" s="8"/>
      <c r="G47" s="8"/>
      <c r="H47" s="8"/>
      <c r="N47" s="26"/>
      <c r="O47" s="8"/>
    </row>
    <row r="48" spans="1:15" ht="16" x14ac:dyDescent="0.4">
      <c r="A48" s="8"/>
      <c r="B48" s="8"/>
      <c r="C48" s="8"/>
      <c r="D48" s="10"/>
      <c r="E48" s="8"/>
      <c r="F48" s="8"/>
      <c r="G48" s="8"/>
      <c r="H48" s="8"/>
      <c r="N48" s="59" t="s">
        <v>41</v>
      </c>
      <c r="O48" s="8"/>
    </row>
    <row r="49" spans="1:15" ht="16" x14ac:dyDescent="0.4">
      <c r="A49" s="8"/>
      <c r="B49" s="8"/>
      <c r="C49" s="8"/>
      <c r="D49" s="10"/>
      <c r="E49" s="8"/>
      <c r="F49" s="8"/>
      <c r="G49" s="8"/>
      <c r="H49" s="8"/>
      <c r="N49" s="66" t="s">
        <v>42</v>
      </c>
      <c r="O49" s="8"/>
    </row>
    <row r="50" spans="1:15" ht="16" x14ac:dyDescent="0.4">
      <c r="A50" s="8"/>
      <c r="B50" s="8"/>
      <c r="C50" s="8"/>
      <c r="D50" s="10"/>
      <c r="E50" s="8"/>
      <c r="F50" s="8"/>
      <c r="G50" s="8"/>
      <c r="H50" s="8"/>
      <c r="O50" s="8"/>
    </row>
    <row r="51" spans="1:15" ht="16" x14ac:dyDescent="0.4">
      <c r="A51" s="8"/>
      <c r="B51" s="8"/>
      <c r="C51" s="8"/>
      <c r="D51" s="10"/>
      <c r="E51" s="8"/>
      <c r="F51" s="8"/>
      <c r="G51" s="8"/>
      <c r="H51" s="8"/>
      <c r="M51" s="8"/>
      <c r="O51" s="8"/>
    </row>
    <row r="52" spans="1:15" ht="16" x14ac:dyDescent="0.4">
      <c r="A52" s="8"/>
      <c r="B52" s="8"/>
      <c r="C52" s="8"/>
      <c r="D52" s="1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ht="16" x14ac:dyDescent="0.4">
      <c r="A53" s="8"/>
      <c r="B53" s="8"/>
      <c r="C53" s="8"/>
      <c r="D53" s="1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6" x14ac:dyDescent="0.4">
      <c r="A54" s="8"/>
      <c r="B54" s="8"/>
      <c r="C54" s="8"/>
      <c r="D54" s="1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ht="16" x14ac:dyDescent="0.4">
      <c r="A55" s="8"/>
      <c r="B55" s="8"/>
      <c r="C55" s="8"/>
      <c r="D55" s="1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ht="16" x14ac:dyDescent="0.4">
      <c r="A56" s="8"/>
      <c r="B56" s="8"/>
      <c r="C56" s="8"/>
      <c r="D56" s="1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ht="16" x14ac:dyDescent="0.4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ht="16" x14ac:dyDescent="0.4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ht="16" x14ac:dyDescent="0.4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ht="16" x14ac:dyDescent="0.4">
      <c r="A60" s="8"/>
      <c r="B60" s="8"/>
      <c r="C60" s="8"/>
      <c r="D60" s="1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ht="16" x14ac:dyDescent="0.4">
      <c r="B61" s="8"/>
      <c r="C61" s="8"/>
      <c r="D61" s="10"/>
      <c r="E61" s="8"/>
      <c r="F61" s="8"/>
      <c r="G61" s="8"/>
      <c r="H61" s="8"/>
      <c r="I61" s="8"/>
      <c r="J61" s="8"/>
      <c r="K61" s="8"/>
      <c r="L61" s="8"/>
    </row>
  </sheetData>
  <hyperlinks>
    <hyperlink ref="N49" r:id="rId1" xr:uid="{00000000-0004-0000-01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DCF Model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Katie Au Yeung</cp:lastModifiedBy>
  <cp:lastPrinted>2014-12-13T23:43:21Z</cp:lastPrinted>
  <dcterms:created xsi:type="dcterms:W3CDTF">2014-11-08T22:00:02Z</dcterms:created>
  <dcterms:modified xsi:type="dcterms:W3CDTF">2020-03-12T21:36:57Z</dcterms:modified>
</cp:coreProperties>
</file>